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kon1\Desktop\"/>
    </mc:Choice>
  </mc:AlternateContent>
  <xr:revisionPtr revIDLastSave="0" documentId="13_ncr:1_{1CDC2EA3-029D-4E63-8021-54278D4BE6DD}" xr6:coauthVersionLast="47" xr6:coauthVersionMax="47" xr10:uidLastSave="{00000000-0000-0000-0000-000000000000}"/>
  <bookViews>
    <workbookView xWindow="28680" yWindow="-120" windowWidth="29040" windowHeight="15720" tabRatio="836" firstSheet="5" activeTab="6" xr2:uid="{00000000-000D-0000-FFFF-FFFF00000000}"/>
  </bookViews>
  <sheets>
    <sheet name="Data" sheetId="19" state="hidden" r:id="rId1"/>
    <sheet name="Asset Allocations" sheetId="31" state="hidden" r:id="rId2"/>
    <sheet name="Funds" sheetId="33" state="hidden" r:id="rId3"/>
    <sheet name="Models" sheetId="34" state="hidden" r:id="rId4"/>
    <sheet name="DT03 Defender" sheetId="21" state="hidden" r:id="rId5"/>
    <sheet name="Sheet1" sheetId="35" r:id="rId6"/>
    <sheet name="Day 1" sheetId="36" r:id="rId7"/>
    <sheet name="DT04 Prudence" sheetId="22" r:id="rId8"/>
    <sheet name="DT05 Navigator" sheetId="23" r:id="rId9"/>
    <sheet name="DT06 Meridian" sheetId="20" r:id="rId10"/>
    <sheet name="DT07 Explorer" sheetId="24" r:id="rId11"/>
    <sheet name="DT08 Voyager" sheetId="25" r:id="rId12"/>
    <sheet name="DT09 Adventurer" sheetId="26" state="hidden" r:id="rId13"/>
    <sheet name="DT10 Pioneer" sheetId="27" state="hidden" r:id="rId14"/>
    <sheet name="All Portfolios (Old) " sheetId="28" state="hidden" r:id="rId15"/>
    <sheet name="All Portfolios (New)" sheetId="30" state="hidden" r:id="rId16"/>
    <sheet name="Novia Web Query" sheetId="14" state="hidden" r:id="rId17"/>
    <sheet name="Sectors" sheetId="16" state="hidden" r:id="rId18"/>
    <sheet name="Novia Funds" sheetId="15" state="hidden" r:id="rId19"/>
  </sheets>
  <definedNames>
    <definedName name="_xlnm._FilterDatabase" localSheetId="15" hidden="1">'All Portfolios (New)'!$A$1:$L$33</definedName>
    <definedName name="_xlnm._FilterDatabase" localSheetId="14" hidden="1">'All Portfolios (Old) '!$A$1:$L$31</definedName>
    <definedName name="_xlnm._FilterDatabase" localSheetId="6" hidden="1">'Day 1'!$A$3:$E$43</definedName>
    <definedName name="_xlnm._FilterDatabase" localSheetId="4" hidden="1">'DT03 Defender'!$A$3:$J$32</definedName>
    <definedName name="_xlnm._FilterDatabase" localSheetId="8" hidden="1">'DT05 Navigator'!$A$5:$J$24</definedName>
    <definedName name="_xlnm._FilterDatabase" localSheetId="12" hidden="1">'DT09 Adventurer'!$A$5:$J$20</definedName>
    <definedName name="_xlnm._FilterDatabase" localSheetId="2" hidden="1">Funds!$A$1:$L$31</definedName>
    <definedName name="_xlnm._FilterDatabase" localSheetId="3" hidden="1">Models!$A$1:$L$25</definedName>
    <definedName name="_xlnm._FilterDatabase" localSheetId="16" hidden="1">'Novia Web Query'!$A$1:$E$4429</definedName>
    <definedName name="Date">Data!$B$3</definedName>
    <definedName name="_xlnm.Print_Area" localSheetId="15">'All Portfolios (New)'!$A$1:$L$38</definedName>
    <definedName name="_xlnm.Print_Area" localSheetId="14">'All Portfolios (Old) '!$A$1:$L$40</definedName>
    <definedName name="_xlnm.Print_Area" localSheetId="1">'Asset Allocations'!$A$1:$Q$38</definedName>
    <definedName name="_xlnm.Print_Area" localSheetId="7">'DT04 Prudence'!$A$1:$K$39</definedName>
    <definedName name="_xlnm.Print_Area" localSheetId="8">'DT05 Navigator'!$A$1:$K$39</definedName>
    <definedName name="_xlnm.Print_Area" localSheetId="9">'DT06 Meridian'!$A$1:$K$39</definedName>
    <definedName name="_xlnm.Print_Area" localSheetId="10">'DT07 Explorer'!$A$1:$K$39</definedName>
    <definedName name="_xlnm.Print_Area" localSheetId="11">'DT08 Voyager'!$A$1:$J$40</definedName>
    <definedName name="_xlnm.Print_Area" localSheetId="12">'DT09 Adventurer'!$A$1:$J$101</definedName>
    <definedName name="_xlnm.Print_Area" localSheetId="13">'DT10 Pioneer'!$A$1:$J$101</definedName>
    <definedName name="_xlnm.Print_Area" localSheetId="2">Funds!$A$1:$L$39</definedName>
    <definedName name="_xlnm.Print_Area" localSheetId="3">Models!$A$1:$L$39</definedName>
    <definedName name="Table.aspx?SavedResultsID_671a60c8_ecf8_e611_a149_bc305bec7acc_xl_1_UserID_E635C784_A08A_4768_BDD1_5D35FF40658A_xlRefreshData_1" localSheetId="16">'Novia Web Query'!#REF!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3" i="36" l="1"/>
  <c r="G42" i="36"/>
  <c r="U21" i="36"/>
  <c r="S53" i="36"/>
  <c r="R5" i="36"/>
  <c r="R6" i="36"/>
  <c r="T6" i="36" s="1"/>
  <c r="U6" i="36" s="1"/>
  <c r="R7" i="36"/>
  <c r="R8" i="36"/>
  <c r="R9" i="36"/>
  <c r="R10" i="36"/>
  <c r="R11" i="36"/>
  <c r="R12" i="36"/>
  <c r="R13" i="36"/>
  <c r="R14" i="36"/>
  <c r="R15" i="36"/>
  <c r="R16" i="36"/>
  <c r="R17" i="36"/>
  <c r="R18" i="36"/>
  <c r="R19" i="36"/>
  <c r="R20" i="36"/>
  <c r="R21" i="36"/>
  <c r="R22" i="36"/>
  <c r="R23" i="36"/>
  <c r="R24" i="36"/>
  <c r="R25" i="36"/>
  <c r="R26" i="36"/>
  <c r="R27" i="36"/>
  <c r="T27" i="36" s="1"/>
  <c r="U27" i="36" s="1"/>
  <c r="R28" i="36"/>
  <c r="R29" i="36"/>
  <c r="R30" i="36"/>
  <c r="T30" i="36" s="1"/>
  <c r="U30" i="36" s="1"/>
  <c r="R31" i="36"/>
  <c r="R32" i="36"/>
  <c r="R54" i="36" s="1"/>
  <c r="R33" i="36"/>
  <c r="R55" i="36" s="1"/>
  <c r="R34" i="36"/>
  <c r="R35" i="36"/>
  <c r="R36" i="36"/>
  <c r="R37" i="36"/>
  <c r="T37" i="36" s="1"/>
  <c r="U37" i="36" s="1"/>
  <c r="R38" i="36"/>
  <c r="R39" i="36"/>
  <c r="R40" i="36"/>
  <c r="R41" i="36"/>
  <c r="R42" i="36"/>
  <c r="R43" i="36"/>
  <c r="R4" i="36"/>
  <c r="N4" i="36"/>
  <c r="R59" i="36"/>
  <c r="Q21" i="36"/>
  <c r="AI43" i="36"/>
  <c r="AJ43" i="36" s="1"/>
  <c r="AK43" i="36" s="1"/>
  <c r="AR43" i="36"/>
  <c r="AS43" i="36" s="1"/>
  <c r="AT43" i="36" s="1"/>
  <c r="AI44" i="36"/>
  <c r="AJ44" i="36" s="1"/>
  <c r="AK44" i="36" s="1"/>
  <c r="AL44" i="36"/>
  <c r="AM44" i="36" s="1"/>
  <c r="AN44" i="36" s="1"/>
  <c r="AO44" i="36"/>
  <c r="AP44" i="36" s="1"/>
  <c r="AQ44" i="36" s="1"/>
  <c r="AR44" i="36"/>
  <c r="AS44" i="36" s="1"/>
  <c r="AT44" i="36" s="1"/>
  <c r="N43" i="36"/>
  <c r="P59" i="36"/>
  <c r="O59" i="36"/>
  <c r="O58" i="36"/>
  <c r="O53" i="36"/>
  <c r="N5" i="36"/>
  <c r="N6" i="36"/>
  <c r="P6" i="36" s="1"/>
  <c r="Q6" i="36" s="1"/>
  <c r="N7" i="36"/>
  <c r="N8" i="36"/>
  <c r="N9" i="36"/>
  <c r="N10" i="36"/>
  <c r="N11" i="36"/>
  <c r="N12" i="36"/>
  <c r="N13" i="36"/>
  <c r="N14" i="36"/>
  <c r="N15" i="36"/>
  <c r="N16" i="36"/>
  <c r="N17" i="36"/>
  <c r="N18" i="36"/>
  <c r="N19" i="36"/>
  <c r="P19" i="36" s="1"/>
  <c r="N20" i="36"/>
  <c r="N21" i="36"/>
  <c r="N59" i="36" s="1"/>
  <c r="N22" i="36"/>
  <c r="N23" i="36"/>
  <c r="N24" i="36"/>
  <c r="N25" i="36"/>
  <c r="P25" i="36" s="1"/>
  <c r="Q25" i="36" s="1"/>
  <c r="N26" i="36"/>
  <c r="P26" i="36" s="1"/>
  <c r="Q26" i="36" s="1"/>
  <c r="N27" i="36"/>
  <c r="P27" i="36" s="1"/>
  <c r="N28" i="36"/>
  <c r="N29" i="36"/>
  <c r="N30" i="36"/>
  <c r="N31" i="36"/>
  <c r="P31" i="36" s="1"/>
  <c r="Q31" i="36" s="1"/>
  <c r="N32" i="36"/>
  <c r="N54" i="36" s="1"/>
  <c r="N33" i="36"/>
  <c r="N34" i="36"/>
  <c r="N35" i="36"/>
  <c r="N36" i="36"/>
  <c r="P36" i="36" s="1"/>
  <c r="Q36" i="36" s="1"/>
  <c r="N37" i="36"/>
  <c r="N38" i="36"/>
  <c r="N39" i="36"/>
  <c r="N40" i="36"/>
  <c r="N41" i="36"/>
  <c r="N42" i="36"/>
  <c r="J4" i="36"/>
  <c r="M21" i="36"/>
  <c r="J14" i="36"/>
  <c r="J5" i="36"/>
  <c r="L5" i="36" s="1"/>
  <c r="M5" i="36" s="1"/>
  <c r="J6" i="36"/>
  <c r="L6" i="36" s="1"/>
  <c r="M6" i="36" s="1"/>
  <c r="J7" i="36"/>
  <c r="J8" i="36"/>
  <c r="J9" i="36"/>
  <c r="J10" i="36"/>
  <c r="J11" i="36"/>
  <c r="J12" i="36"/>
  <c r="J13" i="36"/>
  <c r="J15" i="36"/>
  <c r="J16" i="36"/>
  <c r="J17" i="36"/>
  <c r="J18" i="36"/>
  <c r="J19" i="36"/>
  <c r="J20" i="36"/>
  <c r="J21" i="36"/>
  <c r="J59" i="36" s="1"/>
  <c r="J22" i="36"/>
  <c r="J23" i="36"/>
  <c r="J24" i="36"/>
  <c r="J25" i="36"/>
  <c r="J26" i="36"/>
  <c r="J27" i="36"/>
  <c r="J28" i="36"/>
  <c r="J29" i="36"/>
  <c r="J30" i="36"/>
  <c r="J31" i="36"/>
  <c r="J32" i="36"/>
  <c r="J54" i="36" s="1"/>
  <c r="J33" i="36"/>
  <c r="J55" i="36" s="1"/>
  <c r="J34" i="36"/>
  <c r="J35" i="36"/>
  <c r="J36" i="36"/>
  <c r="J37" i="36"/>
  <c r="J38" i="36"/>
  <c r="J39" i="36"/>
  <c r="J40" i="36"/>
  <c r="J41" i="36"/>
  <c r="J42" i="36"/>
  <c r="J43" i="36"/>
  <c r="F4" i="36"/>
  <c r="I21" i="36"/>
  <c r="G58" i="36"/>
  <c r="F42" i="36"/>
  <c r="F43" i="36"/>
  <c r="F35" i="36"/>
  <c r="F36" i="36"/>
  <c r="F37" i="36"/>
  <c r="F38" i="36"/>
  <c r="F39" i="36"/>
  <c r="F40" i="36"/>
  <c r="F41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H19" i="36" s="1"/>
  <c r="I19" i="36" s="1"/>
  <c r="F20" i="36"/>
  <c r="F21" i="36"/>
  <c r="F59" i="36" s="1"/>
  <c r="F22" i="36"/>
  <c r="F23" i="36"/>
  <c r="F24" i="36"/>
  <c r="F25" i="36"/>
  <c r="F26" i="36"/>
  <c r="H26" i="36" s="1"/>
  <c r="I26" i="36" s="1"/>
  <c r="F27" i="36"/>
  <c r="F28" i="36"/>
  <c r="F29" i="36"/>
  <c r="F30" i="36"/>
  <c r="F31" i="36"/>
  <c r="F32" i="36"/>
  <c r="F54" i="36" s="1"/>
  <c r="F33" i="36"/>
  <c r="F55" i="36" s="1"/>
  <c r="F34" i="36"/>
  <c r="H5" i="24"/>
  <c r="AR10" i="36" s="1"/>
  <c r="AS10" i="36" s="1"/>
  <c r="AT10" i="36" s="1"/>
  <c r="H6" i="24"/>
  <c r="AR5" i="36" s="1"/>
  <c r="AS5" i="36" s="1"/>
  <c r="AT5" i="36" s="1"/>
  <c r="H7" i="24"/>
  <c r="AR7" i="36" s="1"/>
  <c r="AS7" i="36" s="1"/>
  <c r="AT7" i="36" s="1"/>
  <c r="H8" i="24"/>
  <c r="H9" i="24"/>
  <c r="H10" i="24"/>
  <c r="H11" i="24"/>
  <c r="AR6" i="36" s="1"/>
  <c r="AS6" i="36" s="1"/>
  <c r="AT6" i="36" s="1"/>
  <c r="H12" i="24"/>
  <c r="AR12" i="36" s="1"/>
  <c r="AS12" i="36" s="1"/>
  <c r="AT12" i="36" s="1"/>
  <c r="H13" i="24"/>
  <c r="H14" i="24"/>
  <c r="H15" i="24"/>
  <c r="H16" i="24"/>
  <c r="H17" i="24"/>
  <c r="H18" i="24"/>
  <c r="H19" i="24"/>
  <c r="H20" i="24"/>
  <c r="AR23" i="36" s="1"/>
  <c r="AS23" i="36" s="1"/>
  <c r="AT23" i="36" s="1"/>
  <c r="H21" i="24"/>
  <c r="H22" i="24"/>
  <c r="H23" i="24"/>
  <c r="H24" i="24"/>
  <c r="H25" i="24"/>
  <c r="AR34" i="36" s="1"/>
  <c r="AS34" i="36" s="1"/>
  <c r="AT34" i="36" s="1"/>
  <c r="H26" i="24"/>
  <c r="H27" i="24"/>
  <c r="H28" i="24"/>
  <c r="H29" i="24"/>
  <c r="H30" i="24"/>
  <c r="H31" i="24"/>
  <c r="H32" i="24"/>
  <c r="H33" i="24"/>
  <c r="H4" i="24"/>
  <c r="H5" i="20"/>
  <c r="AO4" i="36" s="1"/>
  <c r="AP4" i="36" s="1"/>
  <c r="AQ4" i="36" s="1"/>
  <c r="H6" i="20"/>
  <c r="H7" i="20"/>
  <c r="AO8" i="36" s="1"/>
  <c r="AP8" i="36" s="1"/>
  <c r="AQ8" i="36" s="1"/>
  <c r="H8" i="20"/>
  <c r="H9" i="20"/>
  <c r="H10" i="20"/>
  <c r="AO10" i="36" s="1"/>
  <c r="AP10" i="36" s="1"/>
  <c r="AQ10" i="36" s="1"/>
  <c r="H11" i="20"/>
  <c r="H12" i="20"/>
  <c r="H13" i="20"/>
  <c r="H14" i="20"/>
  <c r="H15" i="20"/>
  <c r="H16" i="20"/>
  <c r="AO15" i="36" s="1"/>
  <c r="AP15" i="36" s="1"/>
  <c r="AQ15" i="36" s="1"/>
  <c r="H17" i="20"/>
  <c r="H18" i="20"/>
  <c r="H19" i="20"/>
  <c r="AO19" i="36" s="1"/>
  <c r="AP19" i="36" s="1"/>
  <c r="AQ19" i="36" s="1"/>
  <c r="H20" i="20"/>
  <c r="H21" i="20"/>
  <c r="AO22" i="36" s="1"/>
  <c r="AP22" i="36" s="1"/>
  <c r="AQ22" i="36" s="1"/>
  <c r="H22" i="20"/>
  <c r="H23" i="20"/>
  <c r="H24" i="20"/>
  <c r="AO27" i="36" s="1"/>
  <c r="AP27" i="36" s="1"/>
  <c r="AQ27" i="36" s="1"/>
  <c r="H25" i="20"/>
  <c r="AO33" i="36" s="1"/>
  <c r="AP33" i="36" s="1"/>
  <c r="AQ33" i="36" s="1"/>
  <c r="H26" i="20"/>
  <c r="H27" i="20"/>
  <c r="H28" i="20"/>
  <c r="H29" i="20"/>
  <c r="H30" i="20"/>
  <c r="H31" i="20"/>
  <c r="H32" i="20"/>
  <c r="H33" i="20"/>
  <c r="H34" i="20"/>
  <c r="H35" i="20"/>
  <c r="H36" i="20"/>
  <c r="AO43" i="36" s="1"/>
  <c r="AP43" i="36" s="1"/>
  <c r="AQ43" i="36" s="1"/>
  <c r="H37" i="20"/>
  <c r="AO42" i="36" s="1"/>
  <c r="AP42" i="36" s="1"/>
  <c r="AQ42" i="36" s="1"/>
  <c r="H38" i="20"/>
  <c r="H4" i="20"/>
  <c r="AO21" i="36" s="1"/>
  <c r="AP21" i="36" s="1"/>
  <c r="AQ21" i="36" s="1"/>
  <c r="H5" i="23"/>
  <c r="AL10" i="36" s="1"/>
  <c r="AM10" i="36" s="1"/>
  <c r="AN10" i="36" s="1"/>
  <c r="H6" i="23"/>
  <c r="AL5" i="36" s="1"/>
  <c r="AM5" i="36" s="1"/>
  <c r="AN5" i="36" s="1"/>
  <c r="H7" i="23"/>
  <c r="H8" i="23"/>
  <c r="H9" i="23"/>
  <c r="H10" i="23"/>
  <c r="H11" i="23"/>
  <c r="AL13" i="36" s="1"/>
  <c r="AM13" i="36" s="1"/>
  <c r="AN13" i="36" s="1"/>
  <c r="H12" i="23"/>
  <c r="H13" i="23"/>
  <c r="H14" i="23"/>
  <c r="AL17" i="36" s="1"/>
  <c r="AM17" i="36" s="1"/>
  <c r="AN17" i="36" s="1"/>
  <c r="H15" i="23"/>
  <c r="H16" i="23"/>
  <c r="H17" i="23"/>
  <c r="H18" i="23"/>
  <c r="H19" i="23"/>
  <c r="AL22" i="36" s="1"/>
  <c r="AM22" i="36" s="1"/>
  <c r="AN22" i="36" s="1"/>
  <c r="H20" i="23"/>
  <c r="AL25" i="36" s="1"/>
  <c r="AM25" i="36" s="1"/>
  <c r="AN25" i="36" s="1"/>
  <c r="H21" i="23"/>
  <c r="AL31" i="36" s="1"/>
  <c r="AM31" i="36" s="1"/>
  <c r="AN31" i="36" s="1"/>
  <c r="H22" i="23"/>
  <c r="AL27" i="36" s="1"/>
  <c r="AM27" i="36" s="1"/>
  <c r="AN27" i="36" s="1"/>
  <c r="H23" i="23"/>
  <c r="H24" i="23"/>
  <c r="H25" i="23"/>
  <c r="H26" i="23"/>
  <c r="H27" i="23"/>
  <c r="H28" i="23"/>
  <c r="AL33" i="36" s="1"/>
  <c r="AM33" i="36" s="1"/>
  <c r="AN33" i="36" s="1"/>
  <c r="H29" i="23"/>
  <c r="H30" i="23"/>
  <c r="AL37" i="36" s="1"/>
  <c r="AM37" i="36" s="1"/>
  <c r="AN37" i="36" s="1"/>
  <c r="H31" i="23"/>
  <c r="H32" i="23"/>
  <c r="H33" i="23"/>
  <c r="H34" i="23"/>
  <c r="AL39" i="36" s="1"/>
  <c r="AM39" i="36" s="1"/>
  <c r="AN39" i="36" s="1"/>
  <c r="H35" i="23"/>
  <c r="AL40" i="36" s="1"/>
  <c r="AM40" i="36" s="1"/>
  <c r="AN40" i="36" s="1"/>
  <c r="H36" i="23"/>
  <c r="AL43" i="36" s="1"/>
  <c r="AM43" i="36" s="1"/>
  <c r="AN43" i="36" s="1"/>
  <c r="H37" i="23"/>
  <c r="H38" i="23"/>
  <c r="H4" i="23"/>
  <c r="H5" i="22"/>
  <c r="AI10" i="36" s="1"/>
  <c r="AJ10" i="36" s="1"/>
  <c r="AK10" i="36" s="1"/>
  <c r="H6" i="22"/>
  <c r="AI5" i="36" s="1"/>
  <c r="AJ5" i="36" s="1"/>
  <c r="AK5" i="36" s="1"/>
  <c r="H7" i="22"/>
  <c r="AI6" i="36" s="1"/>
  <c r="AJ6" i="36" s="1"/>
  <c r="AK6" i="36" s="1"/>
  <c r="H8" i="22"/>
  <c r="AI11" i="36" s="1"/>
  <c r="AJ11" i="36" s="1"/>
  <c r="AK11" i="36" s="1"/>
  <c r="H9" i="22"/>
  <c r="H10" i="22"/>
  <c r="AI16" i="36" s="1"/>
  <c r="AJ16" i="36" s="1"/>
  <c r="AK16" i="36" s="1"/>
  <c r="H11" i="22"/>
  <c r="H12" i="22"/>
  <c r="H13" i="22"/>
  <c r="AI13" i="36" s="1"/>
  <c r="AJ13" i="36" s="1"/>
  <c r="AK13" i="36" s="1"/>
  <c r="H14" i="22"/>
  <c r="H15" i="22"/>
  <c r="AI21" i="36" s="1"/>
  <c r="AJ21" i="36" s="1"/>
  <c r="AK21" i="36" s="1"/>
  <c r="H16" i="22"/>
  <c r="AI22" i="36" s="1"/>
  <c r="AJ22" i="36" s="1"/>
  <c r="AK22" i="36" s="1"/>
  <c r="H17" i="22"/>
  <c r="H18" i="22"/>
  <c r="AI25" i="36" s="1"/>
  <c r="AJ25" i="36" s="1"/>
  <c r="AK25" i="36" s="1"/>
  <c r="H19" i="22"/>
  <c r="H20" i="22"/>
  <c r="AI27" i="36" s="1"/>
  <c r="AJ27" i="36" s="1"/>
  <c r="AK27" i="36" s="1"/>
  <c r="H21" i="22"/>
  <c r="H22" i="22"/>
  <c r="AI29" i="36" s="1"/>
  <c r="AJ29" i="36" s="1"/>
  <c r="AK29" i="36" s="1"/>
  <c r="H23" i="22"/>
  <c r="H24" i="22"/>
  <c r="AI31" i="36" s="1"/>
  <c r="AJ31" i="36" s="1"/>
  <c r="AK31" i="36" s="1"/>
  <c r="H25" i="22"/>
  <c r="H26" i="22"/>
  <c r="H27" i="22"/>
  <c r="H28" i="22"/>
  <c r="AI35" i="36" s="1"/>
  <c r="AJ35" i="36" s="1"/>
  <c r="AK35" i="36" s="1"/>
  <c r="H29" i="22"/>
  <c r="H30" i="22"/>
  <c r="H31" i="22"/>
  <c r="AI38" i="36" s="1"/>
  <c r="AJ38" i="36" s="1"/>
  <c r="AK38" i="36" s="1"/>
  <c r="H32" i="22"/>
  <c r="AI39" i="36" s="1"/>
  <c r="AJ39" i="36" s="1"/>
  <c r="AK39" i="36" s="1"/>
  <c r="H33" i="22"/>
  <c r="H34" i="22"/>
  <c r="AI41" i="36" s="1"/>
  <c r="AJ41" i="36" s="1"/>
  <c r="AK41" i="36" s="1"/>
  <c r="H4" i="22"/>
  <c r="AR8" i="36"/>
  <c r="AS8" i="36" s="1"/>
  <c r="AT8" i="36" s="1"/>
  <c r="AR9" i="36"/>
  <c r="AS9" i="36" s="1"/>
  <c r="AT9" i="36" s="1"/>
  <c r="AR11" i="36"/>
  <c r="AS11" i="36" s="1"/>
  <c r="AT11" i="36" s="1"/>
  <c r="AR13" i="36"/>
  <c r="AS13" i="36" s="1"/>
  <c r="AT13" i="36" s="1"/>
  <c r="AR14" i="36"/>
  <c r="AS14" i="36" s="1"/>
  <c r="AT14" i="36" s="1"/>
  <c r="AR15" i="36"/>
  <c r="AS15" i="36" s="1"/>
  <c r="AT15" i="36" s="1"/>
  <c r="AR16" i="36"/>
  <c r="AS16" i="36" s="1"/>
  <c r="AT16" i="36" s="1"/>
  <c r="AR17" i="36"/>
  <c r="AS17" i="36" s="1"/>
  <c r="AT17" i="36" s="1"/>
  <c r="AR18" i="36"/>
  <c r="AS18" i="36" s="1"/>
  <c r="AT18" i="36" s="1"/>
  <c r="AR19" i="36"/>
  <c r="AS19" i="36" s="1"/>
  <c r="AT19" i="36" s="1"/>
  <c r="AR20" i="36"/>
  <c r="AS20" i="36" s="1"/>
  <c r="AT20" i="36" s="1"/>
  <c r="AR21" i="36"/>
  <c r="AS21" i="36" s="1"/>
  <c r="AT21" i="36" s="1"/>
  <c r="AR24" i="36"/>
  <c r="AS24" i="36" s="1"/>
  <c r="AT24" i="36" s="1"/>
  <c r="AR25" i="36"/>
  <c r="AS25" i="36" s="1"/>
  <c r="AT25" i="36" s="1"/>
  <c r="AR26" i="36"/>
  <c r="AS26" i="36" s="1"/>
  <c r="AT26" i="36" s="1"/>
  <c r="AR27" i="36"/>
  <c r="AS27" i="36" s="1"/>
  <c r="AT27" i="36" s="1"/>
  <c r="AR28" i="36"/>
  <c r="AS28" i="36" s="1"/>
  <c r="AT28" i="36" s="1"/>
  <c r="AR29" i="36"/>
  <c r="AS29" i="36" s="1"/>
  <c r="AT29" i="36" s="1"/>
  <c r="AR30" i="36"/>
  <c r="AS30" i="36" s="1"/>
  <c r="AT30" i="36" s="1"/>
  <c r="AR31" i="36"/>
  <c r="AS31" i="36" s="1"/>
  <c r="AT31" i="36" s="1"/>
  <c r="AR32" i="36"/>
  <c r="AS32" i="36" s="1"/>
  <c r="AT32" i="36" s="1"/>
  <c r="AR33" i="36"/>
  <c r="AS33" i="36" s="1"/>
  <c r="AT33" i="36" s="1"/>
  <c r="AR35" i="36"/>
  <c r="AS35" i="36" s="1"/>
  <c r="AT35" i="36" s="1"/>
  <c r="AR37" i="36"/>
  <c r="AS37" i="36" s="1"/>
  <c r="AT37" i="36" s="1"/>
  <c r="AR38" i="36"/>
  <c r="AS38" i="36" s="1"/>
  <c r="AT38" i="36" s="1"/>
  <c r="AR39" i="36"/>
  <c r="AS39" i="36" s="1"/>
  <c r="AT39" i="36" s="1"/>
  <c r="AR40" i="36"/>
  <c r="AS40" i="36" s="1"/>
  <c r="AT40" i="36" s="1"/>
  <c r="AR41" i="36"/>
  <c r="AS41" i="36" s="1"/>
  <c r="AT41" i="36" s="1"/>
  <c r="AR42" i="36"/>
  <c r="AS42" i="36" s="1"/>
  <c r="AT42" i="36" s="1"/>
  <c r="AR4" i="36"/>
  <c r="AS4" i="36" s="1"/>
  <c r="AT4" i="36" s="1"/>
  <c r="AO5" i="36"/>
  <c r="AP5" i="36" s="1"/>
  <c r="AQ5" i="36" s="1"/>
  <c r="AO12" i="36"/>
  <c r="AP12" i="36" s="1"/>
  <c r="AQ12" i="36" s="1"/>
  <c r="AO13" i="36"/>
  <c r="AP13" i="36" s="1"/>
  <c r="AQ13" i="36" s="1"/>
  <c r="AO14" i="36"/>
  <c r="AP14" i="36" s="1"/>
  <c r="AQ14" i="36" s="1"/>
  <c r="AO16" i="36"/>
  <c r="AP16" i="36" s="1"/>
  <c r="AQ16" i="36" s="1"/>
  <c r="AO18" i="36"/>
  <c r="AP18" i="36" s="1"/>
  <c r="AQ18" i="36" s="1"/>
  <c r="AO20" i="36"/>
  <c r="AP20" i="36" s="1"/>
  <c r="AQ20" i="36" s="1"/>
  <c r="AO23" i="36"/>
  <c r="AP23" i="36" s="1"/>
  <c r="AQ23" i="36" s="1"/>
  <c r="AO24" i="36"/>
  <c r="AP24" i="36" s="1"/>
  <c r="AQ24" i="36" s="1"/>
  <c r="AO25" i="36"/>
  <c r="AP25" i="36" s="1"/>
  <c r="AQ25" i="36" s="1"/>
  <c r="AO26" i="36"/>
  <c r="AP26" i="36" s="1"/>
  <c r="AQ26" i="36" s="1"/>
  <c r="AO28" i="36"/>
  <c r="AP28" i="36" s="1"/>
  <c r="AQ28" i="36" s="1"/>
  <c r="AO29" i="36"/>
  <c r="AP29" i="36" s="1"/>
  <c r="AQ29" i="36" s="1"/>
  <c r="AO31" i="36"/>
  <c r="AP31" i="36" s="1"/>
  <c r="AQ31" i="36" s="1"/>
  <c r="AO34" i="36"/>
  <c r="AP34" i="36" s="1"/>
  <c r="AQ34" i="36" s="1"/>
  <c r="AO35" i="36"/>
  <c r="AP35" i="36" s="1"/>
  <c r="AQ35" i="36" s="1"/>
  <c r="AO36" i="36"/>
  <c r="AP36" i="36" s="1"/>
  <c r="AQ36" i="36" s="1"/>
  <c r="AO37" i="36"/>
  <c r="AP37" i="36" s="1"/>
  <c r="AQ37" i="36" s="1"/>
  <c r="AO38" i="36"/>
  <c r="AP38" i="36" s="1"/>
  <c r="AQ38" i="36" s="1"/>
  <c r="AO39" i="36"/>
  <c r="AP39" i="36" s="1"/>
  <c r="AQ39" i="36" s="1"/>
  <c r="AO41" i="36"/>
  <c r="AP41" i="36" s="1"/>
  <c r="AQ41" i="36" s="1"/>
  <c r="O41" i="36" s="1"/>
  <c r="AL6" i="36"/>
  <c r="AM6" i="36" s="1"/>
  <c r="AN6" i="36" s="1"/>
  <c r="AL7" i="36"/>
  <c r="AM7" i="36" s="1"/>
  <c r="AN7" i="36" s="1"/>
  <c r="AL8" i="36"/>
  <c r="AM8" i="36" s="1"/>
  <c r="AN8" i="36" s="1"/>
  <c r="AL9" i="36"/>
  <c r="AM9" i="36" s="1"/>
  <c r="AN9" i="36" s="1"/>
  <c r="AL14" i="36"/>
  <c r="AM14" i="36" s="1"/>
  <c r="AN14" i="36" s="1"/>
  <c r="AL16" i="36"/>
  <c r="AM16" i="36" s="1"/>
  <c r="AN16" i="36" s="1"/>
  <c r="AL18" i="36"/>
  <c r="AM18" i="36" s="1"/>
  <c r="AN18" i="36" s="1"/>
  <c r="AL19" i="36"/>
  <c r="AM19" i="36" s="1"/>
  <c r="AN19" i="36" s="1"/>
  <c r="AL20" i="36"/>
  <c r="AM20" i="36" s="1"/>
  <c r="AN20" i="36" s="1"/>
  <c r="AL23" i="36"/>
  <c r="AM23" i="36" s="1"/>
  <c r="AN23" i="36" s="1"/>
  <c r="AL24" i="36"/>
  <c r="AM24" i="36" s="1"/>
  <c r="AN24" i="36" s="1"/>
  <c r="AL26" i="36"/>
  <c r="AM26" i="36" s="1"/>
  <c r="AN26" i="36" s="1"/>
  <c r="AL29" i="36"/>
  <c r="AM29" i="36" s="1"/>
  <c r="AN29" i="36" s="1"/>
  <c r="AL30" i="36"/>
  <c r="AM30" i="36" s="1"/>
  <c r="AN30" i="36" s="1"/>
  <c r="AL34" i="36"/>
  <c r="AM34" i="36" s="1"/>
  <c r="AN34" i="36" s="1"/>
  <c r="AL35" i="36"/>
  <c r="AM35" i="36" s="1"/>
  <c r="AN35" i="36" s="1"/>
  <c r="AL36" i="36"/>
  <c r="AM36" i="36" s="1"/>
  <c r="AN36" i="36" s="1"/>
  <c r="AI7" i="36"/>
  <c r="AJ7" i="36" s="1"/>
  <c r="AK7" i="36" s="1"/>
  <c r="AI8" i="36"/>
  <c r="AJ8" i="36" s="1"/>
  <c r="AK8" i="36" s="1"/>
  <c r="AI9" i="36"/>
  <c r="AJ9" i="36" s="1"/>
  <c r="AK9" i="36" s="1"/>
  <c r="AI23" i="36"/>
  <c r="AJ23" i="36" s="1"/>
  <c r="AK23" i="36" s="1"/>
  <c r="AI24" i="36"/>
  <c r="AJ24" i="36" s="1"/>
  <c r="AK24" i="36" s="1"/>
  <c r="AI26" i="36"/>
  <c r="AJ26" i="36" s="1"/>
  <c r="AK26" i="36" s="1"/>
  <c r="AI30" i="36"/>
  <c r="AJ30" i="36" s="1"/>
  <c r="AK30" i="36" s="1"/>
  <c r="AI32" i="36"/>
  <c r="AJ32" i="36" s="1"/>
  <c r="AK32" i="36" s="1"/>
  <c r="AI34" i="36"/>
  <c r="AJ34" i="36" s="1"/>
  <c r="AK34" i="36" s="1"/>
  <c r="AI36" i="36"/>
  <c r="AJ36" i="36" s="1"/>
  <c r="AK36" i="36" s="1"/>
  <c r="AI37" i="36"/>
  <c r="AJ37" i="36" s="1"/>
  <c r="AK37" i="36" s="1"/>
  <c r="AI42" i="36"/>
  <c r="AJ42" i="36" s="1"/>
  <c r="AK42" i="36" s="1"/>
  <c r="G39" i="24"/>
  <c r="F39" i="24"/>
  <c r="K39" i="22"/>
  <c r="C33" i="36"/>
  <c r="C32" i="36"/>
  <c r="C19" i="36"/>
  <c r="C12" i="36"/>
  <c r="C22" i="36"/>
  <c r="C20" i="36"/>
  <c r="C4" i="36"/>
  <c r="C40" i="36"/>
  <c r="C34" i="36"/>
  <c r="C17" i="36"/>
  <c r="C10" i="36"/>
  <c r="C41" i="36"/>
  <c r="C13" i="36"/>
  <c r="C16" i="36"/>
  <c r="C23" i="36"/>
  <c r="C27" i="36"/>
  <c r="C38" i="36"/>
  <c r="C25" i="36"/>
  <c r="C37" i="36"/>
  <c r="C15" i="36"/>
  <c r="C6" i="36"/>
  <c r="C8" i="36"/>
  <c r="C43" i="36"/>
  <c r="C14" i="36"/>
  <c r="C30" i="36"/>
  <c r="C18" i="36"/>
  <c r="C26" i="36"/>
  <c r="C36" i="36"/>
  <c r="C39" i="36"/>
  <c r="C35" i="36"/>
  <c r="C5" i="36"/>
  <c r="C9" i="36"/>
  <c r="C7" i="36"/>
  <c r="C28" i="36"/>
  <c r="AR22" i="36" l="1"/>
  <c r="AS22" i="36" s="1"/>
  <c r="AT22" i="36" s="1"/>
  <c r="AR36" i="36"/>
  <c r="AS36" i="36" s="1"/>
  <c r="AT36" i="36" s="1"/>
  <c r="AO11" i="36"/>
  <c r="AP11" i="36" s="1"/>
  <c r="AQ11" i="36" s="1"/>
  <c r="AO9" i="36"/>
  <c r="AP9" i="36" s="1"/>
  <c r="AQ9" i="36" s="1"/>
  <c r="AO32" i="36"/>
  <c r="AP32" i="36" s="1"/>
  <c r="AQ32" i="36" s="1"/>
  <c r="AO40" i="36"/>
  <c r="AP40" i="36" s="1"/>
  <c r="AQ40" i="36" s="1"/>
  <c r="AO30" i="36"/>
  <c r="AP30" i="36" s="1"/>
  <c r="AQ30" i="36" s="1"/>
  <c r="AO6" i="36"/>
  <c r="AP6" i="36" s="1"/>
  <c r="AQ6" i="36" s="1"/>
  <c r="AO17" i="36"/>
  <c r="AP17" i="36" s="1"/>
  <c r="AQ17" i="36" s="1"/>
  <c r="AO7" i="36"/>
  <c r="AP7" i="36" s="1"/>
  <c r="AQ7" i="36" s="1"/>
  <c r="AL41" i="36"/>
  <c r="AM41" i="36" s="1"/>
  <c r="AN41" i="36" s="1"/>
  <c r="K41" i="36" s="1"/>
  <c r="AL28" i="36"/>
  <c r="AM28" i="36" s="1"/>
  <c r="AN28" i="36" s="1"/>
  <c r="AL15" i="36"/>
  <c r="AM15" i="36" s="1"/>
  <c r="AN15" i="36" s="1"/>
  <c r="AL42" i="36"/>
  <c r="AM42" i="36" s="1"/>
  <c r="AN42" i="36" s="1"/>
  <c r="AL4" i="36"/>
  <c r="AM4" i="36" s="1"/>
  <c r="AN4" i="36" s="1"/>
  <c r="AL21" i="36"/>
  <c r="AM21" i="36" s="1"/>
  <c r="AN21" i="36" s="1"/>
  <c r="AL11" i="36"/>
  <c r="AM11" i="36" s="1"/>
  <c r="AN11" i="36" s="1"/>
  <c r="AL32" i="36"/>
  <c r="AM32" i="36" s="1"/>
  <c r="AN32" i="36" s="1"/>
  <c r="AL38" i="36"/>
  <c r="AM38" i="36" s="1"/>
  <c r="AN38" i="36" s="1"/>
  <c r="AL12" i="36"/>
  <c r="AM12" i="36" s="1"/>
  <c r="AN12" i="36" s="1"/>
  <c r="AI18" i="36"/>
  <c r="AJ18" i="36" s="1"/>
  <c r="AK18" i="36" s="1"/>
  <c r="AI19" i="36"/>
  <c r="AJ19" i="36" s="1"/>
  <c r="AK19" i="36" s="1"/>
  <c r="AI20" i="36"/>
  <c r="AJ20" i="36" s="1"/>
  <c r="AK20" i="36" s="1"/>
  <c r="AI14" i="36"/>
  <c r="AJ14" i="36" s="1"/>
  <c r="AK14" i="36" s="1"/>
  <c r="AI28" i="36"/>
  <c r="AJ28" i="36" s="1"/>
  <c r="AK28" i="36" s="1"/>
  <c r="AI12" i="36"/>
  <c r="AJ12" i="36" s="1"/>
  <c r="AK12" i="36" s="1"/>
  <c r="AI33" i="36"/>
  <c r="AJ33" i="36" s="1"/>
  <c r="AK33" i="36" s="1"/>
  <c r="AI40" i="36"/>
  <c r="AJ40" i="36" s="1"/>
  <c r="AK40" i="36" s="1"/>
  <c r="AI15" i="36"/>
  <c r="AJ15" i="36" s="1"/>
  <c r="AK15" i="36" s="1"/>
  <c r="AI4" i="36"/>
  <c r="AJ4" i="36" s="1"/>
  <c r="AK4" i="36" s="1"/>
  <c r="AI17" i="36"/>
  <c r="AJ17" i="36" s="1"/>
  <c r="AK17" i="36" s="1"/>
  <c r="N52" i="36"/>
  <c r="N56" i="36"/>
  <c r="R52" i="36"/>
  <c r="P41" i="36"/>
  <c r="Q41" i="36" s="1"/>
  <c r="R58" i="36"/>
  <c r="T41" i="36"/>
  <c r="U41" i="36" s="1"/>
  <c r="N51" i="36"/>
  <c r="R53" i="36"/>
  <c r="R51" i="36"/>
  <c r="N53" i="36"/>
  <c r="N50" i="36"/>
  <c r="R49" i="36"/>
  <c r="P30" i="36"/>
  <c r="Q30" i="36" s="1"/>
  <c r="L41" i="36"/>
  <c r="M41" i="36" s="1"/>
  <c r="R56" i="36"/>
  <c r="O65" i="36"/>
  <c r="S65" i="36"/>
  <c r="Q27" i="36"/>
  <c r="P58" i="36"/>
  <c r="Q19" i="36"/>
  <c r="N58" i="36"/>
  <c r="R50" i="36"/>
  <c r="J58" i="36"/>
  <c r="T26" i="36"/>
  <c r="N55" i="36"/>
  <c r="R57" i="36"/>
  <c r="N49" i="36"/>
  <c r="J51" i="36"/>
  <c r="N57" i="36"/>
  <c r="S58" i="36"/>
  <c r="T31" i="36"/>
  <c r="AX43" i="36"/>
  <c r="AZ43" i="36" s="1"/>
  <c r="K43" i="36" s="1"/>
  <c r="L43" i="36" s="1"/>
  <c r="M43" i="36" s="1"/>
  <c r="F52" i="36"/>
  <c r="J52" i="36"/>
  <c r="J57" i="36"/>
  <c r="L19" i="36"/>
  <c r="M19" i="36" s="1"/>
  <c r="L36" i="36"/>
  <c r="M36" i="36" s="1"/>
  <c r="J49" i="36"/>
  <c r="J53" i="36"/>
  <c r="F53" i="36"/>
  <c r="J50" i="36"/>
  <c r="J56" i="36"/>
  <c r="F51" i="36"/>
  <c r="F49" i="36"/>
  <c r="F57" i="36"/>
  <c r="F58" i="36"/>
  <c r="F56" i="36"/>
  <c r="F50" i="36"/>
  <c r="F45" i="36"/>
  <c r="AX13" i="36"/>
  <c r="AZ13" i="36" s="1"/>
  <c r="G13" i="36" s="1"/>
  <c r="H13" i="36" s="1"/>
  <c r="I13" i="36" s="1"/>
  <c r="AX28" i="36"/>
  <c r="AZ28" i="36" s="1"/>
  <c r="O28" i="36" s="1"/>
  <c r="P28" i="36" s="1"/>
  <c r="AX12" i="36"/>
  <c r="AZ12" i="36" s="1"/>
  <c r="G12" i="36" s="1"/>
  <c r="H12" i="36" s="1"/>
  <c r="I12" i="36" s="1"/>
  <c r="AX19" i="36"/>
  <c r="AZ19" i="36" s="1"/>
  <c r="S19" i="36" s="1"/>
  <c r="AX36" i="36"/>
  <c r="AZ36" i="36" s="1"/>
  <c r="H36" i="36" s="1"/>
  <c r="I36" i="36" s="1"/>
  <c r="AX32" i="36"/>
  <c r="AZ32" i="36" s="1"/>
  <c r="G32" i="36" s="1"/>
  <c r="AX30" i="36"/>
  <c r="AZ30" i="36" s="1"/>
  <c r="AX6" i="36"/>
  <c r="AZ6" i="36" s="1"/>
  <c r="G6" i="36" s="1"/>
  <c r="H6" i="36" s="1"/>
  <c r="I6" i="36" s="1"/>
  <c r="AX29" i="36"/>
  <c r="AZ29" i="36" s="1"/>
  <c r="G29" i="36" s="1"/>
  <c r="H29" i="36" s="1"/>
  <c r="I29" i="36" s="1"/>
  <c r="AX37" i="36"/>
  <c r="AZ37" i="36" s="1"/>
  <c r="K37" i="36" s="1"/>
  <c r="L37" i="36" s="1"/>
  <c r="M37" i="36" s="1"/>
  <c r="AX25" i="36"/>
  <c r="AZ25" i="36" s="1"/>
  <c r="G25" i="36" s="1"/>
  <c r="H25" i="36" s="1"/>
  <c r="I25" i="36" s="1"/>
  <c r="AX34" i="36"/>
  <c r="AZ34" i="36" s="1"/>
  <c r="G34" i="36" s="1"/>
  <c r="AX8" i="36"/>
  <c r="AZ8" i="36" s="1"/>
  <c r="S8" i="36" s="1"/>
  <c r="T8" i="36" s="1"/>
  <c r="U8" i="36" s="1"/>
  <c r="AX22" i="36"/>
  <c r="AZ22" i="36" s="1"/>
  <c r="G22" i="36" s="1"/>
  <c r="AX7" i="36"/>
  <c r="AZ7" i="36" s="1"/>
  <c r="G7" i="36" s="1"/>
  <c r="H7" i="36" s="1"/>
  <c r="I7" i="36" s="1"/>
  <c r="AX15" i="36"/>
  <c r="AZ15" i="36" s="1"/>
  <c r="O15" i="36" s="1"/>
  <c r="P15" i="36" s="1"/>
  <c r="Q15" i="36" s="1"/>
  <c r="AX42" i="36"/>
  <c r="AZ42" i="36" s="1"/>
  <c r="S42" i="36" s="1"/>
  <c r="T42" i="36" s="1"/>
  <c r="U42" i="36" s="1"/>
  <c r="AX40" i="36"/>
  <c r="AZ40" i="36" s="1"/>
  <c r="AX26" i="36"/>
  <c r="AZ26" i="36" s="1"/>
  <c r="AX33" i="36"/>
  <c r="AZ33" i="36" s="1"/>
  <c r="S33" i="36" s="1"/>
  <c r="AX17" i="36"/>
  <c r="AZ17" i="36" s="1"/>
  <c r="G17" i="36" s="1"/>
  <c r="H17" i="36" s="1"/>
  <c r="I17" i="36" s="1"/>
  <c r="AX39" i="36"/>
  <c r="AZ39" i="36" s="1"/>
  <c r="S39" i="36" s="1"/>
  <c r="T39" i="36" s="1"/>
  <c r="U39" i="36" s="1"/>
  <c r="AX31" i="36"/>
  <c r="AZ31" i="36" s="1"/>
  <c r="H31" i="36" s="1"/>
  <c r="I31" i="36" s="1"/>
  <c r="AX11" i="36"/>
  <c r="AZ11" i="36" s="1"/>
  <c r="H11" i="36" s="1"/>
  <c r="I11" i="36" s="1"/>
  <c r="AX38" i="36"/>
  <c r="AZ38" i="36" s="1"/>
  <c r="S38" i="36" s="1"/>
  <c r="T38" i="36" s="1"/>
  <c r="U38" i="36" s="1"/>
  <c r="AX21" i="36"/>
  <c r="AZ21" i="36" s="1"/>
  <c r="S21" i="36" s="1"/>
  <c r="AX5" i="36"/>
  <c r="AZ5" i="36" s="1"/>
  <c r="H5" i="36" s="1"/>
  <c r="I5" i="36" s="1"/>
  <c r="AX14" i="36"/>
  <c r="AZ14" i="36" s="1"/>
  <c r="AX24" i="36"/>
  <c r="AZ24" i="36" s="1"/>
  <c r="S24" i="36" s="1"/>
  <c r="T24" i="36" s="1"/>
  <c r="U24" i="36" s="1"/>
  <c r="AX10" i="36"/>
  <c r="AZ10" i="36" s="1"/>
  <c r="O10" i="36" s="1"/>
  <c r="AX23" i="36"/>
  <c r="AZ23" i="36" s="1"/>
  <c r="G23" i="36" s="1"/>
  <c r="H23" i="36" s="1"/>
  <c r="I23" i="36" s="1"/>
  <c r="AX9" i="36"/>
  <c r="AZ9" i="36" s="1"/>
  <c r="S9" i="36" s="1"/>
  <c r="T9" i="36" s="1"/>
  <c r="U9" i="36" s="1"/>
  <c r="AX35" i="36"/>
  <c r="AZ35" i="36" s="1"/>
  <c r="O35" i="36" s="1"/>
  <c r="P35" i="36" s="1"/>
  <c r="Q35" i="36" s="1"/>
  <c r="AX27" i="36"/>
  <c r="AZ27" i="36" s="1"/>
  <c r="H27" i="36" s="1"/>
  <c r="I27" i="36" s="1"/>
  <c r="AX18" i="36"/>
  <c r="AZ18" i="36" s="1"/>
  <c r="G18" i="36" s="1"/>
  <c r="H18" i="36" s="1"/>
  <c r="I18" i="36" s="1"/>
  <c r="AX41" i="36"/>
  <c r="G41" i="36" s="1"/>
  <c r="H41" i="36" s="1"/>
  <c r="I41" i="36" s="1"/>
  <c r="AX16" i="36"/>
  <c r="AZ16" i="36" s="1"/>
  <c r="K16" i="36" s="1"/>
  <c r="L16" i="36" s="1"/>
  <c r="M16" i="36" s="1"/>
  <c r="AX20" i="36"/>
  <c r="AZ20" i="36" s="1"/>
  <c r="G20" i="36" s="1"/>
  <c r="H20" i="36" s="1"/>
  <c r="I20" i="36" s="1"/>
  <c r="H32" i="25"/>
  <c r="J32" i="25"/>
  <c r="H33" i="25"/>
  <c r="J33" i="25"/>
  <c r="H34" i="25"/>
  <c r="J34" i="25"/>
  <c r="H35" i="25"/>
  <c r="J35" i="25"/>
  <c r="H36" i="25"/>
  <c r="J36" i="25"/>
  <c r="H37" i="25"/>
  <c r="J37" i="25"/>
  <c r="H38" i="25"/>
  <c r="J38" i="25"/>
  <c r="H39" i="25"/>
  <c r="J39" i="25"/>
  <c r="E38" i="33"/>
  <c r="F38" i="33"/>
  <c r="G38" i="33"/>
  <c r="H38" i="33"/>
  <c r="I38" i="33"/>
  <c r="J38" i="33"/>
  <c r="K38" i="33"/>
  <c r="L38" i="33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5" i="34"/>
  <c r="L4" i="34"/>
  <c r="K4" i="34"/>
  <c r="J4" i="34"/>
  <c r="I4" i="34"/>
  <c r="H4" i="34"/>
  <c r="G4" i="34"/>
  <c r="F4" i="34"/>
  <c r="E4" i="34"/>
  <c r="J16" i="30"/>
  <c r="J10" i="30"/>
  <c r="J11" i="30"/>
  <c r="J12" i="30"/>
  <c r="J13" i="30"/>
  <c r="J14" i="30"/>
  <c r="J15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30" i="30"/>
  <c r="J31" i="30"/>
  <c r="J32" i="30"/>
  <c r="J33" i="30"/>
  <c r="J35" i="30"/>
  <c r="J36" i="30"/>
  <c r="J37" i="30"/>
  <c r="J34" i="30"/>
  <c r="J29" i="30"/>
  <c r="J4" i="30"/>
  <c r="J5" i="30"/>
  <c r="J6" i="30"/>
  <c r="J7" i="30"/>
  <c r="J8" i="30"/>
  <c r="J9" i="30"/>
  <c r="I16" i="30"/>
  <c r="I10" i="30"/>
  <c r="I11" i="30"/>
  <c r="I12" i="30"/>
  <c r="I13" i="30"/>
  <c r="I14" i="30"/>
  <c r="I15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30" i="30"/>
  <c r="I31" i="30"/>
  <c r="I32" i="30"/>
  <c r="I33" i="30"/>
  <c r="I35" i="30"/>
  <c r="I36" i="30"/>
  <c r="I37" i="30"/>
  <c r="I34" i="30"/>
  <c r="I29" i="30"/>
  <c r="I4" i="30"/>
  <c r="I5" i="30"/>
  <c r="I6" i="30"/>
  <c r="I7" i="30"/>
  <c r="I8" i="30"/>
  <c r="I9" i="30"/>
  <c r="H16" i="30"/>
  <c r="H10" i="30"/>
  <c r="H11" i="30"/>
  <c r="H12" i="30"/>
  <c r="H13" i="30"/>
  <c r="H14" i="30"/>
  <c r="H15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30" i="30"/>
  <c r="H31" i="30"/>
  <c r="H32" i="30"/>
  <c r="H33" i="30"/>
  <c r="H35" i="30"/>
  <c r="H36" i="30"/>
  <c r="H37" i="30"/>
  <c r="H34" i="30"/>
  <c r="H29" i="30"/>
  <c r="H4" i="30"/>
  <c r="H5" i="30"/>
  <c r="H6" i="30"/>
  <c r="H7" i="30"/>
  <c r="H8" i="30"/>
  <c r="H9" i="30"/>
  <c r="E16" i="30"/>
  <c r="E10" i="30"/>
  <c r="E11" i="30"/>
  <c r="E12" i="30"/>
  <c r="E13" i="30"/>
  <c r="E14" i="30"/>
  <c r="E15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30" i="30"/>
  <c r="E31" i="30"/>
  <c r="E32" i="30"/>
  <c r="E33" i="30"/>
  <c r="E35" i="30"/>
  <c r="E36" i="30"/>
  <c r="E37" i="30"/>
  <c r="E34" i="30"/>
  <c r="E29" i="30"/>
  <c r="E4" i="30"/>
  <c r="E5" i="30"/>
  <c r="E6" i="30"/>
  <c r="E7" i="30"/>
  <c r="E8" i="30"/>
  <c r="E9" i="30"/>
  <c r="G16" i="30"/>
  <c r="G10" i="30"/>
  <c r="G11" i="30"/>
  <c r="G12" i="30"/>
  <c r="G13" i="30"/>
  <c r="G14" i="30"/>
  <c r="G15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30" i="30"/>
  <c r="G31" i="30"/>
  <c r="G32" i="30"/>
  <c r="G33" i="30"/>
  <c r="G35" i="30"/>
  <c r="G36" i="30"/>
  <c r="G37" i="30"/>
  <c r="G34" i="30"/>
  <c r="G29" i="30"/>
  <c r="G4" i="30"/>
  <c r="G5" i="30"/>
  <c r="G6" i="30"/>
  <c r="G7" i="30"/>
  <c r="G8" i="30"/>
  <c r="G9" i="30"/>
  <c r="F10" i="30"/>
  <c r="F11" i="30"/>
  <c r="F12" i="30"/>
  <c r="F13" i="30"/>
  <c r="F14" i="30"/>
  <c r="F15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30" i="30"/>
  <c r="F31" i="30"/>
  <c r="F32" i="30"/>
  <c r="F33" i="30"/>
  <c r="F35" i="30"/>
  <c r="F36" i="30"/>
  <c r="F37" i="30"/>
  <c r="F34" i="30"/>
  <c r="F29" i="30"/>
  <c r="F4" i="30"/>
  <c r="F5" i="30"/>
  <c r="F6" i="30"/>
  <c r="F7" i="30"/>
  <c r="F8" i="30"/>
  <c r="F9" i="30"/>
  <c r="F16" i="30"/>
  <c r="K25" i="30"/>
  <c r="L25" i="30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43" i="27"/>
  <c r="D44" i="27"/>
  <c r="D45" i="27"/>
  <c r="D46" i="27"/>
  <c r="D47" i="27"/>
  <c r="D48" i="27"/>
  <c r="D42" i="27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42" i="26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43" i="25"/>
  <c r="D43" i="24"/>
  <c r="D44" i="24"/>
  <c r="D45" i="24"/>
  <c r="D46" i="24"/>
  <c r="D47" i="24"/>
  <c r="D48" i="24"/>
  <c r="D49" i="24"/>
  <c r="D50" i="24"/>
  <c r="D51" i="24"/>
  <c r="D52" i="24"/>
  <c r="D53" i="24"/>
  <c r="D54" i="24"/>
  <c r="B54" i="24" s="1"/>
  <c r="D55" i="24"/>
  <c r="D56" i="24"/>
  <c r="D57" i="24"/>
  <c r="D58" i="24"/>
  <c r="D59" i="24"/>
  <c r="D60" i="24"/>
  <c r="D61" i="24"/>
  <c r="D62" i="24"/>
  <c r="D63" i="24"/>
  <c r="D42" i="24"/>
  <c r="D43" i="20"/>
  <c r="D44" i="20"/>
  <c r="D45" i="20"/>
  <c r="D46" i="20"/>
  <c r="D47" i="20"/>
  <c r="D48" i="20"/>
  <c r="D49" i="20"/>
  <c r="C49" i="20" s="1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42" i="20"/>
  <c r="D43" i="22"/>
  <c r="D44" i="22"/>
  <c r="D45" i="22"/>
  <c r="D46" i="22"/>
  <c r="D47" i="22"/>
  <c r="D48" i="22"/>
  <c r="D50" i="22"/>
  <c r="D51" i="22"/>
  <c r="D52" i="22"/>
  <c r="D53" i="22"/>
  <c r="D54" i="22"/>
  <c r="D55" i="22"/>
  <c r="D57" i="22"/>
  <c r="D59" i="22"/>
  <c r="D61" i="22"/>
  <c r="D62" i="22"/>
  <c r="D24" i="31"/>
  <c r="D63" i="22" s="1"/>
  <c r="E24" i="31"/>
  <c r="G24" i="31"/>
  <c r="E63" i="23" s="1"/>
  <c r="H24" i="31"/>
  <c r="I24" i="31"/>
  <c r="J24" i="31"/>
  <c r="K24" i="31"/>
  <c r="E63" i="24" s="1"/>
  <c r="L24" i="31"/>
  <c r="M24" i="31"/>
  <c r="N24" i="31"/>
  <c r="O24" i="31"/>
  <c r="P24" i="31"/>
  <c r="Q24" i="31"/>
  <c r="D21" i="31"/>
  <c r="D60" i="22" s="1"/>
  <c r="E21" i="31"/>
  <c r="G21" i="31"/>
  <c r="E60" i="23" s="1"/>
  <c r="H21" i="31"/>
  <c r="I21" i="31"/>
  <c r="J21" i="31"/>
  <c r="K21" i="31"/>
  <c r="E60" i="24" s="1"/>
  <c r="L21" i="31"/>
  <c r="M21" i="31"/>
  <c r="E61" i="25" s="1"/>
  <c r="N21" i="31"/>
  <c r="O21" i="31"/>
  <c r="P21" i="31"/>
  <c r="Q21" i="31"/>
  <c r="E60" i="27" s="1"/>
  <c r="D19" i="31"/>
  <c r="D58" i="22" s="1"/>
  <c r="E19" i="31"/>
  <c r="G19" i="31"/>
  <c r="E58" i="23" s="1"/>
  <c r="H19" i="31"/>
  <c r="I19" i="31"/>
  <c r="J19" i="31"/>
  <c r="K19" i="31"/>
  <c r="E58" i="24" s="1"/>
  <c r="L19" i="31"/>
  <c r="M19" i="31"/>
  <c r="N19" i="31"/>
  <c r="O19" i="31"/>
  <c r="E58" i="26" s="1"/>
  <c r="P19" i="31"/>
  <c r="Q19" i="31"/>
  <c r="D17" i="31"/>
  <c r="D56" i="22" s="1"/>
  <c r="E17" i="31"/>
  <c r="G17" i="31"/>
  <c r="E56" i="23" s="1"/>
  <c r="H17" i="31"/>
  <c r="I17" i="31"/>
  <c r="E56" i="20" s="1"/>
  <c r="J17" i="31"/>
  <c r="K17" i="31"/>
  <c r="L17" i="31"/>
  <c r="M17" i="31"/>
  <c r="E57" i="25" s="1"/>
  <c r="N17" i="31"/>
  <c r="O17" i="31"/>
  <c r="E56" i="26" s="1"/>
  <c r="P17" i="31"/>
  <c r="Q17" i="31"/>
  <c r="E56" i="27" s="1"/>
  <c r="D10" i="31"/>
  <c r="E10" i="31"/>
  <c r="G10" i="31"/>
  <c r="E49" i="23" s="1"/>
  <c r="H10" i="31"/>
  <c r="I10" i="31"/>
  <c r="J10" i="31"/>
  <c r="K10" i="31"/>
  <c r="E49" i="24" s="1"/>
  <c r="L10" i="31"/>
  <c r="M10" i="31"/>
  <c r="N10" i="31"/>
  <c r="O10" i="31"/>
  <c r="P10" i="31"/>
  <c r="Q10" i="31"/>
  <c r="B21" i="31"/>
  <c r="B19" i="31"/>
  <c r="B17" i="31"/>
  <c r="B10" i="31"/>
  <c r="D43" i="21"/>
  <c r="D44" i="21"/>
  <c r="D45" i="21"/>
  <c r="D46" i="21"/>
  <c r="D47" i="21"/>
  <c r="D48" i="21"/>
  <c r="D50" i="21"/>
  <c r="D51" i="21"/>
  <c r="D52" i="21"/>
  <c r="D53" i="21"/>
  <c r="D54" i="21"/>
  <c r="D55" i="21"/>
  <c r="D57" i="21"/>
  <c r="D59" i="21"/>
  <c r="D61" i="21"/>
  <c r="D62" i="21"/>
  <c r="E42" i="21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7" i="27"/>
  <c r="E58" i="27"/>
  <c r="E59" i="27"/>
  <c r="E61" i="27"/>
  <c r="E62" i="27"/>
  <c r="E63" i="27"/>
  <c r="E43" i="26"/>
  <c r="E44" i="26"/>
  <c r="E45" i="26"/>
  <c r="E46" i="26"/>
  <c r="E47" i="26"/>
  <c r="E48" i="26"/>
  <c r="E50" i="26"/>
  <c r="E51" i="26"/>
  <c r="E52" i="26"/>
  <c r="E53" i="26"/>
  <c r="E54" i="26"/>
  <c r="E55" i="26"/>
  <c r="E57" i="26"/>
  <c r="E59" i="26"/>
  <c r="E60" i="26"/>
  <c r="E61" i="26"/>
  <c r="E62" i="26"/>
  <c r="E42" i="26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8" i="25"/>
  <c r="E59" i="25"/>
  <c r="E60" i="25"/>
  <c r="E62" i="25"/>
  <c r="E63" i="25"/>
  <c r="E64" i="25"/>
  <c r="E43" i="25"/>
  <c r="E43" i="24"/>
  <c r="E44" i="24"/>
  <c r="E45" i="24"/>
  <c r="E46" i="24"/>
  <c r="E47" i="24"/>
  <c r="E48" i="24"/>
  <c r="E50" i="24"/>
  <c r="E51" i="24"/>
  <c r="E52" i="24"/>
  <c r="E53" i="24"/>
  <c r="E54" i="24"/>
  <c r="E55" i="24"/>
  <c r="E56" i="24"/>
  <c r="E57" i="24"/>
  <c r="E59" i="24"/>
  <c r="E61" i="24"/>
  <c r="E62" i="24"/>
  <c r="E42" i="24"/>
  <c r="E42" i="20"/>
  <c r="E63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7" i="20"/>
  <c r="E58" i="20"/>
  <c r="E59" i="20"/>
  <c r="E60" i="20"/>
  <c r="E61" i="20"/>
  <c r="E62" i="20"/>
  <c r="E50" i="23"/>
  <c r="E51" i="23"/>
  <c r="E52" i="23"/>
  <c r="E53" i="23"/>
  <c r="E54" i="23"/>
  <c r="E55" i="23"/>
  <c r="E57" i="23"/>
  <c r="E59" i="23"/>
  <c r="E61" i="23"/>
  <c r="E62" i="23"/>
  <c r="E43" i="23"/>
  <c r="E44" i="23"/>
  <c r="E45" i="23"/>
  <c r="E46" i="23"/>
  <c r="E47" i="23"/>
  <c r="E48" i="23"/>
  <c r="E42" i="23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43" i="22"/>
  <c r="E44" i="22"/>
  <c r="E45" i="22"/>
  <c r="E46" i="22"/>
  <c r="E47" i="22"/>
  <c r="E48" i="22"/>
  <c r="E42" i="22"/>
  <c r="C19" i="31"/>
  <c r="C24" i="31"/>
  <c r="E50" i="21"/>
  <c r="E51" i="21"/>
  <c r="E52" i="21"/>
  <c r="E53" i="21"/>
  <c r="E54" i="21"/>
  <c r="E55" i="21"/>
  <c r="E57" i="21"/>
  <c r="E59" i="21"/>
  <c r="E61" i="21"/>
  <c r="E62" i="21"/>
  <c r="E43" i="21"/>
  <c r="E44" i="21"/>
  <c r="E45" i="21"/>
  <c r="E46" i="21"/>
  <c r="E47" i="21"/>
  <c r="E48" i="21"/>
  <c r="H24" i="27"/>
  <c r="J24" i="27"/>
  <c r="H25" i="27"/>
  <c r="J25" i="27"/>
  <c r="H26" i="27"/>
  <c r="J26" i="27"/>
  <c r="H27" i="27"/>
  <c r="J27" i="27"/>
  <c r="H28" i="27"/>
  <c r="J28" i="27"/>
  <c r="H29" i="27"/>
  <c r="J29" i="27"/>
  <c r="H30" i="27"/>
  <c r="J30" i="27"/>
  <c r="H31" i="27"/>
  <c r="J31" i="27"/>
  <c r="H38" i="27"/>
  <c r="J38" i="27"/>
  <c r="J31" i="26"/>
  <c r="J32" i="26"/>
  <c r="J33" i="26"/>
  <c r="J34" i="26"/>
  <c r="J35" i="26"/>
  <c r="J36" i="26"/>
  <c r="J37" i="26"/>
  <c r="J38" i="26"/>
  <c r="J30" i="26"/>
  <c r="H25" i="26"/>
  <c r="G14" i="36" l="1"/>
  <c r="H14" i="36" s="1"/>
  <c r="I14" i="36" s="1"/>
  <c r="G40" i="36"/>
  <c r="P42" i="36"/>
  <c r="Q42" i="36" s="1"/>
  <c r="O38" i="36"/>
  <c r="P38" i="36" s="1"/>
  <c r="Q38" i="36" s="1"/>
  <c r="P53" i="36"/>
  <c r="S35" i="36"/>
  <c r="T35" i="36" s="1"/>
  <c r="U35" i="36" s="1"/>
  <c r="S32" i="36"/>
  <c r="S54" i="36" s="1"/>
  <c r="S28" i="36"/>
  <c r="T28" i="36" s="1"/>
  <c r="U28" i="36" s="1"/>
  <c r="O40" i="36"/>
  <c r="P40" i="36" s="1"/>
  <c r="Q40" i="36" s="1"/>
  <c r="S22" i="36"/>
  <c r="T22" i="36" s="1"/>
  <c r="U22" i="36" s="1"/>
  <c r="R61" i="36"/>
  <c r="O9" i="36"/>
  <c r="P9" i="36" s="1"/>
  <c r="Q9" i="36" s="1"/>
  <c r="O22" i="36"/>
  <c r="P11" i="36"/>
  <c r="Q11" i="36" s="1"/>
  <c r="S10" i="36"/>
  <c r="T10" i="36" s="1"/>
  <c r="U10" i="36" s="1"/>
  <c r="S11" i="36"/>
  <c r="T11" i="36" s="1"/>
  <c r="O34" i="36"/>
  <c r="P34" i="36" s="1"/>
  <c r="S15" i="36"/>
  <c r="T15" i="36" s="1"/>
  <c r="U15" i="36" s="1"/>
  <c r="N61" i="36"/>
  <c r="Q28" i="36"/>
  <c r="T33" i="36"/>
  <c r="S55" i="36"/>
  <c r="T19" i="36"/>
  <c r="U19" i="36" s="1"/>
  <c r="U11" i="36"/>
  <c r="O17" i="36"/>
  <c r="P17" i="36" s="1"/>
  <c r="Q17" i="36" s="1"/>
  <c r="G43" i="36"/>
  <c r="H43" i="36" s="1"/>
  <c r="I43" i="36" s="1"/>
  <c r="S43" i="36"/>
  <c r="T43" i="36" s="1"/>
  <c r="U43" i="36" s="1"/>
  <c r="T58" i="36"/>
  <c r="U26" i="36"/>
  <c r="S7" i="36"/>
  <c r="T7" i="36" s="1"/>
  <c r="U7" i="36" s="1"/>
  <c r="O5" i="36"/>
  <c r="S29" i="36"/>
  <c r="T29" i="36" s="1"/>
  <c r="U29" i="36" s="1"/>
  <c r="O13" i="36"/>
  <c r="P13" i="36" s="1"/>
  <c r="Q13" i="36" s="1"/>
  <c r="S13" i="36"/>
  <c r="T13" i="36" s="1"/>
  <c r="U13" i="36" s="1"/>
  <c r="O20" i="36"/>
  <c r="P20" i="36" s="1"/>
  <c r="Q20" i="36" s="1"/>
  <c r="S18" i="36"/>
  <c r="T18" i="36" s="1"/>
  <c r="U18" i="36" s="1"/>
  <c r="S40" i="36"/>
  <c r="O33" i="36"/>
  <c r="O14" i="36"/>
  <c r="P14" i="36" s="1"/>
  <c r="Q14" i="36" s="1"/>
  <c r="S25" i="36"/>
  <c r="T25" i="36" s="1"/>
  <c r="U25" i="36" s="1"/>
  <c r="O12" i="36"/>
  <c r="P12" i="36" s="1"/>
  <c r="Q12" i="36" s="1"/>
  <c r="S5" i="36"/>
  <c r="S17" i="36"/>
  <c r="T17" i="36" s="1"/>
  <c r="U17" i="36" s="1"/>
  <c r="K39" i="36"/>
  <c r="L39" i="36" s="1"/>
  <c r="M39" i="36" s="1"/>
  <c r="O39" i="36"/>
  <c r="O23" i="36"/>
  <c r="P23" i="36" s="1"/>
  <c r="Q23" i="36" s="1"/>
  <c r="O18" i="36"/>
  <c r="P18" i="36" s="1"/>
  <c r="Q18" i="36" s="1"/>
  <c r="O24" i="36"/>
  <c r="P24" i="36" s="1"/>
  <c r="Q24" i="36" s="1"/>
  <c r="S23" i="36"/>
  <c r="O7" i="36"/>
  <c r="P7" i="36" s="1"/>
  <c r="Q7" i="36" s="1"/>
  <c r="G16" i="36"/>
  <c r="H16" i="36" s="1"/>
  <c r="I16" i="36" s="1"/>
  <c r="S16" i="36"/>
  <c r="T16" i="36" s="1"/>
  <c r="U16" i="36" s="1"/>
  <c r="G8" i="36"/>
  <c r="H8" i="36" s="1"/>
  <c r="I8" i="36" s="1"/>
  <c r="O8" i="36"/>
  <c r="P8" i="36" s="1"/>
  <c r="Q8" i="36" s="1"/>
  <c r="S36" i="36"/>
  <c r="T36" i="36" s="1"/>
  <c r="U36" i="36" s="1"/>
  <c r="S14" i="36"/>
  <c r="T14" i="36" s="1"/>
  <c r="U14" i="36" s="1"/>
  <c r="T53" i="36"/>
  <c r="U31" i="36"/>
  <c r="S12" i="36"/>
  <c r="T12" i="36" s="1"/>
  <c r="U12" i="36" s="1"/>
  <c r="O16" i="36"/>
  <c r="P16" i="36" s="1"/>
  <c r="Q16" i="36" s="1"/>
  <c r="P22" i="36"/>
  <c r="T59" i="36"/>
  <c r="S59" i="36"/>
  <c r="P10" i="36"/>
  <c r="S34" i="36"/>
  <c r="T34" i="36" s="1"/>
  <c r="O32" i="36"/>
  <c r="S20" i="36"/>
  <c r="T20" i="36" s="1"/>
  <c r="U20" i="36" s="1"/>
  <c r="O29" i="36"/>
  <c r="P29" i="36" s="1"/>
  <c r="Q29" i="36" s="1"/>
  <c r="O37" i="36"/>
  <c r="P37" i="36" s="1"/>
  <c r="Q37" i="36" s="1"/>
  <c r="K23" i="36"/>
  <c r="L23" i="36" s="1"/>
  <c r="M23" i="36" s="1"/>
  <c r="K13" i="36"/>
  <c r="L13" i="36" s="1"/>
  <c r="M13" i="36" s="1"/>
  <c r="K32" i="36"/>
  <c r="K54" i="36" s="1"/>
  <c r="K22" i="36"/>
  <c r="L22" i="36" s="1"/>
  <c r="M22" i="36" s="1"/>
  <c r="K7" i="36"/>
  <c r="L7" i="36" s="1"/>
  <c r="M7" i="36" s="1"/>
  <c r="K8" i="36"/>
  <c r="L59" i="36"/>
  <c r="K59" i="36"/>
  <c r="L26" i="36"/>
  <c r="M26" i="36" s="1"/>
  <c r="G35" i="36"/>
  <c r="H35" i="36" s="1"/>
  <c r="I35" i="36" s="1"/>
  <c r="G38" i="36"/>
  <c r="H38" i="36" s="1"/>
  <c r="I38" i="36" s="1"/>
  <c r="K38" i="36"/>
  <c r="L38" i="36" s="1"/>
  <c r="M38" i="36" s="1"/>
  <c r="H42" i="36"/>
  <c r="I42" i="36" s="1"/>
  <c r="L42" i="36"/>
  <c r="K20" i="36"/>
  <c r="L20" i="36" s="1"/>
  <c r="M20" i="36" s="1"/>
  <c r="K35" i="36"/>
  <c r="L35" i="36" s="1"/>
  <c r="M35" i="36" s="1"/>
  <c r="K29" i="36"/>
  <c r="K40" i="36"/>
  <c r="K25" i="36"/>
  <c r="L25" i="36" s="1"/>
  <c r="M25" i="36" s="1"/>
  <c r="G9" i="36"/>
  <c r="H9" i="36" s="1"/>
  <c r="I9" i="36" s="1"/>
  <c r="K9" i="36"/>
  <c r="L9" i="36" s="1"/>
  <c r="M9" i="36" s="1"/>
  <c r="G15" i="36"/>
  <c r="H15" i="36" s="1"/>
  <c r="I15" i="36" s="1"/>
  <c r="K15" i="36"/>
  <c r="L15" i="36" s="1"/>
  <c r="M15" i="36" s="1"/>
  <c r="K34" i="36"/>
  <c r="L11" i="36"/>
  <c r="M11" i="36" s="1"/>
  <c r="L31" i="36"/>
  <c r="M31" i="36" s="1"/>
  <c r="L14" i="36"/>
  <c r="G28" i="36"/>
  <c r="H28" i="36" s="1"/>
  <c r="K28" i="36"/>
  <c r="G10" i="36"/>
  <c r="H10" i="36" s="1"/>
  <c r="K10" i="36"/>
  <c r="L10" i="36" s="1"/>
  <c r="M10" i="36" s="1"/>
  <c r="G39" i="36"/>
  <c r="L12" i="36"/>
  <c r="M12" i="36" s="1"/>
  <c r="G24" i="36"/>
  <c r="G51" i="36" s="1"/>
  <c r="K24" i="36"/>
  <c r="L24" i="36" s="1"/>
  <c r="J61" i="36"/>
  <c r="K17" i="36"/>
  <c r="L17" i="36" s="1"/>
  <c r="M17" i="36" s="1"/>
  <c r="K18" i="36"/>
  <c r="L18" i="36" s="1"/>
  <c r="M18" i="36" s="1"/>
  <c r="G33" i="36"/>
  <c r="H33" i="36" s="1"/>
  <c r="K33" i="36"/>
  <c r="L27" i="36"/>
  <c r="M27" i="36" s="1"/>
  <c r="F61" i="36"/>
  <c r="H58" i="36"/>
  <c r="G37" i="36"/>
  <c r="H37" i="36" s="1"/>
  <c r="I37" i="36" s="1"/>
  <c r="H22" i="36"/>
  <c r="H32" i="36"/>
  <c r="G54" i="36"/>
  <c r="H34" i="36"/>
  <c r="I34" i="36" s="1"/>
  <c r="H40" i="36"/>
  <c r="H30" i="36"/>
  <c r="G53" i="36"/>
  <c r="H59" i="36"/>
  <c r="G59" i="36"/>
  <c r="I25" i="31"/>
  <c r="H25" i="31"/>
  <c r="J25" i="31"/>
  <c r="E25" i="31"/>
  <c r="L25" i="31"/>
  <c r="J40" i="25"/>
  <c r="H40" i="25"/>
  <c r="F42" i="26"/>
  <c r="M25" i="31"/>
  <c r="D25" i="31"/>
  <c r="D49" i="22"/>
  <c r="K25" i="31"/>
  <c r="G25" i="31"/>
  <c r="M42" i="36" l="1"/>
  <c r="L45" i="36"/>
  <c r="S52" i="36"/>
  <c r="G66" i="36"/>
  <c r="T32" i="36"/>
  <c r="T54" i="36" s="1"/>
  <c r="T52" i="36"/>
  <c r="K66" i="36"/>
  <c r="P39" i="36"/>
  <c r="Q39" i="36" s="1"/>
  <c r="O66" i="36"/>
  <c r="O55" i="36"/>
  <c r="P33" i="36"/>
  <c r="S50" i="36"/>
  <c r="S57" i="36"/>
  <c r="T40" i="36"/>
  <c r="P5" i="36"/>
  <c r="Q5" i="36" s="1"/>
  <c r="O68" i="36"/>
  <c r="T50" i="36"/>
  <c r="O51" i="36"/>
  <c r="O50" i="36"/>
  <c r="O57" i="36"/>
  <c r="P43" i="36"/>
  <c r="S66" i="36"/>
  <c r="O54" i="36"/>
  <c r="P32" i="36"/>
  <c r="Q22" i="36"/>
  <c r="P51" i="36"/>
  <c r="U34" i="36"/>
  <c r="T56" i="36"/>
  <c r="S56" i="36"/>
  <c r="O52" i="36"/>
  <c r="T23" i="36"/>
  <c r="S51" i="36"/>
  <c r="T5" i="36"/>
  <c r="S68" i="36"/>
  <c r="Q34" i="36"/>
  <c r="U32" i="36"/>
  <c r="T55" i="36"/>
  <c r="U33" i="36"/>
  <c r="Q10" i="36"/>
  <c r="P50" i="36"/>
  <c r="O56" i="36"/>
  <c r="P52" i="36"/>
  <c r="G56" i="36"/>
  <c r="L29" i="36"/>
  <c r="M29" i="36" s="1"/>
  <c r="K65" i="36"/>
  <c r="G52" i="36"/>
  <c r="G50" i="36"/>
  <c r="L32" i="36"/>
  <c r="L51" i="36"/>
  <c r="M24" i="36"/>
  <c r="L50" i="36"/>
  <c r="M14" i="36"/>
  <c r="L8" i="36"/>
  <c r="M8" i="36" s="1"/>
  <c r="K68" i="36"/>
  <c r="G68" i="36"/>
  <c r="G57" i="36"/>
  <c r="G55" i="36"/>
  <c r="H39" i="36"/>
  <c r="I39" i="36" s="1"/>
  <c r="K57" i="36"/>
  <c r="L40" i="36"/>
  <c r="K53" i="36"/>
  <c r="L30" i="36"/>
  <c r="K56" i="36"/>
  <c r="L34" i="36"/>
  <c r="L58" i="36"/>
  <c r="K51" i="36"/>
  <c r="K52" i="36"/>
  <c r="L28" i="36"/>
  <c r="K58" i="36"/>
  <c r="K50" i="36"/>
  <c r="H24" i="36"/>
  <c r="I24" i="36" s="1"/>
  <c r="G65" i="36"/>
  <c r="L33" i="36"/>
  <c r="K55" i="36"/>
  <c r="H57" i="36"/>
  <c r="I40" i="36"/>
  <c r="H52" i="36"/>
  <c r="I28" i="36"/>
  <c r="H54" i="36"/>
  <c r="I32" i="36"/>
  <c r="H50" i="36"/>
  <c r="I10" i="36"/>
  <c r="I22" i="36"/>
  <c r="H55" i="36"/>
  <c r="I33" i="36"/>
  <c r="H53" i="36"/>
  <c r="I30" i="36"/>
  <c r="F39" i="20"/>
  <c r="G39" i="20"/>
  <c r="H35" i="24"/>
  <c r="J35" i="24"/>
  <c r="H36" i="24"/>
  <c r="K36" i="24" s="1"/>
  <c r="J36" i="24"/>
  <c r="H37" i="24"/>
  <c r="K37" i="24" s="1"/>
  <c r="J37" i="24"/>
  <c r="H38" i="24"/>
  <c r="K38" i="24" s="1"/>
  <c r="J38" i="24"/>
  <c r="J38" i="20"/>
  <c r="J39" i="20" s="1"/>
  <c r="H10" i="21"/>
  <c r="H30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H38" i="21"/>
  <c r="J38" i="21"/>
  <c r="F39" i="22"/>
  <c r="H38" i="22"/>
  <c r="J38" i="22"/>
  <c r="G39" i="22"/>
  <c r="H35" i="22"/>
  <c r="H39" i="22" s="1"/>
  <c r="J35" i="22"/>
  <c r="J39" i="22" s="1"/>
  <c r="H36" i="22"/>
  <c r="J36" i="22"/>
  <c r="H37" i="22"/>
  <c r="J37" i="22"/>
  <c r="G39" i="23"/>
  <c r="F39" i="23"/>
  <c r="H56" i="36" l="1"/>
  <c r="P56" i="36"/>
  <c r="T57" i="36"/>
  <c r="U40" i="36"/>
  <c r="P57" i="36"/>
  <c r="Q43" i="36"/>
  <c r="P55" i="36"/>
  <c r="Q33" i="36"/>
  <c r="U5" i="36"/>
  <c r="Q32" i="36"/>
  <c r="P54" i="36"/>
  <c r="T51" i="36"/>
  <c r="U23" i="36"/>
  <c r="L55" i="36"/>
  <c r="M33" i="36"/>
  <c r="L54" i="36"/>
  <c r="M32" i="36"/>
  <c r="L53" i="36"/>
  <c r="M30" i="36"/>
  <c r="L56" i="36"/>
  <c r="M34" i="36"/>
  <c r="L52" i="36"/>
  <c r="M28" i="36"/>
  <c r="L57" i="36"/>
  <c r="M40" i="36"/>
  <c r="H51" i="36"/>
  <c r="H39" i="24"/>
  <c r="K35" i="24"/>
  <c r="K39" i="24" s="1"/>
  <c r="J39" i="24"/>
  <c r="H39" i="20"/>
  <c r="H39" i="23"/>
  <c r="C17" i="31"/>
  <c r="E56" i="21" s="1"/>
  <c r="E58" i="21"/>
  <c r="C21" i="31"/>
  <c r="E60" i="21" s="1"/>
  <c r="C10" i="31"/>
  <c r="B2" i="34"/>
  <c r="E37" i="33"/>
  <c r="F37" i="33"/>
  <c r="G37" i="33"/>
  <c r="H37" i="33"/>
  <c r="I37" i="33"/>
  <c r="J37" i="33"/>
  <c r="K37" i="33"/>
  <c r="L37" i="33"/>
  <c r="L30" i="33"/>
  <c r="K30" i="33"/>
  <c r="J30" i="33"/>
  <c r="I30" i="33"/>
  <c r="H30" i="33"/>
  <c r="B2" i="33"/>
  <c r="F133" i="15"/>
  <c r="F2230" i="15"/>
  <c r="F4440" i="15"/>
  <c r="F4443" i="15"/>
  <c r="F4444" i="15"/>
  <c r="F4445" i="15"/>
  <c r="F4446" i="15"/>
  <c r="F4449" i="15"/>
  <c r="C49" i="27"/>
  <c r="C56" i="27"/>
  <c r="C56" i="26"/>
  <c r="C56" i="24"/>
  <c r="C57" i="25"/>
  <c r="C56" i="22"/>
  <c r="C56" i="20"/>
  <c r="B59" i="21"/>
  <c r="B61" i="21"/>
  <c r="C59" i="21"/>
  <c r="C61" i="21"/>
  <c r="C49" i="24"/>
  <c r="C50" i="25"/>
  <c r="C49" i="26"/>
  <c r="B50" i="26"/>
  <c r="B51" i="26"/>
  <c r="C62" i="27"/>
  <c r="B62" i="27"/>
  <c r="C61" i="27"/>
  <c r="B61" i="27"/>
  <c r="C59" i="27"/>
  <c r="C60" i="27" s="1"/>
  <c r="B59" i="27"/>
  <c r="B60" i="27" s="1"/>
  <c r="C57" i="27"/>
  <c r="C58" i="27" s="1"/>
  <c r="B57" i="27"/>
  <c r="B58" i="27" s="1"/>
  <c r="C55" i="27"/>
  <c r="B55" i="27"/>
  <c r="C54" i="27"/>
  <c r="B54" i="27"/>
  <c r="C53" i="27"/>
  <c r="B53" i="27"/>
  <c r="C52" i="27"/>
  <c r="B52" i="27"/>
  <c r="C51" i="27"/>
  <c r="B51" i="27"/>
  <c r="C50" i="27"/>
  <c r="B50" i="27"/>
  <c r="C48" i="27"/>
  <c r="B48" i="27"/>
  <c r="C47" i="27"/>
  <c r="B47" i="27"/>
  <c r="C46" i="27"/>
  <c r="B46" i="27"/>
  <c r="C45" i="27"/>
  <c r="B45" i="27"/>
  <c r="C44" i="27"/>
  <c r="B44" i="27"/>
  <c r="C43" i="27"/>
  <c r="B43" i="27"/>
  <c r="C42" i="27"/>
  <c r="B42" i="27"/>
  <c r="C62" i="26"/>
  <c r="B62" i="26"/>
  <c r="C61" i="26"/>
  <c r="B61" i="26"/>
  <c r="C59" i="26"/>
  <c r="C60" i="26" s="1"/>
  <c r="B59" i="26"/>
  <c r="B60" i="26" s="1"/>
  <c r="C57" i="26"/>
  <c r="C58" i="26" s="1"/>
  <c r="B57" i="26"/>
  <c r="B58" i="26" s="1"/>
  <c r="C55" i="26"/>
  <c r="B55" i="26"/>
  <c r="C54" i="26"/>
  <c r="B54" i="26"/>
  <c r="C53" i="26"/>
  <c r="B53" i="26"/>
  <c r="C52" i="26"/>
  <c r="B52" i="26"/>
  <c r="C51" i="26"/>
  <c r="C50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C42" i="26"/>
  <c r="B42" i="26"/>
  <c r="C63" i="25"/>
  <c r="B63" i="25"/>
  <c r="C62" i="25"/>
  <c r="B62" i="25"/>
  <c r="C60" i="25"/>
  <c r="C61" i="25" s="1"/>
  <c r="B60" i="25"/>
  <c r="B61" i="25" s="1"/>
  <c r="C58" i="25"/>
  <c r="C59" i="25" s="1"/>
  <c r="B58" i="25"/>
  <c r="B59" i="25" s="1"/>
  <c r="C56" i="25"/>
  <c r="B56" i="25"/>
  <c r="C55" i="25"/>
  <c r="B55" i="25"/>
  <c r="C54" i="25"/>
  <c r="B54" i="25"/>
  <c r="C53" i="25"/>
  <c r="B53" i="25"/>
  <c r="C52" i="25"/>
  <c r="B52" i="25"/>
  <c r="C51" i="25"/>
  <c r="B51" i="25"/>
  <c r="C49" i="25"/>
  <c r="B49" i="25"/>
  <c r="C48" i="25"/>
  <c r="B48" i="25"/>
  <c r="C47" i="25"/>
  <c r="B47" i="25"/>
  <c r="C46" i="25"/>
  <c r="B46" i="25"/>
  <c r="C45" i="25"/>
  <c r="B45" i="25"/>
  <c r="C44" i="25"/>
  <c r="B44" i="25"/>
  <c r="C43" i="25"/>
  <c r="B43" i="25"/>
  <c r="C62" i="24"/>
  <c r="B62" i="24"/>
  <c r="C61" i="24"/>
  <c r="B61" i="24"/>
  <c r="C59" i="24"/>
  <c r="C60" i="24" s="1"/>
  <c r="B59" i="24"/>
  <c r="B60" i="24" s="1"/>
  <c r="C57" i="24"/>
  <c r="C58" i="24" s="1"/>
  <c r="B57" i="24"/>
  <c r="B58" i="24" s="1"/>
  <c r="C55" i="24"/>
  <c r="B55" i="24"/>
  <c r="C54" i="24"/>
  <c r="C53" i="24"/>
  <c r="B53" i="24"/>
  <c r="C52" i="24"/>
  <c r="B52" i="24"/>
  <c r="C51" i="24"/>
  <c r="B51" i="24"/>
  <c r="C50" i="24"/>
  <c r="B50" i="24"/>
  <c r="C48" i="24"/>
  <c r="B48" i="24"/>
  <c r="C47" i="24"/>
  <c r="B47" i="24"/>
  <c r="C46" i="24"/>
  <c r="B46" i="24"/>
  <c r="C45" i="24"/>
  <c r="B45" i="24"/>
  <c r="C44" i="24"/>
  <c r="B44" i="24"/>
  <c r="C43" i="24"/>
  <c r="B43" i="24"/>
  <c r="C42" i="24"/>
  <c r="B42" i="24"/>
  <c r="C62" i="20"/>
  <c r="B62" i="20"/>
  <c r="C61" i="20"/>
  <c r="B61" i="20"/>
  <c r="C59" i="20"/>
  <c r="C60" i="20" s="1"/>
  <c r="B59" i="20"/>
  <c r="B60" i="20" s="1"/>
  <c r="C57" i="20"/>
  <c r="C58" i="20" s="1"/>
  <c r="B57" i="20"/>
  <c r="B58" i="20" s="1"/>
  <c r="C55" i="20"/>
  <c r="B55" i="20"/>
  <c r="C54" i="20"/>
  <c r="B54" i="20"/>
  <c r="C53" i="20"/>
  <c r="B53" i="20"/>
  <c r="C52" i="20"/>
  <c r="B52" i="20"/>
  <c r="C51" i="20"/>
  <c r="B51" i="20"/>
  <c r="C50" i="20"/>
  <c r="B50" i="20"/>
  <c r="C48" i="20"/>
  <c r="B48" i="20"/>
  <c r="C47" i="20"/>
  <c r="B47" i="20"/>
  <c r="C46" i="20"/>
  <c r="B46" i="20"/>
  <c r="C45" i="20"/>
  <c r="B45" i="20"/>
  <c r="C44" i="20"/>
  <c r="B44" i="20"/>
  <c r="C43" i="20"/>
  <c r="B43" i="20"/>
  <c r="C42" i="20"/>
  <c r="B42" i="20"/>
  <c r="B61" i="22"/>
  <c r="B59" i="22"/>
  <c r="B60" i="22" s="1"/>
  <c r="B57" i="22"/>
  <c r="B58" i="22" s="1"/>
  <c r="B51" i="22"/>
  <c r="B52" i="22"/>
  <c r="B53" i="22"/>
  <c r="B54" i="22"/>
  <c r="B55" i="22"/>
  <c r="B50" i="22"/>
  <c r="B57" i="21"/>
  <c r="B51" i="21"/>
  <c r="B52" i="21"/>
  <c r="B53" i="21"/>
  <c r="B54" i="21"/>
  <c r="B55" i="21"/>
  <c r="B50" i="21"/>
  <c r="C57" i="21"/>
  <c r="C55" i="21"/>
  <c r="C54" i="21"/>
  <c r="C53" i="21"/>
  <c r="C52" i="21"/>
  <c r="C51" i="21"/>
  <c r="C50" i="21"/>
  <c r="C61" i="22"/>
  <c r="C59" i="22"/>
  <c r="C60" i="22" s="1"/>
  <c r="C57" i="22"/>
  <c r="C58" i="22" s="1"/>
  <c r="C55" i="22"/>
  <c r="C54" i="22"/>
  <c r="C53" i="22"/>
  <c r="C52" i="22"/>
  <c r="C51" i="22"/>
  <c r="C50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B43" i="21"/>
  <c r="C43" i="21"/>
  <c r="B44" i="21"/>
  <c r="C44" i="21"/>
  <c r="B45" i="21"/>
  <c r="C45" i="21"/>
  <c r="B46" i="21"/>
  <c r="C46" i="21"/>
  <c r="B47" i="21"/>
  <c r="C47" i="21"/>
  <c r="B48" i="21"/>
  <c r="C48" i="21"/>
  <c r="H5" i="26"/>
  <c r="H7" i="26"/>
  <c r="H18" i="26"/>
  <c r="H27" i="26"/>
  <c r="H29" i="26"/>
  <c r="H22" i="26"/>
  <c r="H23" i="26"/>
  <c r="E38" i="28"/>
  <c r="F38" i="28"/>
  <c r="G38" i="28"/>
  <c r="H38" i="28"/>
  <c r="I38" i="28"/>
  <c r="J38" i="28"/>
  <c r="K38" i="28"/>
  <c r="L38" i="28"/>
  <c r="E39" i="28"/>
  <c r="F39" i="28"/>
  <c r="G39" i="28"/>
  <c r="H39" i="28"/>
  <c r="I39" i="28"/>
  <c r="J39" i="28"/>
  <c r="K39" i="28"/>
  <c r="L39" i="28"/>
  <c r="F4447" i="15"/>
  <c r="F4448" i="15"/>
  <c r="A4442" i="15"/>
  <c r="B4442" i="15" s="1"/>
  <c r="A4450" i="15"/>
  <c r="D4450" i="15" s="1"/>
  <c r="A4451" i="15"/>
  <c r="D4451" i="15" s="1"/>
  <c r="A4441" i="15"/>
  <c r="B4441" i="15" s="1"/>
  <c r="E29" i="28"/>
  <c r="F29" i="28"/>
  <c r="G29" i="28"/>
  <c r="H29" i="28"/>
  <c r="I29" i="28"/>
  <c r="J29" i="28"/>
  <c r="K29" i="28"/>
  <c r="L29" i="28"/>
  <c r="B4451" i="15" l="1"/>
  <c r="C4450" i="15"/>
  <c r="F4450" i="15" s="1"/>
  <c r="C4451" i="15"/>
  <c r="F4451" i="15" s="1"/>
  <c r="E4441" i="15"/>
  <c r="B4450" i="15"/>
  <c r="E4451" i="15"/>
  <c r="E4450" i="15"/>
  <c r="D4441" i="15"/>
  <c r="C4441" i="15"/>
  <c r="F4441" i="15" s="1"/>
  <c r="L39" i="33"/>
  <c r="E49" i="21"/>
  <c r="C25" i="31"/>
  <c r="B49" i="27"/>
  <c r="P25" i="31"/>
  <c r="C63" i="27"/>
  <c r="C63" i="26"/>
  <c r="N25" i="31"/>
  <c r="B63" i="26"/>
  <c r="B56" i="26"/>
  <c r="B63" i="24"/>
  <c r="C63" i="24"/>
  <c r="J38" i="23"/>
  <c r="J39" i="23" s="1"/>
  <c r="B63" i="27"/>
  <c r="B56" i="27"/>
  <c r="B56" i="24"/>
  <c r="B57" i="25"/>
  <c r="B56" i="22"/>
  <c r="B56" i="20"/>
  <c r="B49" i="20"/>
  <c r="B49" i="24"/>
  <c r="B50" i="25"/>
  <c r="B49" i="26"/>
  <c r="D64" i="27"/>
  <c r="D64" i="26"/>
  <c r="B64" i="25"/>
  <c r="C64" i="25"/>
  <c r="D65" i="25"/>
  <c r="D64" i="24"/>
  <c r="B63" i="20"/>
  <c r="C63" i="20"/>
  <c r="D64" i="20"/>
  <c r="C4442" i="15"/>
  <c r="F4442" i="15" s="1"/>
  <c r="E4442" i="15"/>
  <c r="D4442" i="15"/>
  <c r="A4435" i="15"/>
  <c r="B4435" i="15" s="1"/>
  <c r="A4436" i="15"/>
  <c r="C4436" i="15" s="1"/>
  <c r="F4436" i="15" s="1"/>
  <c r="A4437" i="15"/>
  <c r="B4437" i="15" s="1"/>
  <c r="A4438" i="15"/>
  <c r="C4438" i="15" s="1"/>
  <c r="F4438" i="15" s="1"/>
  <c r="A4439" i="15"/>
  <c r="B4439" i="15" s="1"/>
  <c r="A4440" i="15"/>
  <c r="E23" i="28"/>
  <c r="F23" i="28"/>
  <c r="G23" i="28"/>
  <c r="H23" i="28"/>
  <c r="I23" i="28"/>
  <c r="J23" i="28"/>
  <c r="K23" i="28"/>
  <c r="L23" i="28"/>
  <c r="K29" i="30"/>
  <c r="L29" i="30"/>
  <c r="E20" i="28"/>
  <c r="F20" i="28"/>
  <c r="G20" i="28"/>
  <c r="H20" i="28"/>
  <c r="I20" i="28"/>
  <c r="J20" i="28"/>
  <c r="K20" i="28"/>
  <c r="L20" i="28"/>
  <c r="E35" i="28"/>
  <c r="F36" i="28"/>
  <c r="E37" i="28"/>
  <c r="F37" i="28"/>
  <c r="F35" i="28"/>
  <c r="K18" i="30"/>
  <c r="L18" i="30"/>
  <c r="K19" i="30"/>
  <c r="L19" i="30"/>
  <c r="K20" i="30"/>
  <c r="L20" i="30"/>
  <c r="K21" i="30"/>
  <c r="L21" i="30"/>
  <c r="K22" i="30"/>
  <c r="L22" i="30"/>
  <c r="K8" i="30"/>
  <c r="L8" i="30"/>
  <c r="K23" i="30"/>
  <c r="L23" i="30"/>
  <c r="K26" i="30"/>
  <c r="L26" i="30"/>
  <c r="K27" i="30"/>
  <c r="L27" i="30"/>
  <c r="K28" i="30"/>
  <c r="L28" i="30"/>
  <c r="K30" i="30"/>
  <c r="L30" i="30"/>
  <c r="K33" i="30"/>
  <c r="L33" i="30"/>
  <c r="K35" i="30"/>
  <c r="L35" i="30"/>
  <c r="K36" i="30"/>
  <c r="L36" i="30"/>
  <c r="K37" i="30"/>
  <c r="L37" i="30"/>
  <c r="K34" i="30"/>
  <c r="L34" i="30"/>
  <c r="K5" i="30"/>
  <c r="L5" i="30"/>
  <c r="K4" i="30"/>
  <c r="L4" i="30"/>
  <c r="K6" i="30"/>
  <c r="L6" i="30"/>
  <c r="K7" i="30"/>
  <c r="L7" i="30"/>
  <c r="K9" i="30"/>
  <c r="L9" i="30"/>
  <c r="K32" i="30"/>
  <c r="L32" i="30"/>
  <c r="K14" i="30"/>
  <c r="L14" i="30"/>
  <c r="K15" i="30"/>
  <c r="L15" i="30"/>
  <c r="K13" i="30"/>
  <c r="L13" i="30"/>
  <c r="K17" i="30"/>
  <c r="L17" i="30"/>
  <c r="K16" i="30"/>
  <c r="L16" i="30"/>
  <c r="K11" i="30"/>
  <c r="L11" i="30"/>
  <c r="K12" i="30"/>
  <c r="L12" i="30"/>
  <c r="K10" i="30"/>
  <c r="L10" i="30"/>
  <c r="K31" i="30"/>
  <c r="L31" i="30"/>
  <c r="L24" i="30"/>
  <c r="K24" i="30"/>
  <c r="B2" i="30"/>
  <c r="E26" i="28"/>
  <c r="F26" i="28"/>
  <c r="G26" i="28"/>
  <c r="H26" i="28"/>
  <c r="I26" i="28"/>
  <c r="J26" i="28"/>
  <c r="K26" i="28"/>
  <c r="L26" i="28"/>
  <c r="E5" i="28"/>
  <c r="F5" i="28"/>
  <c r="G5" i="28"/>
  <c r="H5" i="28"/>
  <c r="I5" i="28"/>
  <c r="J5" i="28"/>
  <c r="K5" i="28"/>
  <c r="L5" i="28"/>
  <c r="A1144" i="15"/>
  <c r="B1144" i="15" s="1"/>
  <c r="A1307" i="15"/>
  <c r="A4434" i="15"/>
  <c r="A2230" i="15"/>
  <c r="A1306" i="15"/>
  <c r="A2" i="15"/>
  <c r="A3" i="15"/>
  <c r="A4" i="15"/>
  <c r="A5" i="15"/>
  <c r="C5" i="15" s="1"/>
  <c r="F5" i="15" s="1"/>
  <c r="A6" i="15"/>
  <c r="A7" i="15"/>
  <c r="A8" i="15"/>
  <c r="A9" i="15"/>
  <c r="C9" i="15" s="1"/>
  <c r="F9" i="15" s="1"/>
  <c r="A10" i="15"/>
  <c r="A11" i="15"/>
  <c r="A12" i="15"/>
  <c r="A13" i="15"/>
  <c r="A14" i="15"/>
  <c r="A15" i="15"/>
  <c r="A16" i="15"/>
  <c r="A17" i="15"/>
  <c r="C17" i="15" s="1"/>
  <c r="F17" i="15" s="1"/>
  <c r="A18" i="15"/>
  <c r="A19" i="15"/>
  <c r="A20" i="15"/>
  <c r="E20" i="15" s="1"/>
  <c r="A21" i="15"/>
  <c r="A22" i="15"/>
  <c r="A23" i="15"/>
  <c r="A24" i="15"/>
  <c r="A25" i="15"/>
  <c r="B25" i="15" s="1"/>
  <c r="A26" i="15"/>
  <c r="C26" i="15" s="1"/>
  <c r="F26" i="15" s="1"/>
  <c r="A27" i="15"/>
  <c r="A28" i="15"/>
  <c r="A29" i="15"/>
  <c r="A30" i="15"/>
  <c r="A31" i="15"/>
  <c r="C31" i="15" s="1"/>
  <c r="F31" i="15" s="1"/>
  <c r="A32" i="15"/>
  <c r="A33" i="15"/>
  <c r="A34" i="15"/>
  <c r="A35" i="15"/>
  <c r="A36" i="15"/>
  <c r="A37" i="15"/>
  <c r="A38" i="15"/>
  <c r="E38" i="15" s="1"/>
  <c r="A39" i="15"/>
  <c r="A40" i="15"/>
  <c r="C40" i="15" s="1"/>
  <c r="F40" i="15" s="1"/>
  <c r="A41" i="15"/>
  <c r="A42" i="15"/>
  <c r="A43" i="15"/>
  <c r="B43" i="15" s="1"/>
  <c r="A44" i="15"/>
  <c r="A45" i="15"/>
  <c r="C45" i="15" s="1"/>
  <c r="F45" i="15" s="1"/>
  <c r="A46" i="15"/>
  <c r="A47" i="15"/>
  <c r="A48" i="15"/>
  <c r="A49" i="15"/>
  <c r="C49" i="15" s="1"/>
  <c r="F49" i="15" s="1"/>
  <c r="A50" i="15"/>
  <c r="A51" i="15"/>
  <c r="A52" i="15"/>
  <c r="A53" i="15"/>
  <c r="A54" i="15"/>
  <c r="A55" i="15"/>
  <c r="A56" i="15"/>
  <c r="A57" i="15"/>
  <c r="A58" i="15"/>
  <c r="A59" i="15"/>
  <c r="A60" i="15"/>
  <c r="E60" i="15" s="1"/>
  <c r="A61" i="15"/>
  <c r="A62" i="15"/>
  <c r="B62" i="15" s="1"/>
  <c r="A63" i="15"/>
  <c r="A64" i="15"/>
  <c r="A65" i="15"/>
  <c r="A66" i="15"/>
  <c r="A67" i="15"/>
  <c r="A68" i="15"/>
  <c r="A69" i="15"/>
  <c r="A70" i="15"/>
  <c r="A71" i="15"/>
  <c r="B71" i="15" s="1"/>
  <c r="A72" i="15"/>
  <c r="A73" i="15"/>
  <c r="A74" i="15"/>
  <c r="A75" i="15"/>
  <c r="A76" i="15"/>
  <c r="E76" i="15" s="1"/>
  <c r="A77" i="15"/>
  <c r="B77" i="15" s="1"/>
  <c r="A78" i="15"/>
  <c r="A79" i="15"/>
  <c r="C79" i="15" s="1"/>
  <c r="F79" i="15" s="1"/>
  <c r="A80" i="15"/>
  <c r="A81" i="15"/>
  <c r="A82" i="15"/>
  <c r="C82" i="15" s="1"/>
  <c r="F82" i="15" s="1"/>
  <c r="A83" i="15"/>
  <c r="A84" i="15"/>
  <c r="E84" i="15" s="1"/>
  <c r="A85" i="15"/>
  <c r="A86" i="15"/>
  <c r="A87" i="15"/>
  <c r="D87" i="15" s="1"/>
  <c r="A88" i="15"/>
  <c r="A89" i="15"/>
  <c r="A90" i="15"/>
  <c r="A91" i="15"/>
  <c r="A92" i="15"/>
  <c r="C92" i="15" s="1"/>
  <c r="F92" i="15" s="1"/>
  <c r="A93" i="15"/>
  <c r="A94" i="15"/>
  <c r="A95" i="15"/>
  <c r="C95" i="15" s="1"/>
  <c r="F95" i="15" s="1"/>
  <c r="A96" i="15"/>
  <c r="A97" i="15"/>
  <c r="A98" i="15"/>
  <c r="D98" i="15" s="1"/>
  <c r="A99" i="15"/>
  <c r="B99" i="15" s="1"/>
  <c r="A100" i="15"/>
  <c r="A101" i="15"/>
  <c r="C101" i="15" s="1"/>
  <c r="F101" i="15" s="1"/>
  <c r="A102" i="15"/>
  <c r="A103" i="15"/>
  <c r="A104" i="15"/>
  <c r="A105" i="15"/>
  <c r="D105" i="15" s="1"/>
  <c r="A106" i="15"/>
  <c r="A107" i="15"/>
  <c r="D107" i="15" s="1"/>
  <c r="A108" i="15"/>
  <c r="E108" i="15" s="1"/>
  <c r="A109" i="15"/>
  <c r="D109" i="15" s="1"/>
  <c r="A110" i="15"/>
  <c r="A111" i="15"/>
  <c r="A112" i="15"/>
  <c r="A113" i="15"/>
  <c r="A114" i="15"/>
  <c r="B114" i="15" s="1"/>
  <c r="A115" i="15"/>
  <c r="A116" i="15"/>
  <c r="A117" i="15"/>
  <c r="E117" i="15" s="1"/>
  <c r="A118" i="15"/>
  <c r="A119" i="15"/>
  <c r="E119" i="15" s="1"/>
  <c r="A120" i="15"/>
  <c r="B120" i="15" s="1"/>
  <c r="A121" i="15"/>
  <c r="A122" i="15"/>
  <c r="A123" i="15"/>
  <c r="A124" i="15"/>
  <c r="A125" i="15"/>
  <c r="A126" i="15"/>
  <c r="A127" i="15"/>
  <c r="C127" i="15" s="1"/>
  <c r="F127" i="15" s="1"/>
  <c r="A128" i="15"/>
  <c r="A129" i="15"/>
  <c r="A130" i="15"/>
  <c r="B130" i="15" s="1"/>
  <c r="A131" i="15"/>
  <c r="A132" i="15"/>
  <c r="A134" i="15"/>
  <c r="A135" i="15"/>
  <c r="A136" i="15"/>
  <c r="A137" i="15"/>
  <c r="A138" i="15"/>
  <c r="D138" i="15" s="1"/>
  <c r="A139" i="15"/>
  <c r="A140" i="15"/>
  <c r="A141" i="15"/>
  <c r="A142" i="15"/>
  <c r="A143" i="15"/>
  <c r="C143" i="15" s="1"/>
  <c r="F143" i="15" s="1"/>
  <c r="A144" i="15"/>
  <c r="A145" i="15"/>
  <c r="A146" i="15"/>
  <c r="C146" i="15" s="1"/>
  <c r="F146" i="15" s="1"/>
  <c r="A147" i="15"/>
  <c r="A148" i="15"/>
  <c r="D148" i="15" s="1"/>
  <c r="A149" i="15"/>
  <c r="A150" i="15"/>
  <c r="A151" i="15"/>
  <c r="D151" i="15" s="1"/>
  <c r="A152" i="15"/>
  <c r="A153" i="15"/>
  <c r="B153" i="15" s="1"/>
  <c r="A154" i="15"/>
  <c r="A155" i="15"/>
  <c r="A156" i="15"/>
  <c r="D156" i="15" s="1"/>
  <c r="A157" i="15"/>
  <c r="C157" i="15" s="1"/>
  <c r="F157" i="15" s="1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C170" i="15" s="1"/>
  <c r="F170" i="15" s="1"/>
  <c r="A171" i="15"/>
  <c r="A172" i="15"/>
  <c r="A173" i="15"/>
  <c r="C173" i="15" s="1"/>
  <c r="F173" i="15" s="1"/>
  <c r="A174" i="15"/>
  <c r="A175" i="15"/>
  <c r="C175" i="15" s="1"/>
  <c r="F175" i="15" s="1"/>
  <c r="A176" i="15"/>
  <c r="A177" i="15"/>
  <c r="A178" i="15"/>
  <c r="C178" i="15" s="1"/>
  <c r="F178" i="15" s="1"/>
  <c r="A179" i="15"/>
  <c r="A180" i="15"/>
  <c r="A181" i="15"/>
  <c r="C181" i="15" s="1"/>
  <c r="F181" i="15" s="1"/>
  <c r="A182" i="15"/>
  <c r="A183" i="15"/>
  <c r="A184" i="15"/>
  <c r="C184" i="15" s="1"/>
  <c r="F184" i="15" s="1"/>
  <c r="A185" i="15"/>
  <c r="A186" i="15"/>
  <c r="A187" i="15"/>
  <c r="C187" i="15" s="1"/>
  <c r="F187" i="15" s="1"/>
  <c r="A188" i="15"/>
  <c r="A189" i="15"/>
  <c r="A190" i="15"/>
  <c r="C190" i="15" s="1"/>
  <c r="F190" i="15" s="1"/>
  <c r="A191" i="15"/>
  <c r="A192" i="15"/>
  <c r="A193" i="15"/>
  <c r="C193" i="15" s="1"/>
  <c r="F193" i="15" s="1"/>
  <c r="A194" i="15"/>
  <c r="A195" i="15"/>
  <c r="A196" i="15"/>
  <c r="C196" i="15" s="1"/>
  <c r="F196" i="15" s="1"/>
  <c r="A197" i="15"/>
  <c r="A198" i="15"/>
  <c r="A199" i="15"/>
  <c r="C199" i="15" s="1"/>
  <c r="F199" i="15" s="1"/>
  <c r="A200" i="15"/>
  <c r="A201" i="15"/>
  <c r="C201" i="15" s="1"/>
  <c r="F201" i="15" s="1"/>
  <c r="A202" i="15"/>
  <c r="C202" i="15" s="1"/>
  <c r="F202" i="15" s="1"/>
  <c r="A203" i="15"/>
  <c r="A204" i="15"/>
  <c r="A205" i="15"/>
  <c r="A206" i="15"/>
  <c r="D206" i="15" s="1"/>
  <c r="A207" i="15"/>
  <c r="C207" i="15" s="1"/>
  <c r="F207" i="15" s="1"/>
  <c r="A208" i="15"/>
  <c r="A209" i="15"/>
  <c r="D209" i="15" s="1"/>
  <c r="A210" i="15"/>
  <c r="A211" i="15"/>
  <c r="A212" i="15"/>
  <c r="A213" i="15"/>
  <c r="A214" i="15"/>
  <c r="A215" i="15"/>
  <c r="D215" i="15" s="1"/>
  <c r="A216" i="15"/>
  <c r="A217" i="15"/>
  <c r="A218" i="15"/>
  <c r="E218" i="15" s="1"/>
  <c r="A219" i="15"/>
  <c r="A220" i="15"/>
  <c r="E220" i="15" s="1"/>
  <c r="A221" i="15"/>
  <c r="A222" i="15"/>
  <c r="A223" i="15"/>
  <c r="C223" i="15" s="1"/>
  <c r="F223" i="15" s="1"/>
  <c r="A224" i="15"/>
  <c r="E224" i="15" s="1"/>
  <c r="A225" i="15"/>
  <c r="A226" i="15"/>
  <c r="A227" i="15"/>
  <c r="D227" i="15" s="1"/>
  <c r="A228" i="15"/>
  <c r="B228" i="15" s="1"/>
  <c r="A229" i="15"/>
  <c r="C229" i="15" s="1"/>
  <c r="F229" i="15" s="1"/>
  <c r="A230" i="15"/>
  <c r="A231" i="15"/>
  <c r="A232" i="15"/>
  <c r="A233" i="15"/>
  <c r="D233" i="15" s="1"/>
  <c r="A234" i="15"/>
  <c r="B234" i="15" s="1"/>
  <c r="A235" i="15"/>
  <c r="A236" i="15"/>
  <c r="A237" i="15"/>
  <c r="A238" i="15"/>
  <c r="B238" i="15" s="1"/>
  <c r="A239" i="15"/>
  <c r="D239" i="15" s="1"/>
  <c r="A240" i="15"/>
  <c r="A241" i="15"/>
  <c r="A242" i="15"/>
  <c r="B242" i="15" s="1"/>
  <c r="A243" i="15"/>
  <c r="A244" i="15"/>
  <c r="B244" i="15" s="1"/>
  <c r="A245" i="15"/>
  <c r="A246" i="15"/>
  <c r="A247" i="15"/>
  <c r="A248" i="15"/>
  <c r="A249" i="15"/>
  <c r="A250" i="15"/>
  <c r="B250" i="15" s="1"/>
  <c r="A251" i="15"/>
  <c r="A252" i="15"/>
  <c r="A253" i="15"/>
  <c r="A254" i="15"/>
  <c r="B254" i="15" s="1"/>
  <c r="A255" i="15"/>
  <c r="A256" i="15"/>
  <c r="C256" i="15" s="1"/>
  <c r="F256" i="15" s="1"/>
  <c r="A257" i="15"/>
  <c r="A258" i="15"/>
  <c r="A259" i="15"/>
  <c r="C259" i="15" s="1"/>
  <c r="F259" i="15" s="1"/>
  <c r="A260" i="15"/>
  <c r="C260" i="15" s="1"/>
  <c r="F260" i="15" s="1"/>
  <c r="A261" i="15"/>
  <c r="A262" i="15"/>
  <c r="C262" i="15" s="1"/>
  <c r="F262" i="15" s="1"/>
  <c r="A263" i="15"/>
  <c r="A264" i="15"/>
  <c r="A265" i="15"/>
  <c r="C265" i="15" s="1"/>
  <c r="F265" i="15" s="1"/>
  <c r="A266" i="15"/>
  <c r="A267" i="15"/>
  <c r="A268" i="15"/>
  <c r="A269" i="15"/>
  <c r="D269" i="15" s="1"/>
  <c r="A270" i="15"/>
  <c r="A271" i="15"/>
  <c r="A272" i="15"/>
  <c r="C272" i="15" s="1"/>
  <c r="F272" i="15" s="1"/>
  <c r="A273" i="15"/>
  <c r="A274" i="15"/>
  <c r="A275" i="15"/>
  <c r="D275" i="15" s="1"/>
  <c r="A276" i="15"/>
  <c r="A277" i="15"/>
  <c r="A278" i="15"/>
  <c r="A279" i="15"/>
  <c r="A280" i="15"/>
  <c r="A281" i="15"/>
  <c r="A282" i="15"/>
  <c r="C282" i="15" s="1"/>
  <c r="F282" i="15" s="1"/>
  <c r="A283" i="15"/>
  <c r="A284" i="15"/>
  <c r="A285" i="15"/>
  <c r="A286" i="15"/>
  <c r="A287" i="15"/>
  <c r="D287" i="15" s="1"/>
  <c r="A288" i="15"/>
  <c r="A289" i="15"/>
  <c r="B289" i="15" s="1"/>
  <c r="A290" i="15"/>
  <c r="A291" i="15"/>
  <c r="A292" i="15"/>
  <c r="B292" i="15" s="1"/>
  <c r="A293" i="15"/>
  <c r="D293" i="15" s="1"/>
  <c r="A294" i="15"/>
  <c r="A295" i="15"/>
  <c r="A296" i="15"/>
  <c r="C296" i="15" s="1"/>
  <c r="F296" i="15" s="1"/>
  <c r="A297" i="15"/>
  <c r="A298" i="15"/>
  <c r="E298" i="15" s="1"/>
  <c r="A299" i="15"/>
  <c r="A300" i="15"/>
  <c r="A301" i="15"/>
  <c r="A302" i="15"/>
  <c r="B302" i="15" s="1"/>
  <c r="A303" i="15"/>
  <c r="A304" i="15"/>
  <c r="A305" i="15"/>
  <c r="D305" i="15" s="1"/>
  <c r="A306" i="15"/>
  <c r="A307" i="15"/>
  <c r="A308" i="15"/>
  <c r="A309" i="15"/>
  <c r="A310" i="15"/>
  <c r="B310" i="15" s="1"/>
  <c r="A311" i="15"/>
  <c r="A312" i="15"/>
  <c r="A313" i="15"/>
  <c r="A314" i="15"/>
  <c r="A315" i="15"/>
  <c r="E315" i="15" s="1"/>
  <c r="A316" i="15"/>
  <c r="A317" i="15"/>
  <c r="A318" i="15"/>
  <c r="A319" i="15"/>
  <c r="E319" i="15" s="1"/>
  <c r="A320" i="15"/>
  <c r="A321" i="15"/>
  <c r="A322" i="15"/>
  <c r="A323" i="15"/>
  <c r="A324" i="15"/>
  <c r="A325" i="15"/>
  <c r="A326" i="15"/>
  <c r="B326" i="15" s="1"/>
  <c r="A327" i="15"/>
  <c r="A328" i="15"/>
  <c r="B328" i="15" s="1"/>
  <c r="A329" i="15"/>
  <c r="A330" i="15"/>
  <c r="A331" i="15"/>
  <c r="D331" i="15" s="1"/>
  <c r="A332" i="15"/>
  <c r="A333" i="15"/>
  <c r="A334" i="15"/>
  <c r="C334" i="15" s="1"/>
  <c r="F334" i="15" s="1"/>
  <c r="A335" i="15"/>
  <c r="E335" i="15" s="1"/>
  <c r="A336" i="15"/>
  <c r="A337" i="15"/>
  <c r="C337" i="15" s="1"/>
  <c r="F337" i="15" s="1"/>
  <c r="A338" i="15"/>
  <c r="A339" i="15"/>
  <c r="A340" i="15"/>
  <c r="D340" i="15" s="1"/>
  <c r="A341" i="15"/>
  <c r="D341" i="15" s="1"/>
  <c r="A342" i="15"/>
  <c r="A343" i="15"/>
  <c r="A344" i="15"/>
  <c r="A345" i="15"/>
  <c r="B345" i="15" s="1"/>
  <c r="A346" i="15"/>
  <c r="B346" i="15" s="1"/>
  <c r="A347" i="15"/>
  <c r="A348" i="15"/>
  <c r="E348" i="15" s="1"/>
  <c r="A349" i="15"/>
  <c r="E349" i="15" s="1"/>
  <c r="A350" i="15"/>
  <c r="B350" i="15" s="1"/>
  <c r="A351" i="15"/>
  <c r="B351" i="15" s="1"/>
  <c r="A352" i="15"/>
  <c r="A353" i="15"/>
  <c r="A354" i="15"/>
  <c r="C354" i="15" s="1"/>
  <c r="F354" i="15" s="1"/>
  <c r="A355" i="15"/>
  <c r="E355" i="15" s="1"/>
  <c r="A356" i="15"/>
  <c r="A357" i="15"/>
  <c r="A358" i="15"/>
  <c r="D358" i="15" s="1"/>
  <c r="A359" i="15"/>
  <c r="D359" i="15" s="1"/>
  <c r="A360" i="15"/>
  <c r="A361" i="15"/>
  <c r="A362" i="15"/>
  <c r="B362" i="15" s="1"/>
  <c r="A363" i="15"/>
  <c r="B363" i="15" s="1"/>
  <c r="A364" i="15"/>
  <c r="A365" i="15"/>
  <c r="B365" i="15" s="1"/>
  <c r="A366" i="15"/>
  <c r="A367" i="15"/>
  <c r="A368" i="15"/>
  <c r="B368" i="15" s="1"/>
  <c r="A369" i="15"/>
  <c r="B369" i="15" s="1"/>
  <c r="A370" i="15"/>
  <c r="A371" i="15"/>
  <c r="A372" i="15"/>
  <c r="A373" i="15"/>
  <c r="A374" i="15"/>
  <c r="B374" i="15" s="1"/>
  <c r="A375" i="15"/>
  <c r="A376" i="15"/>
  <c r="D376" i="15" s="1"/>
  <c r="A377" i="15"/>
  <c r="E377" i="15" s="1"/>
  <c r="A378" i="15"/>
  <c r="B378" i="15" s="1"/>
  <c r="A379" i="15"/>
  <c r="D379" i="15"/>
  <c r="A380" i="15"/>
  <c r="B380" i="15" s="1"/>
  <c r="A381" i="15"/>
  <c r="B381" i="15" s="1"/>
  <c r="A382" i="15"/>
  <c r="A383" i="15"/>
  <c r="A384" i="15"/>
  <c r="A385" i="15"/>
  <c r="A386" i="15"/>
  <c r="B386" i="15" s="1"/>
  <c r="A387" i="15"/>
  <c r="B387" i="15" s="1"/>
  <c r="A388" i="15"/>
  <c r="D388" i="15" s="1"/>
  <c r="A389" i="15"/>
  <c r="A390" i="15"/>
  <c r="E390" i="15" s="1"/>
  <c r="A391" i="15"/>
  <c r="D391" i="15" s="1"/>
  <c r="A392" i="15"/>
  <c r="B392" i="15" s="1"/>
  <c r="A393" i="15"/>
  <c r="A394" i="15"/>
  <c r="B394" i="15" s="1"/>
  <c r="A395" i="15"/>
  <c r="D395" i="15" s="1"/>
  <c r="A396" i="15"/>
  <c r="D396" i="15" s="1"/>
  <c r="A397" i="15"/>
  <c r="B397" i="15" s="1"/>
  <c r="A398" i="15"/>
  <c r="B398" i="15" s="1"/>
  <c r="A399" i="15"/>
  <c r="B399" i="15" s="1"/>
  <c r="A400" i="15"/>
  <c r="A401" i="15"/>
  <c r="B401" i="15" s="1"/>
  <c r="A402" i="15"/>
  <c r="A403" i="15"/>
  <c r="C403" i="15" s="1"/>
  <c r="F403" i="15" s="1"/>
  <c r="A404" i="15"/>
  <c r="B404" i="15" s="1"/>
  <c r="A405" i="15"/>
  <c r="B405" i="15" s="1"/>
  <c r="A406" i="15"/>
  <c r="C406" i="15" s="1"/>
  <c r="F406" i="15" s="1"/>
  <c r="A407" i="15"/>
  <c r="A408" i="15"/>
  <c r="D408" i="15" s="1"/>
  <c r="A409" i="15"/>
  <c r="A410" i="15"/>
  <c r="B410" i="15" s="1"/>
  <c r="A411" i="15"/>
  <c r="A412" i="15"/>
  <c r="D412" i="15" s="1"/>
  <c r="A413" i="15"/>
  <c r="A414" i="15"/>
  <c r="E414" i="15" s="1"/>
  <c r="A415" i="15"/>
  <c r="A416" i="15"/>
  <c r="B416" i="15" s="1"/>
  <c r="A417" i="15"/>
  <c r="B417" i="15" s="1"/>
  <c r="A418" i="15"/>
  <c r="B418" i="15" s="1"/>
  <c r="A419" i="15"/>
  <c r="A420" i="15"/>
  <c r="A421" i="15"/>
  <c r="B421" i="15" s="1"/>
  <c r="A422" i="15"/>
  <c r="B422" i="15" s="1"/>
  <c r="A423" i="15"/>
  <c r="B423" i="15" s="1"/>
  <c r="A424" i="15"/>
  <c r="A425" i="15"/>
  <c r="A426" i="15"/>
  <c r="A427" i="15"/>
  <c r="A428" i="15"/>
  <c r="B428" i="15" s="1"/>
  <c r="A429" i="15"/>
  <c r="A430" i="15"/>
  <c r="B430" i="15" s="1"/>
  <c r="A431" i="15"/>
  <c r="A432" i="15"/>
  <c r="D432" i="15" s="1"/>
  <c r="A433" i="15"/>
  <c r="E433" i="15" s="1"/>
  <c r="A434" i="15"/>
  <c r="B434" i="15" s="1"/>
  <c r="A435" i="15"/>
  <c r="B435" i="15" s="1"/>
  <c r="A436" i="15"/>
  <c r="D436" i="15" s="1"/>
  <c r="A437" i="15"/>
  <c r="A438" i="15"/>
  <c r="D438" i="15" s="1"/>
  <c r="A439" i="15"/>
  <c r="E439" i="15" s="1"/>
  <c r="A440" i="15"/>
  <c r="B440" i="15" s="1"/>
  <c r="A441" i="15"/>
  <c r="B441" i="15" s="1"/>
  <c r="A442" i="15"/>
  <c r="D442" i="15" s="1"/>
  <c r="A443" i="15"/>
  <c r="A444" i="15"/>
  <c r="C444" i="15" s="1"/>
  <c r="F444" i="15" s="1"/>
  <c r="A445" i="15"/>
  <c r="D445" i="15" s="1"/>
  <c r="A446" i="15"/>
  <c r="B446" i="15" s="1"/>
  <c r="A447" i="15"/>
  <c r="A448" i="15"/>
  <c r="A449" i="15"/>
  <c r="D449" i="15" s="1"/>
  <c r="A450" i="15"/>
  <c r="D450" i="15" s="1"/>
  <c r="A451" i="15"/>
  <c r="B451" i="15" s="1"/>
  <c r="A452" i="15"/>
  <c r="B452" i="15" s="1"/>
  <c r="A453" i="15"/>
  <c r="B453" i="15" s="1"/>
  <c r="A454" i="15"/>
  <c r="D454" i="15" s="1"/>
  <c r="A455" i="15"/>
  <c r="D455" i="15" s="1"/>
  <c r="A456" i="15"/>
  <c r="B456" i="15" s="1"/>
  <c r="A457" i="15"/>
  <c r="D457" i="15" s="1"/>
  <c r="A458" i="15"/>
  <c r="B458" i="15" s="1"/>
  <c r="A459" i="15"/>
  <c r="B459" i="15" s="1"/>
  <c r="A460" i="15"/>
  <c r="B460" i="15" s="1"/>
  <c r="A461" i="15"/>
  <c r="A462" i="15"/>
  <c r="D462" i="15" s="1"/>
  <c r="A463" i="15"/>
  <c r="B463" i="15" s="1"/>
  <c r="A464" i="15"/>
  <c r="B464" i="15" s="1"/>
  <c r="A465" i="15"/>
  <c r="A466" i="15"/>
  <c r="D466" i="15" s="1"/>
  <c r="A467" i="15"/>
  <c r="A468" i="15"/>
  <c r="E468" i="15" s="1"/>
  <c r="A469" i="15"/>
  <c r="D469" i="15" s="1"/>
  <c r="A470" i="15"/>
  <c r="B470" i="15" s="1"/>
  <c r="A471" i="15"/>
  <c r="B471" i="15" s="1"/>
  <c r="A472" i="15"/>
  <c r="D472" i="15" s="1"/>
  <c r="A473" i="15"/>
  <c r="D473" i="15" s="1"/>
  <c r="A474" i="15"/>
  <c r="A475" i="15"/>
  <c r="C475" i="15" s="1"/>
  <c r="F475" i="15" s="1"/>
  <c r="A476" i="15"/>
  <c r="B476" i="15" s="1"/>
  <c r="A477" i="15"/>
  <c r="B477" i="15" s="1"/>
  <c r="A478" i="15"/>
  <c r="D478" i="15" s="1"/>
  <c r="A479" i="15"/>
  <c r="E479" i="15" s="1"/>
  <c r="A480" i="15"/>
  <c r="A481" i="15"/>
  <c r="A482" i="15"/>
  <c r="B482" i="15" s="1"/>
  <c r="A483" i="15"/>
  <c r="A484" i="15"/>
  <c r="B484" i="15" s="1"/>
  <c r="A485" i="15"/>
  <c r="D485" i="15" s="1"/>
  <c r="A486" i="15"/>
  <c r="D486" i="15" s="1"/>
  <c r="A487" i="15"/>
  <c r="C487" i="15" s="1"/>
  <c r="F487" i="15" s="1"/>
  <c r="A488" i="15"/>
  <c r="B488" i="15" s="1"/>
  <c r="A489" i="15"/>
  <c r="B489" i="15" s="1"/>
  <c r="A490" i="15"/>
  <c r="D490" i="15" s="1"/>
  <c r="A491" i="15"/>
  <c r="D491" i="15" s="1"/>
  <c r="A492" i="15"/>
  <c r="A493" i="15"/>
  <c r="A494" i="15"/>
  <c r="B494" i="15" s="1"/>
  <c r="A495" i="15"/>
  <c r="B495" i="15" s="1"/>
  <c r="A496" i="15"/>
  <c r="C496" i="15" s="1"/>
  <c r="F496" i="15" s="1"/>
  <c r="A497" i="15"/>
  <c r="A498" i="15"/>
  <c r="D498" i="15" s="1"/>
  <c r="A499" i="15"/>
  <c r="A500" i="15"/>
  <c r="B500" i="15" s="1"/>
  <c r="A501" i="15"/>
  <c r="A502" i="15"/>
  <c r="D502" i="15" s="1"/>
  <c r="A503" i="15"/>
  <c r="E503" i="15" s="1"/>
  <c r="A504" i="15"/>
  <c r="C504" i="15" s="1"/>
  <c r="F504" i="15" s="1"/>
  <c r="A505" i="15"/>
  <c r="D505" i="15" s="1"/>
  <c r="A506" i="15"/>
  <c r="B506" i="15" s="1"/>
  <c r="A507" i="15"/>
  <c r="B507" i="15" s="1"/>
  <c r="A508" i="15"/>
  <c r="B508" i="15" s="1"/>
  <c r="A509" i="15"/>
  <c r="A510" i="15"/>
  <c r="A511" i="15"/>
  <c r="D511" i="15" s="1"/>
  <c r="A512" i="15"/>
  <c r="B512" i="15" s="1"/>
  <c r="A513" i="15"/>
  <c r="B513" i="15" s="1"/>
  <c r="A514" i="15"/>
  <c r="D514" i="15" s="1"/>
  <c r="A515" i="15"/>
  <c r="C515" i="15" s="1"/>
  <c r="F515" i="15" s="1"/>
  <c r="A516" i="15"/>
  <c r="B516" i="15" s="1"/>
  <c r="A517" i="15"/>
  <c r="D517" i="15" s="1"/>
  <c r="A518" i="15"/>
  <c r="B518" i="15" s="1"/>
  <c r="A519" i="15"/>
  <c r="A520" i="15"/>
  <c r="D520" i="15" s="1"/>
  <c r="A521" i="15"/>
  <c r="D521" i="15" s="1"/>
  <c r="A522" i="15"/>
  <c r="C522" i="15" s="1"/>
  <c r="F522" i="15" s="1"/>
  <c r="A523" i="15"/>
  <c r="C523" i="15" s="1"/>
  <c r="F523" i="15" s="1"/>
  <c r="A524" i="15"/>
  <c r="B524" i="15" s="1"/>
  <c r="A525" i="15"/>
  <c r="B525" i="15" s="1"/>
  <c r="A526" i="15"/>
  <c r="A527" i="15"/>
  <c r="E527" i="15" s="1"/>
  <c r="A528" i="15"/>
  <c r="C528" i="15" s="1"/>
  <c r="F528" i="15" s="1"/>
  <c r="A529" i="15"/>
  <c r="A530" i="15"/>
  <c r="B530" i="15" s="1"/>
  <c r="A531" i="15"/>
  <c r="B531" i="15" s="1"/>
  <c r="A532" i="15"/>
  <c r="C532" i="15" s="1"/>
  <c r="F532" i="15" s="1"/>
  <c r="A533" i="15"/>
  <c r="D533" i="15" s="1"/>
  <c r="A534" i="15"/>
  <c r="A535" i="15"/>
  <c r="C535" i="15" s="1"/>
  <c r="F535" i="15" s="1"/>
  <c r="A536" i="15"/>
  <c r="B536" i="15" s="1"/>
  <c r="A537" i="15"/>
  <c r="A538" i="15"/>
  <c r="D538" i="15" s="1"/>
  <c r="A539" i="15"/>
  <c r="D539" i="15" s="1"/>
  <c r="A540" i="15"/>
  <c r="B540" i="15" s="1"/>
  <c r="A541" i="15"/>
  <c r="A542" i="15"/>
  <c r="B542" i="15" s="1"/>
  <c r="A543" i="15"/>
  <c r="B543" i="15" s="1"/>
  <c r="A544" i="15"/>
  <c r="C544" i="15" s="1"/>
  <c r="F544" i="15" s="1"/>
  <c r="A545" i="15"/>
  <c r="A546" i="15"/>
  <c r="C546" i="15" s="1"/>
  <c r="F546" i="15" s="1"/>
  <c r="A547" i="15"/>
  <c r="C547" i="15" s="1"/>
  <c r="F547" i="15" s="1"/>
  <c r="A548" i="15"/>
  <c r="B548" i="15" s="1"/>
  <c r="A549" i="15"/>
  <c r="B549" i="15" s="1"/>
  <c r="A550" i="15"/>
  <c r="A551" i="15"/>
  <c r="A552" i="15"/>
  <c r="C552" i="15" s="1"/>
  <c r="F552" i="15" s="1"/>
  <c r="A553" i="15"/>
  <c r="A554" i="15"/>
  <c r="A555" i="15"/>
  <c r="A556" i="15"/>
  <c r="C556" i="15" s="1"/>
  <c r="F556" i="15" s="1"/>
  <c r="A557" i="15"/>
  <c r="B557" i="15" s="1"/>
  <c r="A558" i="15"/>
  <c r="E558" i="15" s="1"/>
  <c r="A559" i="15"/>
  <c r="E559" i="15" s="1"/>
  <c r="A560" i="15"/>
  <c r="B560" i="15" s="1"/>
  <c r="A561" i="15"/>
  <c r="D561" i="15" s="1"/>
  <c r="A562" i="15"/>
  <c r="C562" i="15" s="1"/>
  <c r="F562" i="15" s="1"/>
  <c r="A563" i="15"/>
  <c r="D563" i="15" s="1"/>
  <c r="A564" i="15"/>
  <c r="C564" i="15" s="1"/>
  <c r="F564" i="15" s="1"/>
  <c r="A565" i="15"/>
  <c r="C565" i="15" s="1"/>
  <c r="F565" i="15" s="1"/>
  <c r="A566" i="15"/>
  <c r="B566" i="15" s="1"/>
  <c r="A567" i="15"/>
  <c r="A568" i="15"/>
  <c r="D568" i="15" s="1"/>
  <c r="A569" i="15"/>
  <c r="D569" i="15" s="1"/>
  <c r="A570" i="15"/>
  <c r="A571" i="15"/>
  <c r="B571" i="15" s="1"/>
  <c r="A572" i="15"/>
  <c r="A573" i="15"/>
  <c r="A574" i="15"/>
  <c r="A575" i="15"/>
  <c r="A576" i="15"/>
  <c r="E576" i="15" s="1"/>
  <c r="A577" i="15"/>
  <c r="A578" i="15"/>
  <c r="A579" i="15"/>
  <c r="B579" i="15" s="1"/>
  <c r="A580" i="15"/>
  <c r="C580" i="15" s="1"/>
  <c r="F580" i="15" s="1"/>
  <c r="A581" i="15"/>
  <c r="D581" i="15" s="1"/>
  <c r="A582" i="15"/>
  <c r="A583" i="15"/>
  <c r="C583" i="15" s="1"/>
  <c r="F583" i="15" s="1"/>
  <c r="A584" i="15"/>
  <c r="A585" i="15"/>
  <c r="B585" i="15" s="1"/>
  <c r="A586" i="15"/>
  <c r="A587" i="15"/>
  <c r="D587" i="15" s="1"/>
  <c r="A588" i="15"/>
  <c r="A589" i="15"/>
  <c r="E589" i="15" s="1"/>
  <c r="A590" i="15"/>
  <c r="C590" i="15" s="1"/>
  <c r="F590" i="15" s="1"/>
  <c r="A591" i="15"/>
  <c r="A592" i="15"/>
  <c r="C592" i="15" s="1"/>
  <c r="F592" i="15" s="1"/>
  <c r="A593" i="15"/>
  <c r="A594" i="15"/>
  <c r="E594" i="15" s="1"/>
  <c r="A595" i="15"/>
  <c r="A596" i="15"/>
  <c r="E596" i="15" s="1"/>
  <c r="A597" i="15"/>
  <c r="C597" i="15" s="1"/>
  <c r="F597" i="15" s="1"/>
  <c r="A598" i="15"/>
  <c r="C598" i="15" s="1"/>
  <c r="F598" i="15" s="1"/>
  <c r="A599" i="15"/>
  <c r="A600" i="15"/>
  <c r="B600" i="15" s="1"/>
  <c r="A601" i="15"/>
  <c r="C601" i="15" s="1"/>
  <c r="F601" i="15" s="1"/>
  <c r="A602" i="15"/>
  <c r="C602" i="15" s="1"/>
  <c r="F602" i="15" s="1"/>
  <c r="A603" i="15"/>
  <c r="B603" i="15" s="1"/>
  <c r="A604" i="15"/>
  <c r="D604" i="15" s="1"/>
  <c r="A605" i="15"/>
  <c r="D605" i="15" s="1"/>
  <c r="A606" i="15"/>
  <c r="A607" i="15"/>
  <c r="C607" i="15" s="1"/>
  <c r="F607" i="15" s="1"/>
  <c r="A608" i="15"/>
  <c r="E608" i="15" s="1"/>
  <c r="A609" i="15"/>
  <c r="A610" i="15"/>
  <c r="C610" i="15" s="1"/>
  <c r="F610" i="15" s="1"/>
  <c r="A611" i="15"/>
  <c r="D611" i="15" s="1"/>
  <c r="A612" i="15"/>
  <c r="E612" i="15" s="1"/>
  <c r="A613" i="15"/>
  <c r="A614" i="15"/>
  <c r="B614" i="15" s="1"/>
  <c r="A615" i="15"/>
  <c r="D615" i="15" s="1"/>
  <c r="A616" i="15"/>
  <c r="C616" i="15" s="1"/>
  <c r="F616" i="15" s="1"/>
  <c r="A617" i="15"/>
  <c r="D617" i="15" s="1"/>
  <c r="A618" i="15"/>
  <c r="E618" i="15" s="1"/>
  <c r="A619" i="15"/>
  <c r="C619" i="15" s="1"/>
  <c r="F619" i="15" s="1"/>
  <c r="A620" i="15"/>
  <c r="C620" i="15" s="1"/>
  <c r="F620" i="15" s="1"/>
  <c r="A621" i="15"/>
  <c r="A622" i="15"/>
  <c r="A623" i="15"/>
  <c r="D623" i="15" s="1"/>
  <c r="A624" i="15"/>
  <c r="A625" i="15"/>
  <c r="C625" i="15" s="1"/>
  <c r="F625" i="15" s="1"/>
  <c r="A626" i="15"/>
  <c r="A627" i="15"/>
  <c r="A628" i="15"/>
  <c r="A629" i="15"/>
  <c r="D629" i="15" s="1"/>
  <c r="A630" i="15"/>
  <c r="E630" i="15" s="1"/>
  <c r="A631" i="15"/>
  <c r="A632" i="15"/>
  <c r="C632" i="15" s="1"/>
  <c r="F632" i="15" s="1"/>
  <c r="A633" i="15"/>
  <c r="A634" i="15"/>
  <c r="C634" i="15" s="1"/>
  <c r="F634" i="15" s="1"/>
  <c r="A635" i="15"/>
  <c r="A636" i="15"/>
  <c r="E636" i="15" s="1"/>
  <c r="A637" i="15"/>
  <c r="C637" i="15" s="1"/>
  <c r="F637" i="15" s="1"/>
  <c r="A638" i="15"/>
  <c r="D638" i="15" s="1"/>
  <c r="A639" i="15"/>
  <c r="A640" i="15"/>
  <c r="A641" i="15"/>
  <c r="D641" i="15" s="1"/>
  <c r="A642" i="15"/>
  <c r="A643" i="15"/>
  <c r="A644" i="15"/>
  <c r="C644" i="15" s="1"/>
  <c r="F644" i="15" s="1"/>
  <c r="A645" i="15"/>
  <c r="A646" i="15"/>
  <c r="A647" i="15"/>
  <c r="C647" i="15" s="1"/>
  <c r="F647" i="15" s="1"/>
  <c r="A648" i="15"/>
  <c r="E648" i="15" s="1"/>
  <c r="A649" i="15"/>
  <c r="A650" i="15"/>
  <c r="D650" i="15" s="1"/>
  <c r="A651" i="15"/>
  <c r="D651" i="15" s="1"/>
  <c r="A652" i="15"/>
  <c r="C652" i="15" s="1"/>
  <c r="F652" i="15" s="1"/>
  <c r="A653" i="15"/>
  <c r="C653" i="15" s="1"/>
  <c r="F653" i="15" s="1"/>
  <c r="A654" i="15"/>
  <c r="E654" i="15" s="1"/>
  <c r="A655" i="15"/>
  <c r="E655" i="15" s="1"/>
  <c r="A656" i="15"/>
  <c r="A657" i="15"/>
  <c r="B657" i="15" s="1"/>
  <c r="A658" i="15"/>
  <c r="E658" i="15" s="1"/>
  <c r="A659" i="15"/>
  <c r="B659" i="15" s="1"/>
  <c r="A660" i="15"/>
  <c r="B660" i="15" s="1"/>
  <c r="A661" i="15"/>
  <c r="C661" i="15" s="1"/>
  <c r="F661" i="15" s="1"/>
  <c r="A662" i="15"/>
  <c r="A663" i="15"/>
  <c r="A664" i="15"/>
  <c r="A665" i="15"/>
  <c r="B665" i="15" s="1"/>
  <c r="A666" i="15"/>
  <c r="A667" i="15"/>
  <c r="B667" i="15" s="1"/>
  <c r="A668" i="15"/>
  <c r="A669" i="15"/>
  <c r="A670" i="15"/>
  <c r="C670" i="15" s="1"/>
  <c r="F670" i="15" s="1"/>
  <c r="A671" i="15"/>
  <c r="A672" i="15"/>
  <c r="B672" i="15" s="1"/>
  <c r="A673" i="15"/>
  <c r="A674" i="15"/>
  <c r="C674" i="15" s="1"/>
  <c r="F674" i="15" s="1"/>
  <c r="A675" i="15"/>
  <c r="B675" i="15" s="1"/>
  <c r="A676" i="15"/>
  <c r="E676" i="15" s="1"/>
  <c r="A677" i="15"/>
  <c r="A678" i="15"/>
  <c r="D678" i="15" s="1"/>
  <c r="A679" i="15"/>
  <c r="C679" i="15" s="1"/>
  <c r="F679" i="15" s="1"/>
  <c r="A680" i="15"/>
  <c r="A681" i="15"/>
  <c r="A682" i="15"/>
  <c r="C682" i="15" s="1"/>
  <c r="F682" i="15" s="1"/>
  <c r="A683" i="15"/>
  <c r="B683" i="15" s="1"/>
  <c r="A684" i="15"/>
  <c r="C684" i="15" s="1"/>
  <c r="F684" i="15" s="1"/>
  <c r="A685" i="15"/>
  <c r="B685" i="15" s="1"/>
  <c r="A686" i="15"/>
  <c r="B686" i="15" s="1"/>
  <c r="A687" i="15"/>
  <c r="C687" i="15" s="1"/>
  <c r="F687" i="15" s="1"/>
  <c r="A688" i="15"/>
  <c r="A689" i="15"/>
  <c r="A690" i="15"/>
  <c r="A691" i="15"/>
  <c r="A692" i="15"/>
  <c r="C692" i="15" s="1"/>
  <c r="F692" i="15" s="1"/>
  <c r="A693" i="15"/>
  <c r="B693" i="15" s="1"/>
  <c r="A694" i="15"/>
  <c r="E694" i="15" s="1"/>
  <c r="A695" i="15"/>
  <c r="B695" i="15" s="1"/>
  <c r="A696" i="15"/>
  <c r="B696" i="15" s="1"/>
  <c r="A697" i="15"/>
  <c r="C697" i="15" s="1"/>
  <c r="F697" i="15" s="1"/>
  <c r="A698" i="15"/>
  <c r="B698" i="15" s="1"/>
  <c r="A699" i="15"/>
  <c r="A700" i="15"/>
  <c r="C700" i="15" s="1"/>
  <c r="F700" i="15" s="1"/>
  <c r="A701" i="15"/>
  <c r="B701" i="15" s="1"/>
  <c r="A702" i="15"/>
  <c r="B702" i="15" s="1"/>
  <c r="A703" i="15"/>
  <c r="A704" i="15"/>
  <c r="B704" i="15" s="1"/>
  <c r="A705" i="15"/>
  <c r="C705" i="15" s="1"/>
  <c r="F705" i="15" s="1"/>
  <c r="A706" i="15"/>
  <c r="A707" i="15"/>
  <c r="B707" i="15" s="1"/>
  <c r="A708" i="15"/>
  <c r="D708" i="15" s="1"/>
  <c r="A709" i="15"/>
  <c r="B709" i="15" s="1"/>
  <c r="A710" i="15"/>
  <c r="A711" i="15"/>
  <c r="B711" i="15" s="1"/>
  <c r="A712" i="15"/>
  <c r="B712" i="15" s="1"/>
  <c r="A713" i="15"/>
  <c r="A714" i="15"/>
  <c r="A715" i="15"/>
  <c r="B715" i="15" s="1"/>
  <c r="A716" i="15"/>
  <c r="B716" i="15" s="1"/>
  <c r="A717" i="15"/>
  <c r="A718" i="15"/>
  <c r="B718" i="15" s="1"/>
  <c r="A719" i="15"/>
  <c r="C719" i="15" s="1"/>
  <c r="F719" i="15" s="1"/>
  <c r="A720" i="15"/>
  <c r="D720" i="15" s="1"/>
  <c r="A721" i="15"/>
  <c r="D721" i="15" s="1"/>
  <c r="A722" i="15"/>
  <c r="A723" i="15"/>
  <c r="E723" i="15" s="1"/>
  <c r="A724" i="15"/>
  <c r="A725" i="15"/>
  <c r="E725" i="15" s="1"/>
  <c r="A726" i="15"/>
  <c r="A727" i="15"/>
  <c r="A728" i="15"/>
  <c r="E728" i="15" s="1"/>
  <c r="A729" i="15"/>
  <c r="E729" i="15" s="1"/>
  <c r="A730" i="15"/>
  <c r="C730" i="15" s="1"/>
  <c r="F730" i="15" s="1"/>
  <c r="A731" i="15"/>
  <c r="E731" i="15" s="1"/>
  <c r="A732" i="15"/>
  <c r="A733" i="15"/>
  <c r="E733" i="15" s="1"/>
  <c r="A734" i="15"/>
  <c r="A735" i="15"/>
  <c r="A736" i="15"/>
  <c r="A737" i="15"/>
  <c r="E737" i="15" s="1"/>
  <c r="A738" i="15"/>
  <c r="A739" i="15"/>
  <c r="D739" i="15" s="1"/>
  <c r="A740" i="15"/>
  <c r="A741" i="15"/>
  <c r="D741" i="15" s="1"/>
  <c r="A742" i="15"/>
  <c r="A743" i="15"/>
  <c r="D743" i="15" s="1"/>
  <c r="A744" i="15"/>
  <c r="A745" i="15"/>
  <c r="C745" i="15" s="1"/>
  <c r="F745" i="15" s="1"/>
  <c r="A746" i="15"/>
  <c r="E746" i="15" s="1"/>
  <c r="A747" i="15"/>
  <c r="E747" i="15" s="1"/>
  <c r="A748" i="15"/>
  <c r="B748" i="15" s="1"/>
  <c r="A749" i="15"/>
  <c r="E749" i="15" s="1"/>
  <c r="A750" i="15"/>
  <c r="A751" i="15"/>
  <c r="E751" i="15" s="1"/>
  <c r="A752" i="15"/>
  <c r="A753" i="15"/>
  <c r="A754" i="15"/>
  <c r="A755" i="15"/>
  <c r="A756" i="15"/>
  <c r="A757" i="15"/>
  <c r="D757" i="15" s="1"/>
  <c r="A758" i="15"/>
  <c r="E758" i="15" s="1"/>
  <c r="A759" i="15"/>
  <c r="A760" i="15"/>
  <c r="E760" i="15" s="1"/>
  <c r="A761" i="15"/>
  <c r="C761" i="15" s="1"/>
  <c r="F761" i="15" s="1"/>
  <c r="A762" i="15"/>
  <c r="A763" i="15"/>
  <c r="A764" i="15"/>
  <c r="A765" i="15"/>
  <c r="E765" i="15" s="1"/>
  <c r="A766" i="15"/>
  <c r="B766" i="15" s="1"/>
  <c r="A767" i="15"/>
  <c r="A768" i="15"/>
  <c r="A769" i="15"/>
  <c r="A770" i="15"/>
  <c r="E770" i="15" s="1"/>
  <c r="A771" i="15"/>
  <c r="A772" i="15"/>
  <c r="A773" i="15"/>
  <c r="C773" i="15" s="1"/>
  <c r="F773" i="15" s="1"/>
  <c r="A774" i="15"/>
  <c r="A775" i="15"/>
  <c r="E775" i="15" s="1"/>
  <c r="A776" i="15"/>
  <c r="A777" i="15"/>
  <c r="E777" i="15" s="1"/>
  <c r="A778" i="15"/>
  <c r="A779" i="15"/>
  <c r="E779" i="15" s="1"/>
  <c r="A780" i="15"/>
  <c r="A781" i="15"/>
  <c r="A782" i="15"/>
  <c r="E782" i="15" s="1"/>
  <c r="A783" i="15"/>
  <c r="A784" i="15"/>
  <c r="A785" i="15"/>
  <c r="C785" i="15" s="1"/>
  <c r="F785" i="15" s="1"/>
  <c r="A786" i="15"/>
  <c r="A787" i="15"/>
  <c r="A788" i="15"/>
  <c r="A789" i="15"/>
  <c r="A790" i="15"/>
  <c r="A791" i="15"/>
  <c r="E791" i="15" s="1"/>
  <c r="A792" i="15"/>
  <c r="A793" i="15"/>
  <c r="A794" i="15"/>
  <c r="A795" i="15"/>
  <c r="E795" i="15" s="1"/>
  <c r="A796" i="15"/>
  <c r="B796" i="15" s="1"/>
  <c r="A797" i="15"/>
  <c r="E797" i="15" s="1"/>
  <c r="A798" i="15"/>
  <c r="A799" i="15"/>
  <c r="B799" i="15" s="1"/>
  <c r="A800" i="15"/>
  <c r="E800" i="15" s="1"/>
  <c r="A801" i="15"/>
  <c r="E801" i="15" s="1"/>
  <c r="A802" i="15"/>
  <c r="E802" i="15" s="1"/>
  <c r="A803" i="15"/>
  <c r="E803" i="15" s="1"/>
  <c r="A804" i="15"/>
  <c r="A805" i="15"/>
  <c r="E805" i="15" s="1"/>
  <c r="A806" i="15"/>
  <c r="A807" i="15"/>
  <c r="A808" i="15"/>
  <c r="A809" i="15"/>
  <c r="A810" i="15"/>
  <c r="D810" i="15" s="1"/>
  <c r="A811" i="15"/>
  <c r="B811" i="15" s="1"/>
  <c r="A812" i="15"/>
  <c r="E812" i="15" s="1"/>
  <c r="A813" i="15"/>
  <c r="A814" i="15"/>
  <c r="A815" i="15"/>
  <c r="C815" i="15" s="1"/>
  <c r="F815" i="15" s="1"/>
  <c r="A816" i="15"/>
  <c r="D816" i="15" s="1"/>
  <c r="A817" i="15"/>
  <c r="E817" i="15" s="1"/>
  <c r="A818" i="15"/>
  <c r="A819" i="15"/>
  <c r="A820" i="15"/>
  <c r="A821" i="15"/>
  <c r="A822" i="15"/>
  <c r="D822" i="15" s="1"/>
  <c r="A823" i="15"/>
  <c r="B823" i="15" s="1"/>
  <c r="A824" i="15"/>
  <c r="E824" i="15" s="1"/>
  <c r="A825" i="15"/>
  <c r="A826" i="15"/>
  <c r="A827" i="15"/>
  <c r="E827" i="15" s="1"/>
  <c r="A828" i="15"/>
  <c r="D828" i="15" s="1"/>
  <c r="A829" i="15"/>
  <c r="A830" i="15"/>
  <c r="A831" i="15"/>
  <c r="A832" i="15"/>
  <c r="B832" i="15" s="1"/>
  <c r="A833" i="15"/>
  <c r="A834" i="15"/>
  <c r="D834" i="15" s="1"/>
  <c r="A835" i="15"/>
  <c r="E835" i="15" s="1"/>
  <c r="A836" i="15"/>
  <c r="C836" i="15" s="1"/>
  <c r="F836" i="15" s="1"/>
  <c r="A837" i="15"/>
  <c r="A838" i="15"/>
  <c r="A839" i="15"/>
  <c r="A840" i="15"/>
  <c r="C840" i="15" s="1"/>
  <c r="F840" i="15" s="1"/>
  <c r="A841" i="15"/>
  <c r="B841" i="15" s="1"/>
  <c r="A842" i="15"/>
  <c r="C842" i="15" s="1"/>
  <c r="F842" i="15" s="1"/>
  <c r="A843" i="15"/>
  <c r="A844" i="15"/>
  <c r="C844" i="15" s="1"/>
  <c r="F844" i="15" s="1"/>
  <c r="A845" i="15"/>
  <c r="B845" i="15" s="1"/>
  <c r="A846" i="15"/>
  <c r="A847" i="15"/>
  <c r="B847" i="15" s="1"/>
  <c r="A848" i="15"/>
  <c r="C848" i="15" s="1"/>
  <c r="F848" i="15" s="1"/>
  <c r="A849" i="15"/>
  <c r="A850" i="15"/>
  <c r="C850" i="15" s="1"/>
  <c r="F850" i="15" s="1"/>
  <c r="A851" i="15"/>
  <c r="A852" i="15"/>
  <c r="C852" i="15" s="1"/>
  <c r="F852" i="15" s="1"/>
  <c r="A853" i="15"/>
  <c r="A854" i="15"/>
  <c r="C854" i="15" s="1"/>
  <c r="F854" i="15" s="1"/>
  <c r="A855" i="15"/>
  <c r="B855" i="15" s="1"/>
  <c r="A856" i="15"/>
  <c r="A857" i="15"/>
  <c r="B857" i="15" s="1"/>
  <c r="A858" i="15"/>
  <c r="D858" i="15" s="1"/>
  <c r="A859" i="15"/>
  <c r="B859" i="15" s="1"/>
  <c r="A860" i="15"/>
  <c r="C860" i="15" s="1"/>
  <c r="F860" i="15" s="1"/>
  <c r="A861" i="15"/>
  <c r="A862" i="15"/>
  <c r="A863" i="15"/>
  <c r="D863" i="15" s="1"/>
  <c r="A864" i="15"/>
  <c r="B864" i="15" s="1"/>
  <c r="A865" i="15"/>
  <c r="A866" i="15"/>
  <c r="D866" i="15" s="1"/>
  <c r="A867" i="15"/>
  <c r="B867" i="15" s="1"/>
  <c r="A868" i="15"/>
  <c r="A869" i="15"/>
  <c r="D869" i="15" s="1"/>
  <c r="A870" i="15"/>
  <c r="A871" i="15"/>
  <c r="A872" i="15"/>
  <c r="D872" i="15" s="1"/>
  <c r="A873" i="15"/>
  <c r="A874" i="15"/>
  <c r="D874" i="15" s="1"/>
  <c r="A875" i="15"/>
  <c r="D875" i="15" s="1"/>
  <c r="A876" i="15"/>
  <c r="B876" i="15" s="1"/>
  <c r="A877" i="15"/>
  <c r="B877" i="15" s="1"/>
  <c r="A878" i="15"/>
  <c r="D878" i="15" s="1"/>
  <c r="A879" i="15"/>
  <c r="A880" i="15"/>
  <c r="D880" i="15" s="1"/>
  <c r="A881" i="15"/>
  <c r="D881" i="15" s="1"/>
  <c r="A882" i="15"/>
  <c r="B882" i="15" s="1"/>
  <c r="A883" i="15"/>
  <c r="A884" i="15"/>
  <c r="D884" i="15" s="1"/>
  <c r="A885" i="15"/>
  <c r="B885" i="15" s="1"/>
  <c r="A886" i="15"/>
  <c r="D886" i="15" s="1"/>
  <c r="A887" i="15"/>
  <c r="D887" i="15" s="1"/>
  <c r="A888" i="15"/>
  <c r="A889" i="15"/>
  <c r="A890" i="15"/>
  <c r="D890" i="15" s="1"/>
  <c r="A891" i="15"/>
  <c r="B891" i="15" s="1"/>
  <c r="A892" i="15"/>
  <c r="D892" i="15" s="1"/>
  <c r="A893" i="15"/>
  <c r="D893" i="15" s="1"/>
  <c r="A894" i="15"/>
  <c r="B894" i="15" s="1"/>
  <c r="A895" i="15"/>
  <c r="A896" i="15"/>
  <c r="D896" i="15" s="1"/>
  <c r="A897" i="15"/>
  <c r="A898" i="15"/>
  <c r="D898" i="15" s="1"/>
  <c r="A899" i="15"/>
  <c r="D899" i="15" s="1"/>
  <c r="A900" i="15"/>
  <c r="A901" i="15"/>
  <c r="D901" i="15" s="1"/>
  <c r="A902" i="15"/>
  <c r="D902" i="15" s="1"/>
  <c r="A903" i="15"/>
  <c r="B903" i="15" s="1"/>
  <c r="A904" i="15"/>
  <c r="D904" i="15" s="1"/>
  <c r="A905" i="15"/>
  <c r="D905" i="15" s="1"/>
  <c r="A906" i="15"/>
  <c r="A907" i="15"/>
  <c r="D907" i="15" s="1"/>
  <c r="A908" i="15"/>
  <c r="D908" i="15" s="1"/>
  <c r="A909" i="15"/>
  <c r="B909" i="15" s="1"/>
  <c r="A910" i="15"/>
  <c r="D910" i="15" s="1"/>
  <c r="A911" i="15"/>
  <c r="D911" i="15" s="1"/>
  <c r="A912" i="15"/>
  <c r="B912" i="15" s="1"/>
  <c r="A913" i="15"/>
  <c r="A914" i="15"/>
  <c r="D914" i="15" s="1"/>
  <c r="A915" i="15"/>
  <c r="A916" i="15"/>
  <c r="A917" i="15"/>
  <c r="D917" i="15" s="1"/>
  <c r="A918" i="15"/>
  <c r="B918" i="15" s="1"/>
  <c r="A919" i="15"/>
  <c r="A920" i="15"/>
  <c r="D920" i="15" s="1"/>
  <c r="A921" i="15"/>
  <c r="B921" i="15" s="1"/>
  <c r="A922" i="15"/>
  <c r="D922" i="15" s="1"/>
  <c r="A923" i="15"/>
  <c r="D923" i="15" s="1"/>
  <c r="A924" i="15"/>
  <c r="A925" i="15"/>
  <c r="D925" i="15" s="1"/>
  <c r="A926" i="15"/>
  <c r="D926" i="15" s="1"/>
  <c r="A927" i="15"/>
  <c r="B927" i="15" s="1"/>
  <c r="A928" i="15"/>
  <c r="D928" i="15" s="1"/>
  <c r="A929" i="15"/>
  <c r="D929" i="15" s="1"/>
  <c r="A930" i="15"/>
  <c r="B930" i="15" s="1"/>
  <c r="A931" i="15"/>
  <c r="B931" i="15" s="1"/>
  <c r="A932" i="15"/>
  <c r="D932" i="15" s="1"/>
  <c r="A933" i="15"/>
  <c r="A934" i="15"/>
  <c r="D934" i="15" s="1"/>
  <c r="A935" i="15"/>
  <c r="D935" i="15" s="1"/>
  <c r="A936" i="15"/>
  <c r="B936" i="15" s="1"/>
  <c r="A937" i="15"/>
  <c r="D937" i="15" s="1"/>
  <c r="A938" i="15"/>
  <c r="D938" i="15" s="1"/>
  <c r="A939" i="15"/>
  <c r="B939" i="15" s="1"/>
  <c r="A940" i="15"/>
  <c r="A941" i="15"/>
  <c r="D941" i="15" s="1"/>
  <c r="A942" i="15"/>
  <c r="A943" i="15"/>
  <c r="A944" i="15"/>
  <c r="D944" i="15" s="1"/>
  <c r="A945" i="15"/>
  <c r="B945" i="15" s="1"/>
  <c r="A946" i="15"/>
  <c r="A947" i="15"/>
  <c r="D947" i="15" s="1"/>
  <c r="A948" i="15"/>
  <c r="B948" i="15" s="1"/>
  <c r="A949" i="15"/>
  <c r="B949" i="15" s="1"/>
  <c r="A950" i="15"/>
  <c r="D950" i="15" s="1"/>
  <c r="A951" i="15"/>
  <c r="A952" i="15"/>
  <c r="D952" i="15" s="1"/>
  <c r="A953" i="15"/>
  <c r="D953" i="15" s="1"/>
  <c r="A954" i="15"/>
  <c r="A955" i="15"/>
  <c r="D955" i="15" s="1"/>
  <c r="A956" i="15"/>
  <c r="D956" i="15" s="1"/>
  <c r="A957" i="15"/>
  <c r="B957" i="15" s="1"/>
  <c r="A958" i="15"/>
  <c r="D958" i="15" s="1"/>
  <c r="A959" i="15"/>
  <c r="E959" i="15" s="1"/>
  <c r="A960" i="15"/>
  <c r="A961" i="15"/>
  <c r="A962" i="15"/>
  <c r="B962" i="15" s="1"/>
  <c r="A963" i="15"/>
  <c r="C963" i="15" s="1"/>
  <c r="F963" i="15" s="1"/>
  <c r="A964" i="15"/>
  <c r="B964" i="15" s="1"/>
  <c r="A965" i="15"/>
  <c r="A966" i="15"/>
  <c r="E966" i="15" s="1"/>
  <c r="A967" i="15"/>
  <c r="D967" i="15" s="1"/>
  <c r="A968" i="15"/>
  <c r="C968" i="15" s="1"/>
  <c r="F968" i="15" s="1"/>
  <c r="A969" i="15"/>
  <c r="A970" i="15"/>
  <c r="A971" i="15"/>
  <c r="E971" i="15" s="1"/>
  <c r="A972" i="15"/>
  <c r="D972" i="15" s="1"/>
  <c r="A973" i="15"/>
  <c r="A974" i="15"/>
  <c r="B974" i="15" s="1"/>
  <c r="A975" i="15"/>
  <c r="C975" i="15" s="1"/>
  <c r="F975" i="15" s="1"/>
  <c r="A976" i="15"/>
  <c r="A977" i="15"/>
  <c r="A978" i="15"/>
  <c r="A979" i="15"/>
  <c r="A980" i="15"/>
  <c r="A981" i="15"/>
  <c r="A982" i="15"/>
  <c r="C982" i="15" s="1"/>
  <c r="F982" i="15" s="1"/>
  <c r="A983" i="15"/>
  <c r="D983" i="15" s="1"/>
  <c r="A984" i="15"/>
  <c r="E984" i="15" s="1"/>
  <c r="A985" i="15"/>
  <c r="A986" i="15"/>
  <c r="A987" i="15"/>
  <c r="A988" i="15"/>
  <c r="A989" i="15"/>
  <c r="D989" i="15" s="1"/>
  <c r="A990" i="15"/>
  <c r="A991" i="15"/>
  <c r="A992" i="15"/>
  <c r="B992" i="15" s="1"/>
  <c r="A993" i="15"/>
  <c r="A994" i="15"/>
  <c r="C994" i="15" s="1"/>
  <c r="F994" i="15" s="1"/>
  <c r="A995" i="15"/>
  <c r="D995" i="15" s="1"/>
  <c r="A996" i="15"/>
  <c r="B996" i="15" s="1"/>
  <c r="A997" i="15"/>
  <c r="D997" i="15" s="1"/>
  <c r="A998" i="15"/>
  <c r="A999" i="15"/>
  <c r="A1000" i="15"/>
  <c r="B1000" i="15" s="1"/>
  <c r="A1001" i="15"/>
  <c r="A1002" i="15"/>
  <c r="E1002" i="15" s="1"/>
  <c r="A1003" i="15"/>
  <c r="C1003" i="15" s="1"/>
  <c r="F1003" i="15" s="1"/>
  <c r="A1004" i="15"/>
  <c r="C1004" i="15" s="1"/>
  <c r="F1004" i="15" s="1"/>
  <c r="A1005" i="15"/>
  <c r="A1006" i="15"/>
  <c r="B1006" i="15" s="1"/>
  <c r="A1007" i="15"/>
  <c r="A1008" i="15"/>
  <c r="C1008" i="15" s="1"/>
  <c r="F1008" i="15" s="1"/>
  <c r="A1009" i="15"/>
  <c r="E1009" i="15" s="1"/>
  <c r="A1010" i="15"/>
  <c r="C1010" i="15" s="1"/>
  <c r="F1010" i="15" s="1"/>
  <c r="A1011" i="15"/>
  <c r="A1012" i="15"/>
  <c r="A1013" i="15"/>
  <c r="A1014" i="15"/>
  <c r="A1015" i="15"/>
  <c r="A1016" i="15"/>
  <c r="B1016" i="15" s="1"/>
  <c r="A1017" i="15"/>
  <c r="A1018" i="15"/>
  <c r="B1018" i="15" s="1"/>
  <c r="A1019" i="15"/>
  <c r="A1020" i="15"/>
  <c r="A1021" i="15"/>
  <c r="C1021" i="15" s="1"/>
  <c r="F1021" i="15" s="1"/>
  <c r="A1022" i="15"/>
  <c r="E1022" i="15" s="1"/>
  <c r="A1023" i="15"/>
  <c r="A1024" i="15"/>
  <c r="B1024" i="15" s="1"/>
  <c r="A1025" i="15"/>
  <c r="A1026" i="15"/>
  <c r="A1027" i="15"/>
  <c r="D1027" i="15" s="1"/>
  <c r="A1028" i="15"/>
  <c r="B1028" i="15" s="1"/>
  <c r="A1029" i="15"/>
  <c r="A1030" i="15"/>
  <c r="A1031" i="15"/>
  <c r="B1031" i="15" s="1"/>
  <c r="A1032" i="15"/>
  <c r="A1033" i="15"/>
  <c r="D1033" i="15" s="1"/>
  <c r="A1034" i="15"/>
  <c r="C1034" i="15" s="1"/>
  <c r="F1034" i="15" s="1"/>
  <c r="A1035" i="15"/>
  <c r="A1036" i="15"/>
  <c r="B1036" i="15" s="1"/>
  <c r="A1037" i="15"/>
  <c r="B1037" i="15" s="1"/>
  <c r="A1038" i="15"/>
  <c r="B1038" i="15" s="1"/>
  <c r="A1039" i="15"/>
  <c r="C1039" i="15" s="1"/>
  <c r="F1039" i="15" s="1"/>
  <c r="A1040" i="15"/>
  <c r="E1040" i="15" s="1"/>
  <c r="A1041" i="15"/>
  <c r="A1042" i="15"/>
  <c r="B1042" i="15" s="1"/>
  <c r="A1043" i="15"/>
  <c r="A1044" i="15"/>
  <c r="A1045" i="15"/>
  <c r="B1045" i="15" s="1"/>
  <c r="A1046" i="15"/>
  <c r="A1047" i="15"/>
  <c r="B1047" i="15" s="1"/>
  <c r="A1048" i="15"/>
  <c r="E1048" i="15" s="1"/>
  <c r="A1049" i="15"/>
  <c r="A1050" i="15"/>
  <c r="E1050" i="15" s="1"/>
  <c r="A1051" i="15"/>
  <c r="D1051" i="15" s="1"/>
  <c r="A1052" i="15"/>
  <c r="A1053" i="15"/>
  <c r="E1053" i="15" s="1"/>
  <c r="A1054" i="15"/>
  <c r="A1055" i="15"/>
  <c r="A1056" i="15"/>
  <c r="B1056" i="15" s="1"/>
  <c r="A1057" i="15"/>
  <c r="A1058" i="15"/>
  <c r="A1059" i="15"/>
  <c r="A1060" i="15"/>
  <c r="B1060" i="15" s="1"/>
  <c r="A1061" i="15"/>
  <c r="A1062" i="15"/>
  <c r="D1062" i="15" s="1"/>
  <c r="A1063" i="15"/>
  <c r="D1063" i="15" s="1"/>
  <c r="A1064" i="15"/>
  <c r="A1065" i="15"/>
  <c r="D1065" i="15" s="1"/>
  <c r="A1066" i="15"/>
  <c r="D1066" i="15" s="1"/>
  <c r="A1067" i="15"/>
  <c r="A1068" i="15"/>
  <c r="A1069" i="15"/>
  <c r="A1070" i="15"/>
  <c r="A1071" i="15"/>
  <c r="D1071" i="15" s="1"/>
  <c r="A1072" i="15"/>
  <c r="E1072" i="15" s="1"/>
  <c r="A1073" i="15"/>
  <c r="A1074" i="15"/>
  <c r="B1074" i="15" s="1"/>
  <c r="A1075" i="15"/>
  <c r="D1075" i="15" s="1"/>
  <c r="A1076" i="15"/>
  <c r="A1077" i="15"/>
  <c r="A1078" i="15"/>
  <c r="D1078" i="15" s="1"/>
  <c r="A1079" i="15"/>
  <c r="A1080" i="15"/>
  <c r="B1080" i="15" s="1"/>
  <c r="A1081" i="15"/>
  <c r="D1081" i="15" s="1"/>
  <c r="A1082" i="15"/>
  <c r="A1083" i="15"/>
  <c r="B1083" i="15" s="1"/>
  <c r="A1084" i="15"/>
  <c r="B1084" i="15" s="1"/>
  <c r="A1085" i="15"/>
  <c r="A1086" i="15"/>
  <c r="B1086" i="15" s="1"/>
  <c r="A1087" i="15"/>
  <c r="B1087" i="15" s="1"/>
  <c r="A1088" i="15"/>
  <c r="B1088" i="15" s="1"/>
  <c r="A1089" i="15"/>
  <c r="E1089" i="15" s="1"/>
  <c r="A1090" i="15"/>
  <c r="C1090" i="15" s="1"/>
  <c r="F1090" i="15" s="1"/>
  <c r="A1091" i="15"/>
  <c r="E1091" i="15" s="1"/>
  <c r="A1092" i="15"/>
  <c r="B1092" i="15" s="1"/>
  <c r="A1093" i="15"/>
  <c r="B1093" i="15" s="1"/>
  <c r="A1094" i="15"/>
  <c r="E1094" i="15" s="1"/>
  <c r="A1095" i="15"/>
  <c r="A1096" i="15"/>
  <c r="E1096" i="15" s="1"/>
  <c r="A1097" i="15"/>
  <c r="A1098" i="15"/>
  <c r="B1098" i="15" s="1"/>
  <c r="A1099" i="15"/>
  <c r="A1100" i="15"/>
  <c r="E1100" i="15" s="1"/>
  <c r="A1101" i="15"/>
  <c r="A1102" i="15"/>
  <c r="A1103" i="15"/>
  <c r="E1103" i="15" s="1"/>
  <c r="A1104" i="15"/>
  <c r="B1104" i="15" s="1"/>
  <c r="A1105" i="15"/>
  <c r="C1105" i="15" s="1"/>
  <c r="F1105" i="15" s="1"/>
  <c r="A1106" i="15"/>
  <c r="A1107" i="15"/>
  <c r="A1108" i="15"/>
  <c r="C1108" i="15" s="1"/>
  <c r="F1108" i="15" s="1"/>
  <c r="A1109" i="15"/>
  <c r="A1110" i="15"/>
  <c r="B1110" i="15" s="1"/>
  <c r="A1111" i="15"/>
  <c r="B1111" i="15" s="1"/>
  <c r="A1112" i="15"/>
  <c r="A1113" i="15"/>
  <c r="A1114" i="15"/>
  <c r="B1114" i="15" s="1"/>
  <c r="A1115" i="15"/>
  <c r="E1115" i="15" s="1"/>
  <c r="A1116" i="15"/>
  <c r="A1117" i="15"/>
  <c r="A1118" i="15"/>
  <c r="E1118" i="15" s="1"/>
  <c r="A1119" i="15"/>
  <c r="C1119" i="15" s="1"/>
  <c r="F1119" i="15" s="1"/>
  <c r="A1120" i="15"/>
  <c r="A1121" i="15"/>
  <c r="A1122" i="15"/>
  <c r="B1122" i="15" s="1"/>
  <c r="A1123" i="15"/>
  <c r="C1123" i="15" s="1"/>
  <c r="F1123" i="15" s="1"/>
  <c r="A1124" i="15"/>
  <c r="E1124" i="15" s="1"/>
  <c r="A1125" i="15"/>
  <c r="A1126" i="15"/>
  <c r="C1126" i="15" s="1"/>
  <c r="F1126" i="15" s="1"/>
  <c r="A1127" i="15"/>
  <c r="E1127" i="15" s="1"/>
  <c r="A1128" i="15"/>
  <c r="A1129" i="15"/>
  <c r="C1129" i="15" s="1"/>
  <c r="F1129" i="15" s="1"/>
  <c r="A1130" i="15"/>
  <c r="E1130" i="15" s="1"/>
  <c r="A1131" i="15"/>
  <c r="A1132" i="15"/>
  <c r="E1132" i="15" s="1"/>
  <c r="A1133" i="15"/>
  <c r="A1134" i="15"/>
  <c r="A1135" i="15"/>
  <c r="A1136" i="15"/>
  <c r="A1137" i="15"/>
  <c r="E1137" i="15" s="1"/>
  <c r="A1138" i="15"/>
  <c r="C1138" i="15" s="1"/>
  <c r="F1138" i="15" s="1"/>
  <c r="A1139" i="15"/>
  <c r="D1139" i="15" s="1"/>
  <c r="A1140" i="15"/>
  <c r="B1140" i="15" s="1"/>
  <c r="A1141" i="15"/>
  <c r="B1141" i="15" s="1"/>
  <c r="A1142" i="15"/>
  <c r="E1142" i="15" s="1"/>
  <c r="A1143" i="15"/>
  <c r="E1143" i="15" s="1"/>
  <c r="A1145" i="15"/>
  <c r="B1145" i="15" s="1"/>
  <c r="A1146" i="15"/>
  <c r="D1146" i="15" s="1"/>
  <c r="A1147" i="15"/>
  <c r="A1148" i="15"/>
  <c r="B1148" i="15" s="1"/>
  <c r="A1149" i="15"/>
  <c r="B1149" i="15" s="1"/>
  <c r="A1150" i="15"/>
  <c r="A1151" i="15"/>
  <c r="B1151" i="15" s="1"/>
  <c r="A1152" i="15"/>
  <c r="E1152" i="15" s="1"/>
  <c r="A1153" i="15"/>
  <c r="A1154" i="15"/>
  <c r="C1154" i="15" s="1"/>
  <c r="F1154" i="15" s="1"/>
  <c r="A1155" i="15"/>
  <c r="E1155" i="15" s="1"/>
  <c r="A1156" i="15"/>
  <c r="B1156" i="15" s="1"/>
  <c r="A1157" i="15"/>
  <c r="E1157" i="15" s="1"/>
  <c r="A1158" i="15"/>
  <c r="E1158" i="15" s="1"/>
  <c r="A1159" i="15"/>
  <c r="B1159" i="15" s="1"/>
  <c r="A1160" i="15"/>
  <c r="C1160" i="15" s="1"/>
  <c r="F1160" i="15" s="1"/>
  <c r="A1161" i="15"/>
  <c r="D1161" i="15" s="1"/>
  <c r="A1162" i="15"/>
  <c r="C1162" i="15" s="1"/>
  <c r="F1162" i="15" s="1"/>
  <c r="A1163" i="15"/>
  <c r="C1163" i="15" s="1"/>
  <c r="F1163" i="15" s="1"/>
  <c r="A1164" i="15"/>
  <c r="D1164" i="15" s="1"/>
  <c r="A1165" i="15"/>
  <c r="B1165" i="15" s="1"/>
  <c r="A1166" i="15"/>
  <c r="B1166" i="15" s="1"/>
  <c r="A1167" i="15"/>
  <c r="A1168" i="15"/>
  <c r="A1169" i="15"/>
  <c r="B1169" i="15" s="1"/>
  <c r="A1170" i="15"/>
  <c r="A1171" i="15"/>
  <c r="B1171" i="15" s="1"/>
  <c r="A1172" i="15"/>
  <c r="C1172" i="15" s="1"/>
  <c r="F1172" i="15" s="1"/>
  <c r="A1173" i="15"/>
  <c r="D1173" i="15" s="1"/>
  <c r="A1174" i="15"/>
  <c r="E1174" i="15" s="1"/>
  <c r="A1175" i="15"/>
  <c r="C1175" i="15" s="1"/>
  <c r="F1175" i="15" s="1"/>
  <c r="A1176" i="15"/>
  <c r="E1176" i="15" s="1"/>
  <c r="A1177" i="15"/>
  <c r="A1178" i="15"/>
  <c r="E1178" i="15" s="1"/>
  <c r="A1179" i="15"/>
  <c r="A1180" i="15"/>
  <c r="D1180" i="15" s="1"/>
  <c r="A1181" i="15"/>
  <c r="C1181" i="15" s="1"/>
  <c r="F1181" i="15" s="1"/>
  <c r="A1182" i="15"/>
  <c r="A1183" i="15"/>
  <c r="C1183" i="15" s="1"/>
  <c r="F1183" i="15" s="1"/>
  <c r="A1184" i="15"/>
  <c r="B1184" i="15" s="1"/>
  <c r="A1185" i="15"/>
  <c r="E1185" i="15" s="1"/>
  <c r="A1186" i="15"/>
  <c r="A1187" i="15"/>
  <c r="D1187" i="15" s="1"/>
  <c r="A1188" i="15"/>
  <c r="B1188" i="15" s="1"/>
  <c r="A1189" i="15"/>
  <c r="E1189" i="15" s="1"/>
  <c r="A1190" i="15"/>
  <c r="D1190" i="15" s="1"/>
  <c r="A1191" i="15"/>
  <c r="A1192" i="15"/>
  <c r="D1192" i="15" s="1"/>
  <c r="A1193" i="15"/>
  <c r="C1193" i="15" s="1"/>
  <c r="F1193" i="15" s="1"/>
  <c r="A1194" i="15"/>
  <c r="A1195" i="15"/>
  <c r="C1195" i="15" s="1"/>
  <c r="F1195" i="15" s="1"/>
  <c r="A1196" i="15"/>
  <c r="D1196" i="15" s="1"/>
  <c r="A1197" i="15"/>
  <c r="B1197" i="15" s="1"/>
  <c r="A1198" i="15"/>
  <c r="D1198" i="15" s="1"/>
  <c r="A1199" i="15"/>
  <c r="B1199" i="15" s="1"/>
  <c r="A1200" i="15"/>
  <c r="A1201" i="15"/>
  <c r="A1202" i="15"/>
  <c r="A1203" i="15"/>
  <c r="E1203" i="15" s="1"/>
  <c r="A1204" i="15"/>
  <c r="A1205" i="15"/>
  <c r="C1205" i="15" s="1"/>
  <c r="F1205" i="15" s="1"/>
  <c r="A1206" i="15"/>
  <c r="B1206" i="15" s="1"/>
  <c r="A1207" i="15"/>
  <c r="C1207" i="15" s="1"/>
  <c r="F1207" i="15" s="1"/>
  <c r="A1208" i="15"/>
  <c r="A1209" i="15"/>
  <c r="E1209" i="15" s="1"/>
  <c r="A1210" i="15"/>
  <c r="B1210" i="15" s="1"/>
  <c r="A1211" i="15"/>
  <c r="A1212" i="15"/>
  <c r="B1212" i="15" s="1"/>
  <c r="A1213" i="15"/>
  <c r="A1214" i="15"/>
  <c r="D1214" i="15" s="1"/>
  <c r="A1215" i="15"/>
  <c r="B1215" i="15" s="1"/>
  <c r="A1216" i="15"/>
  <c r="C1216" i="15" s="1"/>
  <c r="F1216" i="15" s="1"/>
  <c r="A1217" i="15"/>
  <c r="C1217" i="15" s="1"/>
  <c r="F1217" i="15" s="1"/>
  <c r="A1218" i="15"/>
  <c r="E1218" i="15" s="1"/>
  <c r="A1219" i="15"/>
  <c r="C1219" i="15" s="1"/>
  <c r="F1219" i="15" s="1"/>
  <c r="A1220" i="15"/>
  <c r="D1220" i="15" s="1"/>
  <c r="A1221" i="15"/>
  <c r="E1221" i="15" s="1"/>
  <c r="A1222" i="15"/>
  <c r="A1223" i="15"/>
  <c r="A1224" i="15"/>
  <c r="C1224" i="15" s="1"/>
  <c r="F1224" i="15" s="1"/>
  <c r="A1225" i="15"/>
  <c r="A1226" i="15"/>
  <c r="E1226" i="15" s="1"/>
  <c r="A1227" i="15"/>
  <c r="A1228" i="15"/>
  <c r="E1228" i="15" s="1"/>
  <c r="A1229" i="15"/>
  <c r="E1229" i="15" s="1"/>
  <c r="A1230" i="15"/>
  <c r="B1230" i="15" s="1"/>
  <c r="A1231" i="15"/>
  <c r="A1232" i="15"/>
  <c r="D1232" i="15" s="1"/>
  <c r="A1233" i="15"/>
  <c r="C1233" i="15" s="1"/>
  <c r="F1233" i="15" s="1"/>
  <c r="A1234" i="15"/>
  <c r="A1235" i="15"/>
  <c r="D1235" i="15" s="1"/>
  <c r="A1236" i="15"/>
  <c r="B1236" i="15" s="1"/>
  <c r="A1237" i="15"/>
  <c r="A1238" i="15"/>
  <c r="D1238" i="15" s="1"/>
  <c r="A1239" i="15"/>
  <c r="E1239" i="15" s="1"/>
  <c r="A1240" i="15"/>
  <c r="A1241" i="15"/>
  <c r="A1242" i="15"/>
  <c r="A1243" i="15"/>
  <c r="C1243" i="15" s="1"/>
  <c r="F1243" i="15" s="1"/>
  <c r="A1244" i="15"/>
  <c r="D1244" i="15" s="1"/>
  <c r="A1245" i="15"/>
  <c r="A1246" i="15"/>
  <c r="E1246" i="15" s="1"/>
  <c r="A1247" i="15"/>
  <c r="A1248" i="15"/>
  <c r="B1248" i="15" s="1"/>
  <c r="A1249" i="15"/>
  <c r="C1249" i="15" s="1"/>
  <c r="F1249" i="15" s="1"/>
  <c r="A1250" i="15"/>
  <c r="A1251" i="15"/>
  <c r="D1251" i="15" s="1"/>
  <c r="A1252" i="15"/>
  <c r="A1253" i="15"/>
  <c r="E1253" i="15" s="1"/>
  <c r="A1254" i="15"/>
  <c r="B1254" i="15" s="1"/>
  <c r="A1255" i="15"/>
  <c r="D1255" i="15" s="1"/>
  <c r="A1256" i="15"/>
  <c r="D1256" i="15" s="1"/>
  <c r="A1257" i="15"/>
  <c r="E1257" i="15" s="1"/>
  <c r="A1258" i="15"/>
  <c r="A1259" i="15"/>
  <c r="D1259" i="15" s="1"/>
  <c r="A1260" i="15"/>
  <c r="A1261" i="15"/>
  <c r="A1262" i="15"/>
  <c r="A1263" i="15"/>
  <c r="E1263" i="15" s="1"/>
  <c r="A1264" i="15"/>
  <c r="B1264" i="15" s="1"/>
  <c r="A1265" i="15"/>
  <c r="B1265" i="15" s="1"/>
  <c r="A1266" i="15"/>
  <c r="E1266" i="15" s="1"/>
  <c r="A1267" i="15"/>
  <c r="C1267" i="15" s="1"/>
  <c r="F1267" i="15" s="1"/>
  <c r="A1268" i="15"/>
  <c r="A1269" i="15"/>
  <c r="A1270" i="15"/>
  <c r="B1270" i="15" s="1"/>
  <c r="A1271" i="15"/>
  <c r="D1271" i="15" s="1"/>
  <c r="A1272" i="15"/>
  <c r="A1273" i="15"/>
  <c r="B1273" i="15" s="1"/>
  <c r="A1274" i="15"/>
  <c r="A1275" i="15"/>
  <c r="A1276" i="15"/>
  <c r="A1277" i="15"/>
  <c r="C1277" i="15" s="1"/>
  <c r="F1277" i="15" s="1"/>
  <c r="A1278" i="15"/>
  <c r="E1278" i="15" s="1"/>
  <c r="A1279" i="15"/>
  <c r="C1279" i="15" s="1"/>
  <c r="F1279" i="15" s="1"/>
  <c r="A1280" i="15"/>
  <c r="D1280" i="15" s="1"/>
  <c r="A1281" i="15"/>
  <c r="A1282" i="15"/>
  <c r="C1282" i="15" s="1"/>
  <c r="F1282" i="15" s="1"/>
  <c r="A1283" i="15"/>
  <c r="A1284" i="15"/>
  <c r="A1285" i="15"/>
  <c r="A1286" i="15"/>
  <c r="D1286" i="15" s="1"/>
  <c r="A1287" i="15"/>
  <c r="A1288" i="15"/>
  <c r="D1288" i="15" s="1"/>
  <c r="A1289" i="15"/>
  <c r="D1289" i="15" s="1"/>
  <c r="A1290" i="15"/>
  <c r="D1290" i="15" s="1"/>
  <c r="A1291" i="15"/>
  <c r="D1291" i="15" s="1"/>
  <c r="A1292" i="15"/>
  <c r="D1292" i="15" s="1"/>
  <c r="A1293" i="15"/>
  <c r="D1293" i="15" s="1"/>
  <c r="A1294" i="15"/>
  <c r="A1295" i="15"/>
  <c r="D1295" i="15" s="1"/>
  <c r="A1296" i="15"/>
  <c r="D1296" i="15" s="1"/>
  <c r="A1297" i="15"/>
  <c r="A1298" i="15"/>
  <c r="D1298" i="15" s="1"/>
  <c r="A1299" i="15"/>
  <c r="A1300" i="15"/>
  <c r="D1300" i="15" s="1"/>
  <c r="A1301" i="15"/>
  <c r="D1301" i="15" s="1"/>
  <c r="A1302" i="15"/>
  <c r="D1302" i="15" s="1"/>
  <c r="A1303" i="15"/>
  <c r="A1304" i="15"/>
  <c r="D1304" i="15" s="1"/>
  <c r="A1305" i="15"/>
  <c r="A1308" i="15"/>
  <c r="D1308" i="15" s="1"/>
  <c r="A1309" i="15"/>
  <c r="D1309" i="15" s="1"/>
  <c r="A1310" i="15"/>
  <c r="D1310" i="15" s="1"/>
  <c r="A1311" i="15"/>
  <c r="D1311" i="15" s="1"/>
  <c r="A1312" i="15"/>
  <c r="D1312" i="15" s="1"/>
  <c r="A1313" i="15"/>
  <c r="D1313" i="15" s="1"/>
  <c r="A1314" i="15"/>
  <c r="A1315" i="15"/>
  <c r="D1315" i="15" s="1"/>
  <c r="A1316" i="15"/>
  <c r="D1316" i="15" s="1"/>
  <c r="A1317" i="15"/>
  <c r="A1318" i="15"/>
  <c r="D1318" i="15" s="1"/>
  <c r="A1319" i="15"/>
  <c r="D1319" i="15" s="1"/>
  <c r="A1320" i="15"/>
  <c r="D1320" i="15" s="1"/>
  <c r="A1321" i="15"/>
  <c r="D1321" i="15" s="1"/>
  <c r="A1322" i="15"/>
  <c r="D1322" i="15" s="1"/>
  <c r="A1323" i="15"/>
  <c r="E1323" i="15" s="1"/>
  <c r="A1324" i="15"/>
  <c r="D1324" i="15" s="1"/>
  <c r="A1325" i="15"/>
  <c r="A1326" i="15"/>
  <c r="D1326" i="15" s="1"/>
  <c r="A1327" i="15"/>
  <c r="D1327" i="15" s="1"/>
  <c r="A1328" i="15"/>
  <c r="D1328" i="15" s="1"/>
  <c r="A1329" i="15"/>
  <c r="A1330" i="15"/>
  <c r="D1330" i="15" s="1"/>
  <c r="A1331" i="15"/>
  <c r="D1331" i="15" s="1"/>
  <c r="A1332" i="15"/>
  <c r="A1333" i="15"/>
  <c r="D1333" i="15" s="1"/>
  <c r="A1334" i="15"/>
  <c r="D1334" i="15" s="1"/>
  <c r="A1335" i="15"/>
  <c r="A1336" i="15"/>
  <c r="D1336" i="15" s="1"/>
  <c r="A1337" i="15"/>
  <c r="D1337" i="15" s="1"/>
  <c r="A1338" i="15"/>
  <c r="D1338" i="15" s="1"/>
  <c r="A1339" i="15"/>
  <c r="D1339" i="15" s="1"/>
  <c r="A1340" i="15"/>
  <c r="D1340" i="15" s="1"/>
  <c r="A1341" i="15"/>
  <c r="E1341" i="15" s="1"/>
  <c r="A1342" i="15"/>
  <c r="D1342" i="15" s="1"/>
  <c r="A1343" i="15"/>
  <c r="A1344" i="15"/>
  <c r="D1344" i="15" s="1"/>
  <c r="A1345" i="15"/>
  <c r="A1346" i="15"/>
  <c r="D1346" i="15" s="1"/>
  <c r="A1347" i="15"/>
  <c r="E1347" i="15" s="1"/>
  <c r="A1348" i="15"/>
  <c r="D1348" i="15" s="1"/>
  <c r="A1349" i="15"/>
  <c r="D1349" i="15" s="1"/>
  <c r="A1350" i="15"/>
  <c r="A1351" i="15"/>
  <c r="D1351" i="15" s="1"/>
  <c r="A1352" i="15"/>
  <c r="A1353" i="15"/>
  <c r="A1354" i="15"/>
  <c r="D1354" i="15" s="1"/>
  <c r="A1355" i="15"/>
  <c r="D1355" i="15" s="1"/>
  <c r="A1356" i="15"/>
  <c r="D1356" i="15" s="1"/>
  <c r="A1357" i="15"/>
  <c r="A1358" i="15"/>
  <c r="A1359" i="15"/>
  <c r="D1359" i="15" s="1"/>
  <c r="A1360" i="15"/>
  <c r="D1360" i="15" s="1"/>
  <c r="A1361" i="15"/>
  <c r="A1362" i="15"/>
  <c r="D1362" i="15" s="1"/>
  <c r="A1363" i="15"/>
  <c r="A1364" i="15"/>
  <c r="A1365" i="15"/>
  <c r="A1366" i="15"/>
  <c r="D1366" i="15" s="1"/>
  <c r="A1367" i="15"/>
  <c r="D1367" i="15" s="1"/>
  <c r="A1368" i="15"/>
  <c r="A1369" i="15"/>
  <c r="A1370" i="15"/>
  <c r="A1371" i="15"/>
  <c r="A1372" i="15"/>
  <c r="D1372" i="15" s="1"/>
  <c r="A1373" i="15"/>
  <c r="D1373" i="15" s="1"/>
  <c r="A1374" i="15"/>
  <c r="D1374" i="15" s="1"/>
  <c r="A1375" i="15"/>
  <c r="A1376" i="15"/>
  <c r="A1377" i="15"/>
  <c r="D1377" i="15" s="1"/>
  <c r="A1378" i="15"/>
  <c r="D1378" i="15" s="1"/>
  <c r="A1379" i="15"/>
  <c r="D1379" i="15" s="1"/>
  <c r="A1380" i="15"/>
  <c r="D1380" i="15" s="1"/>
  <c r="A1381" i="15"/>
  <c r="A1382" i="15"/>
  <c r="A1383" i="15"/>
  <c r="D1383" i="15" s="1"/>
  <c r="A1384" i="15"/>
  <c r="D1384" i="15" s="1"/>
  <c r="A1385" i="15"/>
  <c r="D1385" i="15" s="1"/>
  <c r="A1386" i="15"/>
  <c r="A1387" i="15"/>
  <c r="A1388" i="15"/>
  <c r="A1389" i="15"/>
  <c r="A1390" i="15"/>
  <c r="D1390" i="15" s="1"/>
  <c r="A1391" i="15"/>
  <c r="D1391" i="15" s="1"/>
  <c r="A1392" i="15"/>
  <c r="D1392" i="15" s="1"/>
  <c r="A1393" i="15"/>
  <c r="A1394" i="15"/>
  <c r="A1395" i="15"/>
  <c r="A1396" i="15"/>
  <c r="D1396" i="15" s="1"/>
  <c r="A1397" i="15"/>
  <c r="E1397" i="15" s="1"/>
  <c r="A1398" i="15"/>
  <c r="D1398" i="15" s="1"/>
  <c r="A1399" i="15"/>
  <c r="D1399" i="15" s="1"/>
  <c r="A1400" i="15"/>
  <c r="A1401" i="15"/>
  <c r="A1402" i="15"/>
  <c r="D1402" i="15" s="1"/>
  <c r="A1403" i="15"/>
  <c r="A1404" i="15"/>
  <c r="A1405" i="15"/>
  <c r="A1406" i="15"/>
  <c r="D1406" i="15" s="1"/>
  <c r="A1407" i="15"/>
  <c r="D1407" i="15" s="1"/>
  <c r="A1408" i="15"/>
  <c r="D1408" i="15" s="1"/>
  <c r="A1409" i="15"/>
  <c r="E1409" i="15" s="1"/>
  <c r="A1410" i="15"/>
  <c r="D1410" i="15" s="1"/>
  <c r="A1411" i="15"/>
  <c r="D1411" i="15" s="1"/>
  <c r="A1412" i="15"/>
  <c r="D1412" i="15" s="1"/>
  <c r="A1413" i="15"/>
  <c r="A1414" i="15"/>
  <c r="D1414" i="15" s="1"/>
  <c r="A1415" i="15"/>
  <c r="E1415" i="15" s="1"/>
  <c r="A1416" i="15"/>
  <c r="A1417" i="15"/>
  <c r="D1417" i="15" s="1"/>
  <c r="A1418" i="15"/>
  <c r="D1418" i="15" s="1"/>
  <c r="A1419" i="15"/>
  <c r="A1420" i="15"/>
  <c r="D1420" i="15" s="1"/>
  <c r="A1421" i="15"/>
  <c r="E1421" i="15" s="1"/>
  <c r="A1422" i="15"/>
  <c r="A1423" i="15"/>
  <c r="D1423" i="15" s="1"/>
  <c r="A1424" i="15"/>
  <c r="D1424" i="15" s="1"/>
  <c r="A1425" i="15"/>
  <c r="D1425" i="15" s="1"/>
  <c r="A1426" i="15"/>
  <c r="D1426" i="15" s="1"/>
  <c r="A1427" i="15"/>
  <c r="E1427" i="15" s="1"/>
  <c r="A1428" i="15"/>
  <c r="A1429" i="15"/>
  <c r="D1429" i="15" s="1"/>
  <c r="A1430" i="15"/>
  <c r="D1430" i="15" s="1"/>
  <c r="A1431" i="15"/>
  <c r="D1431" i="15" s="1"/>
  <c r="A1432" i="15"/>
  <c r="D1432" i="15" s="1"/>
  <c r="A1433" i="15"/>
  <c r="E1433" i="15" s="1"/>
  <c r="A1434" i="15"/>
  <c r="A1435" i="15"/>
  <c r="D1435" i="15" s="1"/>
  <c r="A1436" i="15"/>
  <c r="D1436" i="15" s="1"/>
  <c r="A1437" i="15"/>
  <c r="A1438" i="15"/>
  <c r="D1438" i="15" s="1"/>
  <c r="A1439" i="15"/>
  <c r="E1439" i="15" s="1"/>
  <c r="A1440" i="15"/>
  <c r="A1441" i="15"/>
  <c r="D1441" i="15" s="1"/>
  <c r="A1442" i="15"/>
  <c r="D1442" i="15" s="1"/>
  <c r="A1443" i="15"/>
  <c r="D1443" i="15" s="1"/>
  <c r="A1444" i="15"/>
  <c r="D1444" i="15" s="1"/>
  <c r="A1445" i="15"/>
  <c r="E1445" i="15" s="1"/>
  <c r="A1446" i="15"/>
  <c r="A1447" i="15"/>
  <c r="D1447" i="15" s="1"/>
  <c r="A1448" i="15"/>
  <c r="D1448" i="15" s="1"/>
  <c r="A1449" i="15"/>
  <c r="A1450" i="15"/>
  <c r="D1450" i="15" s="1"/>
  <c r="A1451" i="15"/>
  <c r="E1451" i="15" s="1"/>
  <c r="A1452" i="15"/>
  <c r="A1453" i="15"/>
  <c r="D1453" i="15" s="1"/>
  <c r="A1454" i="15"/>
  <c r="D1454" i="15" s="1"/>
  <c r="A1455" i="15"/>
  <c r="A1456" i="15"/>
  <c r="A1457" i="15"/>
  <c r="D1457" i="15" s="1"/>
  <c r="A1458" i="15"/>
  <c r="A1459" i="15"/>
  <c r="D1459" i="15" s="1"/>
  <c r="A1460" i="15"/>
  <c r="E1460" i="15" s="1"/>
  <c r="A1461" i="15"/>
  <c r="D1461" i="15" s="1"/>
  <c r="A1462" i="15"/>
  <c r="D1462" i="15" s="1"/>
  <c r="A1463" i="15"/>
  <c r="D1463" i="15" s="1"/>
  <c r="A1464" i="15"/>
  <c r="D1464" i="15" s="1"/>
  <c r="A1465" i="15"/>
  <c r="A1466" i="15"/>
  <c r="A1467" i="15"/>
  <c r="A1468" i="15"/>
  <c r="D1468" i="15" s="1"/>
  <c r="A1469" i="15"/>
  <c r="D1469" i="15" s="1"/>
  <c r="A1470" i="15"/>
  <c r="A1471" i="15"/>
  <c r="D1471" i="15" s="1"/>
  <c r="A1472" i="15"/>
  <c r="D1472" i="15" s="1"/>
  <c r="A1473" i="15"/>
  <c r="A1474" i="15"/>
  <c r="A1475" i="15"/>
  <c r="D1475" i="15" s="1"/>
  <c r="A1476" i="15"/>
  <c r="A1477" i="15"/>
  <c r="A1478" i="15"/>
  <c r="D1478" i="15" s="1"/>
  <c r="A1479" i="15"/>
  <c r="D1479" i="15" s="1"/>
  <c r="A1480" i="15"/>
  <c r="A1481" i="15"/>
  <c r="D1481" i="15" s="1"/>
  <c r="A1482" i="15"/>
  <c r="D1482" i="15" s="1"/>
  <c r="A1483" i="15"/>
  <c r="D1483" i="15" s="1"/>
  <c r="A1484" i="15"/>
  <c r="D1484" i="15" s="1"/>
  <c r="A1485" i="15"/>
  <c r="A1486" i="15"/>
  <c r="A1487" i="15"/>
  <c r="D1487" i="15" s="1"/>
  <c r="A1488" i="15"/>
  <c r="D1488" i="15" s="1"/>
  <c r="A1489" i="15"/>
  <c r="D1489" i="15" s="1"/>
  <c r="A1490" i="15"/>
  <c r="D1490" i="15" s="1"/>
  <c r="A1491" i="15"/>
  <c r="A1492" i="15"/>
  <c r="D1492" i="15" s="1"/>
  <c r="A1493" i="15"/>
  <c r="D1493" i="15" s="1"/>
  <c r="A1494" i="15"/>
  <c r="A1495" i="15"/>
  <c r="D1495" i="15" s="1"/>
  <c r="A1496" i="15"/>
  <c r="D1496" i="15" s="1"/>
  <c r="A1497" i="15"/>
  <c r="D1497" i="15" s="1"/>
  <c r="A1498" i="15"/>
  <c r="D1498" i="15" s="1"/>
  <c r="A1499" i="15"/>
  <c r="A1500" i="15"/>
  <c r="D1500" i="15" s="1"/>
  <c r="A1501" i="15"/>
  <c r="D1501" i="15" s="1"/>
  <c r="A1502" i="15"/>
  <c r="D1502" i="15" s="1"/>
  <c r="A1503" i="15"/>
  <c r="A1504" i="15"/>
  <c r="D1504" i="15" s="1"/>
  <c r="A1505" i="15"/>
  <c r="D1505" i="15" s="1"/>
  <c r="A1506" i="15"/>
  <c r="D1506" i="15" s="1"/>
  <c r="A1507" i="15"/>
  <c r="D1507" i="15" s="1"/>
  <c r="A1508" i="15"/>
  <c r="D1508" i="15" s="1"/>
  <c r="A1509" i="15"/>
  <c r="D1509" i="15" s="1"/>
  <c r="A1510" i="15"/>
  <c r="D1510" i="15" s="1"/>
  <c r="A1511" i="15"/>
  <c r="D1511" i="15" s="1"/>
  <c r="A1512" i="15"/>
  <c r="A1513" i="15"/>
  <c r="D1513" i="15" s="1"/>
  <c r="A1514" i="15"/>
  <c r="D1514" i="15" s="1"/>
  <c r="A1515" i="15"/>
  <c r="A1516" i="15"/>
  <c r="D1516" i="15" s="1"/>
  <c r="A1517" i="15"/>
  <c r="D1517" i="15" s="1"/>
  <c r="A1518" i="15"/>
  <c r="D1518" i="15" s="1"/>
  <c r="A1519" i="15"/>
  <c r="D1519" i="15" s="1"/>
  <c r="A1520" i="15"/>
  <c r="D1520" i="15" s="1"/>
  <c r="A1521" i="15"/>
  <c r="D1521" i="15" s="1"/>
  <c r="A1522" i="15"/>
  <c r="D1522" i="15" s="1"/>
  <c r="A1523" i="15"/>
  <c r="A1524" i="15"/>
  <c r="C1524" i="15" s="1"/>
  <c r="F1524" i="15" s="1"/>
  <c r="A1525" i="15"/>
  <c r="B1525" i="15" s="1"/>
  <c r="A1526" i="15"/>
  <c r="D1526" i="15" s="1"/>
  <c r="A1527" i="15"/>
  <c r="C1527" i="15" s="1"/>
  <c r="F1527" i="15" s="1"/>
  <c r="A1528" i="15"/>
  <c r="A1529" i="15"/>
  <c r="B1529" i="15" s="1"/>
  <c r="A1530" i="15"/>
  <c r="A1531" i="15"/>
  <c r="B1531" i="15" s="1"/>
  <c r="A1532" i="15"/>
  <c r="A1533" i="15"/>
  <c r="C1533" i="15" s="1"/>
  <c r="F1533" i="15" s="1"/>
  <c r="A1534" i="15"/>
  <c r="C1534" i="15" s="1"/>
  <c r="F1534" i="15" s="1"/>
  <c r="A1535" i="15"/>
  <c r="B1535" i="15" s="1"/>
  <c r="A1536" i="15"/>
  <c r="E1536" i="15" s="1"/>
  <c r="A1537" i="15"/>
  <c r="B1537" i="15" s="1"/>
  <c r="A1538" i="15"/>
  <c r="B1538" i="15" s="1"/>
  <c r="A1539" i="15"/>
  <c r="C1539" i="15" s="1"/>
  <c r="F1539" i="15" s="1"/>
  <c r="A1540" i="15"/>
  <c r="A1541" i="15"/>
  <c r="B1541" i="15" s="1"/>
  <c r="A1542" i="15"/>
  <c r="C1542" i="15" s="1"/>
  <c r="F1542" i="15" s="1"/>
  <c r="A1543" i="15"/>
  <c r="B1543" i="15" s="1"/>
  <c r="A1544" i="15"/>
  <c r="A1545" i="15"/>
  <c r="C1545" i="15" s="1"/>
  <c r="F1545" i="15" s="1"/>
  <c r="A1546" i="15"/>
  <c r="B1546" i="15" s="1"/>
  <c r="A1547" i="15"/>
  <c r="B1547" i="15" s="1"/>
  <c r="A1548" i="15"/>
  <c r="A1549" i="15"/>
  <c r="B1549" i="15" s="1"/>
  <c r="A1550" i="15"/>
  <c r="B1550" i="15" s="1"/>
  <c r="A1551" i="15"/>
  <c r="C1551" i="15" s="1"/>
  <c r="F1551" i="15" s="1"/>
  <c r="A1552" i="15"/>
  <c r="A1553" i="15"/>
  <c r="B1553" i="15" s="1"/>
  <c r="A1554" i="15"/>
  <c r="A1555" i="15"/>
  <c r="B1555" i="15" s="1"/>
  <c r="A1556" i="15"/>
  <c r="A1557" i="15"/>
  <c r="C1557" i="15" s="1"/>
  <c r="F1557" i="15" s="1"/>
  <c r="A1558" i="15"/>
  <c r="A1559" i="15"/>
  <c r="B1559" i="15" s="1"/>
  <c r="A1560" i="15"/>
  <c r="C1560" i="15" s="1"/>
  <c r="F1560" i="15" s="1"/>
  <c r="A1561" i="15"/>
  <c r="B1561" i="15" s="1"/>
  <c r="A1562" i="15"/>
  <c r="A1563" i="15"/>
  <c r="C1563" i="15" s="1"/>
  <c r="F1563" i="15" s="1"/>
  <c r="A1564" i="15"/>
  <c r="A1565" i="15"/>
  <c r="B1565" i="15" s="1"/>
  <c r="A1566" i="15"/>
  <c r="A1567" i="15"/>
  <c r="C1567" i="15" s="1"/>
  <c r="F1567" i="15" s="1"/>
  <c r="A1568" i="15"/>
  <c r="A1569" i="15"/>
  <c r="E1569" i="15" s="1"/>
  <c r="A1570" i="15"/>
  <c r="C1570" i="15" s="1"/>
  <c r="F1570" i="15" s="1"/>
  <c r="A1571" i="15"/>
  <c r="A1572" i="15"/>
  <c r="B1572" i="15" s="1"/>
  <c r="A1573" i="15"/>
  <c r="A1574" i="15"/>
  <c r="D1574" i="15" s="1"/>
  <c r="A1575" i="15"/>
  <c r="E1575" i="15" s="1"/>
  <c r="A1576" i="15"/>
  <c r="D1576" i="15" s="1"/>
  <c r="A1577" i="15"/>
  <c r="A1578" i="15"/>
  <c r="B1578" i="15" s="1"/>
  <c r="A1579" i="15"/>
  <c r="A1580" i="15"/>
  <c r="D1580" i="15" s="1"/>
  <c r="A1581" i="15"/>
  <c r="E1581" i="15" s="1"/>
  <c r="A1582" i="15"/>
  <c r="E1582" i="15" s="1"/>
  <c r="A1583" i="15"/>
  <c r="D1583" i="15" s="1"/>
  <c r="A1584" i="15"/>
  <c r="A1585" i="15"/>
  <c r="C1585" i="15" s="1"/>
  <c r="F1585" i="15" s="1"/>
  <c r="A1586" i="15"/>
  <c r="D1586" i="15" s="1"/>
  <c r="A1587" i="15"/>
  <c r="A1588" i="15"/>
  <c r="C1588" i="15" s="1"/>
  <c r="F1588" i="15" s="1"/>
  <c r="A1589" i="15"/>
  <c r="A1590" i="15"/>
  <c r="A1591" i="15"/>
  <c r="C1591" i="15" s="1"/>
  <c r="F1591" i="15" s="1"/>
  <c r="A1592" i="15"/>
  <c r="D1592" i="15" s="1"/>
  <c r="A1593" i="15"/>
  <c r="A1594" i="15"/>
  <c r="B1594" i="15" s="1"/>
  <c r="A1595" i="15"/>
  <c r="E1595" i="15" s="1"/>
  <c r="A1596" i="15"/>
  <c r="B1596" i="15" s="1"/>
  <c r="A1597" i="15"/>
  <c r="C1597" i="15" s="1"/>
  <c r="F1597" i="15" s="1"/>
  <c r="A1598" i="15"/>
  <c r="A1599" i="15"/>
  <c r="A1600" i="15"/>
  <c r="D1600" i="15" s="1"/>
  <c r="A1601" i="15"/>
  <c r="C1601" i="15" s="1"/>
  <c r="F1601" i="15" s="1"/>
  <c r="A1602" i="15"/>
  <c r="A1603" i="15"/>
  <c r="D1603" i="15" s="1"/>
  <c r="A1604" i="15"/>
  <c r="C1604" i="15" s="1"/>
  <c r="F1604" i="15" s="1"/>
  <c r="A1605" i="15"/>
  <c r="C1605" i="15" s="1"/>
  <c r="F1605" i="15" s="1"/>
  <c r="A1606" i="15"/>
  <c r="E1606" i="15" s="1"/>
  <c r="A1607" i="15"/>
  <c r="A1608" i="15"/>
  <c r="C1608" i="15" s="1"/>
  <c r="F1608" i="15" s="1"/>
  <c r="A1609" i="15"/>
  <c r="C1609" i="15" s="1"/>
  <c r="F1609" i="15" s="1"/>
  <c r="A1610" i="15"/>
  <c r="C1610" i="15" s="1"/>
  <c r="F1610" i="15" s="1"/>
  <c r="A1611" i="15"/>
  <c r="C1611" i="15" s="1"/>
  <c r="F1611" i="15" s="1"/>
  <c r="A1612" i="15"/>
  <c r="D1612" i="15" s="1"/>
  <c r="A1613" i="15"/>
  <c r="A1614" i="15"/>
  <c r="C1614" i="15" s="1"/>
  <c r="F1614" i="15" s="1"/>
  <c r="A1615" i="15"/>
  <c r="A1616" i="15"/>
  <c r="E1616" i="15" s="1"/>
  <c r="A1617" i="15"/>
  <c r="C1617" i="15" s="1"/>
  <c r="F1617" i="15" s="1"/>
  <c r="A1618" i="15"/>
  <c r="A1619" i="15"/>
  <c r="A1620" i="15"/>
  <c r="A1621" i="15"/>
  <c r="C1621" i="15" s="1"/>
  <c r="F1621" i="15" s="1"/>
  <c r="A1622" i="15"/>
  <c r="C1622" i="15" s="1"/>
  <c r="F1622" i="15" s="1"/>
  <c r="A1623" i="15"/>
  <c r="A1624" i="15"/>
  <c r="E1624" i="15" s="1"/>
  <c r="A1625" i="15"/>
  <c r="A1626" i="15"/>
  <c r="B1626" i="15" s="1"/>
  <c r="A1627" i="15"/>
  <c r="A1628" i="15"/>
  <c r="E1628" i="15" s="1"/>
  <c r="A1629" i="15"/>
  <c r="C1629" i="15" s="1"/>
  <c r="F1629" i="15" s="1"/>
  <c r="A1630" i="15"/>
  <c r="D1630" i="15" s="1"/>
  <c r="A1631" i="15"/>
  <c r="A1632" i="15"/>
  <c r="B1632" i="15" s="1"/>
  <c r="A1633" i="15"/>
  <c r="C1633" i="15" s="1"/>
  <c r="F1633" i="15" s="1"/>
  <c r="A1634" i="15"/>
  <c r="C1634" i="15" s="1"/>
  <c r="F1634" i="15" s="1"/>
  <c r="A1635" i="15"/>
  <c r="A1636" i="15"/>
  <c r="E1636" i="15" s="1"/>
  <c r="A1637" i="15"/>
  <c r="A1638" i="15"/>
  <c r="A1639" i="15"/>
  <c r="B1639" i="15" s="1"/>
  <c r="A1640" i="15"/>
  <c r="C1640" i="15" s="1"/>
  <c r="F1640" i="15" s="1"/>
  <c r="A1641" i="15"/>
  <c r="C1641" i="15" s="1"/>
  <c r="F1641" i="15" s="1"/>
  <c r="A1642" i="15"/>
  <c r="C1642" i="15" s="1"/>
  <c r="F1642" i="15" s="1"/>
  <c r="A1643" i="15"/>
  <c r="A1644" i="15"/>
  <c r="B1644" i="15" s="1"/>
  <c r="A1645" i="15"/>
  <c r="B1645" i="15" s="1"/>
  <c r="A1646" i="15"/>
  <c r="C1646" i="15" s="1"/>
  <c r="F1646" i="15" s="1"/>
  <c r="A1647" i="15"/>
  <c r="A1648" i="15"/>
  <c r="E1648" i="15" s="1"/>
  <c r="A1649" i="15"/>
  <c r="A1650" i="15"/>
  <c r="B1650" i="15" s="1"/>
  <c r="A1651" i="15"/>
  <c r="B1651" i="15" s="1"/>
  <c r="A1652" i="15"/>
  <c r="E1652" i="15" s="1"/>
  <c r="A1653" i="15"/>
  <c r="C1653" i="15" s="1"/>
  <c r="F1653" i="15" s="1"/>
  <c r="A1654" i="15"/>
  <c r="A1655" i="15"/>
  <c r="A1656" i="15"/>
  <c r="A1657" i="15"/>
  <c r="B1657" i="15" s="1"/>
  <c r="A1658" i="15"/>
  <c r="C1658" i="15" s="1"/>
  <c r="F1658" i="15" s="1"/>
  <c r="A1659" i="15"/>
  <c r="D1659" i="15" s="1"/>
  <c r="A1660" i="15"/>
  <c r="E1660" i="15" s="1"/>
  <c r="A1661" i="15"/>
  <c r="A1662" i="15"/>
  <c r="B1662" i="15" s="1"/>
  <c r="A1663" i="15"/>
  <c r="A1664" i="15"/>
  <c r="A1665" i="15"/>
  <c r="C1665" i="15" s="1"/>
  <c r="F1665" i="15" s="1"/>
  <c r="A1666" i="15"/>
  <c r="D1666" i="15" s="1"/>
  <c r="A1667" i="15"/>
  <c r="A1668" i="15"/>
  <c r="B1668" i="15" s="1"/>
  <c r="A1669" i="15"/>
  <c r="B1669" i="15" s="1"/>
  <c r="A1670" i="15"/>
  <c r="E1670" i="15" s="1"/>
  <c r="A1671" i="15"/>
  <c r="E1671" i="15" s="1"/>
  <c r="A1672" i="15"/>
  <c r="A1673" i="15"/>
  <c r="A1674" i="15"/>
  <c r="A1675" i="15"/>
  <c r="A1676" i="15"/>
  <c r="E1676" i="15" s="1"/>
  <c r="A1677" i="15"/>
  <c r="E1677" i="15" s="1"/>
  <c r="A1678" i="15"/>
  <c r="A1679" i="15"/>
  <c r="E1679" i="15" s="1"/>
  <c r="A1680" i="15"/>
  <c r="A1681" i="15"/>
  <c r="B1681" i="15" s="1"/>
  <c r="A1682" i="15"/>
  <c r="A1683" i="15"/>
  <c r="E1683" i="15" s="1"/>
  <c r="A1684" i="15"/>
  <c r="A1685" i="15"/>
  <c r="A1686" i="15"/>
  <c r="E1686" i="15" s="1"/>
  <c r="A1687" i="15"/>
  <c r="D1687" i="15" s="1"/>
  <c r="A1688" i="15"/>
  <c r="A1689" i="15"/>
  <c r="E1689" i="15" s="1"/>
  <c r="A1690" i="15"/>
  <c r="A1691" i="15"/>
  <c r="D1691" i="15" s="1"/>
  <c r="A1692" i="15"/>
  <c r="A1693" i="15"/>
  <c r="B1693" i="15" s="1"/>
  <c r="A1694" i="15"/>
  <c r="A1695" i="15"/>
  <c r="E1695" i="15" s="1"/>
  <c r="A1696" i="15"/>
  <c r="A1697" i="15"/>
  <c r="A1698" i="15"/>
  <c r="A1699" i="15"/>
  <c r="A1700" i="15"/>
  <c r="A1701" i="15"/>
  <c r="B1701" i="15" s="1"/>
  <c r="A1702" i="15"/>
  <c r="A1703" i="15"/>
  <c r="C1703" i="15" s="1"/>
  <c r="F1703" i="15" s="1"/>
  <c r="A1704" i="15"/>
  <c r="A1705" i="15"/>
  <c r="E1705" i="15" s="1"/>
  <c r="A1706" i="15"/>
  <c r="C1706" i="15" s="1"/>
  <c r="F1706" i="15" s="1"/>
  <c r="A1707" i="15"/>
  <c r="C1707" i="15" s="1"/>
  <c r="F1707" i="15" s="1"/>
  <c r="A1708" i="15"/>
  <c r="E1708" i="15" s="1"/>
  <c r="A1709" i="15"/>
  <c r="C1709" i="15" s="1"/>
  <c r="F1709" i="15" s="1"/>
  <c r="A1710" i="15"/>
  <c r="A1711" i="15"/>
  <c r="E1711" i="15" s="1"/>
  <c r="A1712" i="15"/>
  <c r="C1712" i="15" s="1"/>
  <c r="F1712" i="15" s="1"/>
  <c r="A1713" i="15"/>
  <c r="A1714" i="15"/>
  <c r="B1714" i="15" s="1"/>
  <c r="A1715" i="15"/>
  <c r="C1715" i="15" s="1"/>
  <c r="F1715" i="15" s="1"/>
  <c r="A1716" i="15"/>
  <c r="C1716" i="15" s="1"/>
  <c r="F1716" i="15" s="1"/>
  <c r="A1717" i="15"/>
  <c r="E1717" i="15" s="1"/>
  <c r="A1718" i="15"/>
  <c r="C1718" i="15" s="1"/>
  <c r="F1718" i="15" s="1"/>
  <c r="A1719" i="15"/>
  <c r="A1720" i="15"/>
  <c r="E1720" i="15" s="1"/>
  <c r="A1721" i="15"/>
  <c r="C1721" i="15" s="1"/>
  <c r="F1721" i="15" s="1"/>
  <c r="A1722" i="15"/>
  <c r="A1723" i="15"/>
  <c r="D1723" i="15" s="1"/>
  <c r="A1724" i="15"/>
  <c r="C1724" i="15" s="1"/>
  <c r="F1724" i="15" s="1"/>
  <c r="A1725" i="15"/>
  <c r="C1725" i="15" s="1"/>
  <c r="F1725" i="15" s="1"/>
  <c r="A1726" i="15"/>
  <c r="E1726" i="15" s="1"/>
  <c r="A1727" i="15"/>
  <c r="C1727" i="15" s="1"/>
  <c r="F1727" i="15" s="1"/>
  <c r="A1728" i="15"/>
  <c r="A1729" i="15"/>
  <c r="E1729" i="15" s="1"/>
  <c r="A1730" i="15"/>
  <c r="D1730" i="15" s="1"/>
  <c r="A1731" i="15"/>
  <c r="A1732" i="15"/>
  <c r="B1732" i="15" s="1"/>
  <c r="A1733" i="15"/>
  <c r="C1733" i="15" s="1"/>
  <c r="F1733" i="15" s="1"/>
  <c r="A1734" i="15"/>
  <c r="C1734" i="15" s="1"/>
  <c r="F1734" i="15" s="1"/>
  <c r="A1735" i="15"/>
  <c r="E1735" i="15" s="1"/>
  <c r="A1736" i="15"/>
  <c r="C1736" i="15" s="1"/>
  <c r="F1736" i="15" s="1"/>
  <c r="A1737" i="15"/>
  <c r="A1738" i="15"/>
  <c r="E1738" i="15" s="1"/>
  <c r="A1739" i="15"/>
  <c r="D1739" i="15" s="1"/>
  <c r="A1740" i="15"/>
  <c r="A1741" i="15"/>
  <c r="D1741" i="15" s="1"/>
  <c r="A1742" i="15"/>
  <c r="C1742" i="15" s="1"/>
  <c r="F1742" i="15" s="1"/>
  <c r="A1743" i="15"/>
  <c r="B1743" i="15" s="1"/>
  <c r="A1744" i="15"/>
  <c r="E1744" i="15" s="1"/>
  <c r="A1745" i="15"/>
  <c r="C1745" i="15" s="1"/>
  <c r="F1745" i="15" s="1"/>
  <c r="A1746" i="15"/>
  <c r="A1747" i="15"/>
  <c r="E1747" i="15" s="1"/>
  <c r="A1748" i="15"/>
  <c r="D1748" i="15" s="1"/>
  <c r="A1749" i="15"/>
  <c r="B1749" i="15" s="1"/>
  <c r="A1750" i="15"/>
  <c r="B1750" i="15" s="1"/>
  <c r="A1751" i="15"/>
  <c r="C1751" i="15" s="1"/>
  <c r="F1751" i="15" s="1"/>
  <c r="A1752" i="15"/>
  <c r="B1752" i="15" s="1"/>
  <c r="A1753" i="15"/>
  <c r="E1753" i="15" s="1"/>
  <c r="A1754" i="15"/>
  <c r="C1754" i="15" s="1"/>
  <c r="F1754" i="15" s="1"/>
  <c r="A1755" i="15"/>
  <c r="C1755" i="15" s="1"/>
  <c r="F1755" i="15" s="1"/>
  <c r="A1756" i="15"/>
  <c r="E1756" i="15" s="1"/>
  <c r="A1757" i="15"/>
  <c r="D1757" i="15" s="1"/>
  <c r="A1758" i="15"/>
  <c r="B1758" i="15" s="1"/>
  <c r="A1759" i="15"/>
  <c r="E1759" i="15" s="1"/>
  <c r="A1760" i="15"/>
  <c r="C1760" i="15" s="1"/>
  <c r="F1760" i="15" s="1"/>
  <c r="A1761" i="15"/>
  <c r="B1761" i="15" s="1"/>
  <c r="A1762" i="15"/>
  <c r="E1762" i="15" s="1"/>
  <c r="A1763" i="15"/>
  <c r="C1763" i="15" s="1"/>
  <c r="F1763" i="15" s="1"/>
  <c r="A1764" i="15"/>
  <c r="A1765" i="15"/>
  <c r="E1765" i="15" s="1"/>
  <c r="A1766" i="15"/>
  <c r="A1767" i="15"/>
  <c r="B1767" i="15" s="1"/>
  <c r="A1768" i="15"/>
  <c r="A1769" i="15"/>
  <c r="C1769" i="15" s="1"/>
  <c r="F1769" i="15" s="1"/>
  <c r="A1770" i="15"/>
  <c r="B1770" i="15" s="1"/>
  <c r="A1771" i="15"/>
  <c r="A1772" i="15"/>
  <c r="C1772" i="15" s="1"/>
  <c r="F1772" i="15" s="1"/>
  <c r="A1773" i="15"/>
  <c r="C1773" i="15" s="1"/>
  <c r="F1773" i="15" s="1"/>
  <c r="A1774" i="15"/>
  <c r="E1774" i="15" s="1"/>
  <c r="A1775" i="15"/>
  <c r="D1775" i="15" s="1"/>
  <c r="A1776" i="15"/>
  <c r="B1776" i="15" s="1"/>
  <c r="A1777" i="15"/>
  <c r="E1777" i="15" s="1"/>
  <c r="A1778" i="15"/>
  <c r="C1778" i="15" s="1"/>
  <c r="F1778" i="15" s="1"/>
  <c r="A1779" i="15"/>
  <c r="B1779" i="15" s="1"/>
  <c r="A1780" i="15"/>
  <c r="E1780" i="15" s="1"/>
  <c r="A1781" i="15"/>
  <c r="C1781" i="15" s="1"/>
  <c r="F1781" i="15" s="1"/>
  <c r="A1782" i="15"/>
  <c r="A1783" i="15"/>
  <c r="E1783" i="15" s="1"/>
  <c r="A1784" i="15"/>
  <c r="A1785" i="15"/>
  <c r="B1785" i="15" s="1"/>
  <c r="A1786" i="15"/>
  <c r="A1787" i="15"/>
  <c r="C1787" i="15" s="1"/>
  <c r="F1787" i="15" s="1"/>
  <c r="A1788" i="15"/>
  <c r="B1788" i="15" s="1"/>
  <c r="A1789" i="15"/>
  <c r="A1790" i="15"/>
  <c r="C1790" i="15" s="1"/>
  <c r="F1790" i="15" s="1"/>
  <c r="A1791" i="15"/>
  <c r="A1792" i="15"/>
  <c r="E1792" i="15" s="1"/>
  <c r="A1793" i="15"/>
  <c r="A1794" i="15"/>
  <c r="B1794" i="15" s="1"/>
  <c r="A1795" i="15"/>
  <c r="E1795" i="15" s="1"/>
  <c r="A1796" i="15"/>
  <c r="C1796" i="15" s="1"/>
  <c r="F1796" i="15" s="1"/>
  <c r="A1797" i="15"/>
  <c r="B1797" i="15" s="1"/>
  <c r="A1798" i="15"/>
  <c r="A1799" i="15"/>
  <c r="C1799" i="15" s="1"/>
  <c r="F1799" i="15" s="1"/>
  <c r="A1800" i="15"/>
  <c r="A1801" i="15"/>
  <c r="E1801" i="15" s="1"/>
  <c r="A1802" i="15"/>
  <c r="D1802" i="15" s="1"/>
  <c r="A1803" i="15"/>
  <c r="B1803" i="15" s="1"/>
  <c r="A1804" i="15"/>
  <c r="E1804" i="15" s="1"/>
  <c r="A1805" i="15"/>
  <c r="C1805" i="15" s="1"/>
  <c r="F1805" i="15" s="1"/>
  <c r="A1806" i="15"/>
  <c r="B1806" i="15" s="1"/>
  <c r="A1807" i="15"/>
  <c r="E1807" i="15" s="1"/>
  <c r="A1808" i="15"/>
  <c r="C1808" i="15" s="1"/>
  <c r="F1808" i="15" s="1"/>
  <c r="A1809" i="15"/>
  <c r="C1809" i="15" s="1"/>
  <c r="F1809" i="15" s="1"/>
  <c r="A1810" i="15"/>
  <c r="E1810" i="15" s="1"/>
  <c r="A1811" i="15"/>
  <c r="A1812" i="15"/>
  <c r="A1813" i="15"/>
  <c r="E1813" i="15" s="1"/>
  <c r="A1814" i="15"/>
  <c r="B1814" i="15" s="1"/>
  <c r="A1815" i="15"/>
  <c r="E1815" i="15" s="1"/>
  <c r="A1816" i="15"/>
  <c r="E1816" i="15" s="1"/>
  <c r="A1817" i="15"/>
  <c r="C1817" i="15" s="1"/>
  <c r="F1817" i="15" s="1"/>
  <c r="A1818" i="15"/>
  <c r="A1819" i="15"/>
  <c r="E1819" i="15" s="1"/>
  <c r="A1820" i="15"/>
  <c r="B1820" i="15" s="1"/>
  <c r="A1821" i="15"/>
  <c r="E1821" i="15" s="1"/>
  <c r="A1822" i="15"/>
  <c r="E1822" i="15" s="1"/>
  <c r="A1823" i="15"/>
  <c r="A1824" i="15"/>
  <c r="E1824" i="15" s="1"/>
  <c r="A1825" i="15"/>
  <c r="E1825" i="15" s="1"/>
  <c r="A1826" i="15"/>
  <c r="B1826" i="15" s="1"/>
  <c r="A1827" i="15"/>
  <c r="A1828" i="15"/>
  <c r="E1828" i="15" s="1"/>
  <c r="A1829" i="15"/>
  <c r="A1830" i="15"/>
  <c r="A1831" i="15"/>
  <c r="E1831" i="15" s="1"/>
  <c r="A1832" i="15"/>
  <c r="A1833" i="15"/>
  <c r="E1833" i="15" s="1"/>
  <c r="A1834" i="15"/>
  <c r="E1834" i="15" s="1"/>
  <c r="A1835" i="15"/>
  <c r="B1835" i="15" s="1"/>
  <c r="A1836" i="15"/>
  <c r="A1837" i="15"/>
  <c r="E1837" i="15" s="1"/>
  <c r="A1838" i="15"/>
  <c r="B1838" i="15" s="1"/>
  <c r="A1839" i="15"/>
  <c r="E1839" i="15" s="1"/>
  <c r="A1840" i="15"/>
  <c r="E1840" i="15" s="1"/>
  <c r="A1841" i="15"/>
  <c r="A1842" i="15"/>
  <c r="A1843" i="15"/>
  <c r="E1843" i="15" s="1"/>
  <c r="A1844" i="15"/>
  <c r="C1844" i="15" s="1"/>
  <c r="F1844" i="15" s="1"/>
  <c r="A1845" i="15"/>
  <c r="A1846" i="15"/>
  <c r="A1847" i="15"/>
  <c r="C1847" i="15" s="1"/>
  <c r="F1847" i="15" s="1"/>
  <c r="A1848" i="15"/>
  <c r="B1848" i="15" s="1"/>
  <c r="A1849" i="15"/>
  <c r="B1849" i="15" s="1"/>
  <c r="A1850" i="15"/>
  <c r="E1850" i="15" s="1"/>
  <c r="A1851" i="15"/>
  <c r="D1851" i="15" s="1"/>
  <c r="A1852" i="15"/>
  <c r="E1852" i="15" s="1"/>
  <c r="A1853" i="15"/>
  <c r="C1853" i="15" s="1"/>
  <c r="F1853" i="15" s="1"/>
  <c r="A1854" i="15"/>
  <c r="A1855" i="15"/>
  <c r="E1855" i="15" s="1"/>
  <c r="A1856" i="15"/>
  <c r="E1856" i="15" s="1"/>
  <c r="A1857" i="15"/>
  <c r="A1858" i="15"/>
  <c r="A1859" i="15"/>
  <c r="C1859" i="15" s="1"/>
  <c r="F1859" i="15" s="1"/>
  <c r="A1860" i="15"/>
  <c r="D1860" i="15" s="1"/>
  <c r="A1861" i="15"/>
  <c r="E1861" i="15" s="1"/>
  <c r="A1862" i="15"/>
  <c r="E1862" i="15" s="1"/>
  <c r="A1863" i="15"/>
  <c r="D1863" i="15" s="1"/>
  <c r="A1864" i="15"/>
  <c r="E1864" i="15" s="1"/>
  <c r="A1865" i="15"/>
  <c r="C1865" i="15" s="1"/>
  <c r="F1865" i="15" s="1"/>
  <c r="A1866" i="15"/>
  <c r="D1866" i="15" s="1"/>
  <c r="A1867" i="15"/>
  <c r="E1867" i="15" s="1"/>
  <c r="A1868" i="15"/>
  <c r="A1869" i="15"/>
  <c r="A1870" i="15"/>
  <c r="E1870" i="15" s="1"/>
  <c r="A1871" i="15"/>
  <c r="C1871" i="15" s="1"/>
  <c r="F1871" i="15" s="1"/>
  <c r="A1872" i="15"/>
  <c r="A1873" i="15"/>
  <c r="B1873" i="15" s="1"/>
  <c r="A1874" i="15"/>
  <c r="B1874" i="15" s="1"/>
  <c r="A1875" i="15"/>
  <c r="D1875" i="15" s="1"/>
  <c r="A1876" i="15"/>
  <c r="A1877" i="15"/>
  <c r="C1877" i="15" s="1"/>
  <c r="F1877" i="15" s="1"/>
  <c r="A1878" i="15"/>
  <c r="D1878" i="15" s="1"/>
  <c r="A1879" i="15"/>
  <c r="C1879" i="15" s="1"/>
  <c r="F1879" i="15" s="1"/>
  <c r="A1880" i="15"/>
  <c r="E1880" i="15" s="1"/>
  <c r="A1881" i="15"/>
  <c r="D1881" i="15" s="1"/>
  <c r="A1882" i="15"/>
  <c r="E1882" i="15" s="1"/>
  <c r="A1883" i="15"/>
  <c r="A1884" i="15"/>
  <c r="A1885" i="15"/>
  <c r="A1886" i="15"/>
  <c r="E1886" i="15" s="1"/>
  <c r="A1887" i="15"/>
  <c r="C1887" i="15" s="1"/>
  <c r="F1887" i="15" s="1"/>
  <c r="A1888" i="15"/>
  <c r="A1889" i="15"/>
  <c r="C1889" i="15" s="1"/>
  <c r="F1889" i="15" s="1"/>
  <c r="A1890" i="15"/>
  <c r="A1891" i="15"/>
  <c r="C1891" i="15" s="1"/>
  <c r="F1891" i="15" s="1"/>
  <c r="A1892" i="15"/>
  <c r="B1892" i="15" s="1"/>
  <c r="A1893" i="15"/>
  <c r="E1893" i="15" s="1"/>
  <c r="A1894" i="15"/>
  <c r="E1894" i="15" s="1"/>
  <c r="A1895" i="15"/>
  <c r="D1895" i="15" s="1"/>
  <c r="A1896" i="15"/>
  <c r="D1896" i="15" s="1"/>
  <c r="A1897" i="15"/>
  <c r="C1897" i="15" s="1"/>
  <c r="F1897" i="15" s="1"/>
  <c r="A1898" i="15"/>
  <c r="A1899" i="15"/>
  <c r="E1899" i="15" s="1"/>
  <c r="A1900" i="15"/>
  <c r="A1901" i="15"/>
  <c r="D1901" i="15" s="1"/>
  <c r="A1902" i="15"/>
  <c r="D1902" i="15" s="1"/>
  <c r="A1903" i="15"/>
  <c r="C1903" i="15" s="1"/>
  <c r="F1903" i="15" s="1"/>
  <c r="A1904" i="15"/>
  <c r="A1905" i="15"/>
  <c r="E1905" i="15" s="1"/>
  <c r="A1906" i="15"/>
  <c r="E1906" i="15" s="1"/>
  <c r="A1907" i="15"/>
  <c r="D1907" i="15" s="1"/>
  <c r="A1908" i="15"/>
  <c r="A1909" i="15"/>
  <c r="B1909" i="15" s="1"/>
  <c r="A1910" i="15"/>
  <c r="A1911" i="15"/>
  <c r="E1911" i="15" s="1"/>
  <c r="A1912" i="15"/>
  <c r="B1912" i="15" s="1"/>
  <c r="A1913" i="15"/>
  <c r="C1913" i="15" s="1"/>
  <c r="F1913" i="15" s="1"/>
  <c r="A1914" i="15"/>
  <c r="A1915" i="15"/>
  <c r="C1915" i="15" s="1"/>
  <c r="F1915" i="15" s="1"/>
  <c r="A1916" i="15"/>
  <c r="A1917" i="15"/>
  <c r="B1917" i="15" s="1"/>
  <c r="A1918" i="15"/>
  <c r="A1919" i="15"/>
  <c r="A1920" i="15"/>
  <c r="B1920" i="15" s="1"/>
  <c r="A1921" i="15"/>
  <c r="B1921" i="15" s="1"/>
  <c r="A1922" i="15"/>
  <c r="A1923" i="15"/>
  <c r="B1923" i="15" s="1"/>
  <c r="A1924" i="15"/>
  <c r="A1925" i="15"/>
  <c r="C1925" i="15" s="1"/>
  <c r="F1925" i="15" s="1"/>
  <c r="A1926" i="15"/>
  <c r="A1927" i="15"/>
  <c r="B1927" i="15" s="1"/>
  <c r="A1928" i="15"/>
  <c r="C1928" i="15" s="1"/>
  <c r="F1928" i="15" s="1"/>
  <c r="A1929" i="15"/>
  <c r="C1929" i="15" s="1"/>
  <c r="F1929" i="15" s="1"/>
  <c r="A1930" i="15"/>
  <c r="A1931" i="15"/>
  <c r="C1931" i="15" s="1"/>
  <c r="F1931" i="15" s="1"/>
  <c r="A1932" i="15"/>
  <c r="D1932" i="15" s="1"/>
  <c r="A1933" i="15"/>
  <c r="C1933" i="15" s="1"/>
  <c r="F1933" i="15" s="1"/>
  <c r="A1934" i="15"/>
  <c r="B1934" i="15" s="1"/>
  <c r="A1935" i="15"/>
  <c r="C1935" i="15" s="1"/>
  <c r="F1935" i="15" s="1"/>
  <c r="A1936" i="15"/>
  <c r="E1936" i="15" s="1"/>
  <c r="A1937" i="15"/>
  <c r="C1937" i="15" s="1"/>
  <c r="F1937" i="15" s="1"/>
  <c r="A1938" i="15"/>
  <c r="A1939" i="15"/>
  <c r="B1939" i="15" s="1"/>
  <c r="A1940" i="15"/>
  <c r="A1941" i="15"/>
  <c r="A1942" i="15"/>
  <c r="E1942" i="15" s="1"/>
  <c r="A1943" i="15"/>
  <c r="C1943" i="15" s="1"/>
  <c r="F1943" i="15" s="1"/>
  <c r="A1944" i="15"/>
  <c r="A1945" i="15"/>
  <c r="B1945" i="15" s="1"/>
  <c r="A1946" i="15"/>
  <c r="E1946" i="15" s="1"/>
  <c r="A1947" i="15"/>
  <c r="C1947" i="15" s="1"/>
  <c r="F1947" i="15" s="1"/>
  <c r="A1948" i="15"/>
  <c r="E1948" i="15" s="1"/>
  <c r="A1949" i="15"/>
  <c r="C1949" i="15" s="1"/>
  <c r="F1949" i="15" s="1"/>
  <c r="A1950" i="15"/>
  <c r="A1951" i="15"/>
  <c r="B1951" i="15" s="1"/>
  <c r="A1952" i="15"/>
  <c r="A1953" i="15"/>
  <c r="C1953" i="15" s="1"/>
  <c r="F1953" i="15" s="1"/>
  <c r="A1954" i="15"/>
  <c r="B1954" i="15" s="1"/>
  <c r="A1955" i="15"/>
  <c r="C1955" i="15" s="1"/>
  <c r="F1955" i="15" s="1"/>
  <c r="A1956" i="15"/>
  <c r="D1956" i="15" s="1"/>
  <c r="A1957" i="15"/>
  <c r="B1957" i="15" s="1"/>
  <c r="A1958" i="15"/>
  <c r="D1958" i="15" s="1"/>
  <c r="A1959" i="15"/>
  <c r="A1960" i="15"/>
  <c r="E1960" i="15" s="1"/>
  <c r="A1961" i="15"/>
  <c r="C1961" i="15" s="1"/>
  <c r="F1961" i="15" s="1"/>
  <c r="A1962" i="15"/>
  <c r="A1963" i="15"/>
  <c r="B1963" i="15" s="1"/>
  <c r="A1964" i="15"/>
  <c r="A1965" i="15"/>
  <c r="C1965" i="15" s="1"/>
  <c r="F1965" i="15" s="1"/>
  <c r="A1966" i="15"/>
  <c r="E1966" i="15" s="1"/>
  <c r="A1967" i="15"/>
  <c r="C1967" i="15" s="1"/>
  <c r="F1967" i="15" s="1"/>
  <c r="A1968" i="15"/>
  <c r="A1969" i="15"/>
  <c r="B1969" i="15" s="1"/>
  <c r="A1970" i="15"/>
  <c r="E1970" i="15" s="1"/>
  <c r="A1971" i="15"/>
  <c r="C1971" i="15" s="1"/>
  <c r="F1971" i="15" s="1"/>
  <c r="A1972" i="15"/>
  <c r="E1972" i="15" s="1"/>
  <c r="A1973" i="15"/>
  <c r="C1973" i="15" s="1"/>
  <c r="F1973" i="15" s="1"/>
  <c r="A1974" i="15"/>
  <c r="A1975" i="15"/>
  <c r="B1975" i="15" s="1"/>
  <c r="A1976" i="15"/>
  <c r="A1977" i="15"/>
  <c r="A1978" i="15"/>
  <c r="B1978" i="15" s="1"/>
  <c r="A1979" i="15"/>
  <c r="C1979" i="15" s="1"/>
  <c r="F1979" i="15" s="1"/>
  <c r="A1980" i="15"/>
  <c r="A1981" i="15"/>
  <c r="B1981" i="15" s="1"/>
  <c r="A1982" i="15"/>
  <c r="B1982" i="15" s="1"/>
  <c r="A1983" i="15"/>
  <c r="C1983" i="15" s="1"/>
  <c r="F1983" i="15" s="1"/>
  <c r="A1984" i="15"/>
  <c r="A1985" i="15"/>
  <c r="C1985" i="15" s="1"/>
  <c r="F1985" i="15" s="1"/>
  <c r="A1986" i="15"/>
  <c r="D1986" i="15" s="1"/>
  <c r="A1987" i="15"/>
  <c r="A1988" i="15"/>
  <c r="A1989" i="15"/>
  <c r="C1989" i="15" s="1"/>
  <c r="F1989" i="15" s="1"/>
  <c r="A1990" i="15"/>
  <c r="E1990" i="15" s="1"/>
  <c r="A1991" i="15"/>
  <c r="C1991" i="15" s="1"/>
  <c r="F1991" i="15" s="1"/>
  <c r="A1992" i="15"/>
  <c r="D1992" i="15" s="1"/>
  <c r="A1993" i="15"/>
  <c r="B1993" i="15" s="1"/>
  <c r="A1994" i="15"/>
  <c r="B1994" i="15" s="1"/>
  <c r="A1995" i="15"/>
  <c r="A1996" i="15"/>
  <c r="A1997" i="15"/>
  <c r="A1998" i="15"/>
  <c r="A1999" i="15"/>
  <c r="A2000" i="15"/>
  <c r="A2001" i="15"/>
  <c r="C2001" i="15" s="1"/>
  <c r="F2001" i="15" s="1"/>
  <c r="A2002" i="15"/>
  <c r="A2003" i="15"/>
  <c r="C2003" i="15" s="1"/>
  <c r="F2003" i="15" s="1"/>
  <c r="A2004" i="15"/>
  <c r="A2005" i="15"/>
  <c r="B2005" i="15" s="1"/>
  <c r="A2006" i="15"/>
  <c r="B2006" i="15" s="1"/>
  <c r="A2007" i="15"/>
  <c r="A2008" i="15"/>
  <c r="B2008" i="15" s="1"/>
  <c r="A2009" i="15"/>
  <c r="C2009" i="15" s="1"/>
  <c r="F2009" i="15" s="1"/>
  <c r="A2010" i="15"/>
  <c r="A2011" i="15"/>
  <c r="B2011" i="15" s="1"/>
  <c r="A2012" i="15"/>
  <c r="E2012" i="15" s="1"/>
  <c r="A2013" i="15"/>
  <c r="A2014" i="15"/>
  <c r="B2014" i="15" s="1"/>
  <c r="A2015" i="15"/>
  <c r="A2016" i="15"/>
  <c r="A2017" i="15"/>
  <c r="E2017" i="15" s="1"/>
  <c r="A2018" i="15"/>
  <c r="B2018" i="15" s="1"/>
  <c r="A2019" i="15"/>
  <c r="A2020" i="15"/>
  <c r="D2020" i="15" s="1"/>
  <c r="A2021" i="15"/>
  <c r="D2021" i="15" s="1"/>
  <c r="A2022" i="15"/>
  <c r="D2022" i="15" s="1"/>
  <c r="A2023" i="15"/>
  <c r="A2024" i="15"/>
  <c r="D2024" i="15" s="1"/>
  <c r="A2025" i="15"/>
  <c r="B2025" i="15" s="1"/>
  <c r="A2026" i="15"/>
  <c r="E2026" i="15" s="1"/>
  <c r="A2027" i="15"/>
  <c r="A2028" i="15"/>
  <c r="D2028" i="15" s="1"/>
  <c r="A2029" i="15"/>
  <c r="A2030" i="15"/>
  <c r="E2030" i="15" s="1"/>
  <c r="A2031" i="15"/>
  <c r="D2031" i="15" s="1"/>
  <c r="A2032" i="15"/>
  <c r="E2032" i="15" s="1"/>
  <c r="A2033" i="15"/>
  <c r="B2033" i="15" s="1"/>
  <c r="A2034" i="15"/>
  <c r="A2035" i="15"/>
  <c r="A2036" i="15"/>
  <c r="B2036" i="15" s="1"/>
  <c r="A2037" i="15"/>
  <c r="B2037" i="15" s="1"/>
  <c r="A2038" i="15"/>
  <c r="A2039" i="15"/>
  <c r="B2039" i="15" s="1"/>
  <c r="A2040" i="15"/>
  <c r="D2040" i="15" s="1"/>
  <c r="A2041" i="15"/>
  <c r="A2042" i="15"/>
  <c r="B2042" i="15" s="1"/>
  <c r="A2043" i="15"/>
  <c r="D2043" i="15" s="1"/>
  <c r="A2044" i="15"/>
  <c r="E2044" i="15" s="1"/>
  <c r="A2045" i="15"/>
  <c r="E2045" i="15" s="1"/>
  <c r="A2046" i="15"/>
  <c r="A2047" i="15"/>
  <c r="C2047" i="15" s="1"/>
  <c r="F2047" i="15" s="1"/>
  <c r="A2048" i="15"/>
  <c r="B2048" i="15" s="1"/>
  <c r="A2049" i="15"/>
  <c r="A2050" i="15"/>
  <c r="E2050" i="15" s="1"/>
  <c r="A2051" i="15"/>
  <c r="D2051" i="15" s="1"/>
  <c r="A2052" i="15"/>
  <c r="A2053" i="15"/>
  <c r="A2054" i="15"/>
  <c r="B2054" i="15" s="1"/>
  <c r="A2055" i="15"/>
  <c r="B2055" i="15" s="1"/>
  <c r="A2056" i="15"/>
  <c r="A2057" i="15"/>
  <c r="A2058" i="15"/>
  <c r="A2059" i="15"/>
  <c r="C2059" i="15" s="1"/>
  <c r="F2059" i="15" s="1"/>
  <c r="A2060" i="15"/>
  <c r="A2061" i="15"/>
  <c r="C2061" i="15" s="1"/>
  <c r="F2061" i="15" s="1"/>
  <c r="A2062" i="15"/>
  <c r="D2062" i="15" s="1"/>
  <c r="A2063" i="15"/>
  <c r="D2063" i="15" s="1"/>
  <c r="A2064" i="15"/>
  <c r="B2064" i="15" s="1"/>
  <c r="A2065" i="15"/>
  <c r="E2065" i="15" s="1"/>
  <c r="A2066" i="15"/>
  <c r="B2066" i="15" s="1"/>
  <c r="A2067" i="15"/>
  <c r="C2067" i="15" s="1"/>
  <c r="F2067" i="15" s="1"/>
  <c r="A2068" i="15"/>
  <c r="B2068" i="15" s="1"/>
  <c r="A2069" i="15"/>
  <c r="D2069" i="15" s="1"/>
  <c r="A2070" i="15"/>
  <c r="A2071" i="15"/>
  <c r="E2071" i="15" s="1"/>
  <c r="A2072" i="15"/>
  <c r="E2072" i="15" s="1"/>
  <c r="A2073" i="15"/>
  <c r="B2073" i="15" s="1"/>
  <c r="A2074" i="15"/>
  <c r="D2074" i="15" s="1"/>
  <c r="A2075" i="15"/>
  <c r="B2075" i="15" s="1"/>
  <c r="A2076" i="15"/>
  <c r="A2077" i="15"/>
  <c r="C2077" i="15" s="1"/>
  <c r="F2077" i="15" s="1"/>
  <c r="A2078" i="15"/>
  <c r="C2078" i="15" s="1"/>
  <c r="F2078" i="15" s="1"/>
  <c r="A2079" i="15"/>
  <c r="C2079" i="15" s="1"/>
  <c r="F2079" i="15" s="1"/>
  <c r="A2080" i="15"/>
  <c r="C2080" i="15" s="1"/>
  <c r="F2080" i="15" s="1"/>
  <c r="A2081" i="15"/>
  <c r="D2081" i="15" s="1"/>
  <c r="A2082" i="15"/>
  <c r="C2082" i="15" s="1"/>
  <c r="F2082" i="15" s="1"/>
  <c r="A2083" i="15"/>
  <c r="C2083" i="15" s="1"/>
  <c r="F2083" i="15" s="1"/>
  <c r="A2084" i="15"/>
  <c r="B2084" i="15" s="1"/>
  <c r="A2085" i="15"/>
  <c r="C2085" i="15" s="1"/>
  <c r="F2085" i="15" s="1"/>
  <c r="A2086" i="15"/>
  <c r="C2086" i="15" s="1"/>
  <c r="F2086" i="15" s="1"/>
  <c r="A2087" i="15"/>
  <c r="C2087" i="15" s="1"/>
  <c r="F2087" i="15" s="1"/>
  <c r="A2088" i="15"/>
  <c r="A2089" i="15"/>
  <c r="A2090" i="15"/>
  <c r="C2090" i="15" s="1"/>
  <c r="F2090" i="15" s="1"/>
  <c r="A2091" i="15"/>
  <c r="A2092" i="15"/>
  <c r="C2092" i="15" s="1"/>
  <c r="F2092" i="15" s="1"/>
  <c r="A2093" i="15"/>
  <c r="D2093" i="15" s="1"/>
  <c r="A2094" i="15"/>
  <c r="C2094" i="15" s="1"/>
  <c r="F2094" i="15" s="1"/>
  <c r="A2095" i="15"/>
  <c r="C2095" i="15" s="1"/>
  <c r="F2095" i="15" s="1"/>
  <c r="A2096" i="15"/>
  <c r="B2096" i="15" s="1"/>
  <c r="A2097" i="15"/>
  <c r="C2097" i="15" s="1"/>
  <c r="F2097" i="15" s="1"/>
  <c r="A2098" i="15"/>
  <c r="C2098" i="15" s="1"/>
  <c r="F2098" i="15" s="1"/>
  <c r="A2099" i="15"/>
  <c r="C2099" i="15" s="1"/>
  <c r="F2099" i="15" s="1"/>
  <c r="A2100" i="15"/>
  <c r="A2101" i="15"/>
  <c r="A2102" i="15"/>
  <c r="C2102" i="15" s="1"/>
  <c r="F2102" i="15" s="1"/>
  <c r="A2103" i="15"/>
  <c r="D2103" i="15" s="1"/>
  <c r="A2104" i="15"/>
  <c r="E2104" i="15" s="1"/>
  <c r="A2105" i="15"/>
  <c r="A2106" i="15"/>
  <c r="A2107" i="15"/>
  <c r="C2107" i="15" s="1"/>
  <c r="F2107" i="15" s="1"/>
  <c r="A2108" i="15"/>
  <c r="D2108" i="15" s="1"/>
  <c r="A2109" i="15"/>
  <c r="E2109" i="15" s="1"/>
  <c r="A2110" i="15"/>
  <c r="D2110" i="15" s="1"/>
  <c r="A2111" i="15"/>
  <c r="C2111" i="15" s="1"/>
  <c r="F2111" i="15" s="1"/>
  <c r="A2112" i="15"/>
  <c r="A2113" i="15"/>
  <c r="B2113" i="15" s="1"/>
  <c r="A2114" i="15"/>
  <c r="C2114" i="15" s="1"/>
  <c r="F2114" i="15" s="1"/>
  <c r="A2115" i="15"/>
  <c r="E2115" i="15" s="1"/>
  <c r="A2116" i="15"/>
  <c r="A2117" i="15"/>
  <c r="A2118" i="15"/>
  <c r="A2119" i="15"/>
  <c r="B2119" i="15" s="1"/>
  <c r="A2120" i="15"/>
  <c r="A2121" i="15"/>
  <c r="D2121" i="15" s="1"/>
  <c r="A2122" i="15"/>
  <c r="D2122" i="15" s="1"/>
  <c r="A2123" i="15"/>
  <c r="D2123" i="15" s="1"/>
  <c r="A2124" i="15"/>
  <c r="A2125" i="15"/>
  <c r="B2125" i="15" s="1"/>
  <c r="A2126" i="15"/>
  <c r="B2126" i="15" s="1"/>
  <c r="A2127" i="15"/>
  <c r="A2128" i="15"/>
  <c r="B2128" i="15" s="1"/>
  <c r="A2129" i="15"/>
  <c r="D2129" i="15" s="1"/>
  <c r="A2130" i="15"/>
  <c r="E2130" i="15" s="1"/>
  <c r="A2131" i="15"/>
  <c r="B2131" i="15" s="1"/>
  <c r="A2132" i="15"/>
  <c r="C2132" i="15" s="1"/>
  <c r="F2132" i="15" s="1"/>
  <c r="A2133" i="15"/>
  <c r="A2134" i="15"/>
  <c r="E2134" i="15" s="1"/>
  <c r="A2135" i="15"/>
  <c r="E2135" i="15" s="1"/>
  <c r="A2136" i="15"/>
  <c r="E2136" i="15" s="1"/>
  <c r="A2137" i="15"/>
  <c r="B2137" i="15" s="1"/>
  <c r="A2138" i="15"/>
  <c r="A2139" i="15"/>
  <c r="E2139" i="15" s="1"/>
  <c r="A2140" i="15"/>
  <c r="D2140" i="15" s="1"/>
  <c r="A2141" i="15"/>
  <c r="D2141" i="15" s="1"/>
  <c r="A2142" i="15"/>
  <c r="A2143" i="15"/>
  <c r="B2143" i="15" s="1"/>
  <c r="A2144" i="15"/>
  <c r="A2145" i="15"/>
  <c r="A2146" i="15"/>
  <c r="D2146" i="15" s="1"/>
  <c r="A2147" i="15"/>
  <c r="E2147" i="15" s="1"/>
  <c r="A2148" i="15"/>
  <c r="E2148" i="15" s="1"/>
  <c r="A2149" i="15"/>
  <c r="B2149" i="15" s="1"/>
  <c r="A2150" i="15"/>
  <c r="B2150" i="15" s="1"/>
  <c r="A2151" i="15"/>
  <c r="A2152" i="15"/>
  <c r="B2152" i="15" s="1"/>
  <c r="A2153" i="15"/>
  <c r="E2153" i="15" s="1"/>
  <c r="A2154" i="15"/>
  <c r="E2154" i="15" s="1"/>
  <c r="A2155" i="15"/>
  <c r="B2155" i="15" s="1"/>
  <c r="A2156" i="15"/>
  <c r="B2156" i="15" s="1"/>
  <c r="A2157" i="15"/>
  <c r="A2158" i="15"/>
  <c r="E2158" i="15" s="1"/>
  <c r="A2159" i="15"/>
  <c r="D2159" i="15" s="1"/>
  <c r="A2160" i="15"/>
  <c r="A2161" i="15"/>
  <c r="B2161" i="15" s="1"/>
  <c r="A2162" i="15"/>
  <c r="B2162" i="15" s="1"/>
  <c r="A2163" i="15"/>
  <c r="C2163" i="15" s="1"/>
  <c r="F2163" i="15" s="1"/>
  <c r="A2164" i="15"/>
  <c r="A2165" i="15"/>
  <c r="C2165" i="15" s="1"/>
  <c r="F2165" i="15" s="1"/>
  <c r="A2166" i="15"/>
  <c r="E2166" i="15" s="1"/>
  <c r="A2167" i="15"/>
  <c r="B2167" i="15" s="1"/>
  <c r="A2168" i="15"/>
  <c r="A2169" i="15"/>
  <c r="E2169" i="15" s="1"/>
  <c r="A2170" i="15"/>
  <c r="B2170" i="15" s="1"/>
  <c r="A2171" i="15"/>
  <c r="B2171" i="15" s="1"/>
  <c r="A2172" i="15"/>
  <c r="A2173" i="15"/>
  <c r="B2173" i="15" s="1"/>
  <c r="A2174" i="15"/>
  <c r="A2175" i="15"/>
  <c r="A2176" i="15"/>
  <c r="B2176" i="15" s="1"/>
  <c r="A2177" i="15"/>
  <c r="B2177" i="15" s="1"/>
  <c r="A2178" i="15"/>
  <c r="A2179" i="15"/>
  <c r="B2179" i="15" s="1"/>
  <c r="A2180" i="15"/>
  <c r="A2181" i="15"/>
  <c r="A2182" i="15"/>
  <c r="B2182" i="15" s="1"/>
  <c r="A2183" i="15"/>
  <c r="B2183" i="15" s="1"/>
  <c r="A2184" i="15"/>
  <c r="E2184" i="15" s="1"/>
  <c r="A2185" i="15"/>
  <c r="B2185" i="15" s="1"/>
  <c r="A2186" i="15"/>
  <c r="A2187" i="15"/>
  <c r="E2187" i="15" s="1"/>
  <c r="A2188" i="15"/>
  <c r="B2188" i="15" s="1"/>
  <c r="A2189" i="15"/>
  <c r="B2189" i="15" s="1"/>
  <c r="A2190" i="15"/>
  <c r="E2190" i="15" s="1"/>
  <c r="A2191" i="15"/>
  <c r="B2191" i="15" s="1"/>
  <c r="A2192" i="15"/>
  <c r="A2193" i="15"/>
  <c r="A2194" i="15"/>
  <c r="B2194" i="15" s="1"/>
  <c r="A2195" i="15"/>
  <c r="A2196" i="15"/>
  <c r="A2197" i="15"/>
  <c r="B2197" i="15" s="1"/>
  <c r="A2198" i="15"/>
  <c r="A2199" i="15"/>
  <c r="A2200" i="15"/>
  <c r="B2200" i="15" s="1"/>
  <c r="A2201" i="15"/>
  <c r="B2201" i="15" s="1"/>
  <c r="A2202" i="15"/>
  <c r="A2203" i="15"/>
  <c r="A2204" i="15"/>
  <c r="A2205" i="15"/>
  <c r="E2205" i="15" s="1"/>
  <c r="A2206" i="15"/>
  <c r="A2207" i="15"/>
  <c r="B2207" i="15" s="1"/>
  <c r="A2208" i="15"/>
  <c r="E2208" i="15" s="1"/>
  <c r="A2209" i="15"/>
  <c r="A2210" i="15"/>
  <c r="A2211" i="15"/>
  <c r="A2212" i="15"/>
  <c r="A2213" i="15"/>
  <c r="B2213" i="15" s="1"/>
  <c r="A2214" i="15"/>
  <c r="A2215" i="15"/>
  <c r="A2216" i="15"/>
  <c r="B2216" i="15" s="1"/>
  <c r="A2217" i="15"/>
  <c r="A2218" i="15"/>
  <c r="A2219" i="15"/>
  <c r="A2220" i="15"/>
  <c r="E2220" i="15" s="1"/>
  <c r="A2221" i="15"/>
  <c r="A2222" i="15"/>
  <c r="A2223" i="15"/>
  <c r="E2223" i="15" s="1"/>
  <c r="A2224" i="15"/>
  <c r="A2225" i="15"/>
  <c r="B2225" i="15" s="1"/>
  <c r="A2226" i="15"/>
  <c r="E2226" i="15" s="1"/>
  <c r="A2227" i="15"/>
  <c r="A2228" i="15"/>
  <c r="A2229" i="15"/>
  <c r="A2231" i="15"/>
  <c r="A2232" i="15"/>
  <c r="B2232" i="15" s="1"/>
  <c r="A2233" i="15"/>
  <c r="A2234" i="15"/>
  <c r="A2235" i="15"/>
  <c r="B2235" i="15" s="1"/>
  <c r="A2236" i="15"/>
  <c r="A2237" i="15"/>
  <c r="A2238" i="15"/>
  <c r="A2239" i="15"/>
  <c r="E2239" i="15" s="1"/>
  <c r="A2240" i="15"/>
  <c r="A2241" i="15"/>
  <c r="A2242" i="15"/>
  <c r="E2242" i="15" s="1"/>
  <c r="A2243" i="15"/>
  <c r="A2244" i="15"/>
  <c r="B2244" i="15" s="1"/>
  <c r="A2245" i="15"/>
  <c r="E2245" i="15" s="1"/>
  <c r="A2246" i="15"/>
  <c r="A2247" i="15"/>
  <c r="A2248" i="15"/>
  <c r="A2249" i="15"/>
  <c r="A2250" i="15"/>
  <c r="A2251" i="15"/>
  <c r="A2252" i="15"/>
  <c r="A2253" i="15"/>
  <c r="B2253" i="15" s="1"/>
  <c r="A2254" i="15"/>
  <c r="A2255" i="15"/>
  <c r="A2256" i="15"/>
  <c r="B2256" i="15" s="1"/>
  <c r="A2257" i="15"/>
  <c r="E2257" i="15" s="1"/>
  <c r="A2258" i="15"/>
  <c r="A2259" i="15"/>
  <c r="A2260" i="15"/>
  <c r="E2260" i="15" s="1"/>
  <c r="A2261" i="15"/>
  <c r="A2262" i="15"/>
  <c r="B2262" i="15" s="1"/>
  <c r="A2263" i="15"/>
  <c r="E2263" i="15" s="1"/>
  <c r="A2264" i="15"/>
  <c r="A2265" i="15"/>
  <c r="A2266" i="15"/>
  <c r="A2267" i="15"/>
  <c r="A2268" i="15"/>
  <c r="B2268" i="15" s="1"/>
  <c r="A2269" i="15"/>
  <c r="A2270" i="15"/>
  <c r="A2271" i="15"/>
  <c r="B2271" i="15" s="1"/>
  <c r="A2272" i="15"/>
  <c r="A2273" i="15"/>
  <c r="A2274" i="15"/>
  <c r="B2274" i="15" s="1"/>
  <c r="A2275" i="15"/>
  <c r="E2275" i="15" s="1"/>
  <c r="A2276" i="15"/>
  <c r="A2277" i="15"/>
  <c r="A2278" i="15"/>
  <c r="E2278" i="15" s="1"/>
  <c r="A2279" i="15"/>
  <c r="A2280" i="15"/>
  <c r="B2280" i="15" s="1"/>
  <c r="A2281" i="15"/>
  <c r="E2281" i="15" s="1"/>
  <c r="A2282" i="15"/>
  <c r="A2283" i="15"/>
  <c r="A2284" i="15"/>
  <c r="A2285" i="15"/>
  <c r="A2286" i="15"/>
  <c r="B2286" i="15" s="1"/>
  <c r="A2287" i="15"/>
  <c r="A2288" i="15"/>
  <c r="A2289" i="15"/>
  <c r="A2290" i="15"/>
  <c r="A2291" i="15"/>
  <c r="A2292" i="15"/>
  <c r="A2293" i="15"/>
  <c r="A2294" i="15"/>
  <c r="A2295" i="15"/>
  <c r="A2296" i="15"/>
  <c r="E2296" i="15" s="1"/>
  <c r="A2297" i="15"/>
  <c r="A2298" i="15"/>
  <c r="A2299" i="15"/>
  <c r="E2299" i="15" s="1"/>
  <c r="A2300" i="15"/>
  <c r="A2301" i="15"/>
  <c r="A2302" i="15"/>
  <c r="A2303" i="15"/>
  <c r="A2304" i="15"/>
  <c r="A2305" i="15"/>
  <c r="A2306" i="15"/>
  <c r="A2307" i="15"/>
  <c r="A2308" i="15"/>
  <c r="A2309" i="15"/>
  <c r="A2310" i="15"/>
  <c r="A2311" i="15"/>
  <c r="A2312" i="15"/>
  <c r="A2313" i="15"/>
  <c r="A2314" i="15"/>
  <c r="E2314" i="15" s="1"/>
  <c r="A2315" i="15"/>
  <c r="A2316" i="15"/>
  <c r="B2316" i="15" s="1"/>
  <c r="A2317" i="15"/>
  <c r="A2318" i="15"/>
  <c r="A2319" i="15"/>
  <c r="A2320" i="15"/>
  <c r="A2321" i="15"/>
  <c r="A2322" i="15"/>
  <c r="A2323" i="15"/>
  <c r="A2324" i="15"/>
  <c r="A2325" i="15"/>
  <c r="B2325" i="15" s="1"/>
  <c r="A2326" i="15"/>
  <c r="A2327" i="15"/>
  <c r="A2328" i="15"/>
  <c r="B2328" i="15" s="1"/>
  <c r="A2329" i="15"/>
  <c r="E2329" i="15" s="1"/>
  <c r="A2330" i="15"/>
  <c r="A2331" i="15"/>
  <c r="A2332" i="15"/>
  <c r="E2332" i="15" s="1"/>
  <c r="A2333" i="15"/>
  <c r="A2334" i="15"/>
  <c r="B2334" i="15" s="1"/>
  <c r="A2335" i="15"/>
  <c r="A2336" i="15"/>
  <c r="A2337" i="15"/>
  <c r="A2338" i="15"/>
  <c r="A2339" i="15"/>
  <c r="A2340" i="15"/>
  <c r="B2340" i="15" s="1"/>
  <c r="A2341" i="15"/>
  <c r="A2342" i="15"/>
  <c r="A2343" i="15"/>
  <c r="B2343" i="15" s="1"/>
  <c r="A2344" i="15"/>
  <c r="A2345" i="15"/>
  <c r="A2346" i="15"/>
  <c r="B2346" i="15" s="1"/>
  <c r="A2347" i="15"/>
  <c r="E2347" i="15" s="1"/>
  <c r="A2348" i="15"/>
  <c r="A2349" i="15"/>
  <c r="A2350" i="15"/>
  <c r="E2350" i="15" s="1"/>
  <c r="A2351" i="15"/>
  <c r="A2352" i="15"/>
  <c r="B2352" i="15" s="1"/>
  <c r="A2353" i="15"/>
  <c r="E2353" i="15" s="1"/>
  <c r="A2354" i="15"/>
  <c r="A2355" i="15"/>
  <c r="A2356" i="15"/>
  <c r="A2357" i="15"/>
  <c r="A2358" i="15"/>
  <c r="A2359" i="15"/>
  <c r="A2360" i="15"/>
  <c r="A2361" i="15"/>
  <c r="B2361" i="15" s="1"/>
  <c r="A2362" i="15"/>
  <c r="A2363" i="15"/>
  <c r="A2364" i="15"/>
  <c r="B2364" i="15" s="1"/>
  <c r="A2365" i="15"/>
  <c r="E2365" i="15" s="1"/>
  <c r="A2366" i="15"/>
  <c r="A2367" i="15"/>
  <c r="A2368" i="15"/>
  <c r="E2368" i="15" s="1"/>
  <c r="A2369" i="15"/>
  <c r="A2370" i="15"/>
  <c r="B2370" i="15" s="1"/>
  <c r="A2371" i="15"/>
  <c r="E2371" i="15" s="1"/>
  <c r="A2372" i="15"/>
  <c r="A2373" i="15"/>
  <c r="A2374" i="15"/>
  <c r="A2375" i="15"/>
  <c r="A2376" i="15"/>
  <c r="B2376" i="15" s="1"/>
  <c r="A2377" i="15"/>
  <c r="A2378" i="15"/>
  <c r="A2379" i="15"/>
  <c r="B2379" i="15" s="1"/>
  <c r="A2380" i="15"/>
  <c r="A2381" i="15"/>
  <c r="A2382" i="15"/>
  <c r="B2382" i="15" s="1"/>
  <c r="A2383" i="15"/>
  <c r="E2383" i="15" s="1"/>
  <c r="A2384" i="15"/>
  <c r="A2385" i="15"/>
  <c r="A2386" i="15"/>
  <c r="E2386" i="15" s="1"/>
  <c r="A2387" i="15"/>
  <c r="A2388" i="15"/>
  <c r="B2388" i="15" s="1"/>
  <c r="A2389" i="15"/>
  <c r="A2390" i="15"/>
  <c r="A2391" i="15"/>
  <c r="A2392" i="15"/>
  <c r="A2393" i="15"/>
  <c r="A2394" i="15"/>
  <c r="B2394" i="15" s="1"/>
  <c r="A2395" i="15"/>
  <c r="A2396" i="15"/>
  <c r="A2397" i="15"/>
  <c r="B2397" i="15" s="1"/>
  <c r="A2398" i="15"/>
  <c r="A2399" i="15"/>
  <c r="A2400" i="15"/>
  <c r="A2401" i="15"/>
  <c r="E2401" i="15" s="1"/>
  <c r="A2402" i="15"/>
  <c r="A2403" i="15"/>
  <c r="A2404" i="15"/>
  <c r="E2404" i="15" s="1"/>
  <c r="A2405" i="15"/>
  <c r="A2406" i="15"/>
  <c r="B2406" i="15" s="1"/>
  <c r="A2407" i="15"/>
  <c r="E2407" i="15" s="1"/>
  <c r="A2408" i="15"/>
  <c r="A2409" i="15"/>
  <c r="A2410" i="15"/>
  <c r="E2410" i="15" s="1"/>
  <c r="A2411" i="15"/>
  <c r="A2412" i="15"/>
  <c r="B2412" i="15" s="1"/>
  <c r="A2413" i="15"/>
  <c r="A2414" i="15"/>
  <c r="A2415" i="15"/>
  <c r="A2416" i="15"/>
  <c r="A2417" i="15"/>
  <c r="A2418" i="15"/>
  <c r="B2418" i="15" s="1"/>
  <c r="A2419" i="15"/>
  <c r="E2419" i="15" s="1"/>
  <c r="A2420" i="15"/>
  <c r="A2421" i="15"/>
  <c r="B2421" i="15" s="1"/>
  <c r="A2422" i="15"/>
  <c r="A2423" i="15"/>
  <c r="E2423" i="15" s="1"/>
  <c r="A2424" i="15"/>
  <c r="D2424" i="15" s="1"/>
  <c r="A2425" i="15"/>
  <c r="D2425" i="15" s="1"/>
  <c r="A2426" i="15"/>
  <c r="E2426" i="15" s="1"/>
  <c r="A2427" i="15"/>
  <c r="D2427" i="15" s="1"/>
  <c r="A2428" i="15"/>
  <c r="A2429" i="15"/>
  <c r="E2429" i="15" s="1"/>
  <c r="A2430" i="15"/>
  <c r="B2430" i="15" s="1"/>
  <c r="A2431" i="15"/>
  <c r="A2432" i="15"/>
  <c r="E2432" i="15" s="1"/>
  <c r="A2433" i="15"/>
  <c r="A2434" i="15"/>
  <c r="D2434" i="15" s="1"/>
  <c r="A2435" i="15"/>
  <c r="E2435" i="15" s="1"/>
  <c r="A2436" i="15"/>
  <c r="D2436" i="15" s="1"/>
  <c r="A2437" i="15"/>
  <c r="D2437" i="15" s="1"/>
  <c r="A2438" i="15"/>
  <c r="E2438" i="15" s="1"/>
  <c r="A2439" i="15"/>
  <c r="D2439" i="15" s="1"/>
  <c r="A2440" i="15"/>
  <c r="C2440" i="15" s="1"/>
  <c r="F2440" i="15" s="1"/>
  <c r="A2441" i="15"/>
  <c r="E2441" i="15" s="1"/>
  <c r="A2442" i="15"/>
  <c r="D2442" i="15" s="1"/>
  <c r="A2443" i="15"/>
  <c r="D2443" i="15" s="1"/>
  <c r="A2444" i="15"/>
  <c r="E2444" i="15" s="1"/>
  <c r="A2445" i="15"/>
  <c r="D2445" i="15" s="1"/>
  <c r="A2446" i="15"/>
  <c r="A2447" i="15"/>
  <c r="E2447" i="15" s="1"/>
  <c r="A2448" i="15"/>
  <c r="D2448" i="15" s="1"/>
  <c r="A2449" i="15"/>
  <c r="A2450" i="15"/>
  <c r="E2450" i="15" s="1"/>
  <c r="A2451" i="15"/>
  <c r="A2452" i="15"/>
  <c r="D2452" i="15" s="1"/>
  <c r="A2453" i="15"/>
  <c r="E2453" i="15" s="1"/>
  <c r="A2454" i="15"/>
  <c r="D2454" i="15" s="1"/>
  <c r="A2455" i="15"/>
  <c r="D2455" i="15" s="1"/>
  <c r="A2456" i="15"/>
  <c r="E2456" i="15" s="1"/>
  <c r="A2457" i="15"/>
  <c r="D2457" i="15" s="1"/>
  <c r="A2458" i="15"/>
  <c r="D2458" i="15" s="1"/>
  <c r="A2459" i="15"/>
  <c r="C2459" i="15" s="1"/>
  <c r="F2459" i="15" s="1"/>
  <c r="A2460" i="15"/>
  <c r="A2461" i="15"/>
  <c r="D2461" i="15" s="1"/>
  <c r="A2462" i="15"/>
  <c r="E2462" i="15" s="1"/>
  <c r="A2463" i="15"/>
  <c r="B2463" i="15" s="1"/>
  <c r="A2464" i="15"/>
  <c r="D2464" i="15" s="1"/>
  <c r="A2465" i="15"/>
  <c r="C2465" i="15" s="1"/>
  <c r="F2465" i="15" s="1"/>
  <c r="A2466" i="15"/>
  <c r="D2466" i="15" s="1"/>
  <c r="A2467" i="15"/>
  <c r="A2468" i="15"/>
  <c r="E2468" i="15" s="1"/>
  <c r="A2469" i="15"/>
  <c r="B2469" i="15" s="1"/>
  <c r="A2470" i="15"/>
  <c r="A2471" i="15"/>
  <c r="C2471" i="15" s="1"/>
  <c r="F2471" i="15" s="1"/>
  <c r="A2472" i="15"/>
  <c r="D2472" i="15" s="1"/>
  <c r="A2473" i="15"/>
  <c r="D2473" i="15" s="1"/>
  <c r="A2474" i="15"/>
  <c r="E2474" i="15" s="1"/>
  <c r="A2475" i="15"/>
  <c r="B2475" i="15" s="1"/>
  <c r="A2476" i="15"/>
  <c r="D2476" i="15" s="1"/>
  <c r="A2477" i="15"/>
  <c r="C2477" i="15" s="1"/>
  <c r="F2477" i="15" s="1"/>
  <c r="A2478" i="15"/>
  <c r="D2478" i="15" s="1"/>
  <c r="A2479" i="15"/>
  <c r="A2480" i="15"/>
  <c r="E2480" i="15" s="1"/>
  <c r="A2481" i="15"/>
  <c r="B2481" i="15" s="1"/>
  <c r="A2482" i="15"/>
  <c r="A2483" i="15"/>
  <c r="C2483" i="15" s="1"/>
  <c r="F2483" i="15" s="1"/>
  <c r="A2484" i="15"/>
  <c r="D2484" i="15" s="1"/>
  <c r="A2485" i="15"/>
  <c r="A2486" i="15"/>
  <c r="E2486" i="15" s="1"/>
  <c r="A2487" i="15"/>
  <c r="B2487" i="15" s="1"/>
  <c r="A2488" i="15"/>
  <c r="C2488" i="15" s="1"/>
  <c r="F2488" i="15" s="1"/>
  <c r="A2489" i="15"/>
  <c r="C2489" i="15" s="1"/>
  <c r="F2489" i="15" s="1"/>
  <c r="A2490" i="15"/>
  <c r="D2490" i="15" s="1"/>
  <c r="A2491" i="15"/>
  <c r="C2491" i="15" s="1"/>
  <c r="F2491" i="15" s="1"/>
  <c r="A2492" i="15"/>
  <c r="B2492" i="15" s="1"/>
  <c r="A2493" i="15"/>
  <c r="A2494" i="15"/>
  <c r="D2494" i="15" s="1"/>
  <c r="A2495" i="15"/>
  <c r="C2495" i="15" s="1"/>
  <c r="F2495" i="15" s="1"/>
  <c r="A2496" i="15"/>
  <c r="D2496" i="15" s="1"/>
  <c r="A2497" i="15"/>
  <c r="C2497" i="15" s="1"/>
  <c r="F2497" i="15" s="1"/>
  <c r="A2498" i="15"/>
  <c r="B2498" i="15" s="1"/>
  <c r="A2499" i="15"/>
  <c r="B2499" i="15" s="1"/>
  <c r="A2500" i="15"/>
  <c r="D2500" i="15" s="1"/>
  <c r="A2501" i="15"/>
  <c r="C2501" i="15" s="1"/>
  <c r="F2501" i="15" s="1"/>
  <c r="A2502" i="15"/>
  <c r="D2502" i="15" s="1"/>
  <c r="A2503" i="15"/>
  <c r="A2504" i="15"/>
  <c r="B2504" i="15" s="1"/>
  <c r="A2505" i="15"/>
  <c r="C2505" i="15" s="1"/>
  <c r="F2505" i="15" s="1"/>
  <c r="A2506" i="15"/>
  <c r="A2507" i="15"/>
  <c r="C2507" i="15" s="1"/>
  <c r="F2507" i="15" s="1"/>
  <c r="A2508" i="15"/>
  <c r="A2509" i="15"/>
  <c r="C2509" i="15" s="1"/>
  <c r="F2509" i="15" s="1"/>
  <c r="A2510" i="15"/>
  <c r="B2510" i="15" s="1"/>
  <c r="A2511" i="15"/>
  <c r="A2512" i="15"/>
  <c r="D2512" i="15" s="1"/>
  <c r="A2513" i="15"/>
  <c r="C2513" i="15" s="1"/>
  <c r="F2513" i="15" s="1"/>
  <c r="A2514" i="15"/>
  <c r="D2514" i="15" s="1"/>
  <c r="A2515" i="15"/>
  <c r="C2515" i="15" s="1"/>
  <c r="F2515" i="15" s="1"/>
  <c r="A2516" i="15"/>
  <c r="B2516" i="15" s="1"/>
  <c r="A2517" i="15"/>
  <c r="B2517" i="15" s="1"/>
  <c r="A2518" i="15"/>
  <c r="D2518" i="15" s="1"/>
  <c r="A2519" i="15"/>
  <c r="A2520" i="15"/>
  <c r="D2520" i="15" s="1"/>
  <c r="A2521" i="15"/>
  <c r="A2522" i="15"/>
  <c r="E2522" i="15" s="1"/>
  <c r="A2523" i="15"/>
  <c r="B2523" i="15" s="1"/>
  <c r="A2524" i="15"/>
  <c r="A2525" i="15"/>
  <c r="C2525" i="15" s="1"/>
  <c r="F2525" i="15" s="1"/>
  <c r="A2526" i="15"/>
  <c r="D2526" i="15" s="1"/>
  <c r="A2527" i="15"/>
  <c r="C2527" i="15" s="1"/>
  <c r="F2527" i="15" s="1"/>
  <c r="A2528" i="15"/>
  <c r="B2528" i="15" s="1"/>
  <c r="A2529" i="15"/>
  <c r="B2529" i="15" s="1"/>
  <c r="A2530" i="15"/>
  <c r="A2531" i="15"/>
  <c r="A2532" i="15"/>
  <c r="D2532" i="15" s="1"/>
  <c r="A2533" i="15"/>
  <c r="C2533" i="15" s="1"/>
  <c r="F2533" i="15" s="1"/>
  <c r="A2534" i="15"/>
  <c r="A2535" i="15"/>
  <c r="B2535" i="15" s="1"/>
  <c r="A2536" i="15"/>
  <c r="A2537" i="15"/>
  <c r="C2537" i="15" s="1"/>
  <c r="F2537" i="15" s="1"/>
  <c r="A2538" i="15"/>
  <c r="A2539" i="15"/>
  <c r="A2540" i="15"/>
  <c r="B2540" i="15" s="1"/>
  <c r="A2541" i="15"/>
  <c r="C2541" i="15" s="1"/>
  <c r="F2541" i="15" s="1"/>
  <c r="A2542" i="15"/>
  <c r="A2543" i="15"/>
  <c r="A2544" i="15"/>
  <c r="D2544" i="15" s="1"/>
  <c r="A2545" i="15"/>
  <c r="C2545" i="15" s="1"/>
  <c r="F2545" i="15" s="1"/>
  <c r="A2546" i="15"/>
  <c r="A2547" i="15"/>
  <c r="A2548" i="15"/>
  <c r="E2548" i="15" s="1"/>
  <c r="A2549" i="15"/>
  <c r="D2549" i="15" s="1"/>
  <c r="A2550" i="15"/>
  <c r="B2550" i="15" s="1"/>
  <c r="A2551" i="15"/>
  <c r="E2551" i="15" s="1"/>
  <c r="A2552" i="15"/>
  <c r="A2553" i="15"/>
  <c r="A2554" i="15"/>
  <c r="D2554" i="15" s="1"/>
  <c r="A2555" i="15"/>
  <c r="E2555" i="15" s="1"/>
  <c r="A2556" i="15"/>
  <c r="A2557" i="15"/>
  <c r="A2558" i="15"/>
  <c r="E2558" i="15" s="1"/>
  <c r="A2559" i="15"/>
  <c r="A2560" i="15"/>
  <c r="A2561" i="15"/>
  <c r="A2562" i="15"/>
  <c r="D2562" i="15" s="1"/>
  <c r="A2563" i="15"/>
  <c r="A2564" i="15"/>
  <c r="A2565" i="15"/>
  <c r="C2565" i="15" s="1"/>
  <c r="F2565" i="15" s="1"/>
  <c r="A2566" i="15"/>
  <c r="E2566" i="15" s="1"/>
  <c r="A2567" i="15"/>
  <c r="A2568" i="15"/>
  <c r="D2568" i="15" s="1"/>
  <c r="A2569" i="15"/>
  <c r="C2569" i="15" s="1"/>
  <c r="F2569" i="15" s="1"/>
  <c r="A2570" i="15"/>
  <c r="B2570" i="15" s="1"/>
  <c r="A2571" i="15"/>
  <c r="D2571" i="15" s="1"/>
  <c r="A2572" i="15"/>
  <c r="A2573" i="15"/>
  <c r="A2574" i="15"/>
  <c r="D2574" i="15" s="1"/>
  <c r="A2575" i="15"/>
  <c r="A2576" i="15"/>
  <c r="B2576" i="15" s="1"/>
  <c r="A2577" i="15"/>
  <c r="D2577" i="15" s="1"/>
  <c r="A2578" i="15"/>
  <c r="D2578" i="15" s="1"/>
  <c r="A2579" i="15"/>
  <c r="B2579" i="15" s="1"/>
  <c r="A2580" i="15"/>
  <c r="D2580" i="15" s="1"/>
  <c r="A2581" i="15"/>
  <c r="C2581" i="15" s="1"/>
  <c r="F2581" i="15" s="1"/>
  <c r="A2582" i="15"/>
  <c r="B2582" i="15" s="1"/>
  <c r="A2583" i="15"/>
  <c r="D2583" i="15" s="1"/>
  <c r="A2584" i="15"/>
  <c r="D2584" i="15" s="1"/>
  <c r="A2585" i="15"/>
  <c r="A2586" i="15"/>
  <c r="D2586" i="15" s="1"/>
  <c r="A2587" i="15"/>
  <c r="C2587" i="15" s="1"/>
  <c r="F2587" i="15" s="1"/>
  <c r="A2588" i="15"/>
  <c r="B2588" i="15" s="1"/>
  <c r="A2589" i="15"/>
  <c r="D2589" i="15" s="1"/>
  <c r="A2590" i="15"/>
  <c r="D2590" i="15" s="1"/>
  <c r="A2591" i="15"/>
  <c r="B2591" i="15" s="1"/>
  <c r="A2592" i="15"/>
  <c r="D2592" i="15" s="1"/>
  <c r="A2593" i="15"/>
  <c r="A2594" i="15"/>
  <c r="C2594" i="15" s="1"/>
  <c r="F2594" i="15" s="1"/>
  <c r="A2595" i="15"/>
  <c r="A2596" i="15"/>
  <c r="D2596" i="15" s="1"/>
  <c r="A2597" i="15"/>
  <c r="A2598" i="15"/>
  <c r="A2599" i="15"/>
  <c r="C2599" i="15" s="1"/>
  <c r="F2599" i="15" s="1"/>
  <c r="A2600" i="15"/>
  <c r="C2600" i="15" s="1"/>
  <c r="F2600" i="15" s="1"/>
  <c r="A2601" i="15"/>
  <c r="B2601" i="15" s="1"/>
  <c r="A2602" i="15"/>
  <c r="D2602" i="15" s="1"/>
  <c r="A2603" i="15"/>
  <c r="B2603" i="15" s="1"/>
  <c r="A2604" i="15"/>
  <c r="D2604" i="15" s="1"/>
  <c r="A2605" i="15"/>
  <c r="C2605" i="15" s="1"/>
  <c r="F2605" i="15" s="1"/>
  <c r="A2606" i="15"/>
  <c r="C2606" i="15" s="1"/>
  <c r="F2606" i="15" s="1"/>
  <c r="A2607" i="15"/>
  <c r="B2607" i="15" s="1"/>
  <c r="A2608" i="15"/>
  <c r="D2608" i="15" s="1"/>
  <c r="A2609" i="15"/>
  <c r="C2609" i="15" s="1"/>
  <c r="F2609" i="15" s="1"/>
  <c r="A2610" i="15"/>
  <c r="D2610" i="15" s="1"/>
  <c r="A2611" i="15"/>
  <c r="A2612" i="15"/>
  <c r="C2612" i="15" s="1"/>
  <c r="F2612" i="15" s="1"/>
  <c r="A2613" i="15"/>
  <c r="B2613" i="15" s="1"/>
  <c r="A2614" i="15"/>
  <c r="D2614" i="15" s="1"/>
  <c r="A2615" i="15"/>
  <c r="D2615" i="15" s="1"/>
  <c r="A2616" i="15"/>
  <c r="D2616" i="15" s="1"/>
  <c r="A2617" i="15"/>
  <c r="C2617" i="15" s="1"/>
  <c r="F2617" i="15" s="1"/>
  <c r="A2618" i="15"/>
  <c r="C2618" i="15" s="1"/>
  <c r="F2618" i="15" s="1"/>
  <c r="A2619" i="15"/>
  <c r="A2620" i="15"/>
  <c r="D2620" i="15" s="1"/>
  <c r="A2621" i="15"/>
  <c r="A2622" i="15"/>
  <c r="D2622" i="15" s="1"/>
  <c r="A2623" i="15"/>
  <c r="C2623" i="15" s="1"/>
  <c r="F2623" i="15" s="1"/>
  <c r="A2624" i="15"/>
  <c r="C2624" i="15" s="1"/>
  <c r="F2624" i="15" s="1"/>
  <c r="A2625" i="15"/>
  <c r="B2625" i="15" s="1"/>
  <c r="A2626" i="15"/>
  <c r="D2626" i="15" s="1"/>
  <c r="A2627" i="15"/>
  <c r="D2627" i="15" s="1"/>
  <c r="A2628" i="15"/>
  <c r="D2628" i="15" s="1"/>
  <c r="A2629" i="15"/>
  <c r="A2630" i="15"/>
  <c r="C2630" i="15" s="1"/>
  <c r="F2630" i="15" s="1"/>
  <c r="A2631" i="15"/>
  <c r="B2631" i="15" s="1"/>
  <c r="A2632" i="15"/>
  <c r="B2632" i="15" s="1"/>
  <c r="A2633" i="15"/>
  <c r="B2633" i="15" s="1"/>
  <c r="A2634" i="15"/>
  <c r="D2634" i="15" s="1"/>
  <c r="A2635" i="15"/>
  <c r="C2635" i="15" s="1"/>
  <c r="F2635" i="15" s="1"/>
  <c r="A2636" i="15"/>
  <c r="C2636" i="15" s="1"/>
  <c r="F2636" i="15" s="1"/>
  <c r="A2637" i="15"/>
  <c r="B2637" i="15" s="1"/>
  <c r="A2638" i="15"/>
  <c r="D2638" i="15" s="1"/>
  <c r="A2639" i="15"/>
  <c r="B2639" i="15" s="1"/>
  <c r="A2640" i="15"/>
  <c r="D2640" i="15" s="1"/>
  <c r="A2641" i="15"/>
  <c r="C2641" i="15" s="1"/>
  <c r="F2641" i="15" s="1"/>
  <c r="A2642" i="15"/>
  <c r="C2642" i="15" s="1"/>
  <c r="F2642" i="15" s="1"/>
  <c r="A2643" i="15"/>
  <c r="A2644" i="15"/>
  <c r="D2644" i="15" s="1"/>
  <c r="A2645" i="15"/>
  <c r="A2646" i="15"/>
  <c r="D2646" i="15" s="1"/>
  <c r="A2647" i="15"/>
  <c r="A2648" i="15"/>
  <c r="C2648" i="15" s="1"/>
  <c r="F2648" i="15" s="1"/>
  <c r="A2649" i="15"/>
  <c r="A2650" i="15"/>
  <c r="D2650" i="15" s="1"/>
  <c r="A2651" i="15"/>
  <c r="A2652" i="15"/>
  <c r="A2653" i="15"/>
  <c r="A2654" i="15"/>
  <c r="C2654" i="15" s="1"/>
  <c r="F2654" i="15" s="1"/>
  <c r="A2655" i="15"/>
  <c r="B2655" i="15" s="1"/>
  <c r="A2656" i="15"/>
  <c r="D2656" i="15" s="1"/>
  <c r="A2657" i="15"/>
  <c r="D2657" i="15" s="1"/>
  <c r="A2658" i="15"/>
  <c r="D2658" i="15" s="1"/>
  <c r="A2659" i="15"/>
  <c r="A2660" i="15"/>
  <c r="C2660" i="15" s="1"/>
  <c r="F2660" i="15" s="1"/>
  <c r="A2661" i="15"/>
  <c r="A2662" i="15"/>
  <c r="D2662" i="15" s="1"/>
  <c r="A2663" i="15"/>
  <c r="A2664" i="15"/>
  <c r="A2665" i="15"/>
  <c r="A2666" i="15"/>
  <c r="C2666" i="15" s="1"/>
  <c r="F2666" i="15" s="1"/>
  <c r="A2667" i="15"/>
  <c r="B2667" i="15" s="1"/>
  <c r="A2668" i="15"/>
  <c r="A2669" i="15"/>
  <c r="D2669" i="15" s="1"/>
  <c r="A2670" i="15"/>
  <c r="A2671" i="15"/>
  <c r="C2671" i="15" s="1"/>
  <c r="F2671" i="15" s="1"/>
  <c r="A2672" i="15"/>
  <c r="C2672" i="15" s="1"/>
  <c r="F2672" i="15" s="1"/>
  <c r="A2673" i="15"/>
  <c r="D2673" i="15" s="1"/>
  <c r="A2674" i="15"/>
  <c r="D2674" i="15" s="1"/>
  <c r="A2675" i="15"/>
  <c r="B2675" i="15" s="1"/>
  <c r="A2676" i="15"/>
  <c r="A2677" i="15"/>
  <c r="C2677" i="15" s="1"/>
  <c r="F2677" i="15" s="1"/>
  <c r="A2678" i="15"/>
  <c r="C2678" i="15" s="1"/>
  <c r="F2678" i="15" s="1"/>
  <c r="A2679" i="15"/>
  <c r="B2679" i="15" s="1"/>
  <c r="A2680" i="15"/>
  <c r="A2681" i="15"/>
  <c r="D2681" i="15" s="1"/>
  <c r="A2682" i="15"/>
  <c r="B2682" i="15" s="1"/>
  <c r="A2683" i="15"/>
  <c r="A2684" i="15"/>
  <c r="C2684" i="15" s="1"/>
  <c r="F2684" i="15" s="1"/>
  <c r="A2685" i="15"/>
  <c r="A2686" i="15"/>
  <c r="A2687" i="15"/>
  <c r="D2687" i="15" s="1"/>
  <c r="A2688" i="15"/>
  <c r="B2688" i="15" s="1"/>
  <c r="A2689" i="15"/>
  <c r="C2689" i="15" s="1"/>
  <c r="F2689" i="15" s="1"/>
  <c r="A2690" i="15"/>
  <c r="E2690" i="15" s="1"/>
  <c r="A2691" i="15"/>
  <c r="B2691" i="15" s="1"/>
  <c r="A2692" i="15"/>
  <c r="D2692" i="15" s="1"/>
  <c r="A2693" i="15"/>
  <c r="B2693" i="15" s="1"/>
  <c r="A2694" i="15"/>
  <c r="B2694" i="15" s="1"/>
  <c r="A2695" i="15"/>
  <c r="C2695" i="15" s="1"/>
  <c r="F2695" i="15" s="1"/>
  <c r="A2696" i="15"/>
  <c r="A2697" i="15"/>
  <c r="B2697" i="15" s="1"/>
  <c r="A2698" i="15"/>
  <c r="D2698" i="15" s="1"/>
  <c r="A2699" i="15"/>
  <c r="A2700" i="15"/>
  <c r="B2700" i="15" s="1"/>
  <c r="A2701" i="15"/>
  <c r="A2702" i="15"/>
  <c r="A2703" i="15"/>
  <c r="B2703" i="15" s="1"/>
  <c r="A2704" i="15"/>
  <c r="D2704" i="15" s="1"/>
  <c r="A2705" i="15"/>
  <c r="A2706" i="15"/>
  <c r="A2707" i="15"/>
  <c r="C2707" i="15" s="1"/>
  <c r="F2707" i="15" s="1"/>
  <c r="A2708" i="15"/>
  <c r="C2708" i="15" s="1"/>
  <c r="F2708" i="15" s="1"/>
  <c r="A2709" i="15"/>
  <c r="A2710" i="15"/>
  <c r="D2710" i="15" s="1"/>
  <c r="A2711" i="15"/>
  <c r="C2711" i="15" s="1"/>
  <c r="F2711" i="15" s="1"/>
  <c r="A2712" i="15"/>
  <c r="B2712" i="15" s="1"/>
  <c r="A2713" i="15"/>
  <c r="A2714" i="15"/>
  <c r="C2714" i="15" s="1"/>
  <c r="F2714" i="15" s="1"/>
  <c r="A2715" i="15"/>
  <c r="A2716" i="15"/>
  <c r="D2716" i="15" s="1"/>
  <c r="A2717" i="15"/>
  <c r="A2718" i="15"/>
  <c r="B2718" i="15" s="1"/>
  <c r="A2719" i="15"/>
  <c r="A2720" i="15"/>
  <c r="C2720" i="15" s="1"/>
  <c r="F2720" i="15" s="1"/>
  <c r="A2721" i="15"/>
  <c r="A2722" i="15"/>
  <c r="D2722" i="15" s="1"/>
  <c r="A2723" i="15"/>
  <c r="A2724" i="15"/>
  <c r="B2724" i="15" s="1"/>
  <c r="A2725" i="15"/>
  <c r="C2725" i="15" s="1"/>
  <c r="F2725" i="15" s="1"/>
  <c r="A2726" i="15"/>
  <c r="E2726" i="15" s="1"/>
  <c r="A2727" i="15"/>
  <c r="B2727" i="15" s="1"/>
  <c r="A2728" i="15"/>
  <c r="A2729" i="15"/>
  <c r="D2729" i="15" s="1"/>
  <c r="A2730" i="15"/>
  <c r="B2730" i="15" s="1"/>
  <c r="A2731" i="15"/>
  <c r="C2731" i="15" s="1"/>
  <c r="F2731" i="15" s="1"/>
  <c r="A2732" i="15"/>
  <c r="C2732" i="15" s="1"/>
  <c r="F2732" i="15" s="1"/>
  <c r="A2733" i="15"/>
  <c r="B2733" i="15" s="1"/>
  <c r="A2734" i="15"/>
  <c r="A2735" i="15"/>
  <c r="D2735" i="15" s="1"/>
  <c r="A2736" i="15"/>
  <c r="B2736" i="15" s="1"/>
  <c r="A2737" i="15"/>
  <c r="A2738" i="15"/>
  <c r="A2739" i="15"/>
  <c r="B2739" i="15" s="1"/>
  <c r="A2740" i="15"/>
  <c r="A2741" i="15"/>
  <c r="C2741" i="15" s="1"/>
  <c r="F2741" i="15" s="1"/>
  <c r="A2742" i="15"/>
  <c r="B2742" i="15" s="1"/>
  <c r="A2743" i="15"/>
  <c r="A2744" i="15"/>
  <c r="C2744" i="15" s="1"/>
  <c r="F2744" i="15" s="1"/>
  <c r="A2745" i="15"/>
  <c r="D2745" i="15" s="1"/>
  <c r="A2746" i="15"/>
  <c r="D2746" i="15" s="1"/>
  <c r="A2747" i="15"/>
  <c r="D2747" i="15" s="1"/>
  <c r="A2748" i="15"/>
  <c r="B2748" i="15" s="1"/>
  <c r="A2749" i="15"/>
  <c r="C2749" i="15" s="1"/>
  <c r="F2749" i="15" s="1"/>
  <c r="A2750" i="15"/>
  <c r="C2750" i="15" s="1"/>
  <c r="F2750" i="15" s="1"/>
  <c r="A2751" i="15"/>
  <c r="E2751" i="15" s="1"/>
  <c r="A2752" i="15"/>
  <c r="C2752" i="15" s="1"/>
  <c r="F2752" i="15" s="1"/>
  <c r="A2753" i="15"/>
  <c r="A2754" i="15"/>
  <c r="B2754" i="15" s="1"/>
  <c r="A2755" i="15"/>
  <c r="A2756" i="15"/>
  <c r="D2756" i="15" s="1"/>
  <c r="A2757" i="15"/>
  <c r="E2757" i="15" s="1"/>
  <c r="A2758" i="15"/>
  <c r="B2758" i="15" s="1"/>
  <c r="A2759" i="15"/>
  <c r="C2759" i="15" s="1"/>
  <c r="F2759" i="15" s="1"/>
  <c r="A2760" i="15"/>
  <c r="B2760" i="15" s="1"/>
  <c r="A2761" i="15"/>
  <c r="C2761" i="15" s="1"/>
  <c r="F2761" i="15" s="1"/>
  <c r="A2762" i="15"/>
  <c r="D2762" i="15" s="1"/>
  <c r="A2763" i="15"/>
  <c r="E2763" i="15" s="1"/>
  <c r="A2764" i="15"/>
  <c r="E2764" i="15" s="1"/>
  <c r="A2765" i="15"/>
  <c r="B2765" i="15" s="1"/>
  <c r="A2766" i="15"/>
  <c r="B2766" i="15" s="1"/>
  <c r="A2767" i="15"/>
  <c r="C2767" i="15" s="1"/>
  <c r="F2767" i="15" s="1"/>
  <c r="A2768" i="15"/>
  <c r="D2768" i="15" s="1"/>
  <c r="A2769" i="15"/>
  <c r="E2769" i="15" s="1"/>
  <c r="A2770" i="15"/>
  <c r="C2770" i="15" s="1"/>
  <c r="F2770" i="15" s="1"/>
  <c r="A2771" i="15"/>
  <c r="D2771" i="15" s="1"/>
  <c r="A2772" i="15"/>
  <c r="B2772" i="15" s="1"/>
  <c r="A2773" i="15"/>
  <c r="A2774" i="15"/>
  <c r="D2774" i="15" s="1"/>
  <c r="A2775" i="15"/>
  <c r="E2775" i="15" s="1"/>
  <c r="A2776" i="15"/>
  <c r="B2776" i="15" s="1"/>
  <c r="A2777" i="15"/>
  <c r="A2778" i="15"/>
  <c r="B2778" i="15" s="1"/>
  <c r="A2779" i="15"/>
  <c r="C2779" i="15" s="1"/>
  <c r="F2779" i="15" s="1"/>
  <c r="A2780" i="15"/>
  <c r="D2780" i="15" s="1"/>
  <c r="A2781" i="15"/>
  <c r="E2781" i="15" s="1"/>
  <c r="A2782" i="15"/>
  <c r="A2783" i="15"/>
  <c r="B2783" i="15" s="1"/>
  <c r="A2784" i="15"/>
  <c r="B2784" i="15" s="1"/>
  <c r="A2785" i="15"/>
  <c r="C2785" i="15" s="1"/>
  <c r="F2785" i="15" s="1"/>
  <c r="A2786" i="15"/>
  <c r="D2786" i="15" s="1"/>
  <c r="A2787" i="15"/>
  <c r="A2788" i="15"/>
  <c r="C2788" i="15" s="1"/>
  <c r="F2788" i="15" s="1"/>
  <c r="A2789" i="15"/>
  <c r="C2789" i="15" s="1"/>
  <c r="F2789" i="15" s="1"/>
  <c r="A2790" i="15"/>
  <c r="B2790" i="15" s="1"/>
  <c r="A2791" i="15"/>
  <c r="A2792" i="15"/>
  <c r="D2792" i="15" s="1"/>
  <c r="A2793" i="15"/>
  <c r="E2793" i="15" s="1"/>
  <c r="A2794" i="15"/>
  <c r="B2794" i="15" s="1"/>
  <c r="A2795" i="15"/>
  <c r="A2796" i="15"/>
  <c r="B2796" i="15" s="1"/>
  <c r="A2797" i="15"/>
  <c r="A2798" i="15"/>
  <c r="D2798" i="15" s="1"/>
  <c r="A2799" i="15"/>
  <c r="E2799" i="15" s="1"/>
  <c r="A2800" i="15"/>
  <c r="E2800" i="15" s="1"/>
  <c r="A2801" i="15"/>
  <c r="B2801" i="15" s="1"/>
  <c r="A2802" i="15"/>
  <c r="A2803" i="15"/>
  <c r="C2803" i="15" s="1"/>
  <c r="F2803" i="15" s="1"/>
  <c r="A2804" i="15"/>
  <c r="D2804" i="15" s="1"/>
  <c r="A2805" i="15"/>
  <c r="A2806" i="15"/>
  <c r="C2806" i="15" s="1"/>
  <c r="F2806" i="15" s="1"/>
  <c r="A2807" i="15"/>
  <c r="A2808" i="15"/>
  <c r="B2808" i="15" s="1"/>
  <c r="A2809" i="15"/>
  <c r="A2810" i="15"/>
  <c r="D2810" i="15" s="1"/>
  <c r="A2811" i="15"/>
  <c r="A2812" i="15"/>
  <c r="E2812" i="15" s="1"/>
  <c r="A2813" i="15"/>
  <c r="D2813" i="15" s="1"/>
  <c r="A2814" i="15"/>
  <c r="B2814" i="15" s="1"/>
  <c r="A2815" i="15"/>
  <c r="C2815" i="15" s="1"/>
  <c r="F2815" i="15" s="1"/>
  <c r="A2816" i="15"/>
  <c r="D2816" i="15" s="1"/>
  <c r="A2817" i="15"/>
  <c r="E2817" i="15" s="1"/>
  <c r="A2818" i="15"/>
  <c r="E2818" i="15" s="1"/>
  <c r="A2819" i="15"/>
  <c r="A2820" i="15"/>
  <c r="B2820" i="15" s="1"/>
  <c r="A2821" i="15"/>
  <c r="C2821" i="15" s="1"/>
  <c r="F2821" i="15" s="1"/>
  <c r="A2822" i="15"/>
  <c r="D2822" i="15" s="1"/>
  <c r="A2823" i="15"/>
  <c r="E2823" i="15" s="1"/>
  <c r="A2824" i="15"/>
  <c r="C2824" i="15" s="1"/>
  <c r="F2824" i="15" s="1"/>
  <c r="A2825" i="15"/>
  <c r="A2826" i="15"/>
  <c r="A2827" i="15"/>
  <c r="A2828" i="15"/>
  <c r="A2829" i="15"/>
  <c r="E2829" i="15" s="1"/>
  <c r="A2830" i="15"/>
  <c r="B2830" i="15" s="1"/>
  <c r="A2831" i="15"/>
  <c r="D2831" i="15" s="1"/>
  <c r="A2832" i="15"/>
  <c r="A2833" i="15"/>
  <c r="C2833" i="15" s="1"/>
  <c r="F2833" i="15" s="1"/>
  <c r="A2834" i="15"/>
  <c r="A2835" i="15"/>
  <c r="A2836" i="15"/>
  <c r="C2836" i="15" s="1"/>
  <c r="F2836" i="15" s="1"/>
  <c r="A2837" i="15"/>
  <c r="D2837" i="15" s="1"/>
  <c r="A2838" i="15"/>
  <c r="A2839" i="15"/>
  <c r="A2840" i="15"/>
  <c r="C2840" i="15" s="1"/>
  <c r="F2840" i="15" s="1"/>
  <c r="A2841" i="15"/>
  <c r="E2841" i="15" s="1"/>
  <c r="A2842" i="15"/>
  <c r="E2842" i="15" s="1"/>
  <c r="A2843" i="15"/>
  <c r="A2844" i="15"/>
  <c r="D2844" i="15" s="1"/>
  <c r="A2845" i="15"/>
  <c r="A2846" i="15"/>
  <c r="A2847" i="15"/>
  <c r="C2847" i="15" s="1"/>
  <c r="F2847" i="15" s="1"/>
  <c r="A2848" i="15"/>
  <c r="A2849" i="15"/>
  <c r="A2850" i="15"/>
  <c r="A2851" i="15"/>
  <c r="D2851" i="15" s="1"/>
  <c r="A2852" i="15"/>
  <c r="D2852" i="15" s="1"/>
  <c r="A2853" i="15"/>
  <c r="A2854" i="15"/>
  <c r="C2854" i="15" s="1"/>
  <c r="F2854" i="15" s="1"/>
  <c r="A2855" i="15"/>
  <c r="A2856" i="15"/>
  <c r="B2856" i="15" s="1"/>
  <c r="A2857" i="15"/>
  <c r="A2858" i="15"/>
  <c r="C2858" i="15" s="1"/>
  <c r="F2858" i="15" s="1"/>
  <c r="A2859" i="15"/>
  <c r="E2859" i="15" s="1"/>
  <c r="A2860" i="15"/>
  <c r="E2860" i="15" s="1"/>
  <c r="A2861" i="15"/>
  <c r="A2862" i="15"/>
  <c r="D2862" i="15" s="1"/>
  <c r="A2863" i="15"/>
  <c r="A2864" i="15"/>
  <c r="A2865" i="15"/>
  <c r="C2865" i="15" s="1"/>
  <c r="F2865" i="15" s="1"/>
  <c r="A2866" i="15"/>
  <c r="B2866" i="15" s="1"/>
  <c r="A2867" i="15"/>
  <c r="D2867" i="15" s="1"/>
  <c r="A2868" i="15"/>
  <c r="A2869" i="15"/>
  <c r="D2869" i="15" s="1"/>
  <c r="A2870" i="15"/>
  <c r="D2870" i="15" s="1"/>
  <c r="A2871" i="15"/>
  <c r="A2872" i="15"/>
  <c r="C2872" i="15" s="1"/>
  <c r="F2872" i="15" s="1"/>
  <c r="A2873" i="15"/>
  <c r="E2873" i="15" s="1"/>
  <c r="A2874" i="15"/>
  <c r="B2874" i="15" s="1"/>
  <c r="A2875" i="15"/>
  <c r="A2876" i="15"/>
  <c r="C2876" i="15" s="1"/>
  <c r="F2876" i="15" s="1"/>
  <c r="A2877" i="15"/>
  <c r="E2877" i="15" s="1"/>
  <c r="A2878" i="15"/>
  <c r="E2878" i="15" s="1"/>
  <c r="A2879" i="15"/>
  <c r="C2879" i="15" s="1"/>
  <c r="F2879" i="15" s="1"/>
  <c r="A2880" i="15"/>
  <c r="D2880" i="15" s="1"/>
  <c r="A2881" i="15"/>
  <c r="A2882" i="15"/>
  <c r="A2883" i="15"/>
  <c r="C2883" i="15" s="1"/>
  <c r="F2883" i="15" s="1"/>
  <c r="A2884" i="15"/>
  <c r="B2884" i="15" s="1"/>
  <c r="A2885" i="15"/>
  <c r="D2885" i="15" s="1"/>
  <c r="A2886" i="15"/>
  <c r="A2887" i="15"/>
  <c r="D2887" i="15" s="1"/>
  <c r="A2888" i="15"/>
  <c r="A2889" i="15"/>
  <c r="A2890" i="15"/>
  <c r="C2890" i="15" s="1"/>
  <c r="F2890" i="15" s="1"/>
  <c r="A2891" i="15"/>
  <c r="A2892" i="15"/>
  <c r="B2892" i="15" s="1"/>
  <c r="A2893" i="15"/>
  <c r="A2894" i="15"/>
  <c r="C2894" i="15" s="1"/>
  <c r="F2894" i="15" s="1"/>
  <c r="A2895" i="15"/>
  <c r="E2895" i="15" s="1"/>
  <c r="A2896" i="15"/>
  <c r="E2896" i="15" s="1"/>
  <c r="A2897" i="15"/>
  <c r="D2897" i="15" s="1"/>
  <c r="A2898" i="15"/>
  <c r="D2898" i="15" s="1"/>
  <c r="A2899" i="15"/>
  <c r="A2900" i="15"/>
  <c r="A2901" i="15"/>
  <c r="C2901" i="15" s="1"/>
  <c r="F2901" i="15" s="1"/>
  <c r="A2902" i="15"/>
  <c r="B2902" i="15" s="1"/>
  <c r="A2903" i="15"/>
  <c r="A2904" i="15"/>
  <c r="A2905" i="15"/>
  <c r="D2905" i="15" s="1"/>
  <c r="A2906" i="15"/>
  <c r="D2906" i="15" s="1"/>
  <c r="A2907" i="15"/>
  <c r="A2908" i="15"/>
  <c r="C2908" i="15" s="1"/>
  <c r="F2908" i="15" s="1"/>
  <c r="A2909" i="15"/>
  <c r="B2909" i="15" s="1"/>
  <c r="A2910" i="15"/>
  <c r="A2911" i="15"/>
  <c r="A2912" i="15"/>
  <c r="C2912" i="15" s="1"/>
  <c r="F2912" i="15" s="1"/>
  <c r="A2913" i="15"/>
  <c r="E2913" i="15" s="1"/>
  <c r="A2914" i="15"/>
  <c r="E2914" i="15" s="1"/>
  <c r="A2915" i="15"/>
  <c r="B2915" i="15" s="1"/>
  <c r="A2916" i="15"/>
  <c r="D2916" i="15" s="1"/>
  <c r="A2917" i="15"/>
  <c r="A2918" i="15"/>
  <c r="A2919" i="15"/>
  <c r="C2919" i="15" s="1"/>
  <c r="F2919" i="15" s="1"/>
  <c r="A2920" i="15"/>
  <c r="A2921" i="15"/>
  <c r="B2921" i="15" s="1"/>
  <c r="A2922" i="15"/>
  <c r="A2923" i="15"/>
  <c r="D2923" i="15" s="1"/>
  <c r="A2924" i="15"/>
  <c r="D2924" i="15" s="1"/>
  <c r="A2925" i="15"/>
  <c r="A2926" i="15"/>
  <c r="C2926" i="15" s="1"/>
  <c r="F2926" i="15" s="1"/>
  <c r="A2927" i="15"/>
  <c r="D2927" i="15" s="1"/>
  <c r="A2928" i="15"/>
  <c r="B2928" i="15" s="1"/>
  <c r="A2929" i="15"/>
  <c r="A2930" i="15"/>
  <c r="C2930" i="15" s="1"/>
  <c r="F2930" i="15" s="1"/>
  <c r="A2931" i="15"/>
  <c r="E2931" i="15" s="1"/>
  <c r="A2932" i="15"/>
  <c r="E2932" i="15" s="1"/>
  <c r="A2933" i="15"/>
  <c r="D2933" i="15" s="1"/>
  <c r="A2934" i="15"/>
  <c r="D2934" i="15" s="1"/>
  <c r="A2935" i="15"/>
  <c r="A2936" i="15"/>
  <c r="A2937" i="15"/>
  <c r="C2937" i="15" s="1"/>
  <c r="F2937" i="15" s="1"/>
  <c r="A2938" i="15"/>
  <c r="B2938" i="15" s="1"/>
  <c r="A2939" i="15"/>
  <c r="A2940" i="15"/>
  <c r="A2941" i="15"/>
  <c r="D2941" i="15" s="1"/>
  <c r="A2942" i="15"/>
  <c r="D2942" i="15" s="1"/>
  <c r="A2943" i="15"/>
  <c r="A2944" i="15"/>
  <c r="C2944" i="15" s="1"/>
  <c r="F2944" i="15" s="1"/>
  <c r="A2945" i="15"/>
  <c r="B2945" i="15" s="1"/>
  <c r="A2946" i="15"/>
  <c r="A2947" i="15"/>
  <c r="A2948" i="15"/>
  <c r="C2948" i="15" s="1"/>
  <c r="F2948" i="15" s="1"/>
  <c r="A2949" i="15"/>
  <c r="E2949" i="15" s="1"/>
  <c r="A2950" i="15"/>
  <c r="E2950" i="15" s="1"/>
  <c r="A2951" i="15"/>
  <c r="B2951" i="15" s="1"/>
  <c r="A2952" i="15"/>
  <c r="D2952" i="15" s="1"/>
  <c r="A2953" i="15"/>
  <c r="A2954" i="15"/>
  <c r="A2955" i="15"/>
  <c r="C2955" i="15" s="1"/>
  <c r="F2955" i="15" s="1"/>
  <c r="A2956" i="15"/>
  <c r="A2957" i="15"/>
  <c r="D2957" i="15" s="1"/>
  <c r="A2958" i="15"/>
  <c r="A2959" i="15"/>
  <c r="D2959" i="15" s="1"/>
  <c r="A2960" i="15"/>
  <c r="D2960" i="15" s="1"/>
  <c r="A2961" i="15"/>
  <c r="A2962" i="15"/>
  <c r="C2962" i="15" s="1"/>
  <c r="F2962" i="15" s="1"/>
  <c r="A2963" i="15"/>
  <c r="A2964" i="15"/>
  <c r="B2964" i="15" s="1"/>
  <c r="A2965" i="15"/>
  <c r="A2966" i="15"/>
  <c r="C2966" i="15" s="1"/>
  <c r="F2966" i="15" s="1"/>
  <c r="A2967" i="15"/>
  <c r="E2967" i="15" s="1"/>
  <c r="A2968" i="15"/>
  <c r="E2968" i="15" s="1"/>
  <c r="A2969" i="15"/>
  <c r="D2969" i="15" s="1"/>
  <c r="A2970" i="15"/>
  <c r="D2970" i="15" s="1"/>
  <c r="A2971" i="15"/>
  <c r="A2972" i="15"/>
  <c r="C2972" i="15" s="1"/>
  <c r="F2972" i="15" s="1"/>
  <c r="A2973" i="15"/>
  <c r="A2974" i="15"/>
  <c r="C2974" i="15" s="1"/>
  <c r="F2974" i="15" s="1"/>
  <c r="A2975" i="15"/>
  <c r="D2975" i="15" s="1"/>
  <c r="A2976" i="15"/>
  <c r="C2976" i="15" s="1"/>
  <c r="F2976" i="15" s="1"/>
  <c r="A2977" i="15"/>
  <c r="A2978" i="15"/>
  <c r="A2979" i="15"/>
  <c r="A2980" i="15"/>
  <c r="D2980" i="15" s="1"/>
  <c r="A2981" i="15"/>
  <c r="D2981" i="15" s="1"/>
  <c r="A2982" i="15"/>
  <c r="A2983" i="15"/>
  <c r="A2984" i="15"/>
  <c r="A2985" i="15"/>
  <c r="A2986" i="15"/>
  <c r="A2987" i="15"/>
  <c r="D2987" i="15" s="1"/>
  <c r="A2988" i="15"/>
  <c r="A2989" i="15"/>
  <c r="A2990" i="15"/>
  <c r="A2991" i="15"/>
  <c r="A2992" i="15"/>
  <c r="A2993" i="15"/>
  <c r="D2993" i="15" s="1"/>
  <c r="A2994" i="15"/>
  <c r="C2994" i="15" s="1"/>
  <c r="F2994" i="15" s="1"/>
  <c r="A2995" i="15"/>
  <c r="D2995" i="15" s="1"/>
  <c r="A2996" i="15"/>
  <c r="C2996" i="15" s="1"/>
  <c r="F2996" i="15" s="1"/>
  <c r="A2997" i="15"/>
  <c r="D2997" i="15" s="1"/>
  <c r="A2998" i="15"/>
  <c r="C2998" i="15" s="1"/>
  <c r="F2998" i="15" s="1"/>
  <c r="A2999" i="15"/>
  <c r="D2999" i="15" s="1"/>
  <c r="A3000" i="15"/>
  <c r="C3000" i="15" s="1"/>
  <c r="F3000" i="15" s="1"/>
  <c r="A3001" i="15"/>
  <c r="D3001" i="15" s="1"/>
  <c r="A3002" i="15"/>
  <c r="C3002" i="15" s="1"/>
  <c r="F3002" i="15" s="1"/>
  <c r="A3003" i="15"/>
  <c r="D3003" i="15" s="1"/>
  <c r="A3004" i="15"/>
  <c r="A3005" i="15"/>
  <c r="D3005" i="15" s="1"/>
  <c r="A3006" i="15"/>
  <c r="C3006" i="15" s="1"/>
  <c r="F3006" i="15" s="1"/>
  <c r="A3007" i="15"/>
  <c r="A3008" i="15"/>
  <c r="C3008" i="15" s="1"/>
  <c r="F3008" i="15" s="1"/>
  <c r="A3009" i="15"/>
  <c r="D3009" i="15" s="1"/>
  <c r="A3010" i="15"/>
  <c r="E3010" i="15" s="1"/>
  <c r="A3011" i="15"/>
  <c r="D3011" i="15" s="1"/>
  <c r="A3012" i="15"/>
  <c r="C3012" i="15" s="1"/>
  <c r="F3012" i="15" s="1"/>
  <c r="A3013" i="15"/>
  <c r="D3013" i="15" s="1"/>
  <c r="A3014" i="15"/>
  <c r="A3015" i="15"/>
  <c r="D3015" i="15" s="1"/>
  <c r="A3016" i="15"/>
  <c r="C3016" i="15" s="1"/>
  <c r="F3016" i="15" s="1"/>
  <c r="A3017" i="15"/>
  <c r="D3017" i="15" s="1"/>
  <c r="A3018" i="15"/>
  <c r="A3019" i="15"/>
  <c r="D3019" i="15" s="1"/>
  <c r="A3020" i="15"/>
  <c r="E3020" i="15" s="1"/>
  <c r="A3021" i="15"/>
  <c r="D3021" i="15" s="1"/>
  <c r="A3022" i="15"/>
  <c r="C3022" i="15" s="1"/>
  <c r="F3022" i="15" s="1"/>
  <c r="A3023" i="15"/>
  <c r="D3023" i="15" s="1"/>
  <c r="A3024" i="15"/>
  <c r="C3024" i="15" s="1"/>
  <c r="F3024" i="15" s="1"/>
  <c r="A3025" i="15"/>
  <c r="A3026" i="15"/>
  <c r="B3026" i="15" s="1"/>
  <c r="A3027" i="15"/>
  <c r="A3028" i="15"/>
  <c r="A3029" i="15"/>
  <c r="A3030" i="15"/>
  <c r="A3031" i="15"/>
  <c r="D3031" i="15" s="1"/>
  <c r="A3032" i="15"/>
  <c r="A3033" i="15"/>
  <c r="B3033" i="15" s="1"/>
  <c r="A3034" i="15"/>
  <c r="A3035" i="15"/>
  <c r="D3035" i="15" s="1"/>
  <c r="A3036" i="15"/>
  <c r="A3037" i="15"/>
  <c r="D3037" i="15" s="1"/>
  <c r="A3038" i="15"/>
  <c r="B3038" i="15" s="1"/>
  <c r="A3039" i="15"/>
  <c r="A3040" i="15"/>
  <c r="C3040" i="15" s="1"/>
  <c r="F3040" i="15" s="1"/>
  <c r="A3041" i="15"/>
  <c r="E3041" i="15" s="1"/>
  <c r="A3042" i="15"/>
  <c r="A3043" i="15"/>
  <c r="A3044" i="15"/>
  <c r="A3045" i="15"/>
  <c r="B3045" i="15" s="1"/>
  <c r="A3046" i="15"/>
  <c r="C3046" i="15" s="1"/>
  <c r="F3046" i="15" s="1"/>
  <c r="A3047" i="15"/>
  <c r="A3048" i="15"/>
  <c r="A3049" i="15"/>
  <c r="D3049" i="15" s="1"/>
  <c r="A3050" i="15"/>
  <c r="A3051" i="15"/>
  <c r="A3052" i="15"/>
  <c r="C3052" i="15" s="1"/>
  <c r="F3052" i="15" s="1"/>
  <c r="A3053" i="15"/>
  <c r="D3053" i="15" s="1"/>
  <c r="A3054" i="15"/>
  <c r="A3055" i="15"/>
  <c r="D3055" i="15" s="1"/>
  <c r="A3056" i="15"/>
  <c r="A3057" i="15"/>
  <c r="B3057" i="15" s="1"/>
  <c r="A3058" i="15"/>
  <c r="A3059" i="15"/>
  <c r="D3059" i="15" s="1"/>
  <c r="A3060" i="15"/>
  <c r="A3061" i="15"/>
  <c r="A3062" i="15"/>
  <c r="B3062" i="15" s="1"/>
  <c r="A3063" i="15"/>
  <c r="A3064" i="15"/>
  <c r="A3065" i="15"/>
  <c r="E3065" i="15" s="1"/>
  <c r="A3066" i="15"/>
  <c r="C3066" i="15" s="1"/>
  <c r="F3066" i="15" s="1"/>
  <c r="A3067" i="15"/>
  <c r="D3067" i="15" s="1"/>
  <c r="A3068" i="15"/>
  <c r="A3069" i="15"/>
  <c r="A3070" i="15"/>
  <c r="C3070" i="15" s="1"/>
  <c r="F3070" i="15" s="1"/>
  <c r="A3071" i="15"/>
  <c r="C3071" i="15" s="1"/>
  <c r="F3071" i="15" s="1"/>
  <c r="A3072" i="15"/>
  <c r="D3072" i="15" s="1"/>
  <c r="A3073" i="15"/>
  <c r="A3074" i="15"/>
  <c r="B3074" i="15" s="1"/>
  <c r="A3075" i="15"/>
  <c r="B3075" i="15" s="1"/>
  <c r="A3076" i="15"/>
  <c r="C3076" i="15" s="1"/>
  <c r="F3076" i="15" s="1"/>
  <c r="A3077" i="15"/>
  <c r="C3077" i="15" s="1"/>
  <c r="F3077" i="15" s="1"/>
  <c r="A3078" i="15"/>
  <c r="A3079" i="15"/>
  <c r="A3080" i="15"/>
  <c r="B3080" i="15" s="1"/>
  <c r="A3081" i="15"/>
  <c r="B3081" i="15" s="1"/>
  <c r="A3082" i="15"/>
  <c r="C3082" i="15" s="1"/>
  <c r="F3082" i="15" s="1"/>
  <c r="A3083" i="15"/>
  <c r="A3084" i="15"/>
  <c r="A3085" i="15"/>
  <c r="D3085" i="15" s="1"/>
  <c r="A3086" i="15"/>
  <c r="B3086" i="15" s="1"/>
  <c r="A3087" i="15"/>
  <c r="A3088" i="15"/>
  <c r="C3088" i="15" s="1"/>
  <c r="F3088" i="15" s="1"/>
  <c r="A3089" i="15"/>
  <c r="C3089" i="15" s="1"/>
  <c r="F3089" i="15" s="1"/>
  <c r="A3090" i="15"/>
  <c r="C3090" i="15" s="1"/>
  <c r="F3090" i="15" s="1"/>
  <c r="A3091" i="15"/>
  <c r="A3092" i="15"/>
  <c r="B3092" i="15" s="1"/>
  <c r="A3093" i="15"/>
  <c r="B3093" i="15" s="1"/>
  <c r="A3094" i="15"/>
  <c r="D3094" i="15" s="1"/>
  <c r="A3095" i="15"/>
  <c r="C3095" i="15" s="1"/>
  <c r="F3095" i="15" s="1"/>
  <c r="A3096" i="15"/>
  <c r="A3097" i="15"/>
  <c r="A3098" i="15"/>
  <c r="A3099" i="15"/>
  <c r="B3099" i="15" s="1"/>
  <c r="A3100" i="15"/>
  <c r="C3100" i="15" s="1"/>
  <c r="F3100" i="15" s="1"/>
  <c r="A3101" i="15"/>
  <c r="D3101" i="15" s="1"/>
  <c r="A3102" i="15"/>
  <c r="A3103" i="15"/>
  <c r="D3103" i="15" s="1"/>
  <c r="A3104" i="15"/>
  <c r="B3104" i="15" s="1"/>
  <c r="A3105" i="15"/>
  <c r="B3105" i="15" s="1"/>
  <c r="A3106" i="15"/>
  <c r="C3106" i="15" s="1"/>
  <c r="F3106" i="15" s="1"/>
  <c r="A3107" i="15"/>
  <c r="C3107" i="15" s="1"/>
  <c r="F3107" i="15" s="1"/>
  <c r="A3108" i="15"/>
  <c r="A3109" i="15"/>
  <c r="D3109" i="15" s="1"/>
  <c r="A3110" i="15"/>
  <c r="B3110" i="15" s="1"/>
  <c r="A3111" i="15"/>
  <c r="B3111" i="15" s="1"/>
  <c r="A3112" i="15"/>
  <c r="C3112" i="15" s="1"/>
  <c r="F3112" i="15" s="1"/>
  <c r="A3113" i="15"/>
  <c r="C3113" i="15" s="1"/>
  <c r="F3113" i="15" s="1"/>
  <c r="A3114" i="15"/>
  <c r="C3114" i="15" s="1"/>
  <c r="F3114" i="15" s="1"/>
  <c r="A3115" i="15"/>
  <c r="A3116" i="15"/>
  <c r="A3117" i="15"/>
  <c r="B3117" i="15" s="1"/>
  <c r="A3118" i="15"/>
  <c r="A3119" i="15"/>
  <c r="C3119" i="15" s="1"/>
  <c r="F3119" i="15" s="1"/>
  <c r="A3120" i="15"/>
  <c r="C3120" i="15" s="1"/>
  <c r="F3120" i="15" s="1"/>
  <c r="A3121" i="15"/>
  <c r="D3121" i="15" s="1"/>
  <c r="A3122" i="15"/>
  <c r="A3123" i="15"/>
  <c r="D3123" i="15" s="1"/>
  <c r="A3124" i="15"/>
  <c r="C3124" i="15" s="1"/>
  <c r="F3124" i="15" s="1"/>
  <c r="A3125" i="15"/>
  <c r="A3126" i="15"/>
  <c r="A3127" i="15"/>
  <c r="A3128" i="15"/>
  <c r="B3128" i="15" s="1"/>
  <c r="A3129" i="15"/>
  <c r="A3130" i="15"/>
  <c r="D3130" i="15" s="1"/>
  <c r="A3131" i="15"/>
  <c r="C3131" i="15" s="1"/>
  <c r="F3131" i="15" s="1"/>
  <c r="A3132" i="15"/>
  <c r="A3133" i="15"/>
  <c r="A3134" i="15"/>
  <c r="B3134" i="15" s="1"/>
  <c r="A3135" i="15"/>
  <c r="B3135" i="15" s="1"/>
  <c r="A3136" i="15"/>
  <c r="A3137" i="15"/>
  <c r="A3138" i="15"/>
  <c r="C3138" i="15" s="1"/>
  <c r="F3138" i="15" s="1"/>
  <c r="A3139" i="15"/>
  <c r="D3139" i="15" s="1"/>
  <c r="A3140" i="15"/>
  <c r="A3141" i="15"/>
  <c r="A3142" i="15"/>
  <c r="C3142" i="15" s="1"/>
  <c r="F3142" i="15" s="1"/>
  <c r="A3143" i="15"/>
  <c r="A3144" i="15"/>
  <c r="C3144" i="15" s="1"/>
  <c r="F3144" i="15" s="1"/>
  <c r="A3145" i="15"/>
  <c r="A3146" i="15"/>
  <c r="B3146" i="15" s="1"/>
  <c r="A3147" i="15"/>
  <c r="A3148" i="15"/>
  <c r="C3148" i="15" s="1"/>
  <c r="F3148" i="15" s="1"/>
  <c r="A3149" i="15"/>
  <c r="C3149" i="15" s="1"/>
  <c r="F3149" i="15" s="1"/>
  <c r="A3150" i="15"/>
  <c r="B3150" i="15" s="1"/>
  <c r="A3151" i="15"/>
  <c r="A3152" i="15"/>
  <c r="B3152" i="15" s="1"/>
  <c r="A3153" i="15"/>
  <c r="B3153" i="15" s="1"/>
  <c r="A3154" i="15"/>
  <c r="A3155" i="15"/>
  <c r="C3155" i="15" s="1"/>
  <c r="F3155" i="15" s="1"/>
  <c r="A3156" i="15"/>
  <c r="D3156" i="15" s="1"/>
  <c r="A3157" i="15"/>
  <c r="D3157" i="15" s="1"/>
  <c r="A3158" i="15"/>
  <c r="A3159" i="15"/>
  <c r="B3159" i="15" s="1"/>
  <c r="A3160" i="15"/>
  <c r="C3160" i="15" s="1"/>
  <c r="F3160" i="15" s="1"/>
  <c r="A3161" i="15"/>
  <c r="A3162" i="15"/>
  <c r="A3163" i="15"/>
  <c r="D3163" i="15" s="1"/>
  <c r="A3164" i="15"/>
  <c r="B3164" i="15" s="1"/>
  <c r="A3165" i="15"/>
  <c r="A3166" i="15"/>
  <c r="A3167" i="15"/>
  <c r="C3167" i="15" s="1"/>
  <c r="F3167" i="15" s="1"/>
  <c r="A3168" i="15"/>
  <c r="A3169" i="15"/>
  <c r="A3170" i="15"/>
  <c r="E3170" i="15" s="1"/>
  <c r="A3171" i="15"/>
  <c r="B3171" i="15" s="1"/>
  <c r="A3172" i="15"/>
  <c r="A3173" i="15"/>
  <c r="A3174" i="15"/>
  <c r="A3175" i="15"/>
  <c r="D3175" i="15" s="1"/>
  <c r="A3176" i="15"/>
  <c r="A3177" i="15"/>
  <c r="D3177" i="15" s="1"/>
  <c r="A3178" i="15"/>
  <c r="C3178" i="15" s="1"/>
  <c r="F3178" i="15" s="1"/>
  <c r="A3179" i="15"/>
  <c r="A3180" i="15"/>
  <c r="B3180" i="15" s="1"/>
  <c r="A3181" i="15"/>
  <c r="E3181" i="15" s="1"/>
  <c r="A3182" i="15"/>
  <c r="B3182" i="15" s="1"/>
  <c r="A3183" i="15"/>
  <c r="A3184" i="15"/>
  <c r="C3184" i="15" s="1"/>
  <c r="F3184" i="15" s="1"/>
  <c r="A3185" i="15"/>
  <c r="C3185" i="15" s="1"/>
  <c r="F3185" i="15" s="1"/>
  <c r="A3186" i="15"/>
  <c r="B3186" i="15" s="1"/>
  <c r="A3187" i="15"/>
  <c r="A3188" i="15"/>
  <c r="B3188" i="15" s="1"/>
  <c r="A3189" i="15"/>
  <c r="B3189" i="15" s="1"/>
  <c r="A3190" i="15"/>
  <c r="A3191" i="15"/>
  <c r="C3191" i="15" s="1"/>
  <c r="F3191" i="15" s="1"/>
  <c r="A3192" i="15"/>
  <c r="A3193" i="15"/>
  <c r="D3193" i="15" s="1"/>
  <c r="A3194" i="15"/>
  <c r="A3195" i="15"/>
  <c r="A3196" i="15"/>
  <c r="C3196" i="15" s="1"/>
  <c r="F3196" i="15" s="1"/>
  <c r="A3197" i="15"/>
  <c r="A3198" i="15"/>
  <c r="B3198" i="15" s="1"/>
  <c r="A3199" i="15"/>
  <c r="A3200" i="15"/>
  <c r="B3200" i="15" s="1"/>
  <c r="A3201" i="15"/>
  <c r="A3202" i="15"/>
  <c r="C3202" i="15" s="1"/>
  <c r="F3202" i="15" s="1"/>
  <c r="A3203" i="15"/>
  <c r="C3203" i="15" s="1"/>
  <c r="F3203" i="15" s="1"/>
  <c r="A3204" i="15"/>
  <c r="A3205" i="15"/>
  <c r="A3206" i="15"/>
  <c r="E3206" i="15" s="1"/>
  <c r="A3207" i="15"/>
  <c r="B3207" i="15" s="1"/>
  <c r="A3208" i="15"/>
  <c r="A3209" i="15"/>
  <c r="A3210" i="15"/>
  <c r="A3211" i="15"/>
  <c r="D3211" i="15" s="1"/>
  <c r="A3212" i="15"/>
  <c r="A3213" i="15"/>
  <c r="B3213" i="15" s="1"/>
  <c r="A3214" i="15"/>
  <c r="C3214" i="15" s="1"/>
  <c r="F3214" i="15" s="1"/>
  <c r="A3215" i="15"/>
  <c r="A3216" i="15"/>
  <c r="A3217" i="15"/>
  <c r="D3217" i="15" s="1"/>
  <c r="A3218" i="15"/>
  <c r="B3218" i="15" s="1"/>
  <c r="A3219" i="15"/>
  <c r="A3220" i="15"/>
  <c r="C3220" i="15" s="1"/>
  <c r="F3220" i="15" s="1"/>
  <c r="A3221" i="15"/>
  <c r="C3221" i="15" s="1"/>
  <c r="F3221" i="15" s="1"/>
  <c r="A3222" i="15"/>
  <c r="A3223" i="15"/>
  <c r="A3224" i="15"/>
  <c r="A3225" i="15"/>
  <c r="A3226" i="15"/>
  <c r="D3226" i="15" s="1"/>
  <c r="A3227" i="15"/>
  <c r="B3227" i="15" s="1"/>
  <c r="A3228" i="15"/>
  <c r="D3228" i="15" s="1"/>
  <c r="A3229" i="15"/>
  <c r="A3230" i="15"/>
  <c r="E3230" i="15" s="1"/>
  <c r="A3231" i="15"/>
  <c r="B3231" i="15" s="1"/>
  <c r="A3232" i="15"/>
  <c r="A3233" i="15"/>
  <c r="D3233" i="15" s="1"/>
  <c r="A3234" i="15"/>
  <c r="A3235" i="15"/>
  <c r="D3235" i="15" s="1"/>
  <c r="A3236" i="15"/>
  <c r="A3237" i="15"/>
  <c r="D3237" i="15" s="1"/>
  <c r="A3238" i="15"/>
  <c r="C3238" i="15" s="1"/>
  <c r="F3238" i="15" s="1"/>
  <c r="A3239" i="15"/>
  <c r="A3240" i="15"/>
  <c r="C3240" i="15" s="1"/>
  <c r="F3240" i="15" s="1"/>
  <c r="A3241" i="15"/>
  <c r="A3242" i="15"/>
  <c r="A3243" i="15"/>
  <c r="C3243" i="15" s="1"/>
  <c r="F3243" i="15" s="1"/>
  <c r="A3244" i="15"/>
  <c r="E3244" i="15" s="1"/>
  <c r="A3245" i="15"/>
  <c r="A3246" i="15"/>
  <c r="B3246" i="15" s="1"/>
  <c r="A3247" i="15"/>
  <c r="D3247" i="15" s="1"/>
  <c r="A3248" i="15"/>
  <c r="B3248" i="15" s="1"/>
  <c r="A3249" i="15"/>
  <c r="B3249" i="15" s="1"/>
  <c r="A3250" i="15"/>
  <c r="B3250" i="15" s="1"/>
  <c r="A3251" i="15"/>
  <c r="E3251" i="15" s="1"/>
  <c r="A3252" i="15"/>
  <c r="B3252" i="15" s="1"/>
  <c r="A3253" i="15"/>
  <c r="D3253" i="15" s="1"/>
  <c r="A3254" i="15"/>
  <c r="B3254" i="15" s="1"/>
  <c r="A3255" i="15"/>
  <c r="D3255" i="15" s="1"/>
  <c r="A3256" i="15"/>
  <c r="B3256" i="15" s="1"/>
  <c r="A3257" i="15"/>
  <c r="E3257" i="15" s="1"/>
  <c r="A3258" i="15"/>
  <c r="C3258" i="15" s="1"/>
  <c r="F3258" i="15" s="1"/>
  <c r="A3259" i="15"/>
  <c r="A3260" i="15"/>
  <c r="B3260" i="15" s="1"/>
  <c r="A3261" i="15"/>
  <c r="C3261" i="15" s="1"/>
  <c r="F3261" i="15" s="1"/>
  <c r="A3262" i="15"/>
  <c r="D3262" i="15" s="1"/>
  <c r="A3263" i="15"/>
  <c r="E3263" i="15" s="1"/>
  <c r="A3264" i="15"/>
  <c r="E3264" i="15" s="1"/>
  <c r="A3265" i="15"/>
  <c r="D3265" i="15" s="1"/>
  <c r="A3266" i="15"/>
  <c r="B3266" i="15" s="1"/>
  <c r="A3267" i="15"/>
  <c r="C3267" i="15" s="1"/>
  <c r="F3267" i="15" s="1"/>
  <c r="A3268" i="15"/>
  <c r="B3268" i="15" s="1"/>
  <c r="A3269" i="15"/>
  <c r="E3269" i="15" s="1"/>
  <c r="A3270" i="15"/>
  <c r="A3271" i="15"/>
  <c r="D3271" i="15" s="1"/>
  <c r="A3272" i="15"/>
  <c r="B3272" i="15" s="1"/>
  <c r="A3273" i="15"/>
  <c r="B3273" i="15" s="1"/>
  <c r="A3274" i="15"/>
  <c r="B3274" i="15" s="1"/>
  <c r="A3275" i="15"/>
  <c r="E3275" i="15" s="1"/>
  <c r="A3276" i="15"/>
  <c r="D3276" i="15" s="1"/>
  <c r="A3277" i="15"/>
  <c r="A3278" i="15"/>
  <c r="C3278" i="15" s="1"/>
  <c r="F3278" i="15" s="1"/>
  <c r="A3279" i="15"/>
  <c r="C3279" i="15" s="1"/>
  <c r="F3279" i="15" s="1"/>
  <c r="A3280" i="15"/>
  <c r="C3280" i="15" s="1"/>
  <c r="F3280" i="15" s="1"/>
  <c r="A3281" i="15"/>
  <c r="C3281" i="15" s="1"/>
  <c r="F3281" i="15" s="1"/>
  <c r="A3282" i="15"/>
  <c r="C3282" i="15" s="1"/>
  <c r="F3282" i="15" s="1"/>
  <c r="A3283" i="15"/>
  <c r="C3283" i="15" s="1"/>
  <c r="F3283" i="15" s="1"/>
  <c r="A3284" i="15"/>
  <c r="C3284" i="15" s="1"/>
  <c r="F3284" i="15" s="1"/>
  <c r="A3285" i="15"/>
  <c r="C3285" i="15" s="1"/>
  <c r="F3285" i="15" s="1"/>
  <c r="A3286" i="15"/>
  <c r="C3286" i="15" s="1"/>
  <c r="F3286" i="15" s="1"/>
  <c r="A3287" i="15"/>
  <c r="C3287" i="15" s="1"/>
  <c r="F3287" i="15" s="1"/>
  <c r="A3288" i="15"/>
  <c r="E3288" i="15" s="1"/>
  <c r="A3289" i="15"/>
  <c r="C3289" i="15" s="1"/>
  <c r="F3289" i="15" s="1"/>
  <c r="A3290" i="15"/>
  <c r="C3290" i="15" s="1"/>
  <c r="F3290" i="15" s="1"/>
  <c r="A3291" i="15"/>
  <c r="C3291" i="15" s="1"/>
  <c r="F3291" i="15" s="1"/>
  <c r="A3292" i="15"/>
  <c r="C3292" i="15" s="1"/>
  <c r="F3292" i="15" s="1"/>
  <c r="A3293" i="15"/>
  <c r="C3293" i="15" s="1"/>
  <c r="F3293" i="15" s="1"/>
  <c r="A3294" i="15"/>
  <c r="E3294" i="15" s="1"/>
  <c r="A3295" i="15"/>
  <c r="A3296" i="15"/>
  <c r="C3296" i="15" s="1"/>
  <c r="F3296" i="15" s="1"/>
  <c r="A3297" i="15"/>
  <c r="C3297" i="15" s="1"/>
  <c r="F3297" i="15" s="1"/>
  <c r="A3298" i="15"/>
  <c r="C3298" i="15" s="1"/>
  <c r="F3298" i="15" s="1"/>
  <c r="A3299" i="15"/>
  <c r="C3299" i="15" s="1"/>
  <c r="F3299" i="15" s="1"/>
  <c r="A3300" i="15"/>
  <c r="A3301" i="15"/>
  <c r="C3301" i="15" s="1"/>
  <c r="F3301" i="15" s="1"/>
  <c r="A3302" i="15"/>
  <c r="C3302" i="15" s="1"/>
  <c r="F3302" i="15" s="1"/>
  <c r="A3303" i="15"/>
  <c r="C3303" i="15" s="1"/>
  <c r="F3303" i="15" s="1"/>
  <c r="A3304" i="15"/>
  <c r="C3304" i="15" s="1"/>
  <c r="F3304" i="15" s="1"/>
  <c r="A3305" i="15"/>
  <c r="C3305" i="15" s="1"/>
  <c r="F3305" i="15" s="1"/>
  <c r="A3306" i="15"/>
  <c r="A3307" i="15"/>
  <c r="C3307" i="15" s="1"/>
  <c r="F3307" i="15" s="1"/>
  <c r="A3308" i="15"/>
  <c r="C3308" i="15" s="1"/>
  <c r="F3308" i="15" s="1"/>
  <c r="A3309" i="15"/>
  <c r="C3309" i="15" s="1"/>
  <c r="F3309" i="15" s="1"/>
  <c r="A3310" i="15"/>
  <c r="C3310" i="15" s="1"/>
  <c r="F3310" i="15" s="1"/>
  <c r="A3311" i="15"/>
  <c r="C3311" i="15" s="1"/>
  <c r="F3311" i="15" s="1"/>
  <c r="A3312" i="15"/>
  <c r="E3312" i="15" s="1"/>
  <c r="A3313" i="15"/>
  <c r="A3314" i="15"/>
  <c r="C3314" i="15" s="1"/>
  <c r="F3314" i="15" s="1"/>
  <c r="A3315" i="15"/>
  <c r="A3316" i="15"/>
  <c r="C3316" i="15" s="1"/>
  <c r="F3316" i="15" s="1"/>
  <c r="A3317" i="15"/>
  <c r="C3317" i="15" s="1"/>
  <c r="F3317" i="15" s="1"/>
  <c r="A3318" i="15"/>
  <c r="E3318" i="15" s="1"/>
  <c r="A3319" i="15"/>
  <c r="C3319" i="15" s="1"/>
  <c r="F3319" i="15" s="1"/>
  <c r="A3320" i="15"/>
  <c r="C3320" i="15" s="1"/>
  <c r="F3320" i="15" s="1"/>
  <c r="A3321" i="15"/>
  <c r="C3321" i="15" s="1"/>
  <c r="F3321" i="15" s="1"/>
  <c r="A3322" i="15"/>
  <c r="C3322" i="15" s="1"/>
  <c r="F3322" i="15" s="1"/>
  <c r="A3323" i="15"/>
  <c r="C3323" i="15" s="1"/>
  <c r="F3323" i="15" s="1"/>
  <c r="A3324" i="15"/>
  <c r="E3324" i="15" s="1"/>
  <c r="A3325" i="15"/>
  <c r="C3325" i="15" s="1"/>
  <c r="F3325" i="15" s="1"/>
  <c r="A3326" i="15"/>
  <c r="C3326" i="15" s="1"/>
  <c r="F3326" i="15" s="1"/>
  <c r="A3327" i="15"/>
  <c r="C3327" i="15" s="1"/>
  <c r="F3327" i="15" s="1"/>
  <c r="A3328" i="15"/>
  <c r="C3328" i="15" s="1"/>
  <c r="F3328" i="15" s="1"/>
  <c r="A3329" i="15"/>
  <c r="C3329" i="15" s="1"/>
  <c r="F3329" i="15" s="1"/>
  <c r="A3330" i="15"/>
  <c r="E3330" i="15" s="1"/>
  <c r="A3331" i="15"/>
  <c r="A3332" i="15"/>
  <c r="C3332" i="15" s="1"/>
  <c r="F3332" i="15" s="1"/>
  <c r="A3333" i="15"/>
  <c r="E3333" i="15" s="1"/>
  <c r="A3334" i="15"/>
  <c r="C3334" i="15" s="1"/>
  <c r="F3334" i="15" s="1"/>
  <c r="A3335" i="15"/>
  <c r="C3335" i="15" s="1"/>
  <c r="F3335" i="15" s="1"/>
  <c r="A3336" i="15"/>
  <c r="C3336" i="15" s="1"/>
  <c r="F3336" i="15" s="1"/>
  <c r="A3337" i="15"/>
  <c r="C3337" i="15" s="1"/>
  <c r="F3337" i="15" s="1"/>
  <c r="A3338" i="15"/>
  <c r="C3338" i="15" s="1"/>
  <c r="F3338" i="15" s="1"/>
  <c r="A3339" i="15"/>
  <c r="C3339" i="15" s="1"/>
  <c r="F3339" i="15" s="1"/>
  <c r="A3340" i="15"/>
  <c r="C3340" i="15" s="1"/>
  <c r="F3340" i="15" s="1"/>
  <c r="A3341" i="15"/>
  <c r="C3341" i="15" s="1"/>
  <c r="F3341" i="15" s="1"/>
  <c r="A3342" i="15"/>
  <c r="E3342" i="15" s="1"/>
  <c r="A3343" i="15"/>
  <c r="C3343" i="15" s="1"/>
  <c r="F3343" i="15" s="1"/>
  <c r="A3344" i="15"/>
  <c r="C3344" i="15" s="1"/>
  <c r="F3344" i="15" s="1"/>
  <c r="A3345" i="15"/>
  <c r="C3345" i="15" s="1"/>
  <c r="F3345" i="15" s="1"/>
  <c r="A3346" i="15"/>
  <c r="C3346" i="15" s="1"/>
  <c r="F3346" i="15" s="1"/>
  <c r="A3347" i="15"/>
  <c r="C3347" i="15" s="1"/>
  <c r="F3347" i="15" s="1"/>
  <c r="A3348" i="15"/>
  <c r="E3348" i="15" s="1"/>
  <c r="A3349" i="15"/>
  <c r="A3350" i="15"/>
  <c r="C3350" i="15" s="1"/>
  <c r="F3350" i="15" s="1"/>
  <c r="A3351" i="15"/>
  <c r="C3351" i="15" s="1"/>
  <c r="F3351" i="15" s="1"/>
  <c r="A3352" i="15"/>
  <c r="C3352" i="15" s="1"/>
  <c r="F3352" i="15" s="1"/>
  <c r="A3353" i="15"/>
  <c r="C3353" i="15" s="1"/>
  <c r="F3353" i="15" s="1"/>
  <c r="A3354" i="15"/>
  <c r="A3355" i="15"/>
  <c r="C3355" i="15" s="1"/>
  <c r="F3355" i="15" s="1"/>
  <c r="A3356" i="15"/>
  <c r="C3356" i="15" s="1"/>
  <c r="F3356" i="15" s="1"/>
  <c r="A3357" i="15"/>
  <c r="C3357" i="15" s="1"/>
  <c r="F3357" i="15" s="1"/>
  <c r="A3358" i="15"/>
  <c r="C3358" i="15" s="1"/>
  <c r="F3358" i="15" s="1"/>
  <c r="A3359" i="15"/>
  <c r="C3359" i="15" s="1"/>
  <c r="F3359" i="15" s="1"/>
  <c r="A3360" i="15"/>
  <c r="E3360" i="15" s="1"/>
  <c r="A3361" i="15"/>
  <c r="C3361" i="15" s="1"/>
  <c r="F3361" i="15" s="1"/>
  <c r="A3362" i="15"/>
  <c r="C3362" i="15" s="1"/>
  <c r="F3362" i="15" s="1"/>
  <c r="A3363" i="15"/>
  <c r="C3363" i="15" s="1"/>
  <c r="F3363" i="15" s="1"/>
  <c r="A3364" i="15"/>
  <c r="C3364" i="15" s="1"/>
  <c r="F3364" i="15" s="1"/>
  <c r="A3365" i="15"/>
  <c r="C3365" i="15" s="1"/>
  <c r="F3365" i="15" s="1"/>
  <c r="A3366" i="15"/>
  <c r="E3366" i="15" s="1"/>
  <c r="A3367" i="15"/>
  <c r="A3368" i="15"/>
  <c r="C3368" i="15" s="1"/>
  <c r="F3368" i="15" s="1"/>
  <c r="A3369" i="15"/>
  <c r="C3369" i="15" s="1"/>
  <c r="F3369" i="15" s="1"/>
  <c r="A3370" i="15"/>
  <c r="C3370" i="15" s="1"/>
  <c r="F3370" i="15" s="1"/>
  <c r="A3371" i="15"/>
  <c r="C3371" i="15" s="1"/>
  <c r="F3371" i="15" s="1"/>
  <c r="A3372" i="15"/>
  <c r="E3372" i="15" s="1"/>
  <c r="A3373" i="15"/>
  <c r="C3373" i="15" s="1"/>
  <c r="F3373" i="15" s="1"/>
  <c r="A3374" i="15"/>
  <c r="C3374" i="15" s="1"/>
  <c r="F3374" i="15" s="1"/>
  <c r="A3375" i="15"/>
  <c r="A3376" i="15"/>
  <c r="C3376" i="15" s="1"/>
  <c r="F3376" i="15" s="1"/>
  <c r="A3377" i="15"/>
  <c r="C3377" i="15" s="1"/>
  <c r="F3377" i="15" s="1"/>
  <c r="A3378" i="15"/>
  <c r="C3378" i="15" s="1"/>
  <c r="F3378" i="15" s="1"/>
  <c r="A3379" i="15"/>
  <c r="C3379" i="15" s="1"/>
  <c r="F3379" i="15" s="1"/>
  <c r="A3380" i="15"/>
  <c r="C3380" i="15" s="1"/>
  <c r="F3380" i="15" s="1"/>
  <c r="A3381" i="15"/>
  <c r="C3381" i="15" s="1"/>
  <c r="F3381" i="15" s="1"/>
  <c r="A3382" i="15"/>
  <c r="C3382" i="15" s="1"/>
  <c r="F3382" i="15" s="1"/>
  <c r="A3383" i="15"/>
  <c r="C3383" i="15" s="1"/>
  <c r="F3383" i="15" s="1"/>
  <c r="A3384" i="15"/>
  <c r="A3385" i="15"/>
  <c r="A3386" i="15"/>
  <c r="C3386" i="15" s="1"/>
  <c r="F3386" i="15" s="1"/>
  <c r="A3387" i="15"/>
  <c r="C3387" i="15" s="1"/>
  <c r="F3387" i="15" s="1"/>
  <c r="A3388" i="15"/>
  <c r="C3388" i="15" s="1"/>
  <c r="F3388" i="15" s="1"/>
  <c r="A3389" i="15"/>
  <c r="C3389" i="15" s="1"/>
  <c r="F3389" i="15" s="1"/>
  <c r="A3390" i="15"/>
  <c r="C3390" i="15" s="1"/>
  <c r="F3390" i="15" s="1"/>
  <c r="A3391" i="15"/>
  <c r="C3391" i="15" s="1"/>
  <c r="F3391" i="15" s="1"/>
  <c r="A3392" i="15"/>
  <c r="C3392" i="15" s="1"/>
  <c r="F3392" i="15" s="1"/>
  <c r="A3393" i="15"/>
  <c r="C3393" i="15" s="1"/>
  <c r="F3393" i="15" s="1"/>
  <c r="A3394" i="15"/>
  <c r="C3394" i="15" s="1"/>
  <c r="F3394" i="15" s="1"/>
  <c r="A3395" i="15"/>
  <c r="C3395" i="15" s="1"/>
  <c r="F3395" i="15" s="1"/>
  <c r="A3396" i="15"/>
  <c r="C3396" i="15" s="1"/>
  <c r="F3396" i="15" s="1"/>
  <c r="A3397" i="15"/>
  <c r="C3397" i="15" s="1"/>
  <c r="F3397" i="15" s="1"/>
  <c r="A3398" i="15"/>
  <c r="C3398" i="15" s="1"/>
  <c r="F3398" i="15" s="1"/>
  <c r="A3399" i="15"/>
  <c r="C3399" i="15" s="1"/>
  <c r="F3399" i="15" s="1"/>
  <c r="A3400" i="15"/>
  <c r="C3400" i="15" s="1"/>
  <c r="F3400" i="15" s="1"/>
  <c r="A3401" i="15"/>
  <c r="C3401" i="15" s="1"/>
  <c r="F3401" i="15" s="1"/>
  <c r="A3402" i="15"/>
  <c r="E3402" i="15" s="1"/>
  <c r="A3403" i="15"/>
  <c r="A3404" i="15"/>
  <c r="C3404" i="15" s="1"/>
  <c r="F3404" i="15" s="1"/>
  <c r="A3405" i="15"/>
  <c r="C3405" i="15" s="1"/>
  <c r="F3405" i="15" s="1"/>
  <c r="A3406" i="15"/>
  <c r="C3406" i="15" s="1"/>
  <c r="F3406" i="15" s="1"/>
  <c r="A3407" i="15"/>
  <c r="C3407" i="15" s="1"/>
  <c r="F3407" i="15" s="1"/>
  <c r="A3408" i="15"/>
  <c r="A3409" i="15"/>
  <c r="C3409" i="15" s="1"/>
  <c r="F3409" i="15" s="1"/>
  <c r="A3410" i="15"/>
  <c r="C3410" i="15" s="1"/>
  <c r="F3410" i="15" s="1"/>
  <c r="A3411" i="15"/>
  <c r="C3411" i="15" s="1"/>
  <c r="F3411" i="15" s="1"/>
  <c r="A3412" i="15"/>
  <c r="C3412" i="15" s="1"/>
  <c r="F3412" i="15" s="1"/>
  <c r="A3413" i="15"/>
  <c r="C3413" i="15" s="1"/>
  <c r="F3413" i="15" s="1"/>
  <c r="A3414" i="15"/>
  <c r="C3414" i="15" s="1"/>
  <c r="F3414" i="15" s="1"/>
  <c r="A3415" i="15"/>
  <c r="C3415" i="15" s="1"/>
  <c r="F3415" i="15" s="1"/>
  <c r="A3416" i="15"/>
  <c r="C3416" i="15" s="1"/>
  <c r="F3416" i="15" s="1"/>
  <c r="A3417" i="15"/>
  <c r="C3417" i="15" s="1"/>
  <c r="F3417" i="15" s="1"/>
  <c r="A3418" i="15"/>
  <c r="C3418" i="15" s="1"/>
  <c r="F3418" i="15" s="1"/>
  <c r="A3419" i="15"/>
  <c r="C3419" i="15" s="1"/>
  <c r="F3419" i="15" s="1"/>
  <c r="A3420" i="15"/>
  <c r="E3420" i="15" s="1"/>
  <c r="A3421" i="15"/>
  <c r="A3422" i="15"/>
  <c r="C3422" i="15" s="1"/>
  <c r="F3422" i="15" s="1"/>
  <c r="A3423" i="15"/>
  <c r="A3424" i="15"/>
  <c r="C3424" i="15" s="1"/>
  <c r="F3424" i="15" s="1"/>
  <c r="A3425" i="15"/>
  <c r="C3425" i="15" s="1"/>
  <c r="F3425" i="15" s="1"/>
  <c r="A3426" i="15"/>
  <c r="E3426" i="15" s="1"/>
  <c r="A3427" i="15"/>
  <c r="C3427" i="15" s="1"/>
  <c r="F3427" i="15" s="1"/>
  <c r="A3428" i="15"/>
  <c r="C3428" i="15" s="1"/>
  <c r="F3428" i="15" s="1"/>
  <c r="A3429" i="15"/>
  <c r="C3429" i="15" s="1"/>
  <c r="F3429" i="15" s="1"/>
  <c r="A3430" i="15"/>
  <c r="C3430" i="15" s="1"/>
  <c r="F3430" i="15" s="1"/>
  <c r="A3431" i="15"/>
  <c r="C3431" i="15" s="1"/>
  <c r="F3431" i="15" s="1"/>
  <c r="A3432" i="15"/>
  <c r="C3432" i="15" s="1"/>
  <c r="F3432" i="15" s="1"/>
  <c r="A3433" i="15"/>
  <c r="C3433" i="15" s="1"/>
  <c r="F3433" i="15" s="1"/>
  <c r="A3434" i="15"/>
  <c r="C3434" i="15" s="1"/>
  <c r="F3434" i="15" s="1"/>
  <c r="A3435" i="15"/>
  <c r="C3435" i="15" s="1"/>
  <c r="F3435" i="15" s="1"/>
  <c r="A3436" i="15"/>
  <c r="C3436" i="15" s="1"/>
  <c r="F3436" i="15" s="1"/>
  <c r="A3437" i="15"/>
  <c r="C3437" i="15" s="1"/>
  <c r="F3437" i="15" s="1"/>
  <c r="A3438" i="15"/>
  <c r="C3438" i="15" s="1"/>
  <c r="F3438" i="15" s="1"/>
  <c r="A3439" i="15"/>
  <c r="A3440" i="15"/>
  <c r="C3440" i="15" s="1"/>
  <c r="F3440" i="15" s="1"/>
  <c r="A3441" i="15"/>
  <c r="C3441" i="15" s="1"/>
  <c r="F3441" i="15" s="1"/>
  <c r="A3442" i="15"/>
  <c r="C3442" i="15" s="1"/>
  <c r="F3442" i="15" s="1"/>
  <c r="A3443" i="15"/>
  <c r="C3443" i="15" s="1"/>
  <c r="F3443" i="15" s="1"/>
  <c r="A3444" i="15"/>
  <c r="C3444" i="15" s="1"/>
  <c r="F3444" i="15" s="1"/>
  <c r="A3445" i="15"/>
  <c r="C3445" i="15" s="1"/>
  <c r="F3445" i="15" s="1"/>
  <c r="A3446" i="15"/>
  <c r="C3446" i="15" s="1"/>
  <c r="F3446" i="15" s="1"/>
  <c r="A3447" i="15"/>
  <c r="C3447" i="15" s="1"/>
  <c r="F3447" i="15" s="1"/>
  <c r="A3448" i="15"/>
  <c r="C3448" i="15" s="1"/>
  <c r="F3448" i="15" s="1"/>
  <c r="A3449" i="15"/>
  <c r="C3449" i="15" s="1"/>
  <c r="F3449" i="15" s="1"/>
  <c r="A3450" i="15"/>
  <c r="C3450" i="15" s="1"/>
  <c r="F3450" i="15" s="1"/>
  <c r="A3451" i="15"/>
  <c r="C3451" i="15" s="1"/>
  <c r="F3451" i="15" s="1"/>
  <c r="A3452" i="15"/>
  <c r="C3452" i="15" s="1"/>
  <c r="F3452" i="15" s="1"/>
  <c r="A3453" i="15"/>
  <c r="C3453" i="15" s="1"/>
  <c r="F3453" i="15" s="1"/>
  <c r="A3454" i="15"/>
  <c r="C3454" i="15" s="1"/>
  <c r="F3454" i="15" s="1"/>
  <c r="A3455" i="15"/>
  <c r="C3455" i="15" s="1"/>
  <c r="F3455" i="15" s="1"/>
  <c r="A3456" i="15"/>
  <c r="C3456" i="15" s="1"/>
  <c r="F3456" i="15" s="1"/>
  <c r="A3457" i="15"/>
  <c r="A3458" i="15"/>
  <c r="C3458" i="15" s="1"/>
  <c r="F3458" i="15" s="1"/>
  <c r="A3459" i="15"/>
  <c r="C3459" i="15" s="1"/>
  <c r="F3459" i="15" s="1"/>
  <c r="A3460" i="15"/>
  <c r="C3460" i="15" s="1"/>
  <c r="F3460" i="15" s="1"/>
  <c r="A3461" i="15"/>
  <c r="C3461" i="15" s="1"/>
  <c r="F3461" i="15" s="1"/>
  <c r="A3462" i="15"/>
  <c r="C3462" i="15" s="1"/>
  <c r="F3462" i="15" s="1"/>
  <c r="A3463" i="15"/>
  <c r="A3464" i="15"/>
  <c r="C3464" i="15" s="1"/>
  <c r="F3464" i="15" s="1"/>
  <c r="A3465" i="15"/>
  <c r="C3465" i="15" s="1"/>
  <c r="F3465" i="15" s="1"/>
  <c r="A3466" i="15"/>
  <c r="C3466" i="15" s="1"/>
  <c r="F3466" i="15" s="1"/>
  <c r="A3467" i="15"/>
  <c r="C3467" i="15" s="1"/>
  <c r="F3467" i="15" s="1"/>
  <c r="A3468" i="15"/>
  <c r="C3468" i="15" s="1"/>
  <c r="F3468" i="15" s="1"/>
  <c r="A3469" i="15"/>
  <c r="C3469" i="15" s="1"/>
  <c r="F3469" i="15" s="1"/>
  <c r="A3470" i="15"/>
  <c r="C3470" i="15" s="1"/>
  <c r="F3470" i="15" s="1"/>
  <c r="A3471" i="15"/>
  <c r="C3471" i="15" s="1"/>
  <c r="F3471" i="15" s="1"/>
  <c r="A3472" i="15"/>
  <c r="A3473" i="15"/>
  <c r="C3473" i="15" s="1"/>
  <c r="F3473" i="15" s="1"/>
  <c r="A3474" i="15"/>
  <c r="C3474" i="15" s="1"/>
  <c r="F3474" i="15" s="1"/>
  <c r="A3475" i="15"/>
  <c r="A3476" i="15"/>
  <c r="C3476" i="15" s="1"/>
  <c r="F3476" i="15" s="1"/>
  <c r="A3477" i="15"/>
  <c r="C3477" i="15" s="1"/>
  <c r="F3477" i="15" s="1"/>
  <c r="A3478" i="15"/>
  <c r="C3478" i="15" s="1"/>
  <c r="F3478" i="15" s="1"/>
  <c r="A3479" i="15"/>
  <c r="C3479" i="15" s="1"/>
  <c r="F3479" i="15" s="1"/>
  <c r="A3480" i="15"/>
  <c r="C3480" i="15" s="1"/>
  <c r="F3480" i="15" s="1"/>
  <c r="A3481" i="15"/>
  <c r="C3481" i="15" s="1"/>
  <c r="F3481" i="15" s="1"/>
  <c r="A3482" i="15"/>
  <c r="C3482" i="15" s="1"/>
  <c r="F3482" i="15" s="1"/>
  <c r="A3483" i="15"/>
  <c r="C3483" i="15" s="1"/>
  <c r="F3483" i="15" s="1"/>
  <c r="A3484" i="15"/>
  <c r="C3484" i="15" s="1"/>
  <c r="F3484" i="15" s="1"/>
  <c r="A3485" i="15"/>
  <c r="C3485" i="15" s="1"/>
  <c r="F3485" i="15" s="1"/>
  <c r="A3486" i="15"/>
  <c r="C3486" i="15" s="1"/>
  <c r="F3486" i="15" s="1"/>
  <c r="A3487" i="15"/>
  <c r="C3487" i="15" s="1"/>
  <c r="F3487" i="15" s="1"/>
  <c r="A3488" i="15"/>
  <c r="C3488" i="15" s="1"/>
  <c r="F3488" i="15" s="1"/>
  <c r="A3489" i="15"/>
  <c r="C3489" i="15" s="1"/>
  <c r="F3489" i="15" s="1"/>
  <c r="A3490" i="15"/>
  <c r="C3490" i="15" s="1"/>
  <c r="F3490" i="15" s="1"/>
  <c r="A3491" i="15"/>
  <c r="C3491" i="15" s="1"/>
  <c r="F3491" i="15" s="1"/>
  <c r="A3492" i="15"/>
  <c r="C3492" i="15" s="1"/>
  <c r="F3492" i="15" s="1"/>
  <c r="A3493" i="15"/>
  <c r="A3494" i="15"/>
  <c r="C3494" i="15" s="1"/>
  <c r="F3494" i="15" s="1"/>
  <c r="A3495" i="15"/>
  <c r="C3495" i="15" s="1"/>
  <c r="F3495" i="15" s="1"/>
  <c r="A3496" i="15"/>
  <c r="C3496" i="15" s="1"/>
  <c r="F3496" i="15" s="1"/>
  <c r="A3497" i="15"/>
  <c r="C3497" i="15" s="1"/>
  <c r="F3497" i="15" s="1"/>
  <c r="A3498" i="15"/>
  <c r="C3498" i="15" s="1"/>
  <c r="F3498" i="15" s="1"/>
  <c r="A3499" i="15"/>
  <c r="C3499" i="15" s="1"/>
  <c r="F3499" i="15" s="1"/>
  <c r="A3500" i="15"/>
  <c r="C3500" i="15" s="1"/>
  <c r="F3500" i="15" s="1"/>
  <c r="A3501" i="15"/>
  <c r="C3501" i="15" s="1"/>
  <c r="F3501" i="15" s="1"/>
  <c r="A3502" i="15"/>
  <c r="C3502" i="15" s="1"/>
  <c r="F3502" i="15" s="1"/>
  <c r="A3503" i="15"/>
  <c r="C3503" i="15" s="1"/>
  <c r="F3503" i="15" s="1"/>
  <c r="A3504" i="15"/>
  <c r="C3504" i="15" s="1"/>
  <c r="F3504" i="15" s="1"/>
  <c r="A3505" i="15"/>
  <c r="C3505" i="15" s="1"/>
  <c r="F3505" i="15" s="1"/>
  <c r="A3506" i="15"/>
  <c r="C3506" i="15" s="1"/>
  <c r="F3506" i="15" s="1"/>
  <c r="A3507" i="15"/>
  <c r="C3507" i="15" s="1"/>
  <c r="F3507" i="15" s="1"/>
  <c r="A3508" i="15"/>
  <c r="C3508" i="15" s="1"/>
  <c r="F3508" i="15" s="1"/>
  <c r="A3509" i="15"/>
  <c r="C3509" i="15" s="1"/>
  <c r="F3509" i="15" s="1"/>
  <c r="A3510" i="15"/>
  <c r="C3510" i="15" s="1"/>
  <c r="F3510" i="15" s="1"/>
  <c r="A3511" i="15"/>
  <c r="A3512" i="15"/>
  <c r="C3512" i="15" s="1"/>
  <c r="F3512" i="15" s="1"/>
  <c r="A3513" i="15"/>
  <c r="C3513" i="15" s="1"/>
  <c r="F3513" i="15" s="1"/>
  <c r="A3514" i="15"/>
  <c r="C3514" i="15" s="1"/>
  <c r="F3514" i="15" s="1"/>
  <c r="A3515" i="15"/>
  <c r="C3515" i="15" s="1"/>
  <c r="F3515" i="15" s="1"/>
  <c r="A3516" i="15"/>
  <c r="C3516" i="15" s="1"/>
  <c r="F3516" i="15" s="1"/>
  <c r="A3517" i="15"/>
  <c r="C3517" i="15" s="1"/>
  <c r="F3517" i="15" s="1"/>
  <c r="A3518" i="15"/>
  <c r="C3518" i="15" s="1"/>
  <c r="F3518" i="15" s="1"/>
  <c r="A3519" i="15"/>
  <c r="C3519" i="15" s="1"/>
  <c r="F3519" i="15" s="1"/>
  <c r="A3520" i="15"/>
  <c r="C3520" i="15" s="1"/>
  <c r="F3520" i="15" s="1"/>
  <c r="A3521" i="15"/>
  <c r="C3521" i="15" s="1"/>
  <c r="F3521" i="15" s="1"/>
  <c r="A3522" i="15"/>
  <c r="C3522" i="15" s="1"/>
  <c r="F3522" i="15" s="1"/>
  <c r="A3523" i="15"/>
  <c r="C3523" i="15" s="1"/>
  <c r="F3523" i="15" s="1"/>
  <c r="A3524" i="15"/>
  <c r="A3525" i="15"/>
  <c r="C3525" i="15" s="1"/>
  <c r="F3525" i="15" s="1"/>
  <c r="A3526" i="15"/>
  <c r="C3526" i="15" s="1"/>
  <c r="F3526" i="15" s="1"/>
  <c r="A3527" i="15"/>
  <c r="A3528" i="15"/>
  <c r="C3528" i="15" s="1"/>
  <c r="F3528" i="15" s="1"/>
  <c r="A3529" i="15"/>
  <c r="A3530" i="15"/>
  <c r="A3531" i="15"/>
  <c r="C3531" i="15" s="1"/>
  <c r="F3531" i="15" s="1"/>
  <c r="A3532" i="15"/>
  <c r="C3532" i="15" s="1"/>
  <c r="F3532" i="15" s="1"/>
  <c r="A3533" i="15"/>
  <c r="A3534" i="15"/>
  <c r="C3534" i="15" s="1"/>
  <c r="F3534" i="15" s="1"/>
  <c r="A3535" i="15"/>
  <c r="C3535" i="15" s="1"/>
  <c r="F3535" i="15" s="1"/>
  <c r="A3536" i="15"/>
  <c r="A3537" i="15"/>
  <c r="C3537" i="15" s="1"/>
  <c r="F3537" i="15" s="1"/>
  <c r="A3538" i="15"/>
  <c r="C3538" i="15" s="1"/>
  <c r="F3538" i="15" s="1"/>
  <c r="A3539" i="15"/>
  <c r="A3540" i="15"/>
  <c r="C3540" i="15" s="1"/>
  <c r="F3540" i="15" s="1"/>
  <c r="A3541" i="15"/>
  <c r="C3541" i="15" s="1"/>
  <c r="F3541" i="15" s="1"/>
  <c r="A3542" i="15"/>
  <c r="A3543" i="15"/>
  <c r="C3543" i="15" s="1"/>
  <c r="F3543" i="15" s="1"/>
  <c r="A3544" i="15"/>
  <c r="C3544" i="15" s="1"/>
  <c r="F3544" i="15" s="1"/>
  <c r="A3545" i="15"/>
  <c r="A3546" i="15"/>
  <c r="C3546" i="15" s="1"/>
  <c r="F3546" i="15" s="1"/>
  <c r="A3547" i="15"/>
  <c r="A3548" i="15"/>
  <c r="A3549" i="15"/>
  <c r="C3549" i="15" s="1"/>
  <c r="F3549" i="15" s="1"/>
  <c r="A3550" i="15"/>
  <c r="C3550" i="15" s="1"/>
  <c r="F3550" i="15" s="1"/>
  <c r="A3551" i="15"/>
  <c r="A3552" i="15"/>
  <c r="C3552" i="15" s="1"/>
  <c r="F3552" i="15" s="1"/>
  <c r="A3553" i="15"/>
  <c r="C3553" i="15" s="1"/>
  <c r="F3553" i="15" s="1"/>
  <c r="A3554" i="15"/>
  <c r="A3555" i="15"/>
  <c r="C3555" i="15" s="1"/>
  <c r="F3555" i="15" s="1"/>
  <c r="A3556" i="15"/>
  <c r="C3556" i="15" s="1"/>
  <c r="F3556" i="15" s="1"/>
  <c r="A3557" i="15"/>
  <c r="A3558" i="15"/>
  <c r="C3558" i="15" s="1"/>
  <c r="F3558" i="15" s="1"/>
  <c r="A3559" i="15"/>
  <c r="C3559" i="15" s="1"/>
  <c r="F3559" i="15" s="1"/>
  <c r="A3560" i="15"/>
  <c r="A3561" i="15"/>
  <c r="C3561" i="15" s="1"/>
  <c r="F3561" i="15" s="1"/>
  <c r="A3562" i="15"/>
  <c r="C3562" i="15" s="1"/>
  <c r="F3562" i="15" s="1"/>
  <c r="A3563" i="15"/>
  <c r="A3564" i="15"/>
  <c r="C3564" i="15" s="1"/>
  <c r="F3564" i="15" s="1"/>
  <c r="A3565" i="15"/>
  <c r="A3566" i="15"/>
  <c r="A3567" i="15"/>
  <c r="C3567" i="15" s="1"/>
  <c r="F3567" i="15" s="1"/>
  <c r="A3568" i="15"/>
  <c r="C3568" i="15" s="1"/>
  <c r="F3568" i="15" s="1"/>
  <c r="A3569" i="15"/>
  <c r="A3570" i="15"/>
  <c r="C3570" i="15" s="1"/>
  <c r="F3570" i="15" s="1"/>
  <c r="A3571" i="15"/>
  <c r="C3571" i="15" s="1"/>
  <c r="F3571" i="15" s="1"/>
  <c r="A3572" i="15"/>
  <c r="A3573" i="15"/>
  <c r="C3573" i="15" s="1"/>
  <c r="F3573" i="15" s="1"/>
  <c r="A3574" i="15"/>
  <c r="C3574" i="15" s="1"/>
  <c r="F3574" i="15" s="1"/>
  <c r="A3575" i="15"/>
  <c r="A3576" i="15"/>
  <c r="C3576" i="15" s="1"/>
  <c r="F3576" i="15" s="1"/>
  <c r="A3577" i="15"/>
  <c r="C3577" i="15" s="1"/>
  <c r="F3577" i="15" s="1"/>
  <c r="A3578" i="15"/>
  <c r="A3579" i="15"/>
  <c r="C3579" i="15" s="1"/>
  <c r="F3579" i="15" s="1"/>
  <c r="A3580" i="15"/>
  <c r="C3580" i="15" s="1"/>
  <c r="F3580" i="15" s="1"/>
  <c r="A3581" i="15"/>
  <c r="A3582" i="15"/>
  <c r="C3582" i="15" s="1"/>
  <c r="F3582" i="15" s="1"/>
  <c r="A3583" i="15"/>
  <c r="A3584" i="15"/>
  <c r="A3585" i="15"/>
  <c r="C3585" i="15" s="1"/>
  <c r="F3585" i="15" s="1"/>
  <c r="A3586" i="15"/>
  <c r="C3586" i="15" s="1"/>
  <c r="F3586" i="15" s="1"/>
  <c r="A3587" i="15"/>
  <c r="A3588" i="15"/>
  <c r="C3588" i="15" s="1"/>
  <c r="F3588" i="15" s="1"/>
  <c r="A3589" i="15"/>
  <c r="C3589" i="15" s="1"/>
  <c r="F3589" i="15" s="1"/>
  <c r="A3590" i="15"/>
  <c r="A3591" i="15"/>
  <c r="C3591" i="15" s="1"/>
  <c r="F3591" i="15" s="1"/>
  <c r="A3592" i="15"/>
  <c r="C3592" i="15" s="1"/>
  <c r="F3592" i="15" s="1"/>
  <c r="A3593" i="15"/>
  <c r="A3594" i="15"/>
  <c r="C3594" i="15" s="1"/>
  <c r="F3594" i="15" s="1"/>
  <c r="A3595" i="15"/>
  <c r="C3595" i="15" s="1"/>
  <c r="F3595" i="15" s="1"/>
  <c r="A3596" i="15"/>
  <c r="A3597" i="15"/>
  <c r="C3597" i="15" s="1"/>
  <c r="F3597" i="15" s="1"/>
  <c r="A3598" i="15"/>
  <c r="C3598" i="15" s="1"/>
  <c r="F3598" i="15" s="1"/>
  <c r="A3599" i="15"/>
  <c r="A3600" i="15"/>
  <c r="C3600" i="15" s="1"/>
  <c r="F3600" i="15" s="1"/>
  <c r="A3601" i="15"/>
  <c r="A3602" i="15"/>
  <c r="A3603" i="15"/>
  <c r="C3603" i="15" s="1"/>
  <c r="F3603" i="15" s="1"/>
  <c r="A3604" i="15"/>
  <c r="C3604" i="15" s="1"/>
  <c r="F3604" i="15" s="1"/>
  <c r="A3605" i="15"/>
  <c r="A3606" i="15"/>
  <c r="C3606" i="15" s="1"/>
  <c r="F3606" i="15" s="1"/>
  <c r="A3607" i="15"/>
  <c r="C3607" i="15" s="1"/>
  <c r="F3607" i="15" s="1"/>
  <c r="A3608" i="15"/>
  <c r="A3609" i="15"/>
  <c r="C3609" i="15" s="1"/>
  <c r="F3609" i="15" s="1"/>
  <c r="A3610" i="15"/>
  <c r="C3610" i="15" s="1"/>
  <c r="F3610" i="15" s="1"/>
  <c r="A3611" i="15"/>
  <c r="A3612" i="15"/>
  <c r="C3612" i="15" s="1"/>
  <c r="F3612" i="15" s="1"/>
  <c r="A3613" i="15"/>
  <c r="C3613" i="15" s="1"/>
  <c r="F3613" i="15" s="1"/>
  <c r="A3614" i="15"/>
  <c r="A3615" i="15"/>
  <c r="C3615" i="15" s="1"/>
  <c r="F3615" i="15" s="1"/>
  <c r="A3616" i="15"/>
  <c r="C3616" i="15" s="1"/>
  <c r="F3616" i="15" s="1"/>
  <c r="A3617" i="15"/>
  <c r="A3618" i="15"/>
  <c r="C3618" i="15" s="1"/>
  <c r="F3618" i="15" s="1"/>
  <c r="A3619" i="15"/>
  <c r="A3620" i="15"/>
  <c r="A3621" i="15"/>
  <c r="C3621" i="15" s="1"/>
  <c r="F3621" i="15" s="1"/>
  <c r="A3622" i="15"/>
  <c r="C3622" i="15" s="1"/>
  <c r="F3622" i="15" s="1"/>
  <c r="A3623" i="15"/>
  <c r="A3624" i="15"/>
  <c r="C3624" i="15" s="1"/>
  <c r="F3624" i="15" s="1"/>
  <c r="A3625" i="15"/>
  <c r="C3625" i="15" s="1"/>
  <c r="F3625" i="15" s="1"/>
  <c r="A3626" i="15"/>
  <c r="A3627" i="15"/>
  <c r="C3627" i="15" s="1"/>
  <c r="F3627" i="15" s="1"/>
  <c r="A3628" i="15"/>
  <c r="C3628" i="15" s="1"/>
  <c r="F3628" i="15" s="1"/>
  <c r="A3629" i="15"/>
  <c r="A3630" i="15"/>
  <c r="C3630" i="15" s="1"/>
  <c r="F3630" i="15" s="1"/>
  <c r="A3631" i="15"/>
  <c r="C3631" i="15" s="1"/>
  <c r="F3631" i="15" s="1"/>
  <c r="A3632" i="15"/>
  <c r="A3633" i="15"/>
  <c r="C3633" i="15" s="1"/>
  <c r="F3633" i="15" s="1"/>
  <c r="A3634" i="15"/>
  <c r="C3634" i="15" s="1"/>
  <c r="F3634" i="15" s="1"/>
  <c r="A3635" i="15"/>
  <c r="A3636" i="15"/>
  <c r="C3636" i="15" s="1"/>
  <c r="F3636" i="15" s="1"/>
  <c r="A3637" i="15"/>
  <c r="A3638" i="15"/>
  <c r="A3639" i="15"/>
  <c r="C3639" i="15" s="1"/>
  <c r="F3639" i="15" s="1"/>
  <c r="A3640" i="15"/>
  <c r="C3640" i="15" s="1"/>
  <c r="F3640" i="15" s="1"/>
  <c r="A3641" i="15"/>
  <c r="A3642" i="15"/>
  <c r="C3642" i="15" s="1"/>
  <c r="F3642" i="15" s="1"/>
  <c r="A3643" i="15"/>
  <c r="C3643" i="15" s="1"/>
  <c r="F3643" i="15" s="1"/>
  <c r="A3644" i="15"/>
  <c r="A3645" i="15"/>
  <c r="C3645" i="15" s="1"/>
  <c r="F3645" i="15" s="1"/>
  <c r="A3646" i="15"/>
  <c r="C3646" i="15" s="1"/>
  <c r="F3646" i="15" s="1"/>
  <c r="A3647" i="15"/>
  <c r="A3648" i="15"/>
  <c r="C3648" i="15" s="1"/>
  <c r="F3648" i="15" s="1"/>
  <c r="A3649" i="15"/>
  <c r="C3649" i="15" s="1"/>
  <c r="F3649" i="15" s="1"/>
  <c r="A3650" i="15"/>
  <c r="A3651" i="15"/>
  <c r="C3651" i="15" s="1"/>
  <c r="F3651" i="15" s="1"/>
  <c r="A3652" i="15"/>
  <c r="A3653" i="15"/>
  <c r="A3654" i="15"/>
  <c r="A3655" i="15"/>
  <c r="A3656" i="15"/>
  <c r="A3657" i="15"/>
  <c r="C3657" i="15" s="1"/>
  <c r="F3657" i="15" s="1"/>
  <c r="A3658" i="15"/>
  <c r="A3659" i="15"/>
  <c r="A3660" i="15"/>
  <c r="A3661" i="15"/>
  <c r="A3662" i="15"/>
  <c r="A3663" i="15"/>
  <c r="E3663" i="15" s="1"/>
  <c r="A3664" i="15"/>
  <c r="C3664" i="15" s="1"/>
  <c r="F3664" i="15" s="1"/>
  <c r="A3665" i="15"/>
  <c r="A3666" i="15"/>
  <c r="E3666" i="15" s="1"/>
  <c r="A3667" i="15"/>
  <c r="C3667" i="15" s="1"/>
  <c r="F3667" i="15" s="1"/>
  <c r="A3668" i="15"/>
  <c r="A3669" i="15"/>
  <c r="C3669" i="15" s="1"/>
  <c r="F3669" i="15" s="1"/>
  <c r="A3670" i="15"/>
  <c r="A3671" i="15"/>
  <c r="A3672" i="15"/>
  <c r="A3673" i="15"/>
  <c r="A3674" i="15"/>
  <c r="A3675" i="15"/>
  <c r="C3675" i="15" s="1"/>
  <c r="F3675" i="15" s="1"/>
  <c r="A3676" i="15"/>
  <c r="A3677" i="15"/>
  <c r="A3678" i="15"/>
  <c r="A3679" i="15"/>
  <c r="A3680" i="15"/>
  <c r="A3681" i="15"/>
  <c r="E3681" i="15" s="1"/>
  <c r="A3682" i="15"/>
  <c r="C3682" i="15" s="1"/>
  <c r="F3682" i="15" s="1"/>
  <c r="A3683" i="15"/>
  <c r="A3684" i="15"/>
  <c r="C3684" i="15" s="1"/>
  <c r="F3684" i="15" s="1"/>
  <c r="A3685" i="15"/>
  <c r="C3685" i="15" s="1"/>
  <c r="F3685" i="15" s="1"/>
  <c r="A3686" i="15"/>
  <c r="A3687" i="15"/>
  <c r="C3687" i="15" s="1"/>
  <c r="F3687" i="15" s="1"/>
  <c r="A3688" i="15"/>
  <c r="A3689" i="15"/>
  <c r="A3690" i="15"/>
  <c r="A3691" i="15"/>
  <c r="A3692" i="15"/>
  <c r="A3693" i="15"/>
  <c r="C3693" i="15" s="1"/>
  <c r="F3693" i="15" s="1"/>
  <c r="A3694" i="15"/>
  <c r="A3695" i="15"/>
  <c r="A3696" i="15"/>
  <c r="A3697" i="15"/>
  <c r="A3698" i="15"/>
  <c r="A3699" i="15"/>
  <c r="E3699" i="15" s="1"/>
  <c r="A3700" i="15"/>
  <c r="C3700" i="15" s="1"/>
  <c r="F3700" i="15" s="1"/>
  <c r="A3701" i="15"/>
  <c r="A3702" i="15"/>
  <c r="A3703" i="15"/>
  <c r="C3703" i="15" s="1"/>
  <c r="F3703" i="15" s="1"/>
  <c r="A3704" i="15"/>
  <c r="A3705" i="15"/>
  <c r="C3705" i="15" s="1"/>
  <c r="F3705" i="15" s="1"/>
  <c r="A3706" i="15"/>
  <c r="A3707" i="15"/>
  <c r="A3708" i="15"/>
  <c r="A3709" i="15"/>
  <c r="A3710" i="15"/>
  <c r="A3711" i="15"/>
  <c r="C3711" i="15" s="1"/>
  <c r="F3711" i="15" s="1"/>
  <c r="A3712" i="15"/>
  <c r="A3713" i="15"/>
  <c r="A3714" i="15"/>
  <c r="A3715" i="15"/>
  <c r="A3716" i="15"/>
  <c r="A3717" i="15"/>
  <c r="E3717" i="15" s="1"/>
  <c r="A3718" i="15"/>
  <c r="C3718" i="15" s="1"/>
  <c r="F3718" i="15" s="1"/>
  <c r="A3719" i="15"/>
  <c r="A3720" i="15"/>
  <c r="C3720" i="15" s="1"/>
  <c r="F3720" i="15" s="1"/>
  <c r="A3721" i="15"/>
  <c r="C3721" i="15" s="1"/>
  <c r="F3721" i="15" s="1"/>
  <c r="A3722" i="15"/>
  <c r="A3723" i="15"/>
  <c r="C3723" i="15" s="1"/>
  <c r="F3723" i="15" s="1"/>
  <c r="A3724" i="15"/>
  <c r="A3725" i="15"/>
  <c r="A3726" i="15"/>
  <c r="A3727" i="15"/>
  <c r="A3728" i="15"/>
  <c r="A3729" i="15"/>
  <c r="C3729" i="15" s="1"/>
  <c r="F3729" i="15" s="1"/>
  <c r="A3730" i="15"/>
  <c r="A3731" i="15"/>
  <c r="A3732" i="15"/>
  <c r="A3733" i="15"/>
  <c r="A3734" i="15"/>
  <c r="A3735" i="15"/>
  <c r="E3735" i="15" s="1"/>
  <c r="A3736" i="15"/>
  <c r="C3736" i="15" s="1"/>
  <c r="F3736" i="15" s="1"/>
  <c r="A3737" i="15"/>
  <c r="A3738" i="15"/>
  <c r="E3738" i="15" s="1"/>
  <c r="A3739" i="15"/>
  <c r="C3739" i="15" s="1"/>
  <c r="F3739" i="15" s="1"/>
  <c r="A3740" i="15"/>
  <c r="A3741" i="15"/>
  <c r="C3741" i="15" s="1"/>
  <c r="F3741" i="15" s="1"/>
  <c r="A3742" i="15"/>
  <c r="A3743" i="15"/>
  <c r="A3744" i="15"/>
  <c r="A3745" i="15"/>
  <c r="A3746" i="15"/>
  <c r="A3747" i="15"/>
  <c r="C3747" i="15" s="1"/>
  <c r="F3747" i="15" s="1"/>
  <c r="A3748" i="15"/>
  <c r="A3749" i="15"/>
  <c r="A3750" i="15"/>
  <c r="A3751" i="15"/>
  <c r="A3752" i="15"/>
  <c r="A3753" i="15"/>
  <c r="E3753" i="15" s="1"/>
  <c r="A3754" i="15"/>
  <c r="C3754" i="15" s="1"/>
  <c r="F3754" i="15" s="1"/>
  <c r="A3755" i="15"/>
  <c r="A3756" i="15"/>
  <c r="A3757" i="15"/>
  <c r="C3757" i="15" s="1"/>
  <c r="F3757" i="15" s="1"/>
  <c r="A3758" i="15"/>
  <c r="A3759" i="15"/>
  <c r="C3759" i="15" s="1"/>
  <c r="F3759" i="15" s="1"/>
  <c r="A3760" i="15"/>
  <c r="A3761" i="15"/>
  <c r="A3762" i="15"/>
  <c r="A3763" i="15"/>
  <c r="A3764" i="15"/>
  <c r="A3765" i="15"/>
  <c r="C3765" i="15" s="1"/>
  <c r="F3765" i="15" s="1"/>
  <c r="A3766" i="15"/>
  <c r="A3767" i="15"/>
  <c r="A3768" i="15"/>
  <c r="A3769" i="15"/>
  <c r="A3770" i="15"/>
  <c r="A3771" i="15"/>
  <c r="E3771" i="15" s="1"/>
  <c r="A3772" i="15"/>
  <c r="C3772" i="15" s="1"/>
  <c r="F3772" i="15" s="1"/>
  <c r="A3773" i="15"/>
  <c r="A3774" i="15"/>
  <c r="C3774" i="15" s="1"/>
  <c r="F3774" i="15" s="1"/>
  <c r="A3775" i="15"/>
  <c r="C3775" i="15" s="1"/>
  <c r="F3775" i="15" s="1"/>
  <c r="A3776" i="15"/>
  <c r="A3777" i="15"/>
  <c r="C3777" i="15" s="1"/>
  <c r="F3777" i="15" s="1"/>
  <c r="A3778" i="15"/>
  <c r="A3779" i="15"/>
  <c r="A3780" i="15"/>
  <c r="A3781" i="15"/>
  <c r="A3782" i="15"/>
  <c r="A3783" i="15"/>
  <c r="C3783" i="15" s="1"/>
  <c r="F3783" i="15" s="1"/>
  <c r="A3784" i="15"/>
  <c r="A3785" i="15"/>
  <c r="A3786" i="15"/>
  <c r="A3787" i="15"/>
  <c r="A3788" i="15"/>
  <c r="A3789" i="15"/>
  <c r="E3789" i="15" s="1"/>
  <c r="A3790" i="15"/>
  <c r="C3790" i="15" s="1"/>
  <c r="F3790" i="15" s="1"/>
  <c r="A3791" i="15"/>
  <c r="A3792" i="15"/>
  <c r="E3792" i="15" s="1"/>
  <c r="A3793" i="15"/>
  <c r="A3794" i="15"/>
  <c r="A3795" i="15"/>
  <c r="C3795" i="15" s="1"/>
  <c r="F3795" i="15" s="1"/>
  <c r="A3796" i="15"/>
  <c r="C3796" i="15" s="1"/>
  <c r="F3796" i="15" s="1"/>
  <c r="A3797" i="15"/>
  <c r="D3797" i="15" s="1"/>
  <c r="A3798" i="15"/>
  <c r="C3798" i="15" s="1"/>
  <c r="F3798" i="15" s="1"/>
  <c r="A3799" i="15"/>
  <c r="A3800" i="15"/>
  <c r="D3800" i="15" s="1"/>
  <c r="A3801" i="15"/>
  <c r="C3801" i="15" s="1"/>
  <c r="F3801" i="15" s="1"/>
  <c r="A3802" i="15"/>
  <c r="C3802" i="15" s="1"/>
  <c r="F3802" i="15" s="1"/>
  <c r="A3803" i="15"/>
  <c r="A3804" i="15"/>
  <c r="A3805" i="15"/>
  <c r="A3806" i="15"/>
  <c r="D3806" i="15" s="1"/>
  <c r="A3807" i="15"/>
  <c r="C3807" i="15" s="1"/>
  <c r="F3807" i="15" s="1"/>
  <c r="A3808" i="15"/>
  <c r="A3809" i="15"/>
  <c r="D3809" i="15" s="1"/>
  <c r="A3810" i="15"/>
  <c r="D3810" i="15" s="1"/>
  <c r="A3811" i="15"/>
  <c r="A3812" i="15"/>
  <c r="E3812" i="15" s="1"/>
  <c r="A3813" i="15"/>
  <c r="A3814" i="15"/>
  <c r="E3814" i="15" s="1"/>
  <c r="A3815" i="15"/>
  <c r="D3815" i="15" s="1"/>
  <c r="A3816" i="15"/>
  <c r="C3816" i="15" s="1"/>
  <c r="F3816" i="15" s="1"/>
  <c r="A3817" i="15"/>
  <c r="A3818" i="15"/>
  <c r="A3819" i="15"/>
  <c r="C3819" i="15" s="1"/>
  <c r="F3819" i="15" s="1"/>
  <c r="A3820" i="15"/>
  <c r="C3820" i="15" s="1"/>
  <c r="F3820" i="15" s="1"/>
  <c r="A3821" i="15"/>
  <c r="E3821" i="15" s="1"/>
  <c r="A3822" i="15"/>
  <c r="A3823" i="15"/>
  <c r="D3823" i="15" s="1"/>
  <c r="A3824" i="15"/>
  <c r="A3825" i="15"/>
  <c r="D3825" i="15" s="1"/>
  <c r="A3826" i="15"/>
  <c r="B3826" i="15" s="1"/>
  <c r="A3827" i="15"/>
  <c r="D3827" i="15" s="1"/>
  <c r="A3828" i="15"/>
  <c r="D3828" i="15" s="1"/>
  <c r="A3829" i="15"/>
  <c r="A3830" i="15"/>
  <c r="E3830" i="15" s="1"/>
  <c r="A3831" i="15"/>
  <c r="C3831" i="15" s="1"/>
  <c r="F3831" i="15" s="1"/>
  <c r="A3832" i="15"/>
  <c r="E3832" i="15" s="1"/>
  <c r="A3833" i="15"/>
  <c r="A3834" i="15"/>
  <c r="D3834" i="15" s="1"/>
  <c r="A3835" i="15"/>
  <c r="A3836" i="15"/>
  <c r="D3836" i="15" s="1"/>
  <c r="A3837" i="15"/>
  <c r="C3837" i="15" s="1"/>
  <c r="F3837" i="15" s="1"/>
  <c r="A3838" i="15"/>
  <c r="C3838" i="15" s="1"/>
  <c r="F3838" i="15" s="1"/>
  <c r="A3839" i="15"/>
  <c r="E3839" i="15" s="1"/>
  <c r="A3840" i="15"/>
  <c r="A3841" i="15"/>
  <c r="A3842" i="15"/>
  <c r="E3842" i="15" s="1"/>
  <c r="A3843" i="15"/>
  <c r="D3843" i="15" s="1"/>
  <c r="A3844" i="15"/>
  <c r="D3844" i="15" s="1"/>
  <c r="A3845" i="15"/>
  <c r="A3846" i="15"/>
  <c r="C3846" i="15" s="1"/>
  <c r="F3846" i="15" s="1"/>
  <c r="A3847" i="15"/>
  <c r="A3848" i="15"/>
  <c r="A3849" i="15"/>
  <c r="C3849" i="15" s="1"/>
  <c r="F3849" i="15" s="1"/>
  <c r="A3850" i="15"/>
  <c r="D3850" i="15" s="1"/>
  <c r="A3851" i="15"/>
  <c r="E3851" i="15" s="1"/>
  <c r="A3852" i="15"/>
  <c r="D3852" i="15" s="1"/>
  <c r="A3853" i="15"/>
  <c r="A3854" i="15"/>
  <c r="D3854" i="15" s="1"/>
  <c r="A3855" i="15"/>
  <c r="C3855" i="15" s="1"/>
  <c r="F3855" i="15" s="1"/>
  <c r="A3856" i="15"/>
  <c r="A3857" i="15"/>
  <c r="E3857" i="15" s="1"/>
  <c r="A3858" i="15"/>
  <c r="C3858" i="15" s="1"/>
  <c r="F3858" i="15" s="1"/>
  <c r="A3859" i="15"/>
  <c r="A3860" i="15"/>
  <c r="A3861" i="15"/>
  <c r="D3861" i="15" s="1"/>
  <c r="A3862" i="15"/>
  <c r="D3862" i="15" s="1"/>
  <c r="A3863" i="15"/>
  <c r="A3864" i="15"/>
  <c r="C3864" i="15" s="1"/>
  <c r="F3864" i="15" s="1"/>
  <c r="A3865" i="15"/>
  <c r="C3865" i="15" s="1"/>
  <c r="F3865" i="15" s="1"/>
  <c r="A3866" i="15"/>
  <c r="E3866" i="15" s="1"/>
  <c r="A3867" i="15"/>
  <c r="A3868" i="15"/>
  <c r="A3869" i="15"/>
  <c r="E3869" i="15" s="1"/>
  <c r="A3870" i="15"/>
  <c r="D3870" i="15" s="1"/>
  <c r="A3871" i="15"/>
  <c r="A3872" i="15"/>
  <c r="E3872" i="15" s="1"/>
  <c r="A3873" i="15"/>
  <c r="A3874" i="15"/>
  <c r="D3874" i="15" s="1"/>
  <c r="A3875" i="15"/>
  <c r="A3876" i="15"/>
  <c r="C3876" i="15" s="1"/>
  <c r="F3876" i="15" s="1"/>
  <c r="A3877" i="15"/>
  <c r="A3878" i="15"/>
  <c r="E3878" i="15" s="1"/>
  <c r="A3879" i="15"/>
  <c r="D3879" i="15" s="1"/>
  <c r="A3880" i="15"/>
  <c r="A3881" i="15"/>
  <c r="E3881" i="15" s="1"/>
  <c r="A3882" i="15"/>
  <c r="C3882" i="15" s="1"/>
  <c r="F3882" i="15" s="1"/>
  <c r="A3883" i="15"/>
  <c r="A3884" i="15"/>
  <c r="E3884" i="15" s="1"/>
  <c r="A3885" i="15"/>
  <c r="C3885" i="15" s="1"/>
  <c r="F3885" i="15" s="1"/>
  <c r="A3886" i="15"/>
  <c r="E3886" i="15" s="1"/>
  <c r="A3887" i="15"/>
  <c r="A3888" i="15"/>
  <c r="C3888" i="15" s="1"/>
  <c r="F3888" i="15" s="1"/>
  <c r="A3889" i="15"/>
  <c r="A3890" i="15"/>
  <c r="D3890" i="15" s="1"/>
  <c r="A3891" i="15"/>
  <c r="A3892" i="15"/>
  <c r="C3892" i="15" s="1"/>
  <c r="F3892" i="15" s="1"/>
  <c r="A3893" i="15"/>
  <c r="E3893" i="15" s="1"/>
  <c r="A3894" i="15"/>
  <c r="A3895" i="15"/>
  <c r="A3896" i="15"/>
  <c r="E3896" i="15" s="1"/>
  <c r="A3897" i="15"/>
  <c r="C3897" i="15" s="1"/>
  <c r="F3897" i="15" s="1"/>
  <c r="A3898" i="15"/>
  <c r="D3898" i="15" s="1"/>
  <c r="A3899" i="15"/>
  <c r="A3900" i="15"/>
  <c r="C3900" i="15" s="1"/>
  <c r="F3900" i="15" s="1"/>
  <c r="A3901" i="15"/>
  <c r="A3902" i="15"/>
  <c r="A3903" i="15"/>
  <c r="A3904" i="15"/>
  <c r="D3904" i="15" s="1"/>
  <c r="A3905" i="15"/>
  <c r="D3905" i="15" s="1"/>
  <c r="A3906" i="15"/>
  <c r="A3907" i="15"/>
  <c r="A3908" i="15"/>
  <c r="A3909" i="15"/>
  <c r="D3909" i="15" s="1"/>
  <c r="A3910" i="15"/>
  <c r="D3910" i="15" s="1"/>
  <c r="A3911" i="15"/>
  <c r="D3911" i="15" s="1"/>
  <c r="A3912" i="15"/>
  <c r="D3912" i="15" s="1"/>
  <c r="A3913" i="15"/>
  <c r="D3913" i="15" s="1"/>
  <c r="A3914" i="15"/>
  <c r="D3914" i="15" s="1"/>
  <c r="A3915" i="15"/>
  <c r="A3916" i="15"/>
  <c r="E3916" i="15" s="1"/>
  <c r="A3917" i="15"/>
  <c r="A3918" i="15"/>
  <c r="D3918" i="15" s="1"/>
  <c r="A3919" i="15"/>
  <c r="D3919" i="15" s="1"/>
  <c r="A3920" i="15"/>
  <c r="D3920" i="15" s="1"/>
  <c r="A3921" i="15"/>
  <c r="D3921" i="15" s="1"/>
  <c r="A3922" i="15"/>
  <c r="D3922" i="15" s="1"/>
  <c r="A3923" i="15"/>
  <c r="D3923" i="15" s="1"/>
  <c r="A3924" i="15"/>
  <c r="A3925" i="15"/>
  <c r="A3926" i="15"/>
  <c r="A3927" i="15"/>
  <c r="D3927" i="15" s="1"/>
  <c r="A3928" i="15"/>
  <c r="D3928" i="15" s="1"/>
  <c r="A3929" i="15"/>
  <c r="D3929" i="15" s="1"/>
  <c r="A3930" i="15"/>
  <c r="D3930" i="15" s="1"/>
  <c r="A3931" i="15"/>
  <c r="D3931" i="15" s="1"/>
  <c r="A3932" i="15"/>
  <c r="D3932" i="15" s="1"/>
  <c r="A3933" i="15"/>
  <c r="A3934" i="15"/>
  <c r="E3934" i="15" s="1"/>
  <c r="A3935" i="15"/>
  <c r="A3936" i="15"/>
  <c r="D3936" i="15" s="1"/>
  <c r="A3937" i="15"/>
  <c r="D3937" i="15" s="1"/>
  <c r="A3938" i="15"/>
  <c r="D3938" i="15" s="1"/>
  <c r="A3939" i="15"/>
  <c r="D3939" i="15" s="1"/>
  <c r="A3940" i="15"/>
  <c r="D3940" i="15" s="1"/>
  <c r="A3941" i="15"/>
  <c r="D3941" i="15" s="1"/>
  <c r="A3942" i="15"/>
  <c r="A3943" i="15"/>
  <c r="A3944" i="15"/>
  <c r="A3945" i="15"/>
  <c r="D3945" i="15" s="1"/>
  <c r="A3946" i="15"/>
  <c r="D3946" i="15" s="1"/>
  <c r="A3947" i="15"/>
  <c r="D3947" i="15" s="1"/>
  <c r="A3948" i="15"/>
  <c r="D3948" i="15" s="1"/>
  <c r="A3949" i="15"/>
  <c r="D3949" i="15" s="1"/>
  <c r="A3950" i="15"/>
  <c r="D3950" i="15" s="1"/>
  <c r="A3951" i="15"/>
  <c r="A3952" i="15"/>
  <c r="E3952" i="15" s="1"/>
  <c r="A3953" i="15"/>
  <c r="A3954" i="15"/>
  <c r="D3954" i="15" s="1"/>
  <c r="A3955" i="15"/>
  <c r="D3955" i="15" s="1"/>
  <c r="A3956" i="15"/>
  <c r="D3956" i="15" s="1"/>
  <c r="A3957" i="15"/>
  <c r="A3958" i="15"/>
  <c r="D3958" i="15" s="1"/>
  <c r="A3959" i="15"/>
  <c r="D3959" i="15" s="1"/>
  <c r="A3960" i="15"/>
  <c r="A3961" i="15"/>
  <c r="A3962" i="15"/>
  <c r="A3963" i="15"/>
  <c r="D3963" i="15" s="1"/>
  <c r="A3964" i="15"/>
  <c r="D3964" i="15" s="1"/>
  <c r="A3965" i="15"/>
  <c r="D3965" i="15" s="1"/>
  <c r="A3966" i="15"/>
  <c r="A3967" i="15"/>
  <c r="D3967" i="15" s="1"/>
  <c r="A3968" i="15"/>
  <c r="D3968" i="15" s="1"/>
  <c r="A3969" i="15"/>
  <c r="A3970" i="15"/>
  <c r="E3970" i="15" s="1"/>
  <c r="A3971" i="15"/>
  <c r="A3972" i="15"/>
  <c r="D3972" i="15" s="1"/>
  <c r="A3973" i="15"/>
  <c r="D3973" i="15" s="1"/>
  <c r="A3974" i="15"/>
  <c r="D3974" i="15" s="1"/>
  <c r="A3975" i="15"/>
  <c r="D3975" i="15" s="1"/>
  <c r="A3976" i="15"/>
  <c r="D3976" i="15" s="1"/>
  <c r="A3977" i="15"/>
  <c r="D3977" i="15" s="1"/>
  <c r="A3978" i="15"/>
  <c r="A3979" i="15"/>
  <c r="A3980" i="15"/>
  <c r="A3981" i="15"/>
  <c r="D3981" i="15" s="1"/>
  <c r="A3982" i="15"/>
  <c r="D3982" i="15" s="1"/>
  <c r="A3983" i="15"/>
  <c r="D3983" i="15" s="1"/>
  <c r="A3984" i="15"/>
  <c r="D3984" i="15" s="1"/>
  <c r="A3985" i="15"/>
  <c r="D3985" i="15" s="1"/>
  <c r="A3986" i="15"/>
  <c r="D3986" i="15" s="1"/>
  <c r="A3987" i="15"/>
  <c r="A3988" i="15"/>
  <c r="E3988" i="15" s="1"/>
  <c r="A3989" i="15"/>
  <c r="A3990" i="15"/>
  <c r="C3990" i="15" s="1"/>
  <c r="F3990" i="15" s="1"/>
  <c r="A3991" i="15"/>
  <c r="D3991" i="15" s="1"/>
  <c r="A3992" i="15"/>
  <c r="D3992" i="15" s="1"/>
  <c r="A3993" i="15"/>
  <c r="C3993" i="15" s="1"/>
  <c r="F3993" i="15" s="1"/>
  <c r="A3994" i="15"/>
  <c r="D3994" i="15" s="1"/>
  <c r="A3995" i="15"/>
  <c r="D3995" i="15" s="1"/>
  <c r="A3996" i="15"/>
  <c r="A3997" i="15"/>
  <c r="A3998" i="15"/>
  <c r="A3999" i="15"/>
  <c r="D3999" i="15" s="1"/>
  <c r="A4000" i="15"/>
  <c r="D4000" i="15" s="1"/>
  <c r="A4001" i="15"/>
  <c r="D4001" i="15" s="1"/>
  <c r="A4002" i="15"/>
  <c r="A4003" i="15"/>
  <c r="D4003" i="15" s="1"/>
  <c r="A4004" i="15"/>
  <c r="D4004" i="15" s="1"/>
  <c r="A4005" i="15"/>
  <c r="A4006" i="15"/>
  <c r="E4006" i="15" s="1"/>
  <c r="A4007" i="15"/>
  <c r="A4008" i="15"/>
  <c r="D4008" i="15" s="1"/>
  <c r="A4009" i="15"/>
  <c r="D4009" i="15" s="1"/>
  <c r="A4010" i="15"/>
  <c r="D4010" i="15" s="1"/>
  <c r="A4011" i="15"/>
  <c r="D4011" i="15" s="1"/>
  <c r="A4012" i="15"/>
  <c r="D4012" i="15" s="1"/>
  <c r="A4013" i="15"/>
  <c r="D4013" i="15" s="1"/>
  <c r="A4014" i="15"/>
  <c r="A4015" i="15"/>
  <c r="A4016" i="15"/>
  <c r="A4017" i="15"/>
  <c r="A4018" i="15"/>
  <c r="D4018" i="15" s="1"/>
  <c r="A4019" i="15"/>
  <c r="D4019" i="15" s="1"/>
  <c r="A4020" i="15"/>
  <c r="D4020" i="15" s="1"/>
  <c r="A4021" i="15"/>
  <c r="D4021" i="15" s="1"/>
  <c r="A4022" i="15"/>
  <c r="D4022" i="15" s="1"/>
  <c r="A4023" i="15"/>
  <c r="A4024" i="15"/>
  <c r="E4024" i="15" s="1"/>
  <c r="A4025" i="15"/>
  <c r="A4026" i="15"/>
  <c r="A4027" i="15"/>
  <c r="D4027" i="15" s="1"/>
  <c r="A4028" i="15"/>
  <c r="D4028" i="15" s="1"/>
  <c r="A4029" i="15"/>
  <c r="D4029" i="15" s="1"/>
  <c r="A4030" i="15"/>
  <c r="D4030" i="15" s="1"/>
  <c r="A4031" i="15"/>
  <c r="D4031" i="15" s="1"/>
  <c r="A4032" i="15"/>
  <c r="A4033" i="15"/>
  <c r="A4034" i="15"/>
  <c r="A4035" i="15"/>
  <c r="D4035" i="15" s="1"/>
  <c r="A4036" i="15"/>
  <c r="D4036" i="15" s="1"/>
  <c r="A4037" i="15"/>
  <c r="D4037" i="15" s="1"/>
  <c r="A4038" i="15"/>
  <c r="D4038" i="15" s="1"/>
  <c r="A4039" i="15"/>
  <c r="D4039" i="15" s="1"/>
  <c r="A4040" i="15"/>
  <c r="D4040" i="15" s="1"/>
  <c r="A4041" i="15"/>
  <c r="C4041" i="15" s="1"/>
  <c r="F4041" i="15" s="1"/>
  <c r="A4042" i="15"/>
  <c r="B4042" i="15" s="1"/>
  <c r="A4043" i="15"/>
  <c r="D4043" i="15" s="1"/>
  <c r="A4044" i="15"/>
  <c r="C4044" i="15" s="1"/>
  <c r="F4044" i="15" s="1"/>
  <c r="A4045" i="15"/>
  <c r="B4045" i="15" s="1"/>
  <c r="A4046" i="15"/>
  <c r="A4047" i="15"/>
  <c r="D4047" i="15" s="1"/>
  <c r="A4048" i="15"/>
  <c r="A4049" i="15"/>
  <c r="D4049" i="15" s="1"/>
  <c r="A4050" i="15"/>
  <c r="C4050" i="15" s="1"/>
  <c r="F4050" i="15" s="1"/>
  <c r="A4051" i="15"/>
  <c r="A4052" i="15"/>
  <c r="D4052" i="15" s="1"/>
  <c r="A4053" i="15"/>
  <c r="C4053" i="15" s="1"/>
  <c r="F4053" i="15" s="1"/>
  <c r="A4054" i="15"/>
  <c r="B4054" i="15" s="1"/>
  <c r="A4055" i="15"/>
  <c r="A4056" i="15"/>
  <c r="D4056" i="15" s="1"/>
  <c r="A4057" i="15"/>
  <c r="E4057" i="15" s="1"/>
  <c r="A4058" i="15"/>
  <c r="A4059" i="15"/>
  <c r="C4059" i="15" s="1"/>
  <c r="F4059" i="15" s="1"/>
  <c r="A4060" i="15"/>
  <c r="B4060" i="15" s="1"/>
  <c r="A4061" i="15"/>
  <c r="E4061" i="15" s="1"/>
  <c r="A4062" i="15"/>
  <c r="C4062" i="15" s="1"/>
  <c r="F4062" i="15" s="1"/>
  <c r="A4063" i="15"/>
  <c r="B4063" i="15" s="1"/>
  <c r="A4064" i="15"/>
  <c r="A4065" i="15"/>
  <c r="A4066" i="15"/>
  <c r="E4066" i="15" s="1"/>
  <c r="A4067" i="15"/>
  <c r="D4067" i="15" s="1"/>
  <c r="A4068" i="15"/>
  <c r="C4068" i="15" s="1"/>
  <c r="F4068" i="15" s="1"/>
  <c r="A4069" i="15"/>
  <c r="A4070" i="15"/>
  <c r="D4070" i="15" s="1"/>
  <c r="A4071" i="15"/>
  <c r="C4071" i="15" s="1"/>
  <c r="F4071" i="15" s="1"/>
  <c r="A4072" i="15"/>
  <c r="B4072" i="15" s="1"/>
  <c r="A4073" i="15"/>
  <c r="A4074" i="15"/>
  <c r="D4074" i="15" s="1"/>
  <c r="A4075" i="15"/>
  <c r="A4076" i="15"/>
  <c r="D4076" i="15" s="1"/>
  <c r="A4077" i="15"/>
  <c r="C4077" i="15" s="1"/>
  <c r="F4077" i="15" s="1"/>
  <c r="A4078" i="15"/>
  <c r="B4078" i="15" s="1"/>
  <c r="A4079" i="15"/>
  <c r="A4080" i="15"/>
  <c r="C4080" i="15" s="1"/>
  <c r="F4080" i="15" s="1"/>
  <c r="A4081" i="15"/>
  <c r="B4081" i="15" s="1"/>
  <c r="A4082" i="15"/>
  <c r="A4083" i="15"/>
  <c r="D4083" i="15" s="1"/>
  <c r="A4084" i="15"/>
  <c r="E4084" i="15" s="1"/>
  <c r="A4085" i="15"/>
  <c r="E4085" i="15" s="1"/>
  <c r="A4086" i="15"/>
  <c r="C4086" i="15" s="1"/>
  <c r="F4086" i="15" s="1"/>
  <c r="A4087" i="15"/>
  <c r="A4088" i="15"/>
  <c r="E4088" i="15" s="1"/>
  <c r="A4089" i="15"/>
  <c r="C4089" i="15" s="1"/>
  <c r="F4089" i="15" s="1"/>
  <c r="A4090" i="15"/>
  <c r="B4090" i="15" s="1"/>
  <c r="A4091" i="15"/>
  <c r="A4092" i="15"/>
  <c r="A4093" i="15"/>
  <c r="E4093" i="15" s="1"/>
  <c r="A4094" i="15"/>
  <c r="D4094" i="15" s="1"/>
  <c r="A4095" i="15"/>
  <c r="C4095" i="15" s="1"/>
  <c r="F4095" i="15" s="1"/>
  <c r="A4096" i="15"/>
  <c r="B4096" i="15" s="1"/>
  <c r="A4097" i="15"/>
  <c r="D4097" i="15" s="1"/>
  <c r="A4098" i="15"/>
  <c r="C4098" i="15" s="1"/>
  <c r="F4098" i="15" s="1"/>
  <c r="A4099" i="15"/>
  <c r="B4099" i="15" s="1"/>
  <c r="A4100" i="15"/>
  <c r="A4101" i="15"/>
  <c r="D4101" i="15" s="1"/>
  <c r="A4102" i="15"/>
  <c r="A4103" i="15"/>
  <c r="A4104" i="15"/>
  <c r="C4104" i="15" s="1"/>
  <c r="F4104" i="15" s="1"/>
  <c r="A4105" i="15"/>
  <c r="A4106" i="15"/>
  <c r="D4106" i="15" s="1"/>
  <c r="A4107" i="15"/>
  <c r="C4107" i="15" s="1"/>
  <c r="F4107" i="15" s="1"/>
  <c r="A4108" i="15"/>
  <c r="C4108" i="15" s="1"/>
  <c r="F4108" i="15" s="1"/>
  <c r="A4109" i="15"/>
  <c r="A4110" i="15"/>
  <c r="A4111" i="15"/>
  <c r="E4111" i="15" s="1"/>
  <c r="A4112" i="15"/>
  <c r="D4112" i="15" s="1"/>
  <c r="A4113" i="15"/>
  <c r="C4113" i="15" s="1"/>
  <c r="F4113" i="15" s="1"/>
  <c r="A4114" i="15"/>
  <c r="A4115" i="15"/>
  <c r="E4115" i="15" s="1"/>
  <c r="A4116" i="15"/>
  <c r="A4117" i="15"/>
  <c r="B4117" i="15" s="1"/>
  <c r="A4118" i="15"/>
  <c r="A4119" i="15"/>
  <c r="C4119" i="15" s="1"/>
  <c r="F4119" i="15" s="1"/>
  <c r="A4120" i="15"/>
  <c r="E4120" i="15" s="1"/>
  <c r="A4121" i="15"/>
  <c r="A4122" i="15"/>
  <c r="C4122" i="15" s="1"/>
  <c r="F4122" i="15" s="1"/>
  <c r="A4123" i="15"/>
  <c r="A4124" i="15"/>
  <c r="A4125" i="15"/>
  <c r="C4125" i="15" s="1"/>
  <c r="F4125" i="15" s="1"/>
  <c r="A4126" i="15"/>
  <c r="B4126" i="15" s="1"/>
  <c r="A4127" i="15"/>
  <c r="A4128" i="15"/>
  <c r="A4129" i="15"/>
  <c r="E4129" i="15" s="1"/>
  <c r="A4130" i="15"/>
  <c r="D4130" i="15" s="1"/>
  <c r="A4131" i="15"/>
  <c r="C4131" i="15" s="1"/>
  <c r="F4131" i="15" s="1"/>
  <c r="A4132" i="15"/>
  <c r="C4132" i="15" s="1"/>
  <c r="F4132" i="15" s="1"/>
  <c r="A4133" i="15"/>
  <c r="A4134" i="15"/>
  <c r="C4134" i="15" s="1"/>
  <c r="F4134" i="15" s="1"/>
  <c r="A4135" i="15"/>
  <c r="E4135" i="15" s="1"/>
  <c r="A4136" i="15"/>
  <c r="A4137" i="15"/>
  <c r="C4137" i="15" s="1"/>
  <c r="F4137" i="15" s="1"/>
  <c r="A4138" i="15"/>
  <c r="E4138" i="15" s="1"/>
  <c r="A4139" i="15"/>
  <c r="E4139" i="15" s="1"/>
  <c r="A4140" i="15"/>
  <c r="C4140" i="15" s="1"/>
  <c r="F4140" i="15" s="1"/>
  <c r="A4141" i="15"/>
  <c r="A4142" i="15"/>
  <c r="D4142" i="15" s="1"/>
  <c r="A4143" i="15"/>
  <c r="C4143" i="15" s="1"/>
  <c r="F4143" i="15" s="1"/>
  <c r="A4144" i="15"/>
  <c r="B4144" i="15" s="1"/>
  <c r="A4145" i="15"/>
  <c r="A4146" i="15"/>
  <c r="D4146" i="15" s="1"/>
  <c r="A4147" i="15"/>
  <c r="E4147" i="15" s="1"/>
  <c r="A4148" i="15"/>
  <c r="D4148" i="15" s="1"/>
  <c r="A4149" i="15"/>
  <c r="C4149" i="15" s="1"/>
  <c r="F4149" i="15" s="1"/>
  <c r="A4150" i="15"/>
  <c r="C4150" i="15" s="1"/>
  <c r="F4150" i="15" s="1"/>
  <c r="A4151" i="15"/>
  <c r="E4151" i="15" s="1"/>
  <c r="A4152" i="15"/>
  <c r="C4152" i="15" s="1"/>
  <c r="F4152" i="15" s="1"/>
  <c r="A4153" i="15"/>
  <c r="C4153" i="15" s="1"/>
  <c r="F4153" i="15" s="1"/>
  <c r="A4154" i="15"/>
  <c r="A4155" i="15"/>
  <c r="C4155" i="15" s="1"/>
  <c r="F4155" i="15" s="1"/>
  <c r="A4156" i="15"/>
  <c r="A4157" i="15"/>
  <c r="D4157" i="15" s="1"/>
  <c r="A4158" i="15"/>
  <c r="D4158" i="15" s="1"/>
  <c r="A4159" i="15"/>
  <c r="A4160" i="15"/>
  <c r="D4160" i="15" s="1"/>
  <c r="A4161" i="15"/>
  <c r="C4161" i="15" s="1"/>
  <c r="F4161" i="15" s="1"/>
  <c r="A4162" i="15"/>
  <c r="B4162" i="15" s="1"/>
  <c r="A4163" i="15"/>
  <c r="A4164" i="15"/>
  <c r="C4164" i="15" s="1"/>
  <c r="F4164" i="15" s="1"/>
  <c r="A4165" i="15"/>
  <c r="A4166" i="15"/>
  <c r="D4166" i="15" s="1"/>
  <c r="A4167" i="15"/>
  <c r="D4167" i="15" s="1"/>
  <c r="A4168" i="15"/>
  <c r="D4168" i="15" s="1"/>
  <c r="A4169" i="15"/>
  <c r="E4169" i="15" s="1"/>
  <c r="A4170" i="15"/>
  <c r="C4170" i="15" s="1"/>
  <c r="F4170" i="15" s="1"/>
  <c r="A4171" i="15"/>
  <c r="B4171" i="15" s="1"/>
  <c r="A4172" i="15"/>
  <c r="A4173" i="15"/>
  <c r="C4173" i="15" s="1"/>
  <c r="F4173" i="15" s="1"/>
  <c r="A4174" i="15"/>
  <c r="A4175" i="15"/>
  <c r="A4176" i="15"/>
  <c r="A4177" i="15"/>
  <c r="A4178" i="15"/>
  <c r="C4178" i="15" s="1"/>
  <c r="F4178" i="15" s="1"/>
  <c r="A4179" i="15"/>
  <c r="B4179" i="15" s="1"/>
  <c r="A4180" i="15"/>
  <c r="E4180" i="15" s="1"/>
  <c r="A4181" i="15"/>
  <c r="B4181" i="15" s="1"/>
  <c r="A4182" i="15"/>
  <c r="A4183" i="15"/>
  <c r="B4183" i="15" s="1"/>
  <c r="A4184" i="15"/>
  <c r="A4185" i="15"/>
  <c r="C4185" i="15" s="1"/>
  <c r="F4185" i="15" s="1"/>
  <c r="A4186" i="15"/>
  <c r="A4187" i="15"/>
  <c r="C4187" i="15" s="1"/>
  <c r="F4187" i="15" s="1"/>
  <c r="A4188" i="15"/>
  <c r="C4188" i="15" s="1"/>
  <c r="F4188" i="15" s="1"/>
  <c r="A4189" i="15"/>
  <c r="E4189" i="15" s="1"/>
  <c r="A4190" i="15"/>
  <c r="C4190" i="15" s="1"/>
  <c r="F4190" i="15" s="1"/>
  <c r="A4191" i="15"/>
  <c r="E4191" i="15" s="1"/>
  <c r="A4192" i="15"/>
  <c r="C4192" i="15" s="1"/>
  <c r="F4192" i="15" s="1"/>
  <c r="A4193" i="15"/>
  <c r="B4193" i="15" s="1"/>
  <c r="A4194" i="15"/>
  <c r="C4194" i="15" s="1"/>
  <c r="F4194" i="15" s="1"/>
  <c r="A4195" i="15"/>
  <c r="A4196" i="15"/>
  <c r="A4197" i="15"/>
  <c r="B4197" i="15" s="1"/>
  <c r="A4198" i="15"/>
  <c r="A4199" i="15"/>
  <c r="A4200" i="15"/>
  <c r="D4200" i="15" s="1"/>
  <c r="A4201" i="15"/>
  <c r="B4201" i="15" s="1"/>
  <c r="A4202" i="15"/>
  <c r="B4202" i="15" s="1"/>
  <c r="A4203" i="15"/>
  <c r="D4203" i="15" s="1"/>
  <c r="A4204" i="15"/>
  <c r="B4204" i="15" s="1"/>
  <c r="A4205" i="15"/>
  <c r="C4205" i="15" s="1"/>
  <c r="F4205" i="15" s="1"/>
  <c r="A4206" i="15"/>
  <c r="A4207" i="15"/>
  <c r="E4207" i="15" s="1"/>
  <c r="A4208" i="15"/>
  <c r="B4208" i="15" s="1"/>
  <c r="A4209" i="15"/>
  <c r="E4209" i="15" s="1"/>
  <c r="A4210" i="15"/>
  <c r="B4210" i="15" s="1"/>
  <c r="A4211" i="15"/>
  <c r="A4212" i="15"/>
  <c r="C4212" i="15" s="1"/>
  <c r="F4212" i="15" s="1"/>
  <c r="A4213" i="15"/>
  <c r="A4214" i="15"/>
  <c r="C4214" i="15" s="1"/>
  <c r="F4214" i="15" s="1"/>
  <c r="A4215" i="15"/>
  <c r="C4215" i="15" s="1"/>
  <c r="F4215" i="15" s="1"/>
  <c r="A4216" i="15"/>
  <c r="E4216" i="15" s="1"/>
  <c r="A4217" i="15"/>
  <c r="C4217" i="15" s="1"/>
  <c r="F4217" i="15" s="1"/>
  <c r="A4218" i="15"/>
  <c r="D4218" i="15" s="1"/>
  <c r="A4219" i="15"/>
  <c r="C4219" i="15" s="1"/>
  <c r="F4219" i="15" s="1"/>
  <c r="A4220" i="15"/>
  <c r="A4221" i="15"/>
  <c r="C4221" i="15" s="1"/>
  <c r="F4221" i="15" s="1"/>
  <c r="A4222" i="15"/>
  <c r="B4222" i="15" s="1"/>
  <c r="A4223" i="15"/>
  <c r="A4224" i="15"/>
  <c r="B4224" i="15" s="1"/>
  <c r="A4225" i="15"/>
  <c r="A4226" i="15"/>
  <c r="A4227" i="15"/>
  <c r="D4227" i="15" s="1"/>
  <c r="A4228" i="15"/>
  <c r="A4229" i="15"/>
  <c r="B4229" i="15" s="1"/>
  <c r="A4230" i="15"/>
  <c r="A4231" i="15"/>
  <c r="A4232" i="15"/>
  <c r="C4232" i="15" s="1"/>
  <c r="F4232" i="15" s="1"/>
  <c r="A4233" i="15"/>
  <c r="B4233" i="15" s="1"/>
  <c r="A4234" i="15"/>
  <c r="E4234" i="15" s="1"/>
  <c r="A4235" i="15"/>
  <c r="A4236" i="15"/>
  <c r="E4236" i="15" s="1"/>
  <c r="A4237" i="15"/>
  <c r="B4237" i="15" s="1"/>
  <c r="A4238" i="15"/>
  <c r="B4238" i="15" s="1"/>
  <c r="A4239" i="15"/>
  <c r="C4239" i="15" s="1"/>
  <c r="F4239" i="15" s="1"/>
  <c r="A4240" i="15"/>
  <c r="A4241" i="15"/>
  <c r="C4241" i="15" s="1"/>
  <c r="F4241" i="15" s="1"/>
  <c r="A4242" i="15"/>
  <c r="E4242" i="15" s="1"/>
  <c r="A4243" i="15"/>
  <c r="E4243" i="15" s="1"/>
  <c r="A4244" i="15"/>
  <c r="C4244" i="15" s="1"/>
  <c r="F4244" i="15" s="1"/>
  <c r="A4245" i="15"/>
  <c r="D4245" i="15" s="1"/>
  <c r="A4246" i="15"/>
  <c r="C4246" i="15" s="1"/>
  <c r="F4246" i="15" s="1"/>
  <c r="A4247" i="15"/>
  <c r="B4247" i="15" s="1"/>
  <c r="A4248" i="15"/>
  <c r="C4248" i="15" s="1"/>
  <c r="F4248" i="15" s="1"/>
  <c r="A4249" i="15"/>
  <c r="A4250" i="15"/>
  <c r="A4251" i="15"/>
  <c r="A4252" i="15"/>
  <c r="A4253" i="15"/>
  <c r="A4254" i="15"/>
  <c r="D4254" i="15" s="1"/>
  <c r="A4255" i="15"/>
  <c r="E4255" i="15" s="1"/>
  <c r="A4256" i="15"/>
  <c r="A4257" i="15"/>
  <c r="D4257" i="15" s="1"/>
  <c r="A4258" i="15"/>
  <c r="B4258" i="15" s="1"/>
  <c r="A4259" i="15"/>
  <c r="C4259" i="15" s="1"/>
  <c r="F4259" i="15" s="1"/>
  <c r="A4260" i="15"/>
  <c r="B4260" i="15" s="1"/>
  <c r="A4261" i="15"/>
  <c r="E4261" i="15" s="1"/>
  <c r="A4262" i="15"/>
  <c r="B4262" i="15" s="1"/>
  <c r="A4263" i="15"/>
  <c r="E4263" i="15" s="1"/>
  <c r="A4264" i="15"/>
  <c r="A4265" i="15"/>
  <c r="B4265" i="15" s="1"/>
  <c r="A4266" i="15"/>
  <c r="C4266" i="15" s="1"/>
  <c r="F4266" i="15" s="1"/>
  <c r="A4267" i="15"/>
  <c r="A4268" i="15"/>
  <c r="C4268" i="15" s="1"/>
  <c r="F4268" i="15" s="1"/>
  <c r="A4269" i="15"/>
  <c r="C4269" i="15" s="1"/>
  <c r="F4269" i="15" s="1"/>
  <c r="A4270" i="15"/>
  <c r="E4270" i="15" s="1"/>
  <c r="A4271" i="15"/>
  <c r="C4271" i="15" s="1"/>
  <c r="F4271" i="15" s="1"/>
  <c r="A4272" i="15"/>
  <c r="D4272" i="15" s="1"/>
  <c r="A4273" i="15"/>
  <c r="C4273" i="15" s="1"/>
  <c r="F4273" i="15" s="1"/>
  <c r="A4274" i="15"/>
  <c r="C4274" i="15" s="1"/>
  <c r="F4274" i="15" s="1"/>
  <c r="A4275" i="15"/>
  <c r="D4275" i="15" s="1"/>
  <c r="A4276" i="15"/>
  <c r="A4277" i="15"/>
  <c r="C4277" i="15" s="1"/>
  <c r="F4277" i="15" s="1"/>
  <c r="A4278" i="15"/>
  <c r="B4278" i="15" s="1"/>
  <c r="A4279" i="15"/>
  <c r="E4279" i="15" s="1"/>
  <c r="A4280" i="15"/>
  <c r="A4281" i="15"/>
  <c r="A4282" i="15"/>
  <c r="B4282" i="15" s="1"/>
  <c r="A4283" i="15"/>
  <c r="B4283" i="15" s="1"/>
  <c r="A4284" i="15"/>
  <c r="C4284" i="15" s="1"/>
  <c r="F4284" i="15" s="1"/>
  <c r="A4285" i="15"/>
  <c r="A4286" i="15"/>
  <c r="C4286" i="15" s="1"/>
  <c r="F4286" i="15" s="1"/>
  <c r="A4287" i="15"/>
  <c r="A4288" i="15"/>
  <c r="E4288" i="15" s="1"/>
  <c r="A4289" i="15"/>
  <c r="B4289" i="15" s="1"/>
  <c r="A4290" i="15"/>
  <c r="E4290" i="15" s="1"/>
  <c r="A4291" i="15"/>
  <c r="B4291" i="15" s="1"/>
  <c r="A4292" i="15"/>
  <c r="B4292" i="15" s="1"/>
  <c r="A4293" i="15"/>
  <c r="C4293" i="15" s="1"/>
  <c r="F4293" i="15" s="1"/>
  <c r="A4294" i="15"/>
  <c r="B4294" i="15" s="1"/>
  <c r="A4295" i="15"/>
  <c r="C4295" i="15" s="1"/>
  <c r="F4295" i="15" s="1"/>
  <c r="A4296" i="15"/>
  <c r="B4296" i="15" s="1"/>
  <c r="A4297" i="15"/>
  <c r="E4297" i="15" s="1"/>
  <c r="A4298" i="15"/>
  <c r="B4298" i="15" s="1"/>
  <c r="A4299" i="15"/>
  <c r="D4299" i="15" s="1"/>
  <c r="A4300" i="15"/>
  <c r="B4300" i="15" s="1"/>
  <c r="A4301" i="15"/>
  <c r="A4302" i="15"/>
  <c r="D4302" i="15" s="1"/>
  <c r="A4303" i="15"/>
  <c r="A4304" i="15"/>
  <c r="C4304" i="15" s="1"/>
  <c r="F4304" i="15" s="1"/>
  <c r="A4305" i="15"/>
  <c r="B4305" i="15" s="1"/>
  <c r="A4306" i="15"/>
  <c r="E4306" i="15" s="1"/>
  <c r="A4307" i="15"/>
  <c r="B4307" i="15" s="1"/>
  <c r="A4308" i="15"/>
  <c r="A4309" i="15"/>
  <c r="A4310" i="15"/>
  <c r="B4310" i="15" s="1"/>
  <c r="A4311" i="15"/>
  <c r="C4311" i="15" s="1"/>
  <c r="F4311" i="15" s="1"/>
  <c r="A4312" i="15"/>
  <c r="B4312" i="15" s="1"/>
  <c r="A4313" i="15"/>
  <c r="C4313" i="15" s="1"/>
  <c r="F4313" i="15" s="1"/>
  <c r="A4314" i="15"/>
  <c r="B4314" i="15" s="1"/>
  <c r="A4315" i="15"/>
  <c r="E4315" i="15" s="1"/>
  <c r="A4316" i="15"/>
  <c r="B4316" i="15" s="1"/>
  <c r="A4317" i="15"/>
  <c r="E4317" i="15" s="1"/>
  <c r="A4318" i="15"/>
  <c r="B4318" i="15" s="1"/>
  <c r="A4319" i="15"/>
  <c r="B4319" i="15" s="1"/>
  <c r="A4320" i="15"/>
  <c r="C4320" i="15" s="1"/>
  <c r="F4320" i="15" s="1"/>
  <c r="A4321" i="15"/>
  <c r="A4322" i="15"/>
  <c r="C4322" i="15" s="1"/>
  <c r="F4322" i="15" s="1"/>
  <c r="A4323" i="15"/>
  <c r="B4323" i="15" s="1"/>
  <c r="A4324" i="15"/>
  <c r="E4324" i="15" s="1"/>
  <c r="A4325" i="15"/>
  <c r="B4325" i="15" s="1"/>
  <c r="A4326" i="15"/>
  <c r="E4326" i="15" s="1"/>
  <c r="A4327" i="15"/>
  <c r="B4327" i="15" s="1"/>
  <c r="A4328" i="15"/>
  <c r="B4328" i="15" s="1"/>
  <c r="A4329" i="15"/>
  <c r="D4329" i="15" s="1"/>
  <c r="A4330" i="15"/>
  <c r="B4330" i="15" s="1"/>
  <c r="A4331" i="15"/>
  <c r="C4331" i="15" s="1"/>
  <c r="F4331" i="15" s="1"/>
  <c r="A4332" i="15"/>
  <c r="B4332" i="15" s="1"/>
  <c r="A4333" i="15"/>
  <c r="E4333" i="15" s="1"/>
  <c r="A4334" i="15"/>
  <c r="B4334" i="15" s="1"/>
  <c r="A4335" i="15"/>
  <c r="A4336" i="15"/>
  <c r="A4337" i="15"/>
  <c r="B4337" i="15" s="1"/>
  <c r="A4338" i="15"/>
  <c r="C4338" i="15" s="1"/>
  <c r="F4338" i="15" s="1"/>
  <c r="A4339" i="15"/>
  <c r="A4340" i="15"/>
  <c r="C4340" i="15" s="1"/>
  <c r="F4340" i="15" s="1"/>
  <c r="A4341" i="15"/>
  <c r="B4341" i="15" s="1"/>
  <c r="A4342" i="15"/>
  <c r="E4342" i="15" s="1"/>
  <c r="A4343" i="15"/>
  <c r="A4344" i="15"/>
  <c r="E4344" i="15" s="1"/>
  <c r="A4345" i="15"/>
  <c r="B4345" i="15" s="1"/>
  <c r="A4346" i="15"/>
  <c r="A4347" i="15"/>
  <c r="C4347" i="15" s="1"/>
  <c r="F4347" i="15" s="1"/>
  <c r="A4348" i="15"/>
  <c r="B4348" i="15" s="1"/>
  <c r="A4349" i="15"/>
  <c r="C4349" i="15" s="1"/>
  <c r="F4349" i="15" s="1"/>
  <c r="A4350" i="15"/>
  <c r="B4350" i="15" s="1"/>
  <c r="A4351" i="15"/>
  <c r="E4351" i="15" s="1"/>
  <c r="A4352" i="15"/>
  <c r="B4352" i="15" s="1"/>
  <c r="A4353" i="15"/>
  <c r="A4354" i="15"/>
  <c r="B4354" i="15" s="1"/>
  <c r="A4355" i="15"/>
  <c r="A4356" i="15"/>
  <c r="D4356" i="15" s="1"/>
  <c r="A4357" i="15"/>
  <c r="A4358" i="15"/>
  <c r="C4358" i="15" s="1"/>
  <c r="F4358" i="15" s="1"/>
  <c r="A4359" i="15"/>
  <c r="B4359" i="15" s="1"/>
  <c r="A4360" i="15"/>
  <c r="E4360" i="15" s="1"/>
  <c r="A4361" i="15"/>
  <c r="B4361" i="15" s="1"/>
  <c r="A4362" i="15"/>
  <c r="A4363" i="15"/>
  <c r="B4363" i="15" s="1"/>
  <c r="A4364" i="15"/>
  <c r="B4364" i="15" s="1"/>
  <c r="A4365" i="15"/>
  <c r="A4366" i="15"/>
  <c r="B4366" i="15" s="1"/>
  <c r="A4367" i="15"/>
  <c r="C4367" i="15" s="1"/>
  <c r="F4367" i="15" s="1"/>
  <c r="A4368" i="15"/>
  <c r="B4368" i="15" s="1"/>
  <c r="A4369" i="15"/>
  <c r="E4369" i="15" s="1"/>
  <c r="A4370" i="15"/>
  <c r="B4370" i="15" s="1"/>
  <c r="A4371" i="15"/>
  <c r="E4371" i="15" s="1"/>
  <c r="A4372" i="15"/>
  <c r="B4372" i="15" s="1"/>
  <c r="A4373" i="15"/>
  <c r="B4373" i="15" s="1"/>
  <c r="A4374" i="15"/>
  <c r="C4374" i="15" s="1"/>
  <c r="F4374" i="15" s="1"/>
  <c r="A4375" i="15"/>
  <c r="A4376" i="15"/>
  <c r="C4376" i="15" s="1"/>
  <c r="F4376" i="15" s="1"/>
  <c r="A4377" i="15"/>
  <c r="B4377" i="15" s="1"/>
  <c r="A4378" i="15"/>
  <c r="E4378" i="15" s="1"/>
  <c r="A4379" i="15"/>
  <c r="B4379" i="15" s="1"/>
  <c r="A4380" i="15"/>
  <c r="E4380" i="15" s="1"/>
  <c r="A4381" i="15"/>
  <c r="B4381" i="15" s="1"/>
  <c r="A4382" i="15"/>
  <c r="B4382" i="15" s="1"/>
  <c r="A4383" i="15"/>
  <c r="C4383" i="15" s="1"/>
  <c r="F4383" i="15" s="1"/>
  <c r="A4384" i="15"/>
  <c r="B4384" i="15" s="1"/>
  <c r="A4385" i="15"/>
  <c r="C4385" i="15" s="1"/>
  <c r="F4385" i="15" s="1"/>
  <c r="A4386" i="15"/>
  <c r="A4387" i="15"/>
  <c r="E4387" i="15" s="1"/>
  <c r="A4388" i="15"/>
  <c r="B4388" i="15" s="1"/>
  <c r="A4389" i="15"/>
  <c r="A4390" i="15"/>
  <c r="B4390" i="15" s="1"/>
  <c r="A4391" i="15"/>
  <c r="B4391" i="15" s="1"/>
  <c r="A4392" i="15"/>
  <c r="C4392" i="15" s="1"/>
  <c r="F4392" i="15" s="1"/>
  <c r="A4393" i="15"/>
  <c r="A4394" i="15"/>
  <c r="C4394" i="15" s="1"/>
  <c r="F4394" i="15" s="1"/>
  <c r="A4395" i="15"/>
  <c r="B4395" i="15" s="1"/>
  <c r="A4396" i="15"/>
  <c r="E4396" i="15" s="1"/>
  <c r="A4397" i="15"/>
  <c r="B4397" i="15" s="1"/>
  <c r="A4398" i="15"/>
  <c r="E4398" i="15" s="1"/>
  <c r="A4399" i="15"/>
  <c r="A4400" i="15"/>
  <c r="B4400" i="15" s="1"/>
  <c r="A4401" i="15"/>
  <c r="C4401" i="15" s="1"/>
  <c r="F4401" i="15" s="1"/>
  <c r="A4402" i="15"/>
  <c r="B4402" i="15" s="1"/>
  <c r="A4403" i="15"/>
  <c r="C4403" i="15" s="1"/>
  <c r="F4403" i="15" s="1"/>
  <c r="A4404" i="15"/>
  <c r="B4404" i="15" s="1"/>
  <c r="A4405" i="15"/>
  <c r="E4405" i="15" s="1"/>
  <c r="A4406" i="15"/>
  <c r="B4406" i="15" s="1"/>
  <c r="A4407" i="15"/>
  <c r="E4407" i="15" s="1"/>
  <c r="A4408" i="15"/>
  <c r="B4408" i="15" s="1"/>
  <c r="A4409" i="15"/>
  <c r="B4409" i="15" s="1"/>
  <c r="A4410" i="15"/>
  <c r="D4410" i="15" s="1"/>
  <c r="A4411" i="15"/>
  <c r="A4412" i="15"/>
  <c r="C4412" i="15" s="1"/>
  <c r="F4412" i="15" s="1"/>
  <c r="A4413" i="15"/>
  <c r="B4413" i="15" s="1"/>
  <c r="A4414" i="15"/>
  <c r="E4414" i="15" s="1"/>
  <c r="A4415" i="15"/>
  <c r="A4416" i="15"/>
  <c r="A4417" i="15"/>
  <c r="B4417" i="15" s="1"/>
  <c r="A4418" i="15"/>
  <c r="B4418" i="15" s="1"/>
  <c r="A4419" i="15"/>
  <c r="C4419" i="15" s="1"/>
  <c r="F4419" i="15" s="1"/>
  <c r="A4420" i="15"/>
  <c r="B4420" i="15" s="1"/>
  <c r="A4421" i="15"/>
  <c r="C4421" i="15" s="1"/>
  <c r="F4421" i="15" s="1"/>
  <c r="A4422" i="15"/>
  <c r="A4423" i="15"/>
  <c r="E4423" i="15" s="1"/>
  <c r="A4424" i="15"/>
  <c r="B4424" i="15" s="1"/>
  <c r="A4425" i="15"/>
  <c r="E4425" i="15" s="1"/>
  <c r="A4426" i="15"/>
  <c r="B4426" i="15" s="1"/>
  <c r="A4427" i="15"/>
  <c r="B4427" i="15" s="1"/>
  <c r="A4428" i="15"/>
  <c r="C4428" i="15" s="1"/>
  <c r="F4428" i="15" s="1"/>
  <c r="A4429" i="15"/>
  <c r="A4430" i="15"/>
  <c r="C4430" i="15" s="1"/>
  <c r="F4430" i="15" s="1"/>
  <c r="A4431" i="15"/>
  <c r="A4432" i="15"/>
  <c r="D4432" i="15" s="1"/>
  <c r="A4433" i="15"/>
  <c r="B4433" i="15" s="1"/>
  <c r="A4555" i="15"/>
  <c r="B4555" i="15" s="1"/>
  <c r="E4555" i="15"/>
  <c r="A4556" i="15"/>
  <c r="C4556" i="15" s="1"/>
  <c r="F4556" i="15" s="1"/>
  <c r="B4556" i="15"/>
  <c r="D4556" i="15"/>
  <c r="A4557" i="15"/>
  <c r="B4557" i="15" s="1"/>
  <c r="H7" i="21"/>
  <c r="H9" i="21"/>
  <c r="H28" i="21"/>
  <c r="H31" i="21"/>
  <c r="H12" i="21"/>
  <c r="H29" i="21"/>
  <c r="H27" i="21"/>
  <c r="H24" i="21"/>
  <c r="H22" i="21"/>
  <c r="H21" i="21"/>
  <c r="H14" i="21"/>
  <c r="L35" i="28"/>
  <c r="L33" i="28"/>
  <c r="L36" i="28"/>
  <c r="L37" i="28"/>
  <c r="L34" i="28"/>
  <c r="L31" i="28"/>
  <c r="L32" i="28"/>
  <c r="L30" i="28"/>
  <c r="L25" i="28"/>
  <c r="L28" i="28"/>
  <c r="L24" i="28"/>
  <c r="L21" i="28"/>
  <c r="L22" i="28"/>
  <c r="L18" i="28"/>
  <c r="L19" i="28"/>
  <c r="L17" i="28"/>
  <c r="L16" i="28"/>
  <c r="L15" i="28"/>
  <c r="L13" i="28"/>
  <c r="L14" i="28"/>
  <c r="L12" i="28"/>
  <c r="L10" i="28"/>
  <c r="L11" i="28"/>
  <c r="L6" i="28"/>
  <c r="L27" i="28"/>
  <c r="L9" i="28"/>
  <c r="L8" i="28"/>
  <c r="L7" i="28"/>
  <c r="L4" i="28"/>
  <c r="K4" i="28"/>
  <c r="K7" i="28"/>
  <c r="K8" i="28"/>
  <c r="K9" i="28"/>
  <c r="K27" i="28"/>
  <c r="K6" i="28"/>
  <c r="K11" i="28"/>
  <c r="K10" i="28"/>
  <c r="K12" i="28"/>
  <c r="K14" i="28"/>
  <c r="K13" i="28"/>
  <c r="K15" i="28"/>
  <c r="K16" i="28"/>
  <c r="K17" i="28"/>
  <c r="K19" i="28"/>
  <c r="K18" i="28"/>
  <c r="K22" i="28"/>
  <c r="K21" i="28"/>
  <c r="K24" i="28"/>
  <c r="K28" i="28"/>
  <c r="K25" i="28"/>
  <c r="K30" i="28"/>
  <c r="K32" i="28"/>
  <c r="K31" i="28"/>
  <c r="K34" i="28"/>
  <c r="K37" i="28"/>
  <c r="K36" i="28"/>
  <c r="K33" i="28"/>
  <c r="K35" i="28"/>
  <c r="J4" i="28"/>
  <c r="J7" i="28"/>
  <c r="J8" i="28"/>
  <c r="J9" i="28"/>
  <c r="J27" i="28"/>
  <c r="J6" i="28"/>
  <c r="J11" i="28"/>
  <c r="J10" i="28"/>
  <c r="J12" i="28"/>
  <c r="J14" i="28"/>
  <c r="J13" i="28"/>
  <c r="J15" i="28"/>
  <c r="J16" i="28"/>
  <c r="J17" i="28"/>
  <c r="J19" i="28"/>
  <c r="J18" i="28"/>
  <c r="J22" i="28"/>
  <c r="J21" i="28"/>
  <c r="J24" i="28"/>
  <c r="J28" i="28"/>
  <c r="J25" i="28"/>
  <c r="J30" i="28"/>
  <c r="J32" i="28"/>
  <c r="J31" i="28"/>
  <c r="J34" i="28"/>
  <c r="J37" i="28"/>
  <c r="J36" i="28"/>
  <c r="J33" i="28"/>
  <c r="J35" i="28"/>
  <c r="I4" i="28"/>
  <c r="I7" i="28"/>
  <c r="I8" i="28"/>
  <c r="I9" i="28"/>
  <c r="I27" i="28"/>
  <c r="I6" i="28"/>
  <c r="I11" i="28"/>
  <c r="I10" i="28"/>
  <c r="I12" i="28"/>
  <c r="I14" i="28"/>
  <c r="I13" i="28"/>
  <c r="I15" i="28"/>
  <c r="I16" i="28"/>
  <c r="I17" i="28"/>
  <c r="I19" i="28"/>
  <c r="I18" i="28"/>
  <c r="I22" i="28"/>
  <c r="I21" i="28"/>
  <c r="I24" i="28"/>
  <c r="I28" i="28"/>
  <c r="I25" i="28"/>
  <c r="I30" i="28"/>
  <c r="I32" i="28"/>
  <c r="I31" i="28"/>
  <c r="I34" i="28"/>
  <c r="I37" i="28"/>
  <c r="I36" i="28"/>
  <c r="I33" i="28"/>
  <c r="I35" i="28"/>
  <c r="H4" i="28"/>
  <c r="H7" i="28"/>
  <c r="H8" i="28"/>
  <c r="H9" i="28"/>
  <c r="H27" i="28"/>
  <c r="H6" i="28"/>
  <c r="H11" i="28"/>
  <c r="H10" i="28"/>
  <c r="H12" i="28"/>
  <c r="H14" i="28"/>
  <c r="H13" i="28"/>
  <c r="H15" i="28"/>
  <c r="H16" i="28"/>
  <c r="H17" i="28"/>
  <c r="H19" i="28"/>
  <c r="H18" i="28"/>
  <c r="H22" i="28"/>
  <c r="H21" i="28"/>
  <c r="H24" i="28"/>
  <c r="H28" i="28"/>
  <c r="H25" i="28"/>
  <c r="H30" i="28"/>
  <c r="H32" i="28"/>
  <c r="H31" i="28"/>
  <c r="H34" i="28"/>
  <c r="H37" i="28"/>
  <c r="H36" i="28"/>
  <c r="H33" i="28"/>
  <c r="H35" i="28"/>
  <c r="G4" i="28"/>
  <c r="G7" i="28"/>
  <c r="G8" i="28"/>
  <c r="G9" i="28"/>
  <c r="G27" i="28"/>
  <c r="G6" i="28"/>
  <c r="G11" i="28"/>
  <c r="G10" i="28"/>
  <c r="G12" i="28"/>
  <c r="G14" i="28"/>
  <c r="G13" i="28"/>
  <c r="G15" i="28"/>
  <c r="G16" i="28"/>
  <c r="G17" i="28"/>
  <c r="G19" i="28"/>
  <c r="G18" i="28"/>
  <c r="G22" i="28"/>
  <c r="G21" i="28"/>
  <c r="G24" i="28"/>
  <c r="G28" i="28"/>
  <c r="G25" i="28"/>
  <c r="G30" i="28"/>
  <c r="G32" i="28"/>
  <c r="G31" i="28"/>
  <c r="G34" i="28"/>
  <c r="G37" i="28"/>
  <c r="G36" i="28"/>
  <c r="G33" i="28"/>
  <c r="G35" i="28"/>
  <c r="F4" i="28"/>
  <c r="F7" i="28"/>
  <c r="F8" i="28"/>
  <c r="F9" i="28"/>
  <c r="F27" i="28"/>
  <c r="F6" i="28"/>
  <c r="F11" i="28"/>
  <c r="F10" i="28"/>
  <c r="F12" i="28"/>
  <c r="F14" i="28"/>
  <c r="F13" i="28"/>
  <c r="F15" i="28"/>
  <c r="F16" i="28"/>
  <c r="F17" i="28"/>
  <c r="F19" i="28"/>
  <c r="F18" i="28"/>
  <c r="F22" i="28"/>
  <c r="F21" i="28"/>
  <c r="F24" i="28"/>
  <c r="F28" i="28"/>
  <c r="F25" i="28"/>
  <c r="F30" i="28"/>
  <c r="F32" i="28"/>
  <c r="F31" i="28"/>
  <c r="F34" i="28"/>
  <c r="F33" i="28"/>
  <c r="E4" i="28"/>
  <c r="E7" i="28"/>
  <c r="E8" i="28"/>
  <c r="E9" i="28"/>
  <c r="E27" i="28"/>
  <c r="E6" i="28"/>
  <c r="E11" i="28"/>
  <c r="E10" i="28"/>
  <c r="E12" i="28"/>
  <c r="E14" i="28"/>
  <c r="E13" i="28"/>
  <c r="E15" i="28"/>
  <c r="E16" i="28"/>
  <c r="E17" i="28"/>
  <c r="E19" i="28"/>
  <c r="E18" i="28"/>
  <c r="E22" i="28"/>
  <c r="E21" i="28"/>
  <c r="E24" i="28"/>
  <c r="E28" i="28"/>
  <c r="E25" i="28"/>
  <c r="E30" i="28"/>
  <c r="E32" i="28"/>
  <c r="E31" i="28"/>
  <c r="E34" i="28"/>
  <c r="E36" i="28"/>
  <c r="E33" i="28"/>
  <c r="B2" i="28"/>
  <c r="H25" i="21"/>
  <c r="H19" i="21"/>
  <c r="J31" i="21"/>
  <c r="H16" i="21"/>
  <c r="H17" i="27"/>
  <c r="H5" i="27"/>
  <c r="H7" i="27"/>
  <c r="H19" i="27"/>
  <c r="H21" i="27"/>
  <c r="H22" i="27"/>
  <c r="J22" i="27"/>
  <c r="H23" i="27"/>
  <c r="J23" i="27"/>
  <c r="G39" i="21"/>
  <c r="F39" i="21"/>
  <c r="G39" i="27"/>
  <c r="F39" i="27"/>
  <c r="G39" i="26"/>
  <c r="F39" i="26"/>
  <c r="F40" i="25"/>
  <c r="G40" i="25"/>
  <c r="C43" i="15" l="1"/>
  <c r="F43" i="15" s="1"/>
  <c r="C20" i="15"/>
  <c r="F20" i="15" s="1"/>
  <c r="E22" i="26"/>
  <c r="B34" i="36"/>
  <c r="B22" i="26"/>
  <c r="B35" i="36"/>
  <c r="D34" i="36"/>
  <c r="B20" i="36"/>
  <c r="D42" i="36"/>
  <c r="D10" i="36"/>
  <c r="B42" i="36"/>
  <c r="B39" i="36"/>
  <c r="B14" i="36"/>
  <c r="B27" i="36"/>
  <c r="B10" i="36"/>
  <c r="D33" i="36"/>
  <c r="D13" i="36"/>
  <c r="B16" i="36"/>
  <c r="B13" i="36"/>
  <c r="D32" i="36"/>
  <c r="D12" i="36"/>
  <c r="D11" i="36"/>
  <c r="B32" i="36"/>
  <c r="B12" i="36"/>
  <c r="D20" i="36"/>
  <c r="D18" i="36"/>
  <c r="D15" i="36"/>
  <c r="D22" i="33"/>
  <c r="J22" i="26"/>
  <c r="B22" i="34"/>
  <c r="B22" i="33"/>
  <c r="I22" i="26"/>
  <c r="J27" i="26"/>
  <c r="I37" i="22"/>
  <c r="D9" i="34"/>
  <c r="F9" i="34" s="1"/>
  <c r="D22" i="34"/>
  <c r="J7" i="21"/>
  <c r="J27" i="21"/>
  <c r="J29" i="21"/>
  <c r="B26" i="33"/>
  <c r="B35" i="33"/>
  <c r="D32" i="33"/>
  <c r="B37" i="33"/>
  <c r="I36" i="22"/>
  <c r="E38" i="23"/>
  <c r="J21" i="27"/>
  <c r="E11" i="22"/>
  <c r="B18" i="26"/>
  <c r="D30" i="33"/>
  <c r="B30" i="33"/>
  <c r="B32" i="33"/>
  <c r="I35" i="22"/>
  <c r="I39" i="22" s="1"/>
  <c r="I38" i="23"/>
  <c r="I39" i="23" s="1"/>
  <c r="I29" i="26"/>
  <c r="D15" i="33"/>
  <c r="B32" i="25"/>
  <c r="I33" i="25"/>
  <c r="E35" i="25"/>
  <c r="B38" i="33"/>
  <c r="D20" i="34"/>
  <c r="B36" i="34"/>
  <c r="D26" i="34"/>
  <c r="B24" i="27"/>
  <c r="I25" i="27"/>
  <c r="E27" i="27"/>
  <c r="B38" i="27"/>
  <c r="E24" i="27"/>
  <c r="B32" i="26"/>
  <c r="E34" i="26"/>
  <c r="E32" i="25"/>
  <c r="B37" i="25"/>
  <c r="I38" i="25"/>
  <c r="D38" i="33"/>
  <c r="D36" i="34"/>
  <c r="B38" i="34"/>
  <c r="I30" i="27"/>
  <c r="B34" i="26"/>
  <c r="E36" i="26"/>
  <c r="B34" i="25"/>
  <c r="I35" i="25"/>
  <c r="E37" i="25"/>
  <c r="B33" i="33"/>
  <c r="B25" i="30"/>
  <c r="B26" i="27"/>
  <c r="I27" i="27"/>
  <c r="E29" i="27"/>
  <c r="E32" i="26"/>
  <c r="I32" i="25"/>
  <c r="E34" i="25"/>
  <c r="B39" i="25"/>
  <c r="D30" i="34"/>
  <c r="L30" i="34" s="1"/>
  <c r="D33" i="33"/>
  <c r="I24" i="27"/>
  <c r="E26" i="27"/>
  <c r="B31" i="27"/>
  <c r="I38" i="27"/>
  <c r="I32" i="26"/>
  <c r="I34" i="26"/>
  <c r="I36" i="26"/>
  <c r="I38" i="26"/>
  <c r="E30" i="26"/>
  <c r="I29" i="27"/>
  <c r="E31" i="27"/>
  <c r="E28" i="27"/>
  <c r="B35" i="26"/>
  <c r="B36" i="25"/>
  <c r="I37" i="25"/>
  <c r="E39" i="25"/>
  <c r="D32" i="34"/>
  <c r="D15" i="34"/>
  <c r="B29" i="33"/>
  <c r="B28" i="27"/>
  <c r="I26" i="27"/>
  <c r="B31" i="26"/>
  <c r="B37" i="26"/>
  <c r="B33" i="25"/>
  <c r="I34" i="25"/>
  <c r="E36" i="25"/>
  <c r="B34" i="34"/>
  <c r="D18" i="34"/>
  <c r="D29" i="33"/>
  <c r="B25" i="27"/>
  <c r="B33" i="26"/>
  <c r="E33" i="25"/>
  <c r="B38" i="25"/>
  <c r="I39" i="25"/>
  <c r="D34" i="34"/>
  <c r="E25" i="27"/>
  <c r="B30" i="27"/>
  <c r="I31" i="27"/>
  <c r="E31" i="26"/>
  <c r="E33" i="26"/>
  <c r="E35" i="26"/>
  <c r="E37" i="26"/>
  <c r="B36" i="26"/>
  <c r="B35" i="25"/>
  <c r="I36" i="25"/>
  <c r="E38" i="25"/>
  <c r="D35" i="34"/>
  <c r="B27" i="27"/>
  <c r="I28" i="27"/>
  <c r="E30" i="27"/>
  <c r="I31" i="26"/>
  <c r="I33" i="26"/>
  <c r="I35" i="26"/>
  <c r="I37" i="26"/>
  <c r="I30" i="26"/>
  <c r="B29" i="27"/>
  <c r="E38" i="27"/>
  <c r="B38" i="26"/>
  <c r="E38" i="26"/>
  <c r="B35" i="34"/>
  <c r="D31" i="34"/>
  <c r="D37" i="34"/>
  <c r="B33" i="34"/>
  <c r="D38" i="34"/>
  <c r="D33" i="34"/>
  <c r="D14" i="34"/>
  <c r="B37" i="34"/>
  <c r="D29" i="34"/>
  <c r="B32" i="34"/>
  <c r="B19" i="20"/>
  <c r="B33" i="21"/>
  <c r="I34" i="21"/>
  <c r="E36" i="21"/>
  <c r="E38" i="22"/>
  <c r="B13" i="22"/>
  <c r="B16" i="23"/>
  <c r="B36" i="24"/>
  <c r="I37" i="24"/>
  <c r="E19" i="20"/>
  <c r="I30" i="21"/>
  <c r="E33" i="21"/>
  <c r="B38" i="21"/>
  <c r="B12" i="22"/>
  <c r="B37" i="23"/>
  <c r="B34" i="24"/>
  <c r="E36" i="24"/>
  <c r="E10" i="21"/>
  <c r="J30" i="21"/>
  <c r="B35" i="21"/>
  <c r="I36" i="21"/>
  <c r="E38" i="21"/>
  <c r="I38" i="22"/>
  <c r="E37" i="23"/>
  <c r="E34" i="24"/>
  <c r="B38" i="24"/>
  <c r="B32" i="21"/>
  <c r="I33" i="21"/>
  <c r="E35" i="21"/>
  <c r="B34" i="22"/>
  <c r="B17" i="23"/>
  <c r="B18" i="24"/>
  <c r="B35" i="24"/>
  <c r="I36" i="24"/>
  <c r="E38" i="24"/>
  <c r="B38" i="20"/>
  <c r="K38" i="20" s="1"/>
  <c r="K39" i="20" s="1"/>
  <c r="E32" i="21"/>
  <c r="B37" i="21"/>
  <c r="I38" i="21"/>
  <c r="E34" i="22"/>
  <c r="E35" i="24"/>
  <c r="E38" i="20"/>
  <c r="B34" i="21"/>
  <c r="I35" i="21"/>
  <c r="E37" i="21"/>
  <c r="B38" i="23"/>
  <c r="K38" i="23" s="1"/>
  <c r="K39" i="23" s="1"/>
  <c r="B14" i="22"/>
  <c r="B37" i="24"/>
  <c r="I38" i="24"/>
  <c r="B30" i="21"/>
  <c r="I32" i="21"/>
  <c r="E34" i="21"/>
  <c r="B35" i="22"/>
  <c r="B15" i="23"/>
  <c r="B29" i="24"/>
  <c r="I35" i="24"/>
  <c r="E37" i="24"/>
  <c r="I38" i="20"/>
  <c r="I39" i="20" s="1"/>
  <c r="E30" i="21"/>
  <c r="B36" i="21"/>
  <c r="I37" i="21"/>
  <c r="B38" i="22"/>
  <c r="B36" i="22"/>
  <c r="E15" i="23"/>
  <c r="B23" i="24"/>
  <c r="E16" i="23"/>
  <c r="B29" i="34"/>
  <c r="B36" i="33"/>
  <c r="B26" i="34"/>
  <c r="B18" i="34"/>
  <c r="D36" i="33"/>
  <c r="B25" i="34"/>
  <c r="D34" i="33"/>
  <c r="B16" i="34"/>
  <c r="B34" i="33"/>
  <c r="B15" i="34"/>
  <c r="B25" i="33"/>
  <c r="B14" i="34"/>
  <c r="D31" i="33"/>
  <c r="D14" i="33"/>
  <c r="B13" i="34"/>
  <c r="B31" i="33"/>
  <c r="B14" i="33"/>
  <c r="D18" i="33"/>
  <c r="B18" i="33"/>
  <c r="B16" i="33"/>
  <c r="D20" i="33"/>
  <c r="J29" i="26"/>
  <c r="B15" i="33"/>
  <c r="B13" i="33"/>
  <c r="D26" i="33"/>
  <c r="B37" i="22"/>
  <c r="B7" i="21"/>
  <c r="B31" i="34"/>
  <c r="E37" i="22"/>
  <c r="B30" i="34"/>
  <c r="D9" i="33"/>
  <c r="B29" i="26"/>
  <c r="E36" i="22"/>
  <c r="E13" i="22"/>
  <c r="B39" i="28"/>
  <c r="B38" i="28"/>
  <c r="B25" i="26"/>
  <c r="B30" i="26"/>
  <c r="I27" i="26"/>
  <c r="E35" i="22"/>
  <c r="B4" i="34"/>
  <c r="B4" i="33"/>
  <c r="E29" i="26"/>
  <c r="D39" i="28"/>
  <c r="D38" i="28"/>
  <c r="D35" i="33"/>
  <c r="D37" i="33"/>
  <c r="E12" i="22"/>
  <c r="L38" i="30"/>
  <c r="B4436" i="15"/>
  <c r="D4439" i="15"/>
  <c r="E4435" i="15"/>
  <c r="E4437" i="15"/>
  <c r="D4435" i="15"/>
  <c r="C4435" i="15"/>
  <c r="F4435" i="15" s="1"/>
  <c r="E4439" i="15"/>
  <c r="E4436" i="15"/>
  <c r="C4439" i="15"/>
  <c r="F4439" i="15" s="1"/>
  <c r="D4437" i="15"/>
  <c r="C4437" i="15"/>
  <c r="F4437" i="15" s="1"/>
  <c r="E4438" i="15"/>
  <c r="B4438" i="15"/>
  <c r="E20" i="22"/>
  <c r="D29" i="28"/>
  <c r="E4440" i="15"/>
  <c r="B4440" i="15"/>
  <c r="B29" i="28" s="1"/>
  <c r="D4440" i="15"/>
  <c r="D4438" i="15"/>
  <c r="D4436" i="15"/>
  <c r="C4310" i="15"/>
  <c r="F4310" i="15" s="1"/>
  <c r="D2761" i="15"/>
  <c r="D1132" i="15"/>
  <c r="E665" i="15"/>
  <c r="D4371" i="15"/>
  <c r="D4305" i="15"/>
  <c r="C3963" i="15"/>
  <c r="F3963" i="15" s="1"/>
  <c r="D33" i="30"/>
  <c r="E3417" i="15"/>
  <c r="E4409" i="15"/>
  <c r="C4229" i="15"/>
  <c r="F4229" i="15" s="1"/>
  <c r="C4020" i="15"/>
  <c r="F4020" i="15" s="1"/>
  <c r="C2873" i="15"/>
  <c r="F2873" i="15" s="1"/>
  <c r="D2766" i="15"/>
  <c r="E2720" i="15"/>
  <c r="B2609" i="15"/>
  <c r="C60" i="15"/>
  <c r="F60" i="15" s="1"/>
  <c r="D18" i="30"/>
  <c r="B4" i="28"/>
  <c r="K38" i="30"/>
  <c r="J38" i="30"/>
  <c r="H38" i="30"/>
  <c r="E38" i="30"/>
  <c r="F38" i="30"/>
  <c r="G38" i="30"/>
  <c r="I38" i="30"/>
  <c r="K40" i="28"/>
  <c r="L40" i="28"/>
  <c r="G40" i="28"/>
  <c r="F40" i="28"/>
  <c r="H40" i="28"/>
  <c r="I40" i="28"/>
  <c r="J40" i="28"/>
  <c r="E40" i="28"/>
  <c r="E1144" i="15"/>
  <c r="D1144" i="15"/>
  <c r="C1144" i="15"/>
  <c r="E3466" i="15"/>
  <c r="D1804" i="15"/>
  <c r="D4377" i="15"/>
  <c r="C4325" i="15"/>
  <c r="F4325" i="15" s="1"/>
  <c r="D3990" i="15"/>
  <c r="C3921" i="15"/>
  <c r="F3921" i="15" s="1"/>
  <c r="D1777" i="15"/>
  <c r="D1549" i="15"/>
  <c r="B1123" i="15"/>
  <c r="D675" i="15"/>
  <c r="C3984" i="15"/>
  <c r="F3984" i="15" s="1"/>
  <c r="C4328" i="15"/>
  <c r="F4328" i="15" s="1"/>
  <c r="E4296" i="15"/>
  <c r="C4292" i="15"/>
  <c r="F4292" i="15" s="1"/>
  <c r="D4063" i="15"/>
  <c r="E2692" i="15"/>
  <c r="D2675" i="15"/>
  <c r="E2646" i="15"/>
  <c r="E2641" i="15"/>
  <c r="E1379" i="15"/>
  <c r="D779" i="15"/>
  <c r="E4400" i="15"/>
  <c r="C4395" i="15"/>
  <c r="F4395" i="15" s="1"/>
  <c r="C4296" i="15"/>
  <c r="F4296" i="15" s="1"/>
  <c r="E4157" i="15"/>
  <c r="D4140" i="15"/>
  <c r="D4072" i="15"/>
  <c r="E4067" i="15"/>
  <c r="E3890" i="15"/>
  <c r="C3861" i="15"/>
  <c r="F3861" i="15" s="1"/>
  <c r="E3272" i="15"/>
  <c r="B3267" i="15"/>
  <c r="D3256" i="15"/>
  <c r="E1196" i="15"/>
  <c r="C1096" i="15"/>
  <c r="F1096" i="15" s="1"/>
  <c r="D4041" i="15"/>
  <c r="B1096" i="15"/>
  <c r="C3870" i="15"/>
  <c r="F3870" i="15" s="1"/>
  <c r="D3865" i="15"/>
  <c r="D3838" i="15"/>
  <c r="C3828" i="15"/>
  <c r="F3828" i="15" s="1"/>
  <c r="E3363" i="15"/>
  <c r="E2794" i="15"/>
  <c r="C2065" i="15"/>
  <c r="F2065" i="15" s="1"/>
  <c r="D1892" i="15"/>
  <c r="E683" i="15"/>
  <c r="D667" i="15"/>
  <c r="D3144" i="15"/>
  <c r="E2609" i="15"/>
  <c r="E4391" i="15"/>
  <c r="C4319" i="15"/>
  <c r="F4319" i="15" s="1"/>
  <c r="C4314" i="15"/>
  <c r="F4314" i="15" s="1"/>
  <c r="E4299" i="15"/>
  <c r="C4011" i="15"/>
  <c r="C1132" i="15"/>
  <c r="F1132" i="15" s="1"/>
  <c r="D4115" i="15"/>
  <c r="C3999" i="15"/>
  <c r="F3999" i="15" s="1"/>
  <c r="D3881" i="15"/>
  <c r="C3852" i="15"/>
  <c r="F3852" i="15" s="1"/>
  <c r="C3426" i="15"/>
  <c r="F3426" i="15" s="1"/>
  <c r="E2776" i="15"/>
  <c r="E2714" i="15"/>
  <c r="E2623" i="15"/>
  <c r="B2314" i="15"/>
  <c r="D1323" i="15"/>
  <c r="B1280" i="15"/>
  <c r="D1216" i="15"/>
  <c r="B1132" i="15"/>
  <c r="E3022" i="15"/>
  <c r="C1802" i="15"/>
  <c r="F1802" i="15" s="1"/>
  <c r="E3378" i="15"/>
  <c r="E3309" i="15"/>
  <c r="B3022" i="15"/>
  <c r="E1547" i="15"/>
  <c r="E1175" i="15"/>
  <c r="D1152" i="15"/>
  <c r="D1096" i="15"/>
  <c r="C817" i="15"/>
  <c r="F817" i="15" s="1"/>
  <c r="D711" i="15"/>
  <c r="E4238" i="15"/>
  <c r="D4224" i="15"/>
  <c r="C4427" i="15"/>
  <c r="F4427" i="15" s="1"/>
  <c r="C4283" i="15"/>
  <c r="F4283" i="15" s="1"/>
  <c r="D4260" i="15"/>
  <c r="C4238" i="15"/>
  <c r="F4238" i="15" s="1"/>
  <c r="D25" i="30" s="1"/>
  <c r="C4233" i="15"/>
  <c r="F4233" i="15" s="1"/>
  <c r="C4224" i="15"/>
  <c r="F4224" i="15" s="1"/>
  <c r="C4045" i="15"/>
  <c r="F4045" i="15" s="1"/>
  <c r="E1126" i="15"/>
  <c r="E1039" i="15"/>
  <c r="E693" i="15"/>
  <c r="B3220" i="15"/>
  <c r="B3123" i="15"/>
  <c r="B3112" i="15"/>
  <c r="B3090" i="15"/>
  <c r="D3022" i="15"/>
  <c r="D2976" i="15"/>
  <c r="D2609" i="15"/>
  <c r="B2584" i="15"/>
  <c r="D2579" i="15"/>
  <c r="B2061" i="15"/>
  <c r="C2032" i="15"/>
  <c r="F2032" i="15" s="1"/>
  <c r="C1777" i="15"/>
  <c r="F1777" i="15" s="1"/>
  <c r="D1717" i="15"/>
  <c r="D1712" i="15"/>
  <c r="D1703" i="15"/>
  <c r="D1670" i="15"/>
  <c r="E1488" i="15"/>
  <c r="D1460" i="15"/>
  <c r="E1205" i="15"/>
  <c r="D1039" i="15"/>
  <c r="E1034" i="15"/>
  <c r="D737" i="15"/>
  <c r="D693" i="15"/>
  <c r="E651" i="15"/>
  <c r="D1759" i="15"/>
  <c r="D1721" i="15"/>
  <c r="B1642" i="15"/>
  <c r="D1341" i="15"/>
  <c r="C1235" i="15"/>
  <c r="F1235" i="15" s="1"/>
  <c r="C1151" i="15"/>
  <c r="F1151" i="15" s="1"/>
  <c r="C737" i="15"/>
  <c r="F737" i="15" s="1"/>
  <c r="C4409" i="15"/>
  <c r="F4409" i="15" s="1"/>
  <c r="E4390" i="15"/>
  <c r="D4380" i="15"/>
  <c r="D4359" i="15"/>
  <c r="C4247" i="15"/>
  <c r="F4247" i="15" s="1"/>
  <c r="C4201" i="15"/>
  <c r="F4201" i="15" s="1"/>
  <c r="D4191" i="15"/>
  <c r="C4181" i="15"/>
  <c r="F4181" i="15" s="1"/>
  <c r="D4139" i="15"/>
  <c r="C4035" i="15"/>
  <c r="F4035" i="15" s="1"/>
  <c r="E4030" i="15"/>
  <c r="C3936" i="15"/>
  <c r="F3936" i="15" s="1"/>
  <c r="C3909" i="15"/>
  <c r="F3909" i="15" s="1"/>
  <c r="D3892" i="15"/>
  <c r="D3888" i="15"/>
  <c r="C3810" i="15"/>
  <c r="F3810" i="15" s="1"/>
  <c r="E3806" i="15"/>
  <c r="D3801" i="15"/>
  <c r="C3792" i="15"/>
  <c r="F3792" i="15" s="1"/>
  <c r="E3436" i="15"/>
  <c r="E3387" i="15"/>
  <c r="E3138" i="15"/>
  <c r="D3065" i="15"/>
  <c r="E2382" i="15"/>
  <c r="D2152" i="15"/>
  <c r="D1906" i="15"/>
  <c r="D1705" i="15"/>
  <c r="E1063" i="15"/>
  <c r="C4289" i="15"/>
  <c r="F4289" i="15" s="1"/>
  <c r="D4284" i="15"/>
  <c r="C4262" i="15"/>
  <c r="F4262" i="15" s="1"/>
  <c r="C4158" i="15"/>
  <c r="F4158" i="15" s="1"/>
  <c r="C3945" i="15"/>
  <c r="F3945" i="15" s="1"/>
  <c r="C3930" i="15"/>
  <c r="F3930" i="15" s="1"/>
  <c r="D3796" i="15"/>
  <c r="E3774" i="15"/>
  <c r="E3469" i="15"/>
  <c r="E3396" i="15"/>
  <c r="C3342" i="15"/>
  <c r="F3342" i="15" s="1"/>
  <c r="E3303" i="15"/>
  <c r="C2500" i="15"/>
  <c r="F2500" i="15" s="1"/>
  <c r="C1906" i="15"/>
  <c r="F1906" i="15" s="1"/>
  <c r="B1817" i="15"/>
  <c r="C1748" i="15"/>
  <c r="F1748" i="15" s="1"/>
  <c r="C1705" i="15"/>
  <c r="F1705" i="15" s="1"/>
  <c r="D1645" i="15"/>
  <c r="C1583" i="15"/>
  <c r="F1583" i="15" s="1"/>
  <c r="E1462" i="15"/>
  <c r="C1244" i="15"/>
  <c r="F1244" i="15" s="1"/>
  <c r="D1203" i="15"/>
  <c r="C1063" i="15"/>
  <c r="F1063" i="15" s="1"/>
  <c r="D4383" i="15"/>
  <c r="C4348" i="15"/>
  <c r="F4348" i="15" s="1"/>
  <c r="C4316" i="15"/>
  <c r="F4316" i="15" s="1"/>
  <c r="E4106" i="15"/>
  <c r="D4095" i="15"/>
  <c r="D4090" i="15"/>
  <c r="E4063" i="15"/>
  <c r="C3954" i="15"/>
  <c r="F3954" i="15" s="1"/>
  <c r="E3949" i="15"/>
  <c r="C3939" i="15"/>
  <c r="F3939" i="15" s="1"/>
  <c r="C3843" i="15"/>
  <c r="F3843" i="15" s="1"/>
  <c r="C3834" i="15"/>
  <c r="F3834" i="15" s="1"/>
  <c r="C3324" i="15"/>
  <c r="F3324" i="15" s="1"/>
  <c r="D3181" i="15"/>
  <c r="B3170" i="15"/>
  <c r="D2607" i="15"/>
  <c r="C2596" i="15"/>
  <c r="F2596" i="15" s="1"/>
  <c r="D2591" i="15"/>
  <c r="C2570" i="15"/>
  <c r="F2570" i="15" s="1"/>
  <c r="E2274" i="15"/>
  <c r="B2190" i="15"/>
  <c r="B1906" i="15"/>
  <c r="C1867" i="15"/>
  <c r="F1867" i="15" s="1"/>
  <c r="B1839" i="15"/>
  <c r="C1795" i="15"/>
  <c r="F1795" i="15" s="1"/>
  <c r="C1757" i="15"/>
  <c r="F1757" i="15" s="1"/>
  <c r="C1683" i="15"/>
  <c r="F1683" i="15" s="1"/>
  <c r="B1622" i="15"/>
  <c r="D3046" i="15"/>
  <c r="E2994" i="15"/>
  <c r="C2921" i="15"/>
  <c r="F2921" i="15" s="1"/>
  <c r="C2829" i="15"/>
  <c r="F2829" i="15" s="1"/>
  <c r="B2741" i="15"/>
  <c r="E2736" i="15"/>
  <c r="E2731" i="15"/>
  <c r="D2689" i="15"/>
  <c r="E2634" i="15"/>
  <c r="B2620" i="15"/>
  <c r="B2615" i="15"/>
  <c r="B2532" i="15"/>
  <c r="B2522" i="15"/>
  <c r="E2500" i="15"/>
  <c r="D2111" i="15"/>
  <c r="E2033" i="15"/>
  <c r="B1894" i="15"/>
  <c r="C1739" i="15"/>
  <c r="F1739" i="15" s="1"/>
  <c r="B1695" i="15"/>
  <c r="C1691" i="15"/>
  <c r="F1691" i="15" s="1"/>
  <c r="B1686" i="15"/>
  <c r="B1677" i="15"/>
  <c r="D1642" i="15"/>
  <c r="D1622" i="15"/>
  <c r="B1193" i="15"/>
  <c r="C1190" i="15"/>
  <c r="F1190" i="15" s="1"/>
  <c r="C1093" i="15"/>
  <c r="F1093" i="15" s="1"/>
  <c r="B972" i="15"/>
  <c r="D654" i="15"/>
  <c r="E463" i="15"/>
  <c r="D223" i="15"/>
  <c r="D218" i="15"/>
  <c r="C3372" i="15"/>
  <c r="F3372" i="15" s="1"/>
  <c r="C3318" i="15"/>
  <c r="F3318" i="15" s="1"/>
  <c r="E3279" i="15"/>
  <c r="D3274" i="15"/>
  <c r="D3243" i="15"/>
  <c r="E3228" i="15"/>
  <c r="E3012" i="15"/>
  <c r="E3008" i="15"/>
  <c r="C2867" i="15"/>
  <c r="F2867" i="15" s="1"/>
  <c r="C2687" i="15"/>
  <c r="F2687" i="15" s="1"/>
  <c r="C2626" i="15"/>
  <c r="F2626" i="15" s="1"/>
  <c r="E2280" i="15"/>
  <c r="B1956" i="15"/>
  <c r="D1848" i="15"/>
  <c r="J9" i="21" s="1"/>
  <c r="B1833" i="15"/>
  <c r="D1780" i="15"/>
  <c r="B1777" i="15"/>
  <c r="D1693" i="15"/>
  <c r="E1665" i="15"/>
  <c r="D1609" i="15"/>
  <c r="E1576" i="15"/>
  <c r="C1565" i="15"/>
  <c r="F1565" i="15" s="1"/>
  <c r="E1560" i="15"/>
  <c r="D1555" i="15"/>
  <c r="D1547" i="15"/>
  <c r="C1188" i="15"/>
  <c r="F1188" i="15" s="1"/>
  <c r="B1183" i="15"/>
  <c r="C800" i="15"/>
  <c r="F800" i="15" s="1"/>
  <c r="D716" i="15"/>
  <c r="E711" i="15"/>
  <c r="E696" i="15"/>
  <c r="D596" i="15"/>
  <c r="D296" i="15"/>
  <c r="E4202" i="15"/>
  <c r="E4160" i="15"/>
  <c r="C4406" i="15"/>
  <c r="F4406" i="15" s="1"/>
  <c r="E4373" i="15"/>
  <c r="E4363" i="15"/>
  <c r="D4344" i="15"/>
  <c r="C4291" i="15"/>
  <c r="F4291" i="15" s="1"/>
  <c r="D4266" i="15"/>
  <c r="C4257" i="15"/>
  <c r="F4257" i="15" s="1"/>
  <c r="C4202" i="15"/>
  <c r="F4202" i="15" s="1"/>
  <c r="C4183" i="15"/>
  <c r="F4183" i="15" s="1"/>
  <c r="D4173" i="15"/>
  <c r="D4164" i="15"/>
  <c r="C4042" i="15"/>
  <c r="F4042" i="15" s="1"/>
  <c r="C4038" i="15"/>
  <c r="F4038" i="15" s="1"/>
  <c r="C3972" i="15"/>
  <c r="F3972" i="15" s="1"/>
  <c r="E3823" i="15"/>
  <c r="E3790" i="15"/>
  <c r="D3231" i="15"/>
  <c r="D2759" i="15"/>
  <c r="E354" i="15"/>
  <c r="C4298" i="15"/>
  <c r="F4298" i="15" s="1"/>
  <c r="C4168" i="15"/>
  <c r="F4168" i="15" s="1"/>
  <c r="D4151" i="15"/>
  <c r="C4146" i="15"/>
  <c r="F4146" i="15" s="1"/>
  <c r="C4117" i="15"/>
  <c r="F4117" i="15" s="1"/>
  <c r="D4061" i="15"/>
  <c r="C3918" i="15"/>
  <c r="F3918" i="15" s="1"/>
  <c r="E3827" i="15"/>
  <c r="D3807" i="15"/>
  <c r="C3738" i="15"/>
  <c r="F3738" i="15" s="1"/>
  <c r="E3487" i="15"/>
  <c r="E3460" i="15"/>
  <c r="E3411" i="15"/>
  <c r="C3348" i="15"/>
  <c r="F3348" i="15" s="1"/>
  <c r="E3321" i="15"/>
  <c r="E3120" i="15"/>
  <c r="E2921" i="15"/>
  <c r="B2759" i="15"/>
  <c r="C2712" i="15"/>
  <c r="F2712" i="15" s="1"/>
  <c r="C2620" i="15"/>
  <c r="F2620" i="15" s="1"/>
  <c r="C2588" i="15"/>
  <c r="F2588" i="15" s="1"/>
  <c r="E2518" i="15"/>
  <c r="B2072" i="15"/>
  <c r="D1925" i="15"/>
  <c r="C1894" i="15"/>
  <c r="F1894" i="15" s="1"/>
  <c r="D1880" i="15"/>
  <c r="C1804" i="15"/>
  <c r="F1804" i="15" s="1"/>
  <c r="B1795" i="15"/>
  <c r="C1759" i="15"/>
  <c r="F1759" i="15" s="1"/>
  <c r="C1695" i="15"/>
  <c r="F1695" i="15" s="1"/>
  <c r="C1677" i="15"/>
  <c r="F1677" i="15" s="1"/>
  <c r="D1658" i="15"/>
  <c r="D1633" i="15"/>
  <c r="C1549" i="15"/>
  <c r="F1549" i="15" s="1"/>
  <c r="D1347" i="15"/>
  <c r="C1248" i="15"/>
  <c r="F1248" i="15" s="1"/>
  <c r="B1244" i="15"/>
  <c r="D1239" i="15"/>
  <c r="B1235" i="15"/>
  <c r="E1219" i="15"/>
  <c r="B1216" i="15"/>
  <c r="E1206" i="15"/>
  <c r="B1203" i="15"/>
  <c r="E1190" i="15"/>
  <c r="C1176" i="15"/>
  <c r="F1176" i="15" s="1"/>
  <c r="D1089" i="15"/>
  <c r="D968" i="15"/>
  <c r="C803" i="15"/>
  <c r="F803" i="15" s="1"/>
  <c r="C758" i="15"/>
  <c r="F758" i="15" s="1"/>
  <c r="E719" i="15"/>
  <c r="C711" i="15"/>
  <c r="F711" i="15" s="1"/>
  <c r="C665" i="15"/>
  <c r="F665" i="15" s="1"/>
  <c r="B651" i="15"/>
  <c r="D315" i="15"/>
  <c r="E242" i="15"/>
  <c r="D3966" i="15"/>
  <c r="C3966" i="15"/>
  <c r="F3966" i="15" s="1"/>
  <c r="D3873" i="15"/>
  <c r="C3873" i="15"/>
  <c r="F3873" i="15" s="1"/>
  <c r="D3841" i="15"/>
  <c r="E3841" i="15"/>
  <c r="E3384" i="15"/>
  <c r="C3384" i="15"/>
  <c r="F3384" i="15" s="1"/>
  <c r="C2982" i="15"/>
  <c r="F2982" i="15" s="1"/>
  <c r="D2982" i="15"/>
  <c r="E2982" i="15"/>
  <c r="B2777" i="15"/>
  <c r="D2777" i="15"/>
  <c r="B4135" i="15"/>
  <c r="D4135" i="15"/>
  <c r="C3173" i="15"/>
  <c r="F3173" i="15" s="1"/>
  <c r="B3173" i="15"/>
  <c r="D3173" i="15"/>
  <c r="C4402" i="15"/>
  <c r="F4402" i="15" s="1"/>
  <c r="E4382" i="15"/>
  <c r="E4379" i="15"/>
  <c r="C4354" i="15"/>
  <c r="F4354" i="15" s="1"/>
  <c r="C4350" i="15"/>
  <c r="F4350" i="15" s="1"/>
  <c r="D4338" i="15"/>
  <c r="C4330" i="15"/>
  <c r="F4330" i="15" s="1"/>
  <c r="E4327" i="15"/>
  <c r="C4302" i="15"/>
  <c r="F4302" i="15" s="1"/>
  <c r="B4276" i="15"/>
  <c r="E4276" i="15"/>
  <c r="C4242" i="15"/>
  <c r="F4242" i="15" s="1"/>
  <c r="E4124" i="15"/>
  <c r="D4124" i="15"/>
  <c r="D4026" i="15"/>
  <c r="C4026" i="15"/>
  <c r="F4026" i="15" s="1"/>
  <c r="D3993" i="15"/>
  <c r="C3912" i="15"/>
  <c r="F3912" i="15" s="1"/>
  <c r="D3891" i="15"/>
  <c r="C3891" i="15"/>
  <c r="F3891" i="15" s="1"/>
  <c r="E3877" i="15"/>
  <c r="D3877" i="15"/>
  <c r="D3863" i="15"/>
  <c r="E3863" i="15"/>
  <c r="C3463" i="15"/>
  <c r="F3463" i="15" s="1"/>
  <c r="E3463" i="15"/>
  <c r="B2198" i="15"/>
  <c r="E2198" i="15"/>
  <c r="E1680" i="15"/>
  <c r="B1680" i="15"/>
  <c r="C1680" i="15"/>
  <c r="F1680" i="15" s="1"/>
  <c r="C976" i="15"/>
  <c r="F976" i="15" s="1"/>
  <c r="B976" i="15"/>
  <c r="D889" i="15"/>
  <c r="B889" i="15"/>
  <c r="D871" i="15"/>
  <c r="B871" i="15"/>
  <c r="D4017" i="15"/>
  <c r="C4017" i="15"/>
  <c r="F4017" i="15" s="1"/>
  <c r="C622" i="15"/>
  <c r="F622" i="15" s="1"/>
  <c r="D622" i="15"/>
  <c r="B4153" i="15"/>
  <c r="E4153" i="15"/>
  <c r="C3883" i="15"/>
  <c r="F3883" i="15" s="1"/>
  <c r="D3883" i="15"/>
  <c r="D3824" i="15"/>
  <c r="E3824" i="15"/>
  <c r="C3315" i="15"/>
  <c r="F3315" i="15" s="1"/>
  <c r="E3315" i="15"/>
  <c r="E2164" i="15"/>
  <c r="B2164" i="15"/>
  <c r="D4323" i="15"/>
  <c r="B4256" i="15"/>
  <c r="E4256" i="15"/>
  <c r="B4251" i="15"/>
  <c r="C4251" i="15"/>
  <c r="F4251" i="15" s="1"/>
  <c r="E4133" i="15"/>
  <c r="D4133" i="15"/>
  <c r="D4058" i="15"/>
  <c r="E4058" i="15"/>
  <c r="D3895" i="15"/>
  <c r="E3895" i="15"/>
  <c r="B3808" i="15"/>
  <c r="D3808" i="15"/>
  <c r="C3472" i="15"/>
  <c r="F3472" i="15" s="1"/>
  <c r="E3472" i="15"/>
  <c r="E3044" i="15"/>
  <c r="B3044" i="15"/>
  <c r="B2310" i="15"/>
  <c r="E2310" i="15"/>
  <c r="B2298" i="15"/>
  <c r="E2298" i="15"/>
  <c r="B2292" i="15"/>
  <c r="E2292" i="15"/>
  <c r="E2060" i="15"/>
  <c r="B2060" i="15"/>
  <c r="D1968" i="15"/>
  <c r="B1968" i="15"/>
  <c r="B4184" i="15"/>
  <c r="C4184" i="15"/>
  <c r="F4184" i="15" s="1"/>
  <c r="C3375" i="15"/>
  <c r="F3375" i="15" s="1"/>
  <c r="E3375" i="15"/>
  <c r="C3058" i="15"/>
  <c r="F3058" i="15" s="1"/>
  <c r="E3058" i="15"/>
  <c r="E3091" i="15"/>
  <c r="D3091" i="15"/>
  <c r="E1798" i="15"/>
  <c r="D1798" i="15"/>
  <c r="C4410" i="15"/>
  <c r="F4410" i="15" s="1"/>
  <c r="D4407" i="15"/>
  <c r="C4404" i="15"/>
  <c r="F4404" i="15" s="1"/>
  <c r="C4397" i="15"/>
  <c r="F4397" i="15" s="1"/>
  <c r="C4384" i="15"/>
  <c r="F4384" i="15" s="1"/>
  <c r="C4341" i="15"/>
  <c r="F4341" i="15" s="1"/>
  <c r="E4337" i="15"/>
  <c r="C4329" i="15"/>
  <c r="F4329" i="15" s="1"/>
  <c r="C4323" i="15"/>
  <c r="F4323" i="15" s="1"/>
  <c r="B4301" i="15"/>
  <c r="E4301" i="15"/>
  <c r="E4294" i="15"/>
  <c r="D4278" i="15"/>
  <c r="D4176" i="15"/>
  <c r="C4176" i="15"/>
  <c r="F4176" i="15" s="1"/>
  <c r="C4167" i="15"/>
  <c r="F4167" i="15" s="1"/>
  <c r="B4108" i="15"/>
  <c r="E4108" i="15"/>
  <c r="E4103" i="15"/>
  <c r="D4103" i="15"/>
  <c r="E4097" i="15"/>
  <c r="D4002" i="15"/>
  <c r="C4002" i="15"/>
  <c r="F4002" i="15" s="1"/>
  <c r="D3816" i="15"/>
  <c r="C3756" i="15"/>
  <c r="F3756" i="15" s="1"/>
  <c r="E3756" i="15"/>
  <c r="E3423" i="15"/>
  <c r="C3423" i="15"/>
  <c r="F3423" i="15" s="1"/>
  <c r="E3199" i="15"/>
  <c r="D3199" i="15"/>
  <c r="B2670" i="15"/>
  <c r="D2670" i="15"/>
  <c r="D2508" i="15"/>
  <c r="E2508" i="15"/>
  <c r="B4226" i="15"/>
  <c r="E4226" i="15"/>
  <c r="D3957" i="15"/>
  <c r="C3957" i="15"/>
  <c r="F3957" i="15" s="1"/>
  <c r="D2561" i="15"/>
  <c r="E2561" i="15"/>
  <c r="B1590" i="15"/>
  <c r="D1590" i="15"/>
  <c r="B4253" i="15"/>
  <c r="C4253" i="15"/>
  <c r="F4253" i="15" s="1"/>
  <c r="D4110" i="15"/>
  <c r="C4110" i="15"/>
  <c r="F4110" i="15" s="1"/>
  <c r="D4079" i="15"/>
  <c r="E4079" i="15"/>
  <c r="C4424" i="15"/>
  <c r="F4424" i="15" s="1"/>
  <c r="D4419" i="15"/>
  <c r="D4392" i="15"/>
  <c r="C4364" i="15"/>
  <c r="F4364" i="15" s="1"/>
  <c r="C4337" i="15"/>
  <c r="F4337" i="15" s="1"/>
  <c r="E4325" i="15"/>
  <c r="B4309" i="15"/>
  <c r="E4309" i="15"/>
  <c r="D4290" i="15"/>
  <c r="E4282" i="15"/>
  <c r="B4274" i="15"/>
  <c r="E4274" i="15"/>
  <c r="B4255" i="15"/>
  <c r="C4255" i="15"/>
  <c r="F4255" i="15" s="1"/>
  <c r="C4197" i="15"/>
  <c r="F4197" i="15" s="1"/>
  <c r="E4193" i="15"/>
  <c r="D3829" i="15"/>
  <c r="C3829" i="15"/>
  <c r="F3829" i="15" s="1"/>
  <c r="C3825" i="15"/>
  <c r="F3825" i="15" s="1"/>
  <c r="C3793" i="15"/>
  <c r="F3793" i="15" s="1"/>
  <c r="E3793" i="15"/>
  <c r="C3702" i="15"/>
  <c r="F3702" i="15" s="1"/>
  <c r="E3702" i="15"/>
  <c r="C3666" i="15"/>
  <c r="F3666" i="15" s="1"/>
  <c r="C3306" i="15"/>
  <c r="F3306" i="15" s="1"/>
  <c r="E3306" i="15"/>
  <c r="C3210" i="15"/>
  <c r="F3210" i="15" s="1"/>
  <c r="E3210" i="15"/>
  <c r="B3141" i="15"/>
  <c r="D3141" i="15"/>
  <c r="E3047" i="15"/>
  <c r="D3047" i="15"/>
  <c r="D2556" i="15"/>
  <c r="E2556" i="15"/>
  <c r="D2144" i="15"/>
  <c r="B2144" i="15"/>
  <c r="B1523" i="15"/>
  <c r="D1523" i="15"/>
  <c r="C1523" i="15"/>
  <c r="F1523" i="15" s="1"/>
  <c r="E1523" i="15"/>
  <c r="E1365" i="15"/>
  <c r="D1365" i="15"/>
  <c r="B1272" i="15"/>
  <c r="C1272" i="15"/>
  <c r="F1272" i="15" s="1"/>
  <c r="C1225" i="15"/>
  <c r="F1225" i="15" s="1"/>
  <c r="B1225" i="15"/>
  <c r="E2957" i="15"/>
  <c r="C2957" i="15"/>
  <c r="F2957" i="15" s="1"/>
  <c r="B2879" i="15"/>
  <c r="D2879" i="15"/>
  <c r="C2807" i="15"/>
  <c r="F2807" i="15" s="1"/>
  <c r="B2807" i="15"/>
  <c r="C2696" i="15"/>
  <c r="F2696" i="15" s="1"/>
  <c r="E2696" i="15"/>
  <c r="B2180" i="15"/>
  <c r="E2180" i="15"/>
  <c r="E1844" i="15"/>
  <c r="D1844" i="15"/>
  <c r="E1723" i="15"/>
  <c r="C1723" i="15"/>
  <c r="F1723" i="15" s="1"/>
  <c r="D1534" i="15"/>
  <c r="B1526" i="15"/>
  <c r="E1526" i="15"/>
  <c r="E1211" i="15"/>
  <c r="D1211" i="15"/>
  <c r="C1198" i="15"/>
  <c r="F1198" i="15" s="1"/>
  <c r="B1198" i="15"/>
  <c r="E1198" i="15"/>
  <c r="E772" i="15"/>
  <c r="B772" i="15"/>
  <c r="E551" i="15"/>
  <c r="C551" i="15"/>
  <c r="F551" i="15" s="1"/>
  <c r="E3445" i="15"/>
  <c r="E3399" i="15"/>
  <c r="E3390" i="15"/>
  <c r="E3357" i="15"/>
  <c r="E3336" i="15"/>
  <c r="C3288" i="15"/>
  <c r="F3288" i="15" s="1"/>
  <c r="D3191" i="15"/>
  <c r="B3148" i="15"/>
  <c r="B3120" i="15"/>
  <c r="B3046" i="15"/>
  <c r="C2984" i="15"/>
  <c r="F2984" i="15" s="1"/>
  <c r="B2984" i="15"/>
  <c r="C2960" i="15"/>
  <c r="F2960" i="15" s="1"/>
  <c r="E2938" i="15"/>
  <c r="C2933" i="15"/>
  <c r="F2933" i="15" s="1"/>
  <c r="D2928" i="15"/>
  <c r="C2924" i="15"/>
  <c r="F2924" i="15" s="1"/>
  <c r="D2921" i="15"/>
  <c r="B2873" i="15"/>
  <c r="B2812" i="15"/>
  <c r="C2812" i="15"/>
  <c r="F2812" i="15" s="1"/>
  <c r="C2780" i="15"/>
  <c r="F2780" i="15" s="1"/>
  <c r="E2750" i="15"/>
  <c r="B2706" i="15"/>
  <c r="D2706" i="15"/>
  <c r="D2700" i="15"/>
  <c r="B2687" i="15"/>
  <c r="D2682" i="15"/>
  <c r="E2677" i="15"/>
  <c r="E2656" i="15"/>
  <c r="E2616" i="15"/>
  <c r="D2430" i="15"/>
  <c r="C2430" i="15"/>
  <c r="F2430" i="15" s="1"/>
  <c r="E2418" i="15"/>
  <c r="B2238" i="15"/>
  <c r="E2238" i="15"/>
  <c r="D2058" i="15"/>
  <c r="E2058" i="15"/>
  <c r="E1900" i="15"/>
  <c r="B1900" i="15"/>
  <c r="E1892" i="15"/>
  <c r="C1892" i="15"/>
  <c r="F1892" i="15" s="1"/>
  <c r="C1886" i="15"/>
  <c r="F1886" i="15" s="1"/>
  <c r="D1811" i="15"/>
  <c r="C1811" i="15"/>
  <c r="F1811" i="15" s="1"/>
  <c r="D1766" i="15"/>
  <c r="C1766" i="15"/>
  <c r="F1766" i="15" s="1"/>
  <c r="C1654" i="15"/>
  <c r="F1654" i="15" s="1"/>
  <c r="D1654" i="15"/>
  <c r="C1630" i="15"/>
  <c r="F1630" i="15" s="1"/>
  <c r="E1630" i="15"/>
  <c r="C1599" i="15"/>
  <c r="F1599" i="15" s="1"/>
  <c r="E1599" i="15"/>
  <c r="C1573" i="15"/>
  <c r="F1573" i="15" s="1"/>
  <c r="E1573" i="15"/>
  <c r="C1538" i="15"/>
  <c r="F1538" i="15" s="1"/>
  <c r="D1529" i="15"/>
  <c r="D1486" i="15"/>
  <c r="E1486" i="15"/>
  <c r="D1474" i="15"/>
  <c r="E1474" i="15"/>
  <c r="D1299" i="15"/>
  <c r="E1299" i="15"/>
  <c r="C1252" i="15"/>
  <c r="F1252" i="15" s="1"/>
  <c r="D1252" i="15"/>
  <c r="E1138" i="15"/>
  <c r="D1126" i="15"/>
  <c r="B1126" i="15"/>
  <c r="C1084" i="15"/>
  <c r="F1084" i="15" s="1"/>
  <c r="D1048" i="15"/>
  <c r="B1048" i="15"/>
  <c r="C980" i="15"/>
  <c r="F980" i="15" s="1"/>
  <c r="B980" i="15"/>
  <c r="C727" i="15"/>
  <c r="F727" i="15" s="1"/>
  <c r="B727" i="15"/>
  <c r="B677" i="15"/>
  <c r="E677" i="15"/>
  <c r="C402" i="15"/>
  <c r="F402" i="15" s="1"/>
  <c r="E402" i="15"/>
  <c r="B2838" i="15"/>
  <c r="D2838" i="15"/>
  <c r="D2711" i="15"/>
  <c r="B2711" i="15"/>
  <c r="C2466" i="15"/>
  <c r="F2466" i="15" s="1"/>
  <c r="D2440" i="15"/>
  <c r="E2440" i="15"/>
  <c r="E2317" i="15"/>
  <c r="B2317" i="15"/>
  <c r="B2307" i="15"/>
  <c r="E2307" i="15"/>
  <c r="B2289" i="15"/>
  <c r="E2289" i="15"/>
  <c r="D2057" i="15"/>
  <c r="B2057" i="15"/>
  <c r="C1917" i="15"/>
  <c r="F1917" i="15" s="1"/>
  <c r="E1842" i="15"/>
  <c r="B1842" i="15"/>
  <c r="E1827" i="15"/>
  <c r="B1827" i="15"/>
  <c r="C1791" i="15"/>
  <c r="F1791" i="15" s="1"/>
  <c r="B1791" i="15"/>
  <c r="E1771" i="15"/>
  <c r="D1771" i="15"/>
  <c r="E1741" i="15"/>
  <c r="C1741" i="15"/>
  <c r="F1741" i="15" s="1"/>
  <c r="E1673" i="15"/>
  <c r="D1673" i="15"/>
  <c r="C1603" i="15"/>
  <c r="F1603" i="15" s="1"/>
  <c r="B1603" i="15"/>
  <c r="E1587" i="15"/>
  <c r="D1587" i="15"/>
  <c r="B1534" i="15"/>
  <c r="E1534" i="15"/>
  <c r="D1473" i="15"/>
  <c r="E1473" i="15"/>
  <c r="E1329" i="15"/>
  <c r="D1329" i="15"/>
  <c r="E1269" i="15"/>
  <c r="B1269" i="15"/>
  <c r="C1201" i="15"/>
  <c r="F1201" i="15" s="1"/>
  <c r="B1201" i="15"/>
  <c r="C1180" i="15"/>
  <c r="F1180" i="15" s="1"/>
  <c r="B1180" i="15"/>
  <c r="B1125" i="15"/>
  <c r="C1125" i="15"/>
  <c r="F1125" i="15" s="1"/>
  <c r="D1026" i="15"/>
  <c r="E1026" i="15"/>
  <c r="C979" i="15"/>
  <c r="F979" i="15" s="1"/>
  <c r="D979" i="15"/>
  <c r="D946" i="15"/>
  <c r="B946" i="15"/>
  <c r="D868" i="15"/>
  <c r="B868" i="15"/>
  <c r="E721" i="15"/>
  <c r="C721" i="15"/>
  <c r="F721" i="15" s="1"/>
  <c r="E389" i="15"/>
  <c r="C389" i="15"/>
  <c r="F389" i="15" s="1"/>
  <c r="E3478" i="15"/>
  <c r="E3454" i="15"/>
  <c r="E3433" i="15"/>
  <c r="E3291" i="15"/>
  <c r="D3264" i="15"/>
  <c r="D3138" i="15"/>
  <c r="C3010" i="15"/>
  <c r="F3010" i="15" s="1"/>
  <c r="D3010" i="15"/>
  <c r="D2974" i="15"/>
  <c r="C2927" i="15"/>
  <c r="F2927" i="15" s="1"/>
  <c r="D2843" i="15"/>
  <c r="C2843" i="15"/>
  <c r="F2843" i="15" s="1"/>
  <c r="C2837" i="15"/>
  <c r="F2837" i="15" s="1"/>
  <c r="C2798" i="15"/>
  <c r="F2798" i="15" s="1"/>
  <c r="C2794" i="15"/>
  <c r="F2794" i="15" s="1"/>
  <c r="B2789" i="15"/>
  <c r="D2723" i="15"/>
  <c r="C2723" i="15"/>
  <c r="F2723" i="15" s="1"/>
  <c r="B2689" i="15"/>
  <c r="B2671" i="15"/>
  <c r="B2466" i="15"/>
  <c r="C2455" i="15"/>
  <c r="F2455" i="15" s="1"/>
  <c r="B2322" i="15"/>
  <c r="E2322" i="15"/>
  <c r="E2311" i="15"/>
  <c r="B2311" i="15"/>
  <c r="E2171" i="15"/>
  <c r="C1784" i="15"/>
  <c r="F1784" i="15" s="1"/>
  <c r="D1784" i="15"/>
  <c r="C1730" i="15"/>
  <c r="F1730" i="15" s="1"/>
  <c r="D1466" i="15"/>
  <c r="E1466" i="15"/>
  <c r="D1456" i="15"/>
  <c r="E1456" i="15"/>
  <c r="E1233" i="15"/>
  <c r="B1233" i="15"/>
  <c r="D1233" i="15"/>
  <c r="D1217" i="15"/>
  <c r="B1217" i="15"/>
  <c r="E1217" i="15"/>
  <c r="B1208" i="15"/>
  <c r="C1208" i="15"/>
  <c r="F1208" i="15" s="1"/>
  <c r="B1128" i="15"/>
  <c r="E1128" i="15"/>
  <c r="D1072" i="15"/>
  <c r="C1072" i="15"/>
  <c r="F1072" i="15" s="1"/>
  <c r="D1014" i="15"/>
  <c r="B1014" i="15"/>
  <c r="C578" i="15"/>
  <c r="F578" i="15" s="1"/>
  <c r="E578" i="15"/>
  <c r="E4224" i="15"/>
  <c r="D3267" i="15"/>
  <c r="D3220" i="15"/>
  <c r="D3112" i="15"/>
  <c r="C3064" i="15"/>
  <c r="F3064" i="15" s="1"/>
  <c r="D3064" i="15"/>
  <c r="E2879" i="15"/>
  <c r="B2848" i="15"/>
  <c r="E2848" i="15"/>
  <c r="D2753" i="15"/>
  <c r="C2753" i="15"/>
  <c r="F2753" i="15" s="1"/>
  <c r="E2712" i="15"/>
  <c r="B2567" i="15"/>
  <c r="D2567" i="15"/>
  <c r="D2488" i="15"/>
  <c r="E2488" i="15"/>
  <c r="E2293" i="15"/>
  <c r="B2293" i="15"/>
  <c r="E1958" i="15"/>
  <c r="B1958" i="15"/>
  <c r="E1954" i="15"/>
  <c r="D1954" i="15"/>
  <c r="D1477" i="15"/>
  <c r="E1477" i="15"/>
  <c r="D1437" i="15"/>
  <c r="E1437" i="15"/>
  <c r="D1419" i="15"/>
  <c r="E1419" i="15"/>
  <c r="B1013" i="15"/>
  <c r="D1013" i="15"/>
  <c r="E730" i="15"/>
  <c r="B730" i="15"/>
  <c r="B691" i="15"/>
  <c r="E691" i="15"/>
  <c r="B966" i="15"/>
  <c r="B886" i="15"/>
  <c r="D835" i="15"/>
  <c r="C824" i="15"/>
  <c r="F824" i="15" s="1"/>
  <c r="D791" i="15"/>
  <c r="C775" i="15"/>
  <c r="F775" i="15" s="1"/>
  <c r="D696" i="15"/>
  <c r="C683" i="15"/>
  <c r="F683" i="15" s="1"/>
  <c r="C1280" i="15"/>
  <c r="F1280" i="15" s="1"/>
  <c r="E1188" i="15"/>
  <c r="E968" i="15"/>
  <c r="D817" i="15"/>
  <c r="D803" i="15"/>
  <c r="E667" i="15"/>
  <c r="C651" i="15"/>
  <c r="F651" i="15" s="1"/>
  <c r="D2572" i="15"/>
  <c r="B2572" i="15"/>
  <c r="E2416" i="15"/>
  <c r="B2416" i="15"/>
  <c r="E626" i="15"/>
  <c r="D626" i="15"/>
  <c r="D3073" i="15"/>
  <c r="E3073" i="15"/>
  <c r="C2576" i="15"/>
  <c r="F2576" i="15" s="1"/>
  <c r="D2524" i="15"/>
  <c r="E2524" i="15"/>
  <c r="C2141" i="15"/>
  <c r="F2141" i="15" s="1"/>
  <c r="E2141" i="15"/>
  <c r="C1685" i="15"/>
  <c r="F1685" i="15" s="1"/>
  <c r="D1685" i="15"/>
  <c r="B2219" i="15"/>
  <c r="E2219" i="15"/>
  <c r="C1941" i="15"/>
  <c r="F1941" i="15" s="1"/>
  <c r="D1941" i="15"/>
  <c r="E1829" i="15"/>
  <c r="B1829" i="15"/>
  <c r="C1829" i="15"/>
  <c r="F1829" i="15" s="1"/>
  <c r="D1829" i="15"/>
  <c r="D1503" i="15"/>
  <c r="E1503" i="15"/>
  <c r="C1177" i="15"/>
  <c r="F1177" i="15" s="1"/>
  <c r="B1177" i="15"/>
  <c r="E1177" i="15"/>
  <c r="E724" i="15"/>
  <c r="B724" i="15"/>
  <c r="C724" i="15"/>
  <c r="F724" i="15" s="1"/>
  <c r="C4426" i="15"/>
  <c r="F4426" i="15" s="1"/>
  <c r="C4418" i="15"/>
  <c r="F4418" i="15" s="1"/>
  <c r="C4408" i="15"/>
  <c r="F4408" i="15" s="1"/>
  <c r="C4400" i="15"/>
  <c r="F4400" i="15" s="1"/>
  <c r="E4388" i="15"/>
  <c r="E4384" i="15"/>
  <c r="C4382" i="15"/>
  <c r="F4382" i="15" s="1"/>
  <c r="C4373" i="15"/>
  <c r="F4373" i="15" s="1"/>
  <c r="C4370" i="15"/>
  <c r="F4370" i="15" s="1"/>
  <c r="E4350" i="15"/>
  <c r="E4332" i="15"/>
  <c r="C4327" i="15"/>
  <c r="F4327" i="15" s="1"/>
  <c r="C4318" i="15"/>
  <c r="F4318" i="15" s="1"/>
  <c r="E4310" i="15"/>
  <c r="E4307" i="15"/>
  <c r="E4298" i="15"/>
  <c r="D4296" i="15"/>
  <c r="C4294" i="15"/>
  <c r="F4294" i="15" s="1"/>
  <c r="E4278" i="15"/>
  <c r="C4276" i="15"/>
  <c r="F4276" i="15" s="1"/>
  <c r="E4269" i="15"/>
  <c r="E4262" i="15"/>
  <c r="C4260" i="15"/>
  <c r="F4260" i="15" s="1"/>
  <c r="E4251" i="15"/>
  <c r="E4247" i="15"/>
  <c r="E4237" i="15"/>
  <c r="D4233" i="15"/>
  <c r="C4226" i="15"/>
  <c r="F4226" i="15" s="1"/>
  <c r="D4212" i="15"/>
  <c r="C4208" i="15"/>
  <c r="F4208" i="15" s="1"/>
  <c r="C4204" i="15"/>
  <c r="F4204" i="15" s="1"/>
  <c r="D4169" i="15"/>
  <c r="D4153" i="15"/>
  <c r="C4135" i="15"/>
  <c r="F4135" i="15" s="1"/>
  <c r="E4126" i="15"/>
  <c r="D4104" i="15"/>
  <c r="D4085" i="15"/>
  <c r="C4078" i="15"/>
  <c r="F4078" i="15" s="1"/>
  <c r="C4063" i="15"/>
  <c r="F4063" i="15" s="1"/>
  <c r="E4043" i="15"/>
  <c r="C4029" i="15"/>
  <c r="F4029" i="15" s="1"/>
  <c r="C3981" i="15"/>
  <c r="F3981" i="15" s="1"/>
  <c r="E3976" i="15"/>
  <c r="C3948" i="15"/>
  <c r="F3948" i="15" s="1"/>
  <c r="D3855" i="15"/>
  <c r="D3819" i="15"/>
  <c r="E3815" i="15"/>
  <c r="E3664" i="15"/>
  <c r="E3481" i="15"/>
  <c r="E3448" i="15"/>
  <c r="E3429" i="15"/>
  <c r="C3078" i="15"/>
  <c r="F3078" i="15" s="1"/>
  <c r="B3078" i="15"/>
  <c r="D3051" i="15"/>
  <c r="B3051" i="15"/>
  <c r="C2743" i="15"/>
  <c r="F2743" i="15" s="1"/>
  <c r="B2743" i="15"/>
  <c r="B2729" i="15"/>
  <c r="E2729" i="15"/>
  <c r="D2639" i="15"/>
  <c r="C2639" i="15"/>
  <c r="F2639" i="15" s="1"/>
  <c r="E2172" i="15"/>
  <c r="B2172" i="15"/>
  <c r="D1995" i="15"/>
  <c r="C1995" i="15"/>
  <c r="F1995" i="15" s="1"/>
  <c r="D1914" i="15"/>
  <c r="B1914" i="15"/>
  <c r="E1888" i="15"/>
  <c r="B1888" i="15"/>
  <c r="C1888" i="15"/>
  <c r="F1888" i="15" s="1"/>
  <c r="C1618" i="15"/>
  <c r="F1618" i="15" s="1"/>
  <c r="D1618" i="15"/>
  <c r="E4300" i="15"/>
  <c r="E4265" i="15"/>
  <c r="E4215" i="15"/>
  <c r="E4197" i="15"/>
  <c r="E4166" i="15"/>
  <c r="D4126" i="15"/>
  <c r="E4112" i="15"/>
  <c r="E4045" i="15"/>
  <c r="E4040" i="15"/>
  <c r="D3846" i="15"/>
  <c r="E3684" i="15"/>
  <c r="E3240" i="15"/>
  <c r="C3228" i="15"/>
  <c r="F3228" i="15" s="1"/>
  <c r="B3228" i="15"/>
  <c r="D3202" i="15"/>
  <c r="B3056" i="15"/>
  <c r="E3056" i="15"/>
  <c r="C2713" i="15"/>
  <c r="F2713" i="15" s="1"/>
  <c r="B2713" i="15"/>
  <c r="D2550" i="15"/>
  <c r="C2550" i="15"/>
  <c r="F2550" i="15" s="1"/>
  <c r="D2538" i="15"/>
  <c r="E2538" i="15"/>
  <c r="D2470" i="15"/>
  <c r="B2470" i="15"/>
  <c r="E2389" i="15"/>
  <c r="B2389" i="15"/>
  <c r="C2123" i="15"/>
  <c r="F2123" i="15" s="1"/>
  <c r="E2123" i="15"/>
  <c r="C2547" i="15"/>
  <c r="F2547" i="15" s="1"/>
  <c r="B2547" i="15"/>
  <c r="E1768" i="15"/>
  <c r="C1768" i="15"/>
  <c r="F1768" i="15" s="1"/>
  <c r="D1768" i="15"/>
  <c r="B1768" i="15"/>
  <c r="B990" i="15"/>
  <c r="D990" i="15"/>
  <c r="E4413" i="15"/>
  <c r="C4433" i="15"/>
  <c r="F4433" i="15" s="1"/>
  <c r="D4425" i="15"/>
  <c r="E4417" i="15"/>
  <c r="D4413" i="15"/>
  <c r="E4381" i="15"/>
  <c r="C4372" i="15"/>
  <c r="F4372" i="15" s="1"/>
  <c r="C4356" i="15"/>
  <c r="F4356" i="15" s="1"/>
  <c r="C4352" i="15"/>
  <c r="F4352" i="15" s="1"/>
  <c r="E4334" i="15"/>
  <c r="D4326" i="15"/>
  <c r="E4323" i="15"/>
  <c r="D4317" i="15"/>
  <c r="C4300" i="15"/>
  <c r="F4300" i="15" s="1"/>
  <c r="C4275" i="15"/>
  <c r="F4275" i="15" s="1"/>
  <c r="C4265" i="15"/>
  <c r="F4265" i="15" s="1"/>
  <c r="E4253" i="15"/>
  <c r="E4222" i="15"/>
  <c r="C4203" i="15"/>
  <c r="F4203" i="15" s="1"/>
  <c r="D4197" i="15"/>
  <c r="C4179" i="15"/>
  <c r="F4179" i="15" s="1"/>
  <c r="D4171" i="15"/>
  <c r="D4155" i="15"/>
  <c r="E4148" i="15"/>
  <c r="D4144" i="15"/>
  <c r="C4126" i="15"/>
  <c r="F4126" i="15" s="1"/>
  <c r="D4119" i="15"/>
  <c r="C4096" i="15"/>
  <c r="F4096" i="15" s="1"/>
  <c r="D4088" i="15"/>
  <c r="D4077" i="15"/>
  <c r="D4068" i="15"/>
  <c r="D4054" i="15"/>
  <c r="E4049" i="15"/>
  <c r="D4045" i="15"/>
  <c r="D4042" i="15"/>
  <c r="C4008" i="15"/>
  <c r="F4008" i="15" s="1"/>
  <c r="E4003" i="15"/>
  <c r="C3975" i="15"/>
  <c r="F3975" i="15" s="1"/>
  <c r="C3927" i="15"/>
  <c r="F3927" i="15" s="1"/>
  <c r="E3922" i="15"/>
  <c r="D3882" i="15"/>
  <c r="C3879" i="15"/>
  <c r="F3879" i="15" s="1"/>
  <c r="D3864" i="15"/>
  <c r="E3850" i="15"/>
  <c r="D3814" i="15"/>
  <c r="E3720" i="15"/>
  <c r="E3703" i="15"/>
  <c r="E3700" i="15"/>
  <c r="E3484" i="15"/>
  <c r="E3451" i="15"/>
  <c r="E3442" i="15"/>
  <c r="E3345" i="15"/>
  <c r="C3330" i="15"/>
  <c r="F3330" i="15" s="1"/>
  <c r="E3262" i="15"/>
  <c r="D3240" i="15"/>
  <c r="B3206" i="15"/>
  <c r="B3202" i="15"/>
  <c r="C2877" i="15"/>
  <c r="F2877" i="15" s="1"/>
  <c r="E2805" i="15"/>
  <c r="C2805" i="15"/>
  <c r="F2805" i="15" s="1"/>
  <c r="C2751" i="15"/>
  <c r="F2751" i="15" s="1"/>
  <c r="D2663" i="15"/>
  <c r="B2663" i="15"/>
  <c r="C2663" i="15"/>
  <c r="F2663" i="15" s="1"/>
  <c r="C2627" i="15"/>
  <c r="F2627" i="15" s="1"/>
  <c r="D2598" i="15"/>
  <c r="E2598" i="15"/>
  <c r="C2543" i="15"/>
  <c r="F2543" i="15" s="1"/>
  <c r="E2543" i="15"/>
  <c r="D2506" i="15"/>
  <c r="B2506" i="15"/>
  <c r="C2506" i="15"/>
  <c r="F2506" i="15" s="1"/>
  <c r="E2506" i="15"/>
  <c r="E2496" i="15"/>
  <c r="D2460" i="15"/>
  <c r="B2460" i="15"/>
  <c r="C2460" i="15"/>
  <c r="F2460" i="15" s="1"/>
  <c r="E2460" i="15"/>
  <c r="B2400" i="15"/>
  <c r="E2400" i="15"/>
  <c r="E2335" i="15"/>
  <c r="B2335" i="15"/>
  <c r="C2116" i="15"/>
  <c r="F2116" i="15" s="1"/>
  <c r="B2116" i="15"/>
  <c r="D2116" i="15"/>
  <c r="E2116" i="15"/>
  <c r="D2010" i="15"/>
  <c r="B2010" i="15"/>
  <c r="E1988" i="15"/>
  <c r="B1988" i="15"/>
  <c r="C1988" i="15"/>
  <c r="F1988" i="15" s="1"/>
  <c r="D1988" i="15"/>
  <c r="C3126" i="15"/>
  <c r="F3126" i="15" s="1"/>
  <c r="E3126" i="15"/>
  <c r="B3069" i="15"/>
  <c r="D3069" i="15"/>
  <c r="D2891" i="15"/>
  <c r="C2891" i="15"/>
  <c r="F2891" i="15" s="1"/>
  <c r="B2825" i="15"/>
  <c r="D2825" i="15"/>
  <c r="D2632" i="15"/>
  <c r="C2632" i="15"/>
  <c r="F2632" i="15" s="1"/>
  <c r="E2202" i="15"/>
  <c r="B2202" i="15"/>
  <c r="D2076" i="15"/>
  <c r="B2076" i="15"/>
  <c r="C2071" i="15"/>
  <c r="F2071" i="15" s="1"/>
  <c r="D2027" i="15"/>
  <c r="B2027" i="15"/>
  <c r="E1976" i="15"/>
  <c r="B1976" i="15"/>
  <c r="C1976" i="15"/>
  <c r="F1976" i="15" s="1"/>
  <c r="D1976" i="15"/>
  <c r="D2114" i="15"/>
  <c r="E2054" i="15"/>
  <c r="D1970" i="15"/>
  <c r="D1934" i="15"/>
  <c r="C1814" i="15"/>
  <c r="F1814" i="15" s="1"/>
  <c r="E1789" i="15"/>
  <c r="D1789" i="15"/>
  <c r="E1750" i="15"/>
  <c r="C1750" i="15"/>
  <c r="F1750" i="15" s="1"/>
  <c r="D1750" i="15"/>
  <c r="E1704" i="15"/>
  <c r="B1704" i="15"/>
  <c r="E1701" i="15"/>
  <c r="C1701" i="15"/>
  <c r="F1701" i="15" s="1"/>
  <c r="E1593" i="15"/>
  <c r="B1593" i="15"/>
  <c r="C1593" i="15"/>
  <c r="F1593" i="15" s="1"/>
  <c r="C1231" i="15"/>
  <c r="F1231" i="15" s="1"/>
  <c r="B1231" i="15"/>
  <c r="E1231" i="15"/>
  <c r="B961" i="15"/>
  <c r="D961" i="15"/>
  <c r="E764" i="15"/>
  <c r="C764" i="15"/>
  <c r="F764" i="15" s="1"/>
  <c r="E642" i="15"/>
  <c r="C642" i="15"/>
  <c r="F642" i="15" s="1"/>
  <c r="B467" i="15"/>
  <c r="C467" i="15"/>
  <c r="F467" i="15" s="1"/>
  <c r="D467" i="15"/>
  <c r="E3144" i="15"/>
  <c r="B3138" i="15"/>
  <c r="D3120" i="15"/>
  <c r="B3070" i="15"/>
  <c r="E3040" i="15"/>
  <c r="E3024" i="15"/>
  <c r="B3010" i="15"/>
  <c r="E3000" i="15"/>
  <c r="E2996" i="15"/>
  <c r="D2994" i="15"/>
  <c r="E2984" i="15"/>
  <c r="B2982" i="15"/>
  <c r="B2974" i="15"/>
  <c r="B2957" i="15"/>
  <c r="D2909" i="15"/>
  <c r="C2831" i="15"/>
  <c r="F2831" i="15" s="1"/>
  <c r="E2783" i="15"/>
  <c r="E2765" i="15"/>
  <c r="B2753" i="15"/>
  <c r="D2718" i="15"/>
  <c r="C2700" i="15"/>
  <c r="F2700" i="15" s="1"/>
  <c r="C2681" i="15"/>
  <c r="F2681" i="15" s="1"/>
  <c r="D2677" i="15"/>
  <c r="D2655" i="15"/>
  <c r="D2637" i="15"/>
  <c r="E2599" i="15"/>
  <c r="C2582" i="15"/>
  <c r="F2582" i="15" s="1"/>
  <c r="B2578" i="15"/>
  <c r="B2565" i="15"/>
  <c r="C2556" i="15"/>
  <c r="F2556" i="15" s="1"/>
  <c r="E2544" i="15"/>
  <c r="E2525" i="15"/>
  <c r="E2494" i="15"/>
  <c r="B2476" i="15"/>
  <c r="E2471" i="15"/>
  <c r="B2457" i="15"/>
  <c r="E2442" i="15"/>
  <c r="B2407" i="15"/>
  <c r="B2386" i="15"/>
  <c r="E2376" i="15"/>
  <c r="B2371" i="15"/>
  <c r="B2332" i="15"/>
  <c r="B2278" i="15"/>
  <c r="E2262" i="15"/>
  <c r="E2189" i="15"/>
  <c r="B2184" i="15"/>
  <c r="D2139" i="15"/>
  <c r="B2114" i="15"/>
  <c r="C2057" i="15"/>
  <c r="F2057" i="15" s="1"/>
  <c r="B2028" i="15"/>
  <c r="B1986" i="15"/>
  <c r="E1978" i="15"/>
  <c r="D1978" i="15"/>
  <c r="B1970" i="15"/>
  <c r="E1917" i="15"/>
  <c r="D1917" i="15"/>
  <c r="B1896" i="15"/>
  <c r="B1893" i="15"/>
  <c r="B1891" i="15"/>
  <c r="C1793" i="15"/>
  <c r="F1793" i="15" s="1"/>
  <c r="D1793" i="15"/>
  <c r="C1775" i="15"/>
  <c r="F1775" i="15" s="1"/>
  <c r="D1753" i="15"/>
  <c r="B1687" i="15"/>
  <c r="B1671" i="15"/>
  <c r="D1485" i="15"/>
  <c r="E1485" i="15"/>
  <c r="D1303" i="15"/>
  <c r="E1303" i="15"/>
  <c r="C1032" i="15"/>
  <c r="F1032" i="15" s="1"/>
  <c r="D1032" i="15"/>
  <c r="D965" i="15"/>
  <c r="E965" i="15"/>
  <c r="B839" i="15"/>
  <c r="C839" i="15"/>
  <c r="F839" i="15" s="1"/>
  <c r="C769" i="15"/>
  <c r="F769" i="15" s="1"/>
  <c r="D769" i="15"/>
  <c r="E3016" i="15"/>
  <c r="B2996" i="15"/>
  <c r="B2994" i="15"/>
  <c r="E2866" i="15"/>
  <c r="D2801" i="15"/>
  <c r="D2783" i="15"/>
  <c r="C2726" i="15"/>
  <c r="F2726" i="15" s="1"/>
  <c r="E2711" i="15"/>
  <c r="E2687" i="15"/>
  <c r="B2677" i="15"/>
  <c r="E2614" i="15"/>
  <c r="B2608" i="15"/>
  <c r="B2590" i="15"/>
  <c r="B2556" i="15"/>
  <c r="C2494" i="15"/>
  <c r="F2494" i="15" s="1"/>
  <c r="E2489" i="15"/>
  <c r="B2452" i="15"/>
  <c r="B2353" i="15"/>
  <c r="E1982" i="15"/>
  <c r="C1982" i="15"/>
  <c r="F1982" i="15" s="1"/>
  <c r="D1938" i="15"/>
  <c r="B1938" i="15"/>
  <c r="E1934" i="15"/>
  <c r="C1934" i="15"/>
  <c r="F1934" i="15" s="1"/>
  <c r="D1912" i="15"/>
  <c r="E1832" i="15"/>
  <c r="B1832" i="15"/>
  <c r="C1832" i="15"/>
  <c r="F1832" i="15" s="1"/>
  <c r="D1832" i="15"/>
  <c r="E1814" i="15"/>
  <c r="D1814" i="15"/>
  <c r="E1732" i="15"/>
  <c r="C1732" i="15"/>
  <c r="F1732" i="15" s="1"/>
  <c r="D1732" i="15"/>
  <c r="B1675" i="15"/>
  <c r="D1675" i="15"/>
  <c r="E1241" i="15"/>
  <c r="D1241" i="15"/>
  <c r="E1191" i="15"/>
  <c r="B1191" i="15"/>
  <c r="C1015" i="15"/>
  <c r="F1015" i="15" s="1"/>
  <c r="E1015" i="15"/>
  <c r="E740" i="15"/>
  <c r="C740" i="15"/>
  <c r="F740" i="15" s="1"/>
  <c r="C713" i="15"/>
  <c r="F713" i="15" s="1"/>
  <c r="D713" i="15"/>
  <c r="E713" i="15"/>
  <c r="D2873" i="15"/>
  <c r="E2759" i="15"/>
  <c r="E2689" i="15"/>
  <c r="E2620" i="15"/>
  <c r="E2466" i="15"/>
  <c r="C2022" i="15"/>
  <c r="F2022" i="15" s="1"/>
  <c r="C1969" i="15"/>
  <c r="F1969" i="15" s="1"/>
  <c r="C1907" i="15"/>
  <c r="F1907" i="15" s="1"/>
  <c r="B1821" i="15"/>
  <c r="E1786" i="15"/>
  <c r="B1786" i="15"/>
  <c r="C1786" i="15"/>
  <c r="F1786" i="15" s="1"/>
  <c r="D1786" i="15"/>
  <c r="D1735" i="15"/>
  <c r="E1698" i="15"/>
  <c r="B1698" i="15"/>
  <c r="C1698" i="15"/>
  <c r="F1698" i="15" s="1"/>
  <c r="B1556" i="15"/>
  <c r="C1556" i="15"/>
  <c r="F1556" i="15" s="1"/>
  <c r="D1556" i="15"/>
  <c r="D1499" i="15"/>
  <c r="E1499" i="15"/>
  <c r="E1194" i="15"/>
  <c r="D1194" i="15"/>
  <c r="E1107" i="15"/>
  <c r="D1107" i="15"/>
  <c r="B1107" i="15"/>
  <c r="C1107" i="15"/>
  <c r="F1107" i="15" s="1"/>
  <c r="D1069" i="15"/>
  <c r="B1069" i="15"/>
  <c r="E1069" i="15"/>
  <c r="D1020" i="15"/>
  <c r="E1020" i="15"/>
  <c r="C986" i="15"/>
  <c r="F986" i="15" s="1"/>
  <c r="B986" i="15"/>
  <c r="E986" i="15"/>
  <c r="B526" i="15"/>
  <c r="C526" i="15"/>
  <c r="F526" i="15" s="1"/>
  <c r="E1928" i="15"/>
  <c r="B1928" i="15"/>
  <c r="E1912" i="15"/>
  <c r="C1912" i="15"/>
  <c r="F1912" i="15" s="1"/>
  <c r="D1884" i="15"/>
  <c r="B1884" i="15"/>
  <c r="E1874" i="15"/>
  <c r="C1874" i="15"/>
  <c r="F1874" i="15" s="1"/>
  <c r="E1826" i="15"/>
  <c r="C1826" i="15"/>
  <c r="F1826" i="15" s="1"/>
  <c r="D1826" i="15"/>
  <c r="E1714" i="15"/>
  <c r="C1714" i="15"/>
  <c r="F1714" i="15" s="1"/>
  <c r="D1714" i="15"/>
  <c r="C1571" i="15"/>
  <c r="F1571" i="15" s="1"/>
  <c r="B1571" i="15"/>
  <c r="E1571" i="15"/>
  <c r="D1467" i="15"/>
  <c r="E1467" i="15"/>
  <c r="E1227" i="15"/>
  <c r="B1227" i="15"/>
  <c r="E776" i="15"/>
  <c r="C776" i="15"/>
  <c r="F776" i="15" s="1"/>
  <c r="E755" i="15"/>
  <c r="C755" i="15"/>
  <c r="F755" i="15" s="1"/>
  <c r="D755" i="15"/>
  <c r="B554" i="15"/>
  <c r="D554" i="15"/>
  <c r="C554" i="15"/>
  <c r="F554" i="15" s="1"/>
  <c r="E554" i="15"/>
  <c r="D1480" i="15"/>
  <c r="E1480" i="15"/>
  <c r="C1255" i="15"/>
  <c r="F1255" i="15" s="1"/>
  <c r="E1255" i="15"/>
  <c r="B1223" i="15"/>
  <c r="C1223" i="15"/>
  <c r="F1223" i="15" s="1"/>
  <c r="E1161" i="15"/>
  <c r="B1161" i="15"/>
  <c r="E1156" i="15"/>
  <c r="E1140" i="15"/>
  <c r="B1138" i="15"/>
  <c r="D1138" i="15"/>
  <c r="D1056" i="15"/>
  <c r="E1056" i="15"/>
  <c r="B1019" i="15"/>
  <c r="D1019" i="15"/>
  <c r="D943" i="15"/>
  <c r="B943" i="15"/>
  <c r="D691" i="15"/>
  <c r="E686" i="15"/>
  <c r="C675" i="15"/>
  <c r="F675" i="15" s="1"/>
  <c r="D608" i="15"/>
  <c r="D578" i="15"/>
  <c r="B433" i="15"/>
  <c r="D433" i="15"/>
  <c r="E378" i="15"/>
  <c r="B1902" i="15"/>
  <c r="B1867" i="15"/>
  <c r="D1862" i="15"/>
  <c r="B1844" i="15"/>
  <c r="B1815" i="15"/>
  <c r="B1809" i="15"/>
  <c r="B1773" i="15"/>
  <c r="D1762" i="15"/>
  <c r="B1759" i="15"/>
  <c r="D1744" i="15"/>
  <c r="B1741" i="15"/>
  <c r="D1726" i="15"/>
  <c r="B1723" i="15"/>
  <c r="D1708" i="15"/>
  <c r="B1705" i="15"/>
  <c r="B1683" i="15"/>
  <c r="C1676" i="15"/>
  <c r="F1676" i="15" s="1"/>
  <c r="C1673" i="15"/>
  <c r="F1673" i="15" s="1"/>
  <c r="C1670" i="15"/>
  <c r="F1670" i="15" s="1"/>
  <c r="B1633" i="15"/>
  <c r="C1612" i="15"/>
  <c r="F1612" i="15" s="1"/>
  <c r="B1612" i="15"/>
  <c r="C1600" i="15"/>
  <c r="F1600" i="15" s="1"/>
  <c r="E1600" i="15"/>
  <c r="D1595" i="15"/>
  <c r="B1564" i="15"/>
  <c r="C1564" i="15"/>
  <c r="F1564" i="15" s="1"/>
  <c r="D1541" i="15"/>
  <c r="C1529" i="15"/>
  <c r="F1529" i="15" s="1"/>
  <c r="E1511" i="15"/>
  <c r="D1491" i="15"/>
  <c r="E1491" i="15"/>
  <c r="E1483" i="15"/>
  <c r="E1479" i="15"/>
  <c r="E1319" i="15"/>
  <c r="D1268" i="15"/>
  <c r="E1268" i="15"/>
  <c r="E1264" i="15"/>
  <c r="D1264" i="15"/>
  <c r="C1254" i="15"/>
  <c r="F1254" i="15" s="1"/>
  <c r="B1243" i="15"/>
  <c r="D1226" i="15"/>
  <c r="C1226" i="15"/>
  <c r="F1226" i="15" s="1"/>
  <c r="D1219" i="15"/>
  <c r="B1214" i="15"/>
  <c r="B1196" i="15"/>
  <c r="B1160" i="15"/>
  <c r="D1156" i="15"/>
  <c r="B1137" i="15"/>
  <c r="B1129" i="15"/>
  <c r="E1119" i="15"/>
  <c r="C1114" i="15"/>
  <c r="F1114" i="15" s="1"/>
  <c r="D1088" i="15"/>
  <c r="D1060" i="15"/>
  <c r="E1060" i="15"/>
  <c r="E1042" i="15"/>
  <c r="B1034" i="15"/>
  <c r="C1022" i="15"/>
  <c r="F1022" i="15" s="1"/>
  <c r="B1022" i="15"/>
  <c r="D1003" i="15"/>
  <c r="C858" i="15"/>
  <c r="F858" i="15" s="1"/>
  <c r="D827" i="15"/>
  <c r="E709" i="15"/>
  <c r="C709" i="15"/>
  <c r="F709" i="15" s="1"/>
  <c r="B662" i="15"/>
  <c r="C662" i="15"/>
  <c r="F662" i="15" s="1"/>
  <c r="D566" i="15"/>
  <c r="E437" i="15"/>
  <c r="C437" i="15"/>
  <c r="F437" i="15" s="1"/>
  <c r="E1640" i="15"/>
  <c r="D1568" i="15"/>
  <c r="C1568" i="15"/>
  <c r="F1568" i="15" s="1"/>
  <c r="E1401" i="15"/>
  <c r="D1401" i="15"/>
  <c r="E1383" i="15"/>
  <c r="D1270" i="15"/>
  <c r="C1229" i="15"/>
  <c r="F1229" i="15" s="1"/>
  <c r="B1229" i="15"/>
  <c r="D1221" i="15"/>
  <c r="C1166" i="15"/>
  <c r="F1166" i="15" s="1"/>
  <c r="E1163" i="15"/>
  <c r="D1163" i="15"/>
  <c r="C1156" i="15"/>
  <c r="F1156" i="15" s="1"/>
  <c r="E1066" i="15"/>
  <c r="C1026" i="15"/>
  <c r="F1026" i="15" s="1"/>
  <c r="B1026" i="15"/>
  <c r="C984" i="15"/>
  <c r="F984" i="15" s="1"/>
  <c r="D984" i="15"/>
  <c r="D747" i="15"/>
  <c r="C718" i="15"/>
  <c r="F718" i="15" s="1"/>
  <c r="C669" i="15"/>
  <c r="F669" i="15" s="1"/>
  <c r="D669" i="15"/>
  <c r="D592" i="15"/>
  <c r="C566" i="15"/>
  <c r="F566" i="15" s="1"/>
  <c r="D1795" i="15"/>
  <c r="E1642" i="15"/>
  <c r="D1640" i="15"/>
  <c r="E1622" i="15"/>
  <c r="D1610" i="15"/>
  <c r="B1576" i="15"/>
  <c r="C1576" i="15"/>
  <c r="F1576" i="15" s="1"/>
  <c r="D1515" i="15"/>
  <c r="E1515" i="15"/>
  <c r="E1489" i="15"/>
  <c r="E1482" i="15"/>
  <c r="E1337" i="15"/>
  <c r="B1256" i="15"/>
  <c r="B1242" i="15"/>
  <c r="C1242" i="15"/>
  <c r="F1242" i="15" s="1"/>
  <c r="B1221" i="15"/>
  <c r="E1192" i="15"/>
  <c r="B1192" i="15"/>
  <c r="E1180" i="15"/>
  <c r="B1162" i="15"/>
  <c r="C1148" i="15"/>
  <c r="F1148" i="15" s="1"/>
  <c r="E1090" i="15"/>
  <c r="C1087" i="15"/>
  <c r="F1087" i="15" s="1"/>
  <c r="D1084" i="15"/>
  <c r="E1084" i="15"/>
  <c r="C1066" i="15"/>
  <c r="F1066" i="15" s="1"/>
  <c r="B934" i="15"/>
  <c r="E788" i="15"/>
  <c r="C788" i="15"/>
  <c r="F788" i="15" s="1"/>
  <c r="B680" i="15"/>
  <c r="C680" i="15"/>
  <c r="F680" i="15" s="1"/>
  <c r="C545" i="15"/>
  <c r="F545" i="15" s="1"/>
  <c r="D545" i="15"/>
  <c r="B523" i="15"/>
  <c r="D523" i="15"/>
  <c r="C1589" i="15"/>
  <c r="F1589" i="15" s="1"/>
  <c r="B1589" i="15"/>
  <c r="B1552" i="15"/>
  <c r="D1552" i="15"/>
  <c r="D1455" i="15"/>
  <c r="E1455" i="15"/>
  <c r="B1278" i="15"/>
  <c r="C1278" i="15"/>
  <c r="F1278" i="15" s="1"/>
  <c r="C1273" i="15"/>
  <c r="F1273" i="15" s="1"/>
  <c r="D1273" i="15"/>
  <c r="C1270" i="15"/>
  <c r="F1270" i="15" s="1"/>
  <c r="E1270" i="15"/>
  <c r="C1253" i="15"/>
  <c r="F1253" i="15" s="1"/>
  <c r="B1253" i="15"/>
  <c r="C1117" i="15"/>
  <c r="F1117" i="15" s="1"/>
  <c r="B1117" i="15"/>
  <c r="D1053" i="15"/>
  <c r="C1053" i="15"/>
  <c r="F1053" i="15" s="1"/>
  <c r="C1028" i="15"/>
  <c r="F1028" i="15" s="1"/>
  <c r="E1028" i="15"/>
  <c r="B1001" i="15"/>
  <c r="D1001" i="15"/>
  <c r="C996" i="15"/>
  <c r="F996" i="15" s="1"/>
  <c r="E996" i="15"/>
  <c r="E820" i="15"/>
  <c r="C820" i="15"/>
  <c r="F820" i="15" s="1"/>
  <c r="C772" i="15"/>
  <c r="F772" i="15" s="1"/>
  <c r="B688" i="15"/>
  <c r="E688" i="15"/>
  <c r="E675" i="15"/>
  <c r="D4353" i="15"/>
  <c r="E4353" i="15"/>
  <c r="B4343" i="15"/>
  <c r="C4343" i="15"/>
  <c r="F4343" i="15" s="1"/>
  <c r="B4287" i="15"/>
  <c r="C4287" i="15"/>
  <c r="F4287" i="15" s="1"/>
  <c r="C4230" i="15"/>
  <c r="F4230" i="15" s="1"/>
  <c r="D4230" i="15"/>
  <c r="B4220" i="15"/>
  <c r="C4220" i="15"/>
  <c r="F4220" i="15" s="1"/>
  <c r="E4220" i="15"/>
  <c r="B4399" i="15"/>
  <c r="C4399" i="15"/>
  <c r="F4399" i="15" s="1"/>
  <c r="B4422" i="15"/>
  <c r="C4422" i="15"/>
  <c r="F4422" i="15" s="1"/>
  <c r="B4211" i="15"/>
  <c r="C4211" i="15"/>
  <c r="F4211" i="15" s="1"/>
  <c r="E4211" i="15"/>
  <c r="B4386" i="15"/>
  <c r="D4386" i="15"/>
  <c r="E4386" i="15"/>
  <c r="B4355" i="15"/>
  <c r="C4355" i="15"/>
  <c r="F4355" i="15" s="1"/>
  <c r="E4355" i="15"/>
  <c r="B4228" i="15"/>
  <c r="C4228" i="15"/>
  <c r="F4228" i="15" s="1"/>
  <c r="E4228" i="15"/>
  <c r="D4175" i="15"/>
  <c r="E4175" i="15"/>
  <c r="B4346" i="15"/>
  <c r="C4346" i="15"/>
  <c r="F4346" i="15" s="1"/>
  <c r="E4346" i="15"/>
  <c r="B4415" i="15"/>
  <c r="E4415" i="15"/>
  <c r="B4280" i="15"/>
  <c r="E4280" i="15"/>
  <c r="B4264" i="15"/>
  <c r="E4264" i="15"/>
  <c r="B4235" i="15"/>
  <c r="C4235" i="15"/>
  <c r="F4235" i="15" s="1"/>
  <c r="E4235" i="15"/>
  <c r="B4206" i="15"/>
  <c r="C4206" i="15"/>
  <c r="F4206" i="15" s="1"/>
  <c r="D4206" i="15"/>
  <c r="E3619" i="15"/>
  <c r="E3511" i="15"/>
  <c r="B4431" i="15"/>
  <c r="C4431" i="15"/>
  <c r="F4431" i="15" s="1"/>
  <c r="D4431" i="15"/>
  <c r="C4365" i="15"/>
  <c r="F4365" i="15" s="1"/>
  <c r="D4365" i="15"/>
  <c r="B4336" i="15"/>
  <c r="E4336" i="15"/>
  <c r="B4199" i="15"/>
  <c r="C4199" i="15"/>
  <c r="F4199" i="15" s="1"/>
  <c r="E4199" i="15"/>
  <c r="C3162" i="15"/>
  <c r="F3162" i="15" s="1"/>
  <c r="D3162" i="15"/>
  <c r="E3162" i="15"/>
  <c r="C3132" i="15"/>
  <c r="F3132" i="15" s="1"/>
  <c r="D3132" i="15"/>
  <c r="E3132" i="15"/>
  <c r="E3127" i="15"/>
  <c r="D3127" i="15"/>
  <c r="C3036" i="15"/>
  <c r="F3036" i="15" s="1"/>
  <c r="B3036" i="15"/>
  <c r="D3036" i="15"/>
  <c r="C2978" i="15"/>
  <c r="F2978" i="15" s="1"/>
  <c r="B2978" i="15"/>
  <c r="E2978" i="15"/>
  <c r="E4427" i="15"/>
  <c r="D4398" i="15"/>
  <c r="C4391" i="15"/>
  <c r="F4391" i="15" s="1"/>
  <c r="C4381" i="15"/>
  <c r="F4381" i="15" s="1"/>
  <c r="C4379" i="15"/>
  <c r="F4379" i="15" s="1"/>
  <c r="C4377" i="15"/>
  <c r="F4377" i="15" s="1"/>
  <c r="C4368" i="15"/>
  <c r="F4368" i="15" s="1"/>
  <c r="E4364" i="15"/>
  <c r="E4361" i="15"/>
  <c r="E4354" i="15"/>
  <c r="E4352" i="15"/>
  <c r="D4350" i="15"/>
  <c r="C4345" i="15"/>
  <c r="F4345" i="15" s="1"/>
  <c r="D4332" i="15"/>
  <c r="D4311" i="15"/>
  <c r="E4305" i="15"/>
  <c r="C4301" i="15"/>
  <c r="F4301" i="15" s="1"/>
  <c r="E4292" i="15"/>
  <c r="C4258" i="15"/>
  <c r="F4258" i="15" s="1"/>
  <c r="C4256" i="15"/>
  <c r="F4256" i="15" s="1"/>
  <c r="D4251" i="15"/>
  <c r="D4239" i="15"/>
  <c r="E4229" i="15"/>
  <c r="E4210" i="15"/>
  <c r="C4193" i="15"/>
  <c r="F4193" i="15" s="1"/>
  <c r="C4171" i="15"/>
  <c r="F4171" i="15" s="1"/>
  <c r="D4149" i="15"/>
  <c r="C4144" i="15"/>
  <c r="F4144" i="15" s="1"/>
  <c r="D4131" i="15"/>
  <c r="D4122" i="15"/>
  <c r="D4113" i="15"/>
  <c r="D4108" i="15"/>
  <c r="C4090" i="15"/>
  <c r="F4090" i="15" s="1"/>
  <c r="C4072" i="15"/>
  <c r="F4072" i="15" s="1"/>
  <c r="D4059" i="15"/>
  <c r="C4054" i="15"/>
  <c r="F4054" i="15" s="1"/>
  <c r="E4021" i="15"/>
  <c r="E3994" i="15"/>
  <c r="E3967" i="15"/>
  <c r="E3940" i="15"/>
  <c r="E3913" i="15"/>
  <c r="E3836" i="15"/>
  <c r="E3797" i="15"/>
  <c r="E3721" i="15"/>
  <c r="E3718" i="15"/>
  <c r="E3414" i="15"/>
  <c r="C3333" i="15"/>
  <c r="F3333" i="15" s="1"/>
  <c r="C3174" i="15"/>
  <c r="F3174" i="15" s="1"/>
  <c r="B3174" i="15"/>
  <c r="C3094" i="15"/>
  <c r="F3094" i="15" s="1"/>
  <c r="B3094" i="15"/>
  <c r="C3060" i="15"/>
  <c r="F3060" i="15" s="1"/>
  <c r="B3060" i="15"/>
  <c r="D3060" i="15"/>
  <c r="E3060" i="15"/>
  <c r="C2977" i="15"/>
  <c r="F2977" i="15" s="1"/>
  <c r="D2977" i="15"/>
  <c r="B2251" i="15"/>
  <c r="E3649" i="15"/>
  <c r="E3646" i="15"/>
  <c r="E3643" i="15"/>
  <c r="E3640" i="15"/>
  <c r="E3634" i="15"/>
  <c r="E3631" i="15"/>
  <c r="E3628" i="15"/>
  <c r="E3625" i="15"/>
  <c r="E3622" i="15"/>
  <c r="E3616" i="15"/>
  <c r="E3613" i="15"/>
  <c r="E3610" i="15"/>
  <c r="E3607" i="15"/>
  <c r="E3604" i="15"/>
  <c r="E3598" i="15"/>
  <c r="E3595" i="15"/>
  <c r="E3592" i="15"/>
  <c r="E3589" i="15"/>
  <c r="E3586" i="15"/>
  <c r="E3580" i="15"/>
  <c r="E3577" i="15"/>
  <c r="E3574" i="15"/>
  <c r="E3571" i="15"/>
  <c r="E3568" i="15"/>
  <c r="E3562" i="15"/>
  <c r="E3559" i="15"/>
  <c r="E3556" i="15"/>
  <c r="E3553" i="15"/>
  <c r="E3550" i="15"/>
  <c r="E3544" i="15"/>
  <c r="E3541" i="15"/>
  <c r="E3538" i="15"/>
  <c r="E3535" i="15"/>
  <c r="E3532" i="15"/>
  <c r="E3526" i="15"/>
  <c r="E3523" i="15"/>
  <c r="E3520" i="15"/>
  <c r="E3517" i="15"/>
  <c r="E3514" i="15"/>
  <c r="E3508" i="15"/>
  <c r="E3505" i="15"/>
  <c r="E3502" i="15"/>
  <c r="E3499" i="15"/>
  <c r="E3496" i="15"/>
  <c r="E3490" i="15"/>
  <c r="C3256" i="15"/>
  <c r="F3256" i="15" s="1"/>
  <c r="E3256" i="15"/>
  <c r="E3098" i="15"/>
  <c r="B3098" i="15"/>
  <c r="C3083" i="15"/>
  <c r="F3083" i="15" s="1"/>
  <c r="B3083" i="15"/>
  <c r="D3083" i="15"/>
  <c r="D2963" i="15"/>
  <c r="C2963" i="15"/>
  <c r="F2963" i="15" s="1"/>
  <c r="B2233" i="15"/>
  <c r="E4099" i="15"/>
  <c r="E4081" i="15"/>
  <c r="B4051" i="15"/>
  <c r="C3209" i="15"/>
  <c r="F3209" i="15" s="1"/>
  <c r="B3209" i="15"/>
  <c r="D3209" i="15"/>
  <c r="B3191" i="15"/>
  <c r="B3177" i="15"/>
  <c r="C3150" i="15"/>
  <c r="F3150" i="15" s="1"/>
  <c r="D3150" i="15"/>
  <c r="E3150" i="15"/>
  <c r="C3102" i="15"/>
  <c r="F3102" i="15" s="1"/>
  <c r="E3102" i="15"/>
  <c r="E3068" i="15"/>
  <c r="B3068" i="15"/>
  <c r="D3043" i="15"/>
  <c r="C3020" i="15"/>
  <c r="F3020" i="15" s="1"/>
  <c r="B3020" i="15"/>
  <c r="E4404" i="15"/>
  <c r="E4179" i="15"/>
  <c r="D4162" i="15"/>
  <c r="D4150" i="15"/>
  <c r="E4142" i="15"/>
  <c r="D4132" i="15"/>
  <c r="E4117" i="15"/>
  <c r="D4099" i="15"/>
  <c r="E4094" i="15"/>
  <c r="D4081" i="15"/>
  <c r="E4076" i="15"/>
  <c r="E4070" i="15"/>
  <c r="D4060" i="15"/>
  <c r="E4052" i="15"/>
  <c r="D4050" i="15"/>
  <c r="D3900" i="15"/>
  <c r="D3897" i="15"/>
  <c r="D3837" i="15"/>
  <c r="D3798" i="15"/>
  <c r="E3648" i="15"/>
  <c r="E3645" i="15"/>
  <c r="E3642" i="15"/>
  <c r="E3639" i="15"/>
  <c r="E3636" i="15"/>
  <c r="E3633" i="15"/>
  <c r="E3630" i="15"/>
  <c r="E3627" i="15"/>
  <c r="E3624" i="15"/>
  <c r="E3621" i="15"/>
  <c r="E3618" i="15"/>
  <c r="E3615" i="15"/>
  <c r="E3612" i="15"/>
  <c r="E3609" i="15"/>
  <c r="E3606" i="15"/>
  <c r="E3603" i="15"/>
  <c r="E3600" i="15"/>
  <c r="E3597" i="15"/>
  <c r="E3594" i="15"/>
  <c r="E3591" i="15"/>
  <c r="E3588" i="15"/>
  <c r="E3585" i="15"/>
  <c r="E3582" i="15"/>
  <c r="E3579" i="15"/>
  <c r="E3576" i="15"/>
  <c r="E3573" i="15"/>
  <c r="E3570" i="15"/>
  <c r="E3567" i="15"/>
  <c r="E3564" i="15"/>
  <c r="E3561" i="15"/>
  <c r="E3558" i="15"/>
  <c r="E3555" i="15"/>
  <c r="E3552" i="15"/>
  <c r="E3549" i="15"/>
  <c r="E3546" i="15"/>
  <c r="E3543" i="15"/>
  <c r="E3540" i="15"/>
  <c r="E3537" i="15"/>
  <c r="E3534" i="15"/>
  <c r="E3531" i="15"/>
  <c r="E3528" i="15"/>
  <c r="E3525" i="15"/>
  <c r="E3522" i="15"/>
  <c r="E3519" i="15"/>
  <c r="E3516" i="15"/>
  <c r="E3513" i="15"/>
  <c r="E3510" i="15"/>
  <c r="E3507" i="15"/>
  <c r="E3504" i="15"/>
  <c r="E3501" i="15"/>
  <c r="E3498" i="15"/>
  <c r="E3495" i="15"/>
  <c r="E3492" i="15"/>
  <c r="E3489" i="15"/>
  <c r="E3486" i="15"/>
  <c r="E3483" i="15"/>
  <c r="E3480" i="15"/>
  <c r="E3477" i="15"/>
  <c r="E3474" i="15"/>
  <c r="E3471" i="15"/>
  <c r="E3468" i="15"/>
  <c r="E3465" i="15"/>
  <c r="E3462" i="15"/>
  <c r="E3459" i="15"/>
  <c r="E3456" i="15"/>
  <c r="E3453" i="15"/>
  <c r="E3450" i="15"/>
  <c r="E3447" i="15"/>
  <c r="E3444" i="15"/>
  <c r="E3441" i="15"/>
  <c r="E3438" i="15"/>
  <c r="E3435" i="15"/>
  <c r="E3432" i="15"/>
  <c r="E3369" i="15"/>
  <c r="C3360" i="15"/>
  <c r="F3360" i="15" s="1"/>
  <c r="D3273" i="15"/>
  <c r="E3152" i="15"/>
  <c r="D3063" i="15"/>
  <c r="B3063" i="15"/>
  <c r="C3042" i="15"/>
  <c r="F3042" i="15" s="1"/>
  <c r="B3042" i="15"/>
  <c r="D3042" i="15"/>
  <c r="E3042" i="15"/>
  <c r="C2992" i="15"/>
  <c r="F2992" i="15" s="1"/>
  <c r="D2992" i="15"/>
  <c r="C2980" i="15"/>
  <c r="F2980" i="15" s="1"/>
  <c r="E2980" i="15"/>
  <c r="B2980" i="15"/>
  <c r="E2052" i="15"/>
  <c r="E4162" i="15"/>
  <c r="E4418" i="15"/>
  <c r="E4408" i="15"/>
  <c r="E4406" i="15"/>
  <c r="D4404" i="15"/>
  <c r="E4377" i="15"/>
  <c r="E4359" i="15"/>
  <c r="E4330" i="15"/>
  <c r="E4328" i="15"/>
  <c r="E4319" i="15"/>
  <c r="E4283" i="15"/>
  <c r="E4208" i="15"/>
  <c r="E4201" i="15"/>
  <c r="E4184" i="15"/>
  <c r="E4181" i="15"/>
  <c r="D4179" i="15"/>
  <c r="E4171" i="15"/>
  <c r="C4162" i="15"/>
  <c r="F4162" i="15" s="1"/>
  <c r="E4144" i="15"/>
  <c r="D4117" i="15"/>
  <c r="C4099" i="15"/>
  <c r="F4099" i="15" s="1"/>
  <c r="D4096" i="15"/>
  <c r="E4090" i="15"/>
  <c r="D4086" i="15"/>
  <c r="C4081" i="15"/>
  <c r="F4081" i="15" s="1"/>
  <c r="D4078" i="15"/>
  <c r="E4072" i="15"/>
  <c r="C4060" i="15"/>
  <c r="F4060" i="15" s="1"/>
  <c r="E4054" i="15"/>
  <c r="E4039" i="15"/>
  <c r="E4012" i="15"/>
  <c r="E3985" i="15"/>
  <c r="E3979" i="15"/>
  <c r="E3958" i="15"/>
  <c r="E3931" i="15"/>
  <c r="E3904" i="15"/>
  <c r="D3826" i="15"/>
  <c r="B3817" i="15"/>
  <c r="B5" i="36" s="1"/>
  <c r="E3757" i="15"/>
  <c r="E3754" i="15"/>
  <c r="E3685" i="15"/>
  <c r="E3682" i="15"/>
  <c r="C3402" i="15"/>
  <c r="F3402" i="15" s="1"/>
  <c r="C3294" i="15"/>
  <c r="F3294" i="15" s="1"/>
  <c r="B3276" i="15"/>
  <c r="C3249" i="15"/>
  <c r="F3249" i="15" s="1"/>
  <c r="D3249" i="15"/>
  <c r="C3222" i="15"/>
  <c r="F3222" i="15" s="1"/>
  <c r="E3222" i="15"/>
  <c r="B3162" i="15"/>
  <c r="B3132" i="15"/>
  <c r="E3053" i="15"/>
  <c r="C3014" i="15"/>
  <c r="F3014" i="15" s="1"/>
  <c r="B3014" i="15"/>
  <c r="E3014" i="15"/>
  <c r="E2758" i="15"/>
  <c r="C2735" i="15"/>
  <c r="F2735" i="15" s="1"/>
  <c r="E2554" i="15"/>
  <c r="C2512" i="15"/>
  <c r="F2512" i="15" s="1"/>
  <c r="C2478" i="15"/>
  <c r="F2478" i="15" s="1"/>
  <c r="C2472" i="15"/>
  <c r="F2472" i="15" s="1"/>
  <c r="E2458" i="15"/>
  <c r="C2448" i="15"/>
  <c r="F2448" i="15" s="1"/>
  <c r="C2434" i="15"/>
  <c r="F2434" i="15" s="1"/>
  <c r="D2431" i="15"/>
  <c r="C2117" i="15"/>
  <c r="F2117" i="15" s="1"/>
  <c r="D2117" i="15"/>
  <c r="D2098" i="15"/>
  <c r="D2086" i="15"/>
  <c r="C2035" i="15"/>
  <c r="F2035" i="15" s="1"/>
  <c r="E2035" i="15"/>
  <c r="C2031" i="15"/>
  <c r="F2031" i="15" s="1"/>
  <c r="E1910" i="15"/>
  <c r="D1910" i="15"/>
  <c r="E1904" i="15"/>
  <c r="D1904" i="15"/>
  <c r="E1835" i="15"/>
  <c r="D1835" i="15"/>
  <c r="E1823" i="15"/>
  <c r="B1823" i="15"/>
  <c r="C1823" i="15"/>
  <c r="F1823" i="15" s="1"/>
  <c r="D1823" i="15"/>
  <c r="B1737" i="15"/>
  <c r="C1737" i="15"/>
  <c r="F1737" i="15" s="1"/>
  <c r="B1719" i="15"/>
  <c r="C1719" i="15"/>
  <c r="F1719" i="15" s="1"/>
  <c r="B1692" i="15"/>
  <c r="C2897" i="15"/>
  <c r="F2897" i="15" s="1"/>
  <c r="D2892" i="15"/>
  <c r="B2867" i="15"/>
  <c r="C2859" i="15"/>
  <c r="F2859" i="15" s="1"/>
  <c r="D2820" i="15"/>
  <c r="D2815" i="15"/>
  <c r="D2790" i="15"/>
  <c r="C2758" i="15"/>
  <c r="F2758" i="15" s="1"/>
  <c r="E2748" i="15"/>
  <c r="B2745" i="15"/>
  <c r="B2735" i="15"/>
  <c r="E2724" i="15"/>
  <c r="E2707" i="15"/>
  <c r="D2703" i="15"/>
  <c r="D2693" i="15"/>
  <c r="E2684" i="15"/>
  <c r="B2627" i="15"/>
  <c r="E2617" i="15"/>
  <c r="C2602" i="15"/>
  <c r="F2602" i="15" s="1"/>
  <c r="B2596" i="15"/>
  <c r="B2554" i="15"/>
  <c r="B2512" i="15"/>
  <c r="B2478" i="15"/>
  <c r="B2472" i="15"/>
  <c r="C2458" i="15"/>
  <c r="F2458" i="15" s="1"/>
  <c r="B2448" i="15"/>
  <c r="C2437" i="15"/>
  <c r="F2437" i="15" s="1"/>
  <c r="B2434" i="15"/>
  <c r="B2368" i="15"/>
  <c r="E2364" i="15"/>
  <c r="E2346" i="15"/>
  <c r="E2328" i="15"/>
  <c r="B2257" i="15"/>
  <c r="E2253" i="15"/>
  <c r="E2244" i="15"/>
  <c r="B2239" i="15"/>
  <c r="E2235" i="15"/>
  <c r="E2225" i="15"/>
  <c r="E2207" i="15"/>
  <c r="C2158" i="15"/>
  <c r="F2158" i="15" s="1"/>
  <c r="B2158" i="15"/>
  <c r="B2107" i="15"/>
  <c r="B2098" i="15"/>
  <c r="B2086" i="15"/>
  <c r="D2056" i="15"/>
  <c r="B2056" i="15"/>
  <c r="B2031" i="15"/>
  <c r="B2020" i="15"/>
  <c r="B1992" i="15"/>
  <c r="E1964" i="15"/>
  <c r="D1964" i="15"/>
  <c r="E1918" i="15"/>
  <c r="B1918" i="15"/>
  <c r="D1918" i="15"/>
  <c r="E1876" i="15"/>
  <c r="B1876" i="15"/>
  <c r="C1876" i="15"/>
  <c r="F1876" i="15" s="1"/>
  <c r="B1872" i="15"/>
  <c r="E1849" i="15"/>
  <c r="C1849" i="15"/>
  <c r="F1849" i="15" s="1"/>
  <c r="E1838" i="15"/>
  <c r="C1838" i="15"/>
  <c r="F1838" i="15" s="1"/>
  <c r="D1838" i="15"/>
  <c r="B1818" i="15"/>
  <c r="E1812" i="15"/>
  <c r="B1812" i="15"/>
  <c r="E2633" i="15"/>
  <c r="E2603" i="15"/>
  <c r="E2413" i="15"/>
  <c r="C2121" i="15"/>
  <c r="F2121" i="15" s="1"/>
  <c r="E2121" i="15"/>
  <c r="E1858" i="15"/>
  <c r="B1858" i="15"/>
  <c r="C1858" i="15"/>
  <c r="F1858" i="15" s="1"/>
  <c r="D1858" i="15"/>
  <c r="E1841" i="15"/>
  <c r="B1841" i="15"/>
  <c r="C1841" i="15"/>
  <c r="F1841" i="15" s="1"/>
  <c r="D1841" i="15"/>
  <c r="E3080" i="15"/>
  <c r="D3066" i="15"/>
  <c r="B3064" i="15"/>
  <c r="D3058" i="15"/>
  <c r="D3052" i="15"/>
  <c r="D3040" i="15"/>
  <c r="D3033" i="15"/>
  <c r="D3024" i="15"/>
  <c r="D3012" i="15"/>
  <c r="D3006" i="15"/>
  <c r="E2807" i="15"/>
  <c r="E2789" i="15"/>
  <c r="C2783" i="15"/>
  <c r="F2783" i="15" s="1"/>
  <c r="D2772" i="15"/>
  <c r="C2768" i="15"/>
  <c r="F2768" i="15" s="1"/>
  <c r="D2765" i="15"/>
  <c r="C2757" i="15"/>
  <c r="F2757" i="15" s="1"/>
  <c r="C2747" i="15"/>
  <c r="F2747" i="15" s="1"/>
  <c r="E2741" i="15"/>
  <c r="D2731" i="15"/>
  <c r="C2729" i="15"/>
  <c r="F2729" i="15" s="1"/>
  <c r="E2716" i="15"/>
  <c r="E2650" i="15"/>
  <c r="E2644" i="15"/>
  <c r="D2633" i="15"/>
  <c r="D2603" i="15"/>
  <c r="E2520" i="15"/>
  <c r="C2518" i="15"/>
  <c r="F2518" i="15" s="1"/>
  <c r="C2508" i="15"/>
  <c r="F2508" i="15" s="1"/>
  <c r="E2502" i="15"/>
  <c r="B2500" i="15"/>
  <c r="C2496" i="15"/>
  <c r="F2496" i="15" s="1"/>
  <c r="B2494" i="15"/>
  <c r="E2490" i="15"/>
  <c r="C2442" i="15"/>
  <c r="F2442" i="15" s="1"/>
  <c r="E2424" i="15"/>
  <c r="B2260" i="15"/>
  <c r="E2256" i="15"/>
  <c r="D2132" i="15"/>
  <c r="C2129" i="15"/>
  <c r="F2129" i="15" s="1"/>
  <c r="E2129" i="15"/>
  <c r="D2046" i="15"/>
  <c r="B2046" i="15"/>
  <c r="C2046" i="15"/>
  <c r="F2046" i="15" s="1"/>
  <c r="D2037" i="15"/>
  <c r="C2037" i="15"/>
  <c r="F2037" i="15" s="1"/>
  <c r="D1977" i="15"/>
  <c r="C1977" i="15"/>
  <c r="F1977" i="15" s="1"/>
  <c r="E1930" i="15"/>
  <c r="B1930" i="15"/>
  <c r="D1930" i="15"/>
  <c r="E1898" i="15"/>
  <c r="B1898" i="15"/>
  <c r="D1898" i="15"/>
  <c r="E1830" i="15"/>
  <c r="B1830" i="15"/>
  <c r="C1697" i="15"/>
  <c r="F1697" i="15" s="1"/>
  <c r="D1697" i="15"/>
  <c r="B3243" i="15"/>
  <c r="B3240" i="15"/>
  <c r="D3159" i="15"/>
  <c r="B3144" i="15"/>
  <c r="B3119" i="15"/>
  <c r="E3114" i="15"/>
  <c r="B3066" i="15"/>
  <c r="B3058" i="15"/>
  <c r="B3052" i="15"/>
  <c r="B3040" i="15"/>
  <c r="B3024" i="15"/>
  <c r="B3012" i="15"/>
  <c r="B3006" i="15"/>
  <c r="E2998" i="15"/>
  <c r="B2976" i="15"/>
  <c r="D2951" i="15"/>
  <c r="C2942" i="15"/>
  <c r="F2942" i="15" s="1"/>
  <c r="C2938" i="15"/>
  <c r="F2938" i="15" s="1"/>
  <c r="E2902" i="15"/>
  <c r="C2885" i="15"/>
  <c r="F2885" i="15" s="1"/>
  <c r="E2867" i="15"/>
  <c r="C2866" i="15"/>
  <c r="F2866" i="15" s="1"/>
  <c r="C2852" i="15"/>
  <c r="F2852" i="15" s="1"/>
  <c r="C2848" i="15"/>
  <c r="F2848" i="15" s="1"/>
  <c r="C2822" i="15"/>
  <c r="F2822" i="15" s="1"/>
  <c r="C2813" i="15"/>
  <c r="F2813" i="15" s="1"/>
  <c r="D2807" i="15"/>
  <c r="D2789" i="15"/>
  <c r="C2775" i="15"/>
  <c r="F2775" i="15" s="1"/>
  <c r="C2765" i="15"/>
  <c r="F2765" i="15" s="1"/>
  <c r="B2747" i="15"/>
  <c r="E2743" i="15"/>
  <c r="D2741" i="15"/>
  <c r="E2735" i="15"/>
  <c r="D2733" i="15"/>
  <c r="B2731" i="15"/>
  <c r="D2725" i="15"/>
  <c r="C2716" i="15"/>
  <c r="F2716" i="15" s="1"/>
  <c r="E2695" i="15"/>
  <c r="C2669" i="15"/>
  <c r="F2669" i="15" s="1"/>
  <c r="E2662" i="15"/>
  <c r="C2657" i="15"/>
  <c r="F2657" i="15" s="1"/>
  <c r="C2650" i="15"/>
  <c r="F2650" i="15" s="1"/>
  <c r="C2644" i="15"/>
  <c r="F2644" i="15" s="1"/>
  <c r="E2638" i="15"/>
  <c r="D2635" i="15"/>
  <c r="C2633" i="15"/>
  <c r="F2633" i="15" s="1"/>
  <c r="D2631" i="15"/>
  <c r="E2627" i="15"/>
  <c r="E2622" i="15"/>
  <c r="D2613" i="15"/>
  <c r="E2610" i="15"/>
  <c r="C2603" i="15"/>
  <c r="F2603" i="15" s="1"/>
  <c r="E2590" i="15"/>
  <c r="E2584" i="15"/>
  <c r="E2578" i="15"/>
  <c r="E2572" i="15"/>
  <c r="E2562" i="15"/>
  <c r="B2558" i="15"/>
  <c r="E2549" i="15"/>
  <c r="C2529" i="15"/>
  <c r="F2529" i="15" s="1"/>
  <c r="E2526" i="15"/>
  <c r="C2523" i="15"/>
  <c r="F2523" i="15" s="1"/>
  <c r="C2520" i="15"/>
  <c r="F2520" i="15" s="1"/>
  <c r="B2518" i="15"/>
  <c r="E2510" i="15"/>
  <c r="C2502" i="15"/>
  <c r="F2502" i="15" s="1"/>
  <c r="B2496" i="15"/>
  <c r="C2490" i="15"/>
  <c r="F2490" i="15" s="1"/>
  <c r="E2483" i="15"/>
  <c r="E2476" i="15"/>
  <c r="C2473" i="15"/>
  <c r="F2473" i="15" s="1"/>
  <c r="E2465" i="15"/>
  <c r="E2452" i="15"/>
  <c r="B2442" i="15"/>
  <c r="B2439" i="15"/>
  <c r="C2424" i="15"/>
  <c r="F2424" i="15" s="1"/>
  <c r="E2406" i="15"/>
  <c r="B2401" i="15"/>
  <c r="E2397" i="15"/>
  <c r="E2388" i="15"/>
  <c r="E2370" i="15"/>
  <c r="B2299" i="15"/>
  <c r="E2287" i="15"/>
  <c r="B2281" i="15"/>
  <c r="E2268" i="15"/>
  <c r="B2263" i="15"/>
  <c r="B2223" i="15"/>
  <c r="B2205" i="15"/>
  <c r="E2201" i="15"/>
  <c r="E2183" i="15"/>
  <c r="E2165" i="15"/>
  <c r="B2163" i="15"/>
  <c r="B2132" i="15"/>
  <c r="E2128" i="15"/>
  <c r="C2109" i="15"/>
  <c r="F2109" i="15" s="1"/>
  <c r="D2109" i="15"/>
  <c r="E2092" i="15"/>
  <c r="E2080" i="15"/>
  <c r="E2076" i="15"/>
  <c r="D2068" i="15"/>
  <c r="C2068" i="15"/>
  <c r="F2068" i="15" s="1"/>
  <c r="E2040" i="15"/>
  <c r="E2036" i="15"/>
  <c r="B2022" i="15"/>
  <c r="E1984" i="15"/>
  <c r="B1984" i="15"/>
  <c r="D1984" i="15"/>
  <c r="B1897" i="15"/>
  <c r="B1886" i="15"/>
  <c r="D1882" i="15"/>
  <c r="C1835" i="15"/>
  <c r="F1835" i="15" s="1"/>
  <c r="B1824" i="15"/>
  <c r="E1817" i="15"/>
  <c r="D1817" i="15"/>
  <c r="B1755" i="15"/>
  <c r="C2969" i="15"/>
  <c r="F2969" i="15" s="1"/>
  <c r="D2964" i="15"/>
  <c r="D2945" i="15"/>
  <c r="D2915" i="15"/>
  <c r="C2906" i="15"/>
  <c r="F2906" i="15" s="1"/>
  <c r="C2902" i="15"/>
  <c r="F2902" i="15" s="1"/>
  <c r="D2856" i="15"/>
  <c r="B2813" i="15"/>
  <c r="C2804" i="15"/>
  <c r="F2804" i="15" s="1"/>
  <c r="C2800" i="15"/>
  <c r="F2800" i="15" s="1"/>
  <c r="C2771" i="15"/>
  <c r="F2771" i="15" s="1"/>
  <c r="E2749" i="15"/>
  <c r="D2743" i="15"/>
  <c r="B2725" i="15"/>
  <c r="C2722" i="15"/>
  <c r="F2722" i="15" s="1"/>
  <c r="B2716" i="15"/>
  <c r="D2713" i="15"/>
  <c r="D2671" i="15"/>
  <c r="B2657" i="15"/>
  <c r="B2650" i="15"/>
  <c r="B2644" i="15"/>
  <c r="E2640" i="15"/>
  <c r="C2615" i="15"/>
  <c r="F2615" i="15" s="1"/>
  <c r="C2608" i="15"/>
  <c r="F2608" i="15" s="1"/>
  <c r="D2605" i="15"/>
  <c r="E2596" i="15"/>
  <c r="C2590" i="15"/>
  <c r="F2590" i="15" s="1"/>
  <c r="E2587" i="15"/>
  <c r="C2584" i="15"/>
  <c r="F2584" i="15" s="1"/>
  <c r="E2581" i="15"/>
  <c r="C2578" i="15"/>
  <c r="F2578" i="15" s="1"/>
  <c r="C2572" i="15"/>
  <c r="F2572" i="15" s="1"/>
  <c r="E2569" i="15"/>
  <c r="C2551" i="15"/>
  <c r="F2551" i="15" s="1"/>
  <c r="E2537" i="15"/>
  <c r="C2532" i="15"/>
  <c r="F2532" i="15" s="1"/>
  <c r="B2520" i="15"/>
  <c r="E2512" i="15"/>
  <c r="E2504" i="15"/>
  <c r="E2478" i="15"/>
  <c r="C2476" i="15"/>
  <c r="F2476" i="15" s="1"/>
  <c r="C2470" i="15"/>
  <c r="F2470" i="15" s="1"/>
  <c r="C2452" i="15"/>
  <c r="F2452" i="15" s="1"/>
  <c r="E2434" i="15"/>
  <c r="B2424" i="15"/>
  <c r="B2365" i="15"/>
  <c r="E2361" i="15"/>
  <c r="E2352" i="15"/>
  <c r="B2347" i="15"/>
  <c r="E2343" i="15"/>
  <c r="E2334" i="15"/>
  <c r="E2316" i="15"/>
  <c r="B2245" i="15"/>
  <c r="E2233" i="15"/>
  <c r="B2226" i="15"/>
  <c r="E2213" i="15"/>
  <c r="B2208" i="15"/>
  <c r="B2169" i="15"/>
  <c r="D2165" i="15"/>
  <c r="C2146" i="15"/>
  <c r="F2146" i="15" s="1"/>
  <c r="B2146" i="15"/>
  <c r="E2111" i="15"/>
  <c r="B2095" i="15"/>
  <c r="B2092" i="15"/>
  <c r="B2083" i="15"/>
  <c r="B2080" i="15"/>
  <c r="C2076" i="15"/>
  <c r="F2076" i="15" s="1"/>
  <c r="B2067" i="15"/>
  <c r="D2050" i="15"/>
  <c r="B2050" i="15"/>
  <c r="C2050" i="15"/>
  <c r="F2050" i="15" s="1"/>
  <c r="C2044" i="15"/>
  <c r="F2044" i="15" s="1"/>
  <c r="E2028" i="15"/>
  <c r="E2008" i="15"/>
  <c r="D2008" i="15"/>
  <c r="B1932" i="15"/>
  <c r="B1904" i="15"/>
  <c r="C1900" i="15"/>
  <c r="F1900" i="15" s="1"/>
  <c r="E1868" i="15"/>
  <c r="B1868" i="15"/>
  <c r="D1868" i="15"/>
  <c r="D1864" i="15"/>
  <c r="E1846" i="15"/>
  <c r="D1846" i="15"/>
  <c r="E1820" i="15"/>
  <c r="C1820" i="15"/>
  <c r="F1820" i="15" s="1"/>
  <c r="D1820" i="15"/>
  <c r="B1699" i="15"/>
  <c r="D1699" i="15"/>
  <c r="E1674" i="15"/>
  <c r="E1106" i="15"/>
  <c r="C1106" i="15"/>
  <c r="F1106" i="15" s="1"/>
  <c r="E1102" i="15"/>
  <c r="D1102" i="15"/>
  <c r="D1057" i="15"/>
  <c r="B1057" i="15"/>
  <c r="E1057" i="15"/>
  <c r="D1054" i="15"/>
  <c r="E1054" i="15"/>
  <c r="D1044" i="15"/>
  <c r="C1044" i="15"/>
  <c r="F1044" i="15" s="1"/>
  <c r="E1044" i="15"/>
  <c r="B940" i="15"/>
  <c r="D940" i="15"/>
  <c r="B895" i="15"/>
  <c r="D895" i="15"/>
  <c r="E808" i="15"/>
  <c r="B808" i="15"/>
  <c r="C808" i="15"/>
  <c r="F808" i="15" s="1"/>
  <c r="E703" i="15"/>
  <c r="D703" i="15"/>
  <c r="B673" i="15"/>
  <c r="E673" i="15"/>
  <c r="C988" i="15"/>
  <c r="F988" i="15" s="1"/>
  <c r="B988" i="15"/>
  <c r="E793" i="15"/>
  <c r="C793" i="15"/>
  <c r="F793" i="15" s="1"/>
  <c r="D793" i="15"/>
  <c r="B753" i="15"/>
  <c r="E748" i="15"/>
  <c r="C748" i="15"/>
  <c r="F748" i="15" s="1"/>
  <c r="C706" i="15"/>
  <c r="F706" i="15" s="1"/>
  <c r="E706" i="15"/>
  <c r="B668" i="15"/>
  <c r="E668" i="15"/>
  <c r="E1222" i="15"/>
  <c r="D1120" i="15"/>
  <c r="B1120" i="15"/>
  <c r="E1088" i="15"/>
  <c r="C1088" i="15"/>
  <c r="F1088" i="15" s="1"/>
  <c r="D1050" i="15"/>
  <c r="B1050" i="15"/>
  <c r="C1050" i="15"/>
  <c r="F1050" i="15" s="1"/>
  <c r="D1047" i="15"/>
  <c r="E1047" i="15"/>
  <c r="C991" i="15"/>
  <c r="F991" i="15" s="1"/>
  <c r="E991" i="15"/>
  <c r="B873" i="15"/>
  <c r="D873" i="15"/>
  <c r="E847" i="15"/>
  <c r="C847" i="15"/>
  <c r="F847" i="15" s="1"/>
  <c r="D847" i="15"/>
  <c r="E829" i="15"/>
  <c r="C829" i="15"/>
  <c r="F829" i="15" s="1"/>
  <c r="D829" i="15"/>
  <c r="E722" i="15"/>
  <c r="C722" i="15"/>
  <c r="F722" i="15" s="1"/>
  <c r="B690" i="15"/>
  <c r="D690" i="15"/>
  <c r="E690" i="15"/>
  <c r="B678" i="15"/>
  <c r="B28" i="36" s="1"/>
  <c r="E678" i="15"/>
  <c r="E643" i="15"/>
  <c r="C643" i="15"/>
  <c r="F643" i="15" s="1"/>
  <c r="B2030" i="15"/>
  <c r="E2027" i="15"/>
  <c r="B2024" i="15"/>
  <c r="B2021" i="15"/>
  <c r="D2012" i="15"/>
  <c r="D1807" i="15"/>
  <c r="B1804" i="15"/>
  <c r="E1629" i="15"/>
  <c r="E1611" i="15"/>
  <c r="E1589" i="15"/>
  <c r="E1553" i="15"/>
  <c r="E1542" i="15"/>
  <c r="D1494" i="15"/>
  <c r="E1291" i="15"/>
  <c r="E1265" i="15"/>
  <c r="C1259" i="15"/>
  <c r="F1259" i="15" s="1"/>
  <c r="D1257" i="15"/>
  <c r="E1238" i="15"/>
  <c r="D1230" i="15"/>
  <c r="D1228" i="15"/>
  <c r="E1212" i="15"/>
  <c r="E1207" i="15"/>
  <c r="E1199" i="15"/>
  <c r="E1193" i="15"/>
  <c r="E1181" i="15"/>
  <c r="B1163" i="15"/>
  <c r="D1142" i="15"/>
  <c r="C1089" i="15"/>
  <c r="F1089" i="15" s="1"/>
  <c r="C1080" i="15"/>
  <c r="F1080" i="15" s="1"/>
  <c r="B970" i="15"/>
  <c r="D970" i="15"/>
  <c r="E742" i="15"/>
  <c r="B742" i="15"/>
  <c r="C742" i="15"/>
  <c r="F742" i="15" s="1"/>
  <c r="B2012" i="15"/>
  <c r="E1836" i="15"/>
  <c r="B1734" i="15"/>
  <c r="B1725" i="15"/>
  <c r="B1716" i="15"/>
  <c r="B1707" i="15"/>
  <c r="C1689" i="15"/>
  <c r="F1689" i="15" s="1"/>
  <c r="D1681" i="15"/>
  <c r="D1679" i="15"/>
  <c r="B1658" i="15"/>
  <c r="D1646" i="15"/>
  <c r="E1641" i="15"/>
  <c r="D1634" i="15"/>
  <c r="D1621" i="15"/>
  <c r="D1611" i="15"/>
  <c r="B1608" i="15"/>
  <c r="D1604" i="15"/>
  <c r="D1594" i="15"/>
  <c r="D1589" i="15"/>
  <c r="C1575" i="15"/>
  <c r="F1575" i="15" s="1"/>
  <c r="D1572" i="15"/>
  <c r="D1569" i="15"/>
  <c r="E1565" i="15"/>
  <c r="D1559" i="15"/>
  <c r="D1553" i="15"/>
  <c r="D1550" i="15"/>
  <c r="C1546" i="15"/>
  <c r="F1546" i="15" s="1"/>
  <c r="E1538" i="15"/>
  <c r="E1535" i="15"/>
  <c r="E1517" i="15"/>
  <c r="E1505" i="15"/>
  <c r="E1493" i="15"/>
  <c r="E1490" i="15"/>
  <c r="E1487" i="15"/>
  <c r="E1484" i="15"/>
  <c r="E1481" i="15"/>
  <c r="E1478" i="15"/>
  <c r="E1475" i="15"/>
  <c r="E1472" i="15"/>
  <c r="E1468" i="15"/>
  <c r="E1461" i="15"/>
  <c r="E1373" i="15"/>
  <c r="E1359" i="15"/>
  <c r="E1311" i="15"/>
  <c r="C1286" i="15"/>
  <c r="F1286" i="15" s="1"/>
  <c r="D1282" i="15"/>
  <c r="E1277" i="15"/>
  <c r="E1267" i="15"/>
  <c r="D1265" i="15"/>
  <c r="D1263" i="15"/>
  <c r="B1259" i="15"/>
  <c r="B1257" i="15"/>
  <c r="B1238" i="15"/>
  <c r="B1232" i="15"/>
  <c r="C1230" i="15"/>
  <c r="F1230" i="15" s="1"/>
  <c r="B1228" i="15"/>
  <c r="E1223" i="15"/>
  <c r="E1220" i="15"/>
  <c r="D1212" i="15"/>
  <c r="D1209" i="15"/>
  <c r="B1207" i="15"/>
  <c r="E1201" i="15"/>
  <c r="D1199" i="15"/>
  <c r="E1195" i="15"/>
  <c r="D1193" i="15"/>
  <c r="C1187" i="15"/>
  <c r="F1187" i="15" s="1"/>
  <c r="E1183" i="15"/>
  <c r="D1181" i="15"/>
  <c r="D1174" i="15"/>
  <c r="E1151" i="15"/>
  <c r="C1142" i="15"/>
  <c r="F1142" i="15" s="1"/>
  <c r="D1137" i="15"/>
  <c r="E1134" i="15"/>
  <c r="B1134" i="15"/>
  <c r="E1125" i="15"/>
  <c r="E1114" i="15"/>
  <c r="E1108" i="15"/>
  <c r="D1106" i="15"/>
  <c r="C1102" i="15"/>
  <c r="F1102" i="15" s="1"/>
  <c r="B1089" i="15"/>
  <c r="C998" i="15"/>
  <c r="F998" i="15" s="1"/>
  <c r="E998" i="15"/>
  <c r="B994" i="15"/>
  <c r="B925" i="15"/>
  <c r="D883" i="15"/>
  <c r="B883" i="15"/>
  <c r="B856" i="15"/>
  <c r="C856" i="15"/>
  <c r="F856" i="15" s="1"/>
  <c r="E815" i="15"/>
  <c r="D815" i="15"/>
  <c r="E796" i="15"/>
  <c r="C796" i="15"/>
  <c r="F796" i="15" s="1"/>
  <c r="D714" i="15"/>
  <c r="C714" i="15"/>
  <c r="F714" i="15" s="1"/>
  <c r="E714" i="15"/>
  <c r="B670" i="15"/>
  <c r="D670" i="15"/>
  <c r="E670" i="15"/>
  <c r="C1704" i="15"/>
  <c r="F1704" i="15" s="1"/>
  <c r="B1689" i="15"/>
  <c r="C1686" i="15"/>
  <c r="F1686" i="15" s="1"/>
  <c r="C1679" i="15"/>
  <c r="F1679" i="15" s="1"/>
  <c r="D1676" i="15"/>
  <c r="B1674" i="15"/>
  <c r="C1671" i="15"/>
  <c r="F1671" i="15" s="1"/>
  <c r="D1669" i="15"/>
  <c r="E1653" i="15"/>
  <c r="B1646" i="15"/>
  <c r="D1641" i="15"/>
  <c r="B1638" i="15"/>
  <c r="B1634" i="15"/>
  <c r="B1621" i="15"/>
  <c r="E1617" i="15"/>
  <c r="B1604" i="15"/>
  <c r="C1594" i="15"/>
  <c r="F1594" i="15" s="1"/>
  <c r="E1591" i="15"/>
  <c r="C1586" i="15"/>
  <c r="F1586" i="15" s="1"/>
  <c r="C1582" i="15"/>
  <c r="F1582" i="15" s="1"/>
  <c r="B1575" i="15"/>
  <c r="D1565" i="15"/>
  <c r="E1555" i="15"/>
  <c r="C1553" i="15"/>
  <c r="F1553" i="15" s="1"/>
  <c r="C1550" i="15"/>
  <c r="F1550" i="15" s="1"/>
  <c r="D1538" i="15"/>
  <c r="E1521" i="15"/>
  <c r="E1509" i="15"/>
  <c r="E1497" i="15"/>
  <c r="D1386" i="15"/>
  <c r="E1377" i="15"/>
  <c r="B1286" i="15"/>
  <c r="B1282" i="15"/>
  <c r="E1279" i="15"/>
  <c r="B1277" i="15"/>
  <c r="E1273" i="15"/>
  <c r="C1269" i="15"/>
  <c r="F1269" i="15" s="1"/>
  <c r="B1267" i="15"/>
  <c r="C1265" i="15"/>
  <c r="F1265" i="15" s="1"/>
  <c r="E1254" i="15"/>
  <c r="E1252" i="15"/>
  <c r="E1244" i="15"/>
  <c r="E1242" i="15"/>
  <c r="E1225" i="15"/>
  <c r="D1223" i="15"/>
  <c r="B1220" i="15"/>
  <c r="E1216" i="15"/>
  <c r="E1214" i="15"/>
  <c r="C1212" i="15"/>
  <c r="F1212" i="15" s="1"/>
  <c r="B1209" i="15"/>
  <c r="D1201" i="15"/>
  <c r="C1199" i="15"/>
  <c r="F1199" i="15" s="1"/>
  <c r="C1197" i="15"/>
  <c r="F1197" i="15" s="1"/>
  <c r="D1191" i="15"/>
  <c r="B1187" i="15"/>
  <c r="D1183" i="15"/>
  <c r="B1181" i="15"/>
  <c r="B1174" i="15"/>
  <c r="E1164" i="15"/>
  <c r="D1151" i="15"/>
  <c r="C1137" i="15"/>
  <c r="F1137" i="15" s="1"/>
  <c r="D1125" i="15"/>
  <c r="D1114" i="15"/>
  <c r="B1106" i="15"/>
  <c r="B1102" i="15"/>
  <c r="D1068" i="15"/>
  <c r="C1068" i="15"/>
  <c r="F1068" i="15" s="1"/>
  <c r="B1054" i="15"/>
  <c r="B1051" i="15"/>
  <c r="B1044" i="15"/>
  <c r="C1033" i="15"/>
  <c r="F1033" i="15" s="1"/>
  <c r="E1033" i="15"/>
  <c r="C1002" i="15"/>
  <c r="F1002" i="15" s="1"/>
  <c r="B1002" i="15"/>
  <c r="D1002" i="15"/>
  <c r="C973" i="15"/>
  <c r="F973" i="15" s="1"/>
  <c r="E973" i="15"/>
  <c r="D840" i="15"/>
  <c r="E832" i="15"/>
  <c r="C832" i="15"/>
  <c r="F832" i="15" s="1"/>
  <c r="E763" i="15"/>
  <c r="C763" i="15"/>
  <c r="F763" i="15" s="1"/>
  <c r="D763" i="15"/>
  <c r="B745" i="15"/>
  <c r="C703" i="15"/>
  <c r="F703" i="15" s="1"/>
  <c r="D673" i="15"/>
  <c r="D285" i="15"/>
  <c r="E4177" i="15"/>
  <c r="D4141" i="15"/>
  <c r="C278" i="15"/>
  <c r="F278" i="15" s="1"/>
  <c r="E278" i="15"/>
  <c r="C1075" i="15"/>
  <c r="F1075" i="15" s="1"/>
  <c r="B1072" i="15"/>
  <c r="B1066" i="15"/>
  <c r="B1063" i="15"/>
  <c r="B1053" i="15"/>
  <c r="D1031" i="15"/>
  <c r="B982" i="15"/>
  <c r="B968" i="15"/>
  <c r="D949" i="15"/>
  <c r="B937" i="15"/>
  <c r="D927" i="15"/>
  <c r="B880" i="15"/>
  <c r="C845" i="15"/>
  <c r="F845" i="15" s="1"/>
  <c r="C827" i="15"/>
  <c r="F827" i="15" s="1"/>
  <c r="B820" i="15"/>
  <c r="D805" i="15"/>
  <c r="C791" i="15"/>
  <c r="F791" i="15" s="1"/>
  <c r="C782" i="15"/>
  <c r="F782" i="15" s="1"/>
  <c r="B775" i="15"/>
  <c r="D749" i="15"/>
  <c r="D729" i="15"/>
  <c r="D723" i="15"/>
  <c r="E704" i="15"/>
  <c r="D701" i="15"/>
  <c r="C695" i="15"/>
  <c r="F695" i="15" s="1"/>
  <c r="C693" i="15"/>
  <c r="F693" i="15" s="1"/>
  <c r="D688" i="15"/>
  <c r="D682" i="15"/>
  <c r="C677" i="15"/>
  <c r="F677" i="15" s="1"/>
  <c r="C667" i="15"/>
  <c r="F667" i="15" s="1"/>
  <c r="E660" i="15"/>
  <c r="B645" i="15"/>
  <c r="E625" i="15"/>
  <c r="B622" i="15"/>
  <c r="C608" i="15"/>
  <c r="F608" i="15" s="1"/>
  <c r="B591" i="15"/>
  <c r="C581" i="15"/>
  <c r="F581" i="15" s="1"/>
  <c r="B578" i="15"/>
  <c r="D556" i="15"/>
  <c r="E528" i="15"/>
  <c r="D522" i="15"/>
  <c r="D508" i="15"/>
  <c r="D487" i="15"/>
  <c r="D484" i="15"/>
  <c r="D451" i="15"/>
  <c r="E421" i="15"/>
  <c r="B411" i="15"/>
  <c r="E401" i="15"/>
  <c r="E391" i="15"/>
  <c r="C288" i="15"/>
  <c r="F288" i="15" s="1"/>
  <c r="B288" i="15"/>
  <c r="B147" i="15"/>
  <c r="C147" i="15"/>
  <c r="F147" i="15" s="1"/>
  <c r="E68" i="15"/>
  <c r="B922" i="15"/>
  <c r="B892" i="15"/>
  <c r="C812" i="15"/>
  <c r="F812" i="15" s="1"/>
  <c r="C805" i="15"/>
  <c r="F805" i="15" s="1"/>
  <c r="D777" i="15"/>
  <c r="C760" i="15"/>
  <c r="F760" i="15" s="1"/>
  <c r="D731" i="15"/>
  <c r="D725" i="15"/>
  <c r="C720" i="15"/>
  <c r="F720" i="15" s="1"/>
  <c r="E712" i="15"/>
  <c r="C688" i="15"/>
  <c r="F688" i="15" s="1"/>
  <c r="E663" i="15"/>
  <c r="D660" i="15"/>
  <c r="B611" i="15"/>
  <c r="D603" i="15"/>
  <c r="D585" i="15"/>
  <c r="E516" i="15"/>
  <c r="B465" i="15"/>
  <c r="E455" i="15"/>
  <c r="C421" i="15"/>
  <c r="F421" i="15" s="1"/>
  <c r="C365" i="15"/>
  <c r="F365" i="15" s="1"/>
  <c r="E753" i="15"/>
  <c r="E662" i="15"/>
  <c r="E566" i="15"/>
  <c r="C559" i="15"/>
  <c r="F559" i="15" s="1"/>
  <c r="B555" i="15"/>
  <c r="E523" i="15"/>
  <c r="D516" i="15"/>
  <c r="B483" i="15"/>
  <c r="E467" i="15"/>
  <c r="D430" i="15"/>
  <c r="D394" i="15"/>
  <c r="D317" i="15"/>
  <c r="B317" i="15"/>
  <c r="E174" i="15"/>
  <c r="D174" i="15"/>
  <c r="D122" i="15"/>
  <c r="E72" i="15"/>
  <c r="B72" i="15"/>
  <c r="C107" i="15"/>
  <c r="F107" i="15" s="1"/>
  <c r="D159" i="15"/>
  <c r="B272" i="15"/>
  <c r="E326" i="15"/>
  <c r="E123" i="15"/>
  <c r="C128" i="15"/>
  <c r="F128" i="15" s="1"/>
  <c r="D200" i="15"/>
  <c r="D263" i="15"/>
  <c r="E268" i="15"/>
  <c r="E272" i="15"/>
  <c r="B276" i="15"/>
  <c r="E286" i="15"/>
  <c r="B290" i="15"/>
  <c r="B304" i="15"/>
  <c r="C8" i="15"/>
  <c r="F8" i="15" s="1"/>
  <c r="C3" i="15"/>
  <c r="F3" i="15" s="1"/>
  <c r="B344" i="15"/>
  <c r="B339" i="15"/>
  <c r="B333" i="15"/>
  <c r="B323" i="15"/>
  <c r="C314" i="15"/>
  <c r="F314" i="15" s="1"/>
  <c r="D309" i="15"/>
  <c r="E300" i="15"/>
  <c r="D281" i="15"/>
  <c r="B252" i="15"/>
  <c r="B246" i="15"/>
  <c r="B236" i="15"/>
  <c r="B226" i="15"/>
  <c r="B222" i="15"/>
  <c r="C217" i="15"/>
  <c r="F217" i="15" s="1"/>
  <c r="C206" i="15"/>
  <c r="F206" i="15" s="1"/>
  <c r="C189" i="15"/>
  <c r="F189" i="15" s="1"/>
  <c r="B177" i="15"/>
  <c r="C172" i="15"/>
  <c r="F172" i="15" s="1"/>
  <c r="C166" i="15"/>
  <c r="F166" i="15" s="1"/>
  <c r="C160" i="15"/>
  <c r="F160" i="15" s="1"/>
  <c r="C155" i="15"/>
  <c r="F155" i="15" s="1"/>
  <c r="C140" i="15"/>
  <c r="F140" i="15" s="1"/>
  <c r="C108" i="15"/>
  <c r="F108" i="15" s="1"/>
  <c r="B97" i="15"/>
  <c r="E91" i="15"/>
  <c r="E70" i="15"/>
  <c r="E64" i="15"/>
  <c r="D59" i="15"/>
  <c r="C53" i="15"/>
  <c r="F53" i="15" s="1"/>
  <c r="C47" i="15"/>
  <c r="F47" i="15" s="1"/>
  <c r="C36" i="15"/>
  <c r="F36" i="15" s="1"/>
  <c r="E2" i="15"/>
  <c r="B349" i="15"/>
  <c r="D343" i="15"/>
  <c r="B338" i="15"/>
  <c r="B332" i="15"/>
  <c r="D313" i="15"/>
  <c r="C304" i="15"/>
  <c r="F304" i="15" s="1"/>
  <c r="D299" i="15"/>
  <c r="E294" i="15"/>
  <c r="C276" i="15"/>
  <c r="F276" i="15" s="1"/>
  <c r="C268" i="15"/>
  <c r="F268" i="15" s="1"/>
  <c r="D257" i="15"/>
  <c r="D251" i="15"/>
  <c r="D245" i="15"/>
  <c r="B240" i="15"/>
  <c r="E230" i="15"/>
  <c r="D221" i="15"/>
  <c r="E216" i="15"/>
  <c r="C205" i="15"/>
  <c r="F205" i="15" s="1"/>
  <c r="C200" i="15"/>
  <c r="F200" i="15" s="1"/>
  <c r="C194" i="15"/>
  <c r="C176" i="15"/>
  <c r="F176" i="15" s="1"/>
  <c r="E171" i="15"/>
  <c r="C154" i="15"/>
  <c r="F154" i="15" s="1"/>
  <c r="C134" i="15"/>
  <c r="F134" i="15" s="1"/>
  <c r="B128" i="15"/>
  <c r="B123" i="15"/>
  <c r="B118" i="15"/>
  <c r="B102" i="15"/>
  <c r="C90" i="15"/>
  <c r="F90" i="15" s="1"/>
  <c r="B80" i="15"/>
  <c r="C74" i="15"/>
  <c r="F74" i="15" s="1"/>
  <c r="C69" i="15"/>
  <c r="F69" i="15" s="1"/>
  <c r="E58" i="15"/>
  <c r="C52" i="15"/>
  <c r="F52" i="15" s="1"/>
  <c r="C35" i="15"/>
  <c r="F35" i="15" s="1"/>
  <c r="C29" i="15"/>
  <c r="F29" i="15" s="1"/>
  <c r="E23" i="15"/>
  <c r="C18" i="15"/>
  <c r="F18" i="15" s="1"/>
  <c r="C12" i="15"/>
  <c r="F12" i="15" s="1"/>
  <c r="D372" i="15"/>
  <c r="E361" i="15"/>
  <c r="B356" i="15"/>
  <c r="B347" i="15"/>
  <c r="C326" i="15"/>
  <c r="F326" i="15" s="1"/>
  <c r="D320" i="15"/>
  <c r="B316" i="15"/>
  <c r="D311" i="15"/>
  <c r="B306" i="15"/>
  <c r="E303" i="15"/>
  <c r="E297" i="15"/>
  <c r="B224" i="15"/>
  <c r="E214" i="15"/>
  <c r="C198" i="15"/>
  <c r="F198" i="15" s="1"/>
  <c r="C186" i="15"/>
  <c r="F186" i="15" s="1"/>
  <c r="B180" i="15"/>
  <c r="C169" i="15"/>
  <c r="F169" i="15" s="1"/>
  <c r="C163" i="15"/>
  <c r="F163" i="15" s="1"/>
  <c r="E143" i="15"/>
  <c r="B138" i="15"/>
  <c r="D131" i="15"/>
  <c r="B116" i="15"/>
  <c r="C110" i="15"/>
  <c r="F110" i="15" s="1"/>
  <c r="C100" i="15"/>
  <c r="F100" i="15" s="1"/>
  <c r="C94" i="15"/>
  <c r="F94" i="15" s="1"/>
  <c r="B88" i="15"/>
  <c r="D83" i="15"/>
  <c r="D78" i="15"/>
  <c r="C44" i="15"/>
  <c r="F44" i="15" s="1"/>
  <c r="C27" i="15"/>
  <c r="F27" i="15" s="1"/>
  <c r="B16" i="15"/>
  <c r="B10" i="15"/>
  <c r="E5" i="15"/>
  <c r="B4416" i="15"/>
  <c r="C4416" i="15"/>
  <c r="F4416" i="15" s="1"/>
  <c r="B4267" i="15"/>
  <c r="B4252" i="15"/>
  <c r="C4252" i="15"/>
  <c r="F4252" i="15" s="1"/>
  <c r="B4225" i="15"/>
  <c r="C4225" i="15"/>
  <c r="F4225" i="15" s="1"/>
  <c r="B4223" i="15"/>
  <c r="E4223" i="15"/>
  <c r="B4213" i="15"/>
  <c r="C4213" i="15"/>
  <c r="F4213" i="15" s="1"/>
  <c r="B4198" i="15"/>
  <c r="C4198" i="15"/>
  <c r="F4198" i="15" s="1"/>
  <c r="B4196" i="15"/>
  <c r="E4196" i="15"/>
  <c r="B4174" i="15"/>
  <c r="C4174" i="15"/>
  <c r="F4174" i="15" s="1"/>
  <c r="D4174" i="15"/>
  <c r="B4165" i="15"/>
  <c r="C4165" i="15"/>
  <c r="F4165" i="15" s="1"/>
  <c r="D4165" i="15"/>
  <c r="B4156" i="15"/>
  <c r="C4156" i="15"/>
  <c r="F4156" i="15" s="1"/>
  <c r="D4156" i="15"/>
  <c r="B4128" i="15"/>
  <c r="E4128" i="15"/>
  <c r="B4121" i="15"/>
  <c r="C4121" i="15"/>
  <c r="F4121" i="15" s="1"/>
  <c r="B4118" i="15"/>
  <c r="C4118" i="15"/>
  <c r="F4118" i="15" s="1"/>
  <c r="D4118" i="15"/>
  <c r="E4118" i="15"/>
  <c r="B4116" i="15"/>
  <c r="E4116" i="15"/>
  <c r="D4116" i="15"/>
  <c r="B4114" i="15"/>
  <c r="E4114" i="15"/>
  <c r="B4102" i="15"/>
  <c r="C4102" i="15"/>
  <c r="F4102" i="15" s="1"/>
  <c r="D4102" i="15"/>
  <c r="B4092" i="15"/>
  <c r="E4092" i="15"/>
  <c r="C4092" i="15"/>
  <c r="F4092" i="15" s="1"/>
  <c r="B4075" i="15"/>
  <c r="C4075" i="15"/>
  <c r="F4075" i="15" s="1"/>
  <c r="D4075" i="15"/>
  <c r="B4065" i="15"/>
  <c r="E4065" i="15"/>
  <c r="C4065" i="15"/>
  <c r="F4065" i="15" s="1"/>
  <c r="B4048" i="15"/>
  <c r="C4048" i="15"/>
  <c r="F4048" i="15" s="1"/>
  <c r="D4048" i="15"/>
  <c r="B4032" i="15"/>
  <c r="E4032" i="15"/>
  <c r="C4032" i="15"/>
  <c r="F4032" i="15" s="1"/>
  <c r="D4032" i="15"/>
  <c r="B4023" i="15"/>
  <c r="E4023" i="15"/>
  <c r="C4023" i="15"/>
  <c r="F4023" i="15" s="1"/>
  <c r="D4023" i="15"/>
  <c r="B4014" i="15"/>
  <c r="E4014" i="15"/>
  <c r="C4014" i="15"/>
  <c r="F4014" i="15" s="1"/>
  <c r="D4014" i="15"/>
  <c r="B4005" i="15"/>
  <c r="E4005" i="15"/>
  <c r="C4005" i="15"/>
  <c r="F4005" i="15" s="1"/>
  <c r="D4005" i="15"/>
  <c r="B3996" i="15"/>
  <c r="E3996" i="15"/>
  <c r="C3996" i="15"/>
  <c r="F3996" i="15" s="1"/>
  <c r="D3996" i="15"/>
  <c r="B3987" i="15"/>
  <c r="E3987" i="15"/>
  <c r="C3987" i="15"/>
  <c r="F3987" i="15" s="1"/>
  <c r="D3987" i="15"/>
  <c r="B3978" i="15"/>
  <c r="E3978" i="15"/>
  <c r="C3978" i="15"/>
  <c r="F3978" i="15" s="1"/>
  <c r="D3978" i="15"/>
  <c r="B3969" i="15"/>
  <c r="E3969" i="15"/>
  <c r="C3969" i="15"/>
  <c r="F3969" i="15" s="1"/>
  <c r="D3969" i="15"/>
  <c r="B3960" i="15"/>
  <c r="E3960" i="15"/>
  <c r="C3960" i="15"/>
  <c r="F3960" i="15" s="1"/>
  <c r="D3960" i="15"/>
  <c r="B3951" i="15"/>
  <c r="E3951" i="15"/>
  <c r="C3951" i="15"/>
  <c r="F3951" i="15" s="1"/>
  <c r="D3951" i="15"/>
  <c r="B3942" i="15"/>
  <c r="E3942" i="15"/>
  <c r="C3942" i="15"/>
  <c r="F3942" i="15" s="1"/>
  <c r="D3942" i="15"/>
  <c r="B3933" i="15"/>
  <c r="E3933" i="15"/>
  <c r="C3933" i="15"/>
  <c r="F3933" i="15" s="1"/>
  <c r="D3933" i="15"/>
  <c r="B3924" i="15"/>
  <c r="E3924" i="15"/>
  <c r="C3924" i="15"/>
  <c r="F3924" i="15" s="1"/>
  <c r="D3924" i="15"/>
  <c r="B3915" i="15"/>
  <c r="E3915" i="15"/>
  <c r="C3915" i="15"/>
  <c r="F3915" i="15" s="1"/>
  <c r="D3915" i="15"/>
  <c r="B3906" i="15"/>
  <c r="E3906" i="15"/>
  <c r="C3906" i="15"/>
  <c r="F3906" i="15" s="1"/>
  <c r="D3906" i="15"/>
  <c r="B3903" i="15"/>
  <c r="E3903" i="15"/>
  <c r="D3903" i="15"/>
  <c r="B3899" i="15"/>
  <c r="C3899" i="15"/>
  <c r="F3899" i="15" s="1"/>
  <c r="D3899" i="15"/>
  <c r="E3899" i="15"/>
  <c r="B3868" i="15"/>
  <c r="C3868" i="15"/>
  <c r="F3868" i="15" s="1"/>
  <c r="E3868" i="15"/>
  <c r="B3859" i="15"/>
  <c r="C3859" i="15"/>
  <c r="F3859" i="15" s="1"/>
  <c r="D3859" i="15"/>
  <c r="E3859" i="15"/>
  <c r="B3856" i="15"/>
  <c r="E3856" i="15"/>
  <c r="D3856" i="15"/>
  <c r="B3853" i="15"/>
  <c r="C3853" i="15"/>
  <c r="F3853" i="15" s="1"/>
  <c r="E3853" i="15"/>
  <c r="D3853" i="15"/>
  <c r="B3822" i="15"/>
  <c r="E3822" i="15"/>
  <c r="C3822" i="15"/>
  <c r="F3822" i="15" s="1"/>
  <c r="D3822" i="15"/>
  <c r="B3803" i="15"/>
  <c r="C3803" i="15"/>
  <c r="F3803" i="15" s="1"/>
  <c r="D3803" i="15"/>
  <c r="E3803" i="15"/>
  <c r="C3768" i="15"/>
  <c r="F3768" i="15" s="1"/>
  <c r="E3768" i="15"/>
  <c r="E3744" i="15"/>
  <c r="C3744" i="15"/>
  <c r="F3744" i="15" s="1"/>
  <c r="C3706" i="15"/>
  <c r="F3706" i="15" s="1"/>
  <c r="E3706" i="15"/>
  <c r="C3660" i="15"/>
  <c r="F3660" i="15" s="1"/>
  <c r="E3660" i="15"/>
  <c r="C3354" i="15"/>
  <c r="F3354" i="15" s="1"/>
  <c r="E3354" i="15"/>
  <c r="C3270" i="15"/>
  <c r="F3270" i="15" s="1"/>
  <c r="E3270" i="15"/>
  <c r="B3270" i="15"/>
  <c r="D3270" i="15"/>
  <c r="B3050" i="15"/>
  <c r="E3050" i="15"/>
  <c r="C3034" i="15"/>
  <c r="F3034" i="15" s="1"/>
  <c r="B3034" i="15"/>
  <c r="D3034" i="15"/>
  <c r="E3034" i="15"/>
  <c r="C3030" i="15"/>
  <c r="F3030" i="15" s="1"/>
  <c r="B3030" i="15"/>
  <c r="D3030" i="15"/>
  <c r="E3030" i="15"/>
  <c r="C2990" i="15"/>
  <c r="F2990" i="15" s="1"/>
  <c r="B2990" i="15"/>
  <c r="E2990" i="15"/>
  <c r="B2939" i="15"/>
  <c r="C2939" i="15"/>
  <c r="F2939" i="15" s="1"/>
  <c r="D2939" i="15"/>
  <c r="E2939" i="15"/>
  <c r="B2849" i="15"/>
  <c r="C2849" i="15"/>
  <c r="F2849" i="15" s="1"/>
  <c r="D2849" i="15"/>
  <c r="E2849" i="15"/>
  <c r="B2802" i="15"/>
  <c r="D2802" i="15"/>
  <c r="D2740" i="15"/>
  <c r="E2740" i="15"/>
  <c r="B2717" i="15"/>
  <c r="C2717" i="15"/>
  <c r="F2717" i="15" s="1"/>
  <c r="D2717" i="15"/>
  <c r="E2717" i="15"/>
  <c r="C2659" i="15"/>
  <c r="F2659" i="15" s="1"/>
  <c r="B2659" i="15"/>
  <c r="D2659" i="15"/>
  <c r="E2659" i="15"/>
  <c r="B2651" i="15"/>
  <c r="C2651" i="15"/>
  <c r="F2651" i="15" s="1"/>
  <c r="D2651" i="15"/>
  <c r="E2651" i="15"/>
  <c r="B2645" i="15"/>
  <c r="C2645" i="15"/>
  <c r="F2645" i="15" s="1"/>
  <c r="D2645" i="15"/>
  <c r="E2645" i="15"/>
  <c r="B2564" i="15"/>
  <c r="E2564" i="15"/>
  <c r="D2560" i="15"/>
  <c r="B2560" i="15"/>
  <c r="C2560" i="15"/>
  <c r="F2560" i="15" s="1"/>
  <c r="E2560" i="15"/>
  <c r="D2451" i="15"/>
  <c r="B2451" i="15"/>
  <c r="E2422" i="15"/>
  <c r="B2422" i="15"/>
  <c r="B2403" i="15"/>
  <c r="E2403" i="15"/>
  <c r="E2211" i="15"/>
  <c r="B2211" i="15"/>
  <c r="C2105" i="15"/>
  <c r="F2105" i="15" s="1"/>
  <c r="D2105" i="15"/>
  <c r="E2105" i="15"/>
  <c r="D2004" i="15"/>
  <c r="B2004" i="15"/>
  <c r="E2000" i="15"/>
  <c r="C2000" i="15"/>
  <c r="F2000" i="15" s="1"/>
  <c r="D2000" i="15"/>
  <c r="B2000" i="15"/>
  <c r="E1952" i="15"/>
  <c r="D1952" i="15"/>
  <c r="B1952" i="15"/>
  <c r="C1952" i="15"/>
  <c r="F1952" i="15" s="1"/>
  <c r="E1922" i="15"/>
  <c r="B1922" i="15"/>
  <c r="D1922" i="15"/>
  <c r="D1890" i="15"/>
  <c r="B1890" i="15"/>
  <c r="B4250" i="15"/>
  <c r="E4250" i="15"/>
  <c r="B4240" i="15"/>
  <c r="C4240" i="15"/>
  <c r="F4240" i="15" s="1"/>
  <c r="B4432" i="15"/>
  <c r="C4432" i="15"/>
  <c r="F4432" i="15" s="1"/>
  <c r="B4430" i="15"/>
  <c r="E4430" i="15"/>
  <c r="B4428" i="15"/>
  <c r="E4428" i="15"/>
  <c r="B4405" i="15"/>
  <c r="C4405" i="15"/>
  <c r="F4405" i="15" s="1"/>
  <c r="B4403" i="15"/>
  <c r="E4403" i="15"/>
  <c r="B4401" i="15"/>
  <c r="E4401" i="15"/>
  <c r="B4378" i="15"/>
  <c r="C4378" i="15"/>
  <c r="F4378" i="15" s="1"/>
  <c r="B4376" i="15"/>
  <c r="E4376" i="15"/>
  <c r="B4374" i="15"/>
  <c r="E4374" i="15"/>
  <c r="B4351" i="15"/>
  <c r="C4351" i="15"/>
  <c r="F4351" i="15" s="1"/>
  <c r="B4349" i="15"/>
  <c r="E4349" i="15"/>
  <c r="B4347" i="15"/>
  <c r="E4347" i="15"/>
  <c r="B4324" i="15"/>
  <c r="C4324" i="15"/>
  <c r="F4324" i="15" s="1"/>
  <c r="B4322" i="15"/>
  <c r="E4322" i="15"/>
  <c r="B4320" i="15"/>
  <c r="E4320" i="15"/>
  <c r="B4297" i="15"/>
  <c r="C4297" i="15"/>
  <c r="F4297" i="15" s="1"/>
  <c r="B4295" i="15"/>
  <c r="E4295" i="15"/>
  <c r="B4293" i="15"/>
  <c r="E4293" i="15"/>
  <c r="B4272" i="15"/>
  <c r="C4272" i="15"/>
  <c r="F4272" i="15" s="1"/>
  <c r="B4254" i="15"/>
  <c r="C4254" i="15"/>
  <c r="F4254" i="15" s="1"/>
  <c r="B4245" i="15"/>
  <c r="C4245" i="15"/>
  <c r="F4245" i="15" s="1"/>
  <c r="B4227" i="15"/>
  <c r="C4227" i="15"/>
  <c r="F4227" i="15" s="1"/>
  <c r="B4218" i="15"/>
  <c r="C4218" i="15"/>
  <c r="F4218" i="15" s="1"/>
  <c r="B4200" i="15"/>
  <c r="C4200" i="15"/>
  <c r="F4200" i="15" s="1"/>
  <c r="B4188" i="15"/>
  <c r="D4188" i="15"/>
  <c r="E4188" i="15"/>
  <c r="B4185" i="15"/>
  <c r="E4185" i="15"/>
  <c r="B4137" i="15"/>
  <c r="E4137" i="15"/>
  <c r="B4130" i="15"/>
  <c r="C4130" i="15"/>
  <c r="F4130" i="15" s="1"/>
  <c r="B4127" i="15"/>
  <c r="C4127" i="15"/>
  <c r="F4127" i="15" s="1"/>
  <c r="D4127" i="15"/>
  <c r="E4127" i="15"/>
  <c r="B4125" i="15"/>
  <c r="E4125" i="15"/>
  <c r="D4125" i="15"/>
  <c r="B4123" i="15"/>
  <c r="E4123" i="15"/>
  <c r="B4111" i="15"/>
  <c r="C4111" i="15"/>
  <c r="F4111" i="15" s="1"/>
  <c r="D4111" i="15"/>
  <c r="B4091" i="15"/>
  <c r="C4091" i="15"/>
  <c r="F4091" i="15" s="1"/>
  <c r="D4091" i="15"/>
  <c r="E4091" i="15"/>
  <c r="B4089" i="15"/>
  <c r="E4089" i="15"/>
  <c r="D4089" i="15"/>
  <c r="B4064" i="15"/>
  <c r="C4064" i="15"/>
  <c r="F4064" i="15" s="1"/>
  <c r="D4064" i="15"/>
  <c r="E4064" i="15"/>
  <c r="B4062" i="15"/>
  <c r="E4062" i="15"/>
  <c r="D4062" i="15"/>
  <c r="B3902" i="15"/>
  <c r="C3902" i="15"/>
  <c r="F3902" i="15" s="1"/>
  <c r="D3902" i="15"/>
  <c r="E3902" i="15"/>
  <c r="B3896" i="15"/>
  <c r="C3896" i="15"/>
  <c r="F3896" i="15" s="1"/>
  <c r="D3896" i="15"/>
  <c r="B3884" i="15"/>
  <c r="C3884" i="15"/>
  <c r="F3884" i="15" s="1"/>
  <c r="D3884" i="15"/>
  <c r="B3867" i="15"/>
  <c r="E3867" i="15"/>
  <c r="D3867" i="15"/>
  <c r="C3867" i="15"/>
  <c r="F3867" i="15" s="1"/>
  <c r="B3835" i="15"/>
  <c r="E3835" i="15"/>
  <c r="B3832" i="15"/>
  <c r="C3832" i="15"/>
  <c r="F3832" i="15" s="1"/>
  <c r="D3832" i="15"/>
  <c r="B3818" i="15"/>
  <c r="C3818" i="15"/>
  <c r="F3818" i="15" s="1"/>
  <c r="E3818" i="15"/>
  <c r="D3818" i="15"/>
  <c r="C3786" i="15"/>
  <c r="F3786" i="15" s="1"/>
  <c r="E3786" i="15"/>
  <c r="E3775" i="15"/>
  <c r="E3772" i="15"/>
  <c r="E3762" i="15"/>
  <c r="C3762" i="15"/>
  <c r="F3762" i="15" s="1"/>
  <c r="C3724" i="15"/>
  <c r="F3724" i="15" s="1"/>
  <c r="E3724" i="15"/>
  <c r="C3678" i="15"/>
  <c r="F3678" i="15" s="1"/>
  <c r="E3678" i="15"/>
  <c r="E3667" i="15"/>
  <c r="E3654" i="15"/>
  <c r="C3654" i="15"/>
  <c r="F3654" i="15" s="1"/>
  <c r="B4308" i="15"/>
  <c r="C4308" i="15"/>
  <c r="F4308" i="15" s="1"/>
  <c r="B4281" i="15"/>
  <c r="C4281" i="15"/>
  <c r="F4281" i="15" s="1"/>
  <c r="E4433" i="15"/>
  <c r="E4431" i="15"/>
  <c r="E4429" i="15"/>
  <c r="C4417" i="15"/>
  <c r="F4417" i="15" s="1"/>
  <c r="C4415" i="15"/>
  <c r="F4415" i="15" s="1"/>
  <c r="C4413" i="15"/>
  <c r="F4413" i="15" s="1"/>
  <c r="B4407" i="15"/>
  <c r="C4407" i="15"/>
  <c r="F4407" i="15" s="1"/>
  <c r="E4402" i="15"/>
  <c r="C4390" i="15"/>
  <c r="F4390" i="15" s="1"/>
  <c r="C4388" i="15"/>
  <c r="F4388" i="15" s="1"/>
  <c r="C4386" i="15"/>
  <c r="F4386" i="15" s="1"/>
  <c r="B4380" i="15"/>
  <c r="C4380" i="15"/>
  <c r="F4380" i="15" s="1"/>
  <c r="E4375" i="15"/>
  <c r="C4363" i="15"/>
  <c r="F4363" i="15" s="1"/>
  <c r="C4361" i="15"/>
  <c r="F4361" i="15" s="1"/>
  <c r="C4359" i="15"/>
  <c r="F4359" i="15" s="1"/>
  <c r="B4353" i="15"/>
  <c r="C4353" i="15"/>
  <c r="F4353" i="15" s="1"/>
  <c r="E4348" i="15"/>
  <c r="C4336" i="15"/>
  <c r="F4336" i="15" s="1"/>
  <c r="C4334" i="15"/>
  <c r="F4334" i="15" s="1"/>
  <c r="C4332" i="15"/>
  <c r="F4332" i="15" s="1"/>
  <c r="B4326" i="15"/>
  <c r="C4326" i="15"/>
  <c r="F4326" i="15" s="1"/>
  <c r="E4321" i="15"/>
  <c r="C4309" i="15"/>
  <c r="F4309" i="15" s="1"/>
  <c r="C4307" i="15"/>
  <c r="F4307" i="15" s="1"/>
  <c r="C4305" i="15"/>
  <c r="F4305" i="15" s="1"/>
  <c r="B4299" i="15"/>
  <c r="C4299" i="15"/>
  <c r="F4299" i="15" s="1"/>
  <c r="C4282" i="15"/>
  <c r="F4282" i="15" s="1"/>
  <c r="C4280" i="15"/>
  <c r="F4280" i="15" s="1"/>
  <c r="C4278" i="15"/>
  <c r="F4278" i="15" s="1"/>
  <c r="B4269" i="15"/>
  <c r="D4269" i="15"/>
  <c r="C4264" i="15"/>
  <c r="F4264" i="15" s="1"/>
  <c r="B4242" i="15"/>
  <c r="D4242" i="15"/>
  <c r="C4237" i="15"/>
  <c r="F4237" i="15" s="1"/>
  <c r="C4222" i="15"/>
  <c r="F4222" i="15" s="1"/>
  <c r="B4215" i="15"/>
  <c r="D4215" i="15"/>
  <c r="C4210" i="15"/>
  <c r="F4210" i="15" s="1"/>
  <c r="B4182" i="15"/>
  <c r="C4182" i="15"/>
  <c r="F4182" i="15" s="1"/>
  <c r="D4182" i="15"/>
  <c r="E4182" i="15"/>
  <c r="B4146" i="15"/>
  <c r="E4146" i="15"/>
  <c r="B4139" i="15"/>
  <c r="C4139" i="15"/>
  <c r="F4139" i="15" s="1"/>
  <c r="B4136" i="15"/>
  <c r="C4136" i="15"/>
  <c r="F4136" i="15" s="1"/>
  <c r="D4136" i="15"/>
  <c r="E4136" i="15"/>
  <c r="B4134" i="15"/>
  <c r="E4134" i="15"/>
  <c r="D4134" i="15"/>
  <c r="B4132" i="15"/>
  <c r="E4132" i="15"/>
  <c r="B4120" i="15"/>
  <c r="C4120" i="15"/>
  <c r="F4120" i="15" s="1"/>
  <c r="D4120" i="15"/>
  <c r="B4101" i="15"/>
  <c r="E4101" i="15"/>
  <c r="C4101" i="15"/>
  <c r="F4101" i="15" s="1"/>
  <c r="B4084" i="15"/>
  <c r="C4084" i="15"/>
  <c r="F4084" i="15" s="1"/>
  <c r="D4084" i="15"/>
  <c r="B4074" i="15"/>
  <c r="E4074" i="15"/>
  <c r="C4074" i="15"/>
  <c r="F4074" i="15" s="1"/>
  <c r="B4057" i="15"/>
  <c r="C4057" i="15"/>
  <c r="F4057" i="15" s="1"/>
  <c r="D4057" i="15"/>
  <c r="B4047" i="15"/>
  <c r="E4047" i="15"/>
  <c r="C4047" i="15"/>
  <c r="F4047" i="15" s="1"/>
  <c r="B3901" i="15"/>
  <c r="E3901" i="15"/>
  <c r="C3901" i="15"/>
  <c r="F3901" i="15" s="1"/>
  <c r="D3901" i="15"/>
  <c r="B3887" i="15"/>
  <c r="C3887" i="15"/>
  <c r="F3887" i="15" s="1"/>
  <c r="D3887" i="15"/>
  <c r="E3887" i="15"/>
  <c r="B3840" i="15"/>
  <c r="E3840" i="15"/>
  <c r="D3840" i="15"/>
  <c r="C3840" i="15"/>
  <c r="F3840" i="15" s="1"/>
  <c r="B3812" i="15"/>
  <c r="C3812" i="15"/>
  <c r="F3812" i="15" s="1"/>
  <c r="D3812" i="15"/>
  <c r="E3780" i="15"/>
  <c r="C3780" i="15"/>
  <c r="F3780" i="15" s="1"/>
  <c r="C3742" i="15"/>
  <c r="F3742" i="15" s="1"/>
  <c r="E3742" i="15"/>
  <c r="C3696" i="15"/>
  <c r="F3696" i="15" s="1"/>
  <c r="E3696" i="15"/>
  <c r="E3672" i="15"/>
  <c r="C3672" i="15"/>
  <c r="F3672" i="15" s="1"/>
  <c r="B4389" i="15"/>
  <c r="C4389" i="15"/>
  <c r="F4389" i="15" s="1"/>
  <c r="B4423" i="15"/>
  <c r="C4423" i="15"/>
  <c r="F4423" i="15" s="1"/>
  <c r="B4421" i="15"/>
  <c r="E4421" i="15"/>
  <c r="B4419" i="15"/>
  <c r="E4419" i="15"/>
  <c r="B4396" i="15"/>
  <c r="C4396" i="15"/>
  <c r="F4396" i="15" s="1"/>
  <c r="B4394" i="15"/>
  <c r="E4394" i="15"/>
  <c r="B4392" i="15"/>
  <c r="E4392" i="15"/>
  <c r="B4369" i="15"/>
  <c r="C4369" i="15"/>
  <c r="F4369" i="15" s="1"/>
  <c r="B4367" i="15"/>
  <c r="E4367" i="15"/>
  <c r="B4365" i="15"/>
  <c r="E4365" i="15"/>
  <c r="B4342" i="15"/>
  <c r="C4342" i="15"/>
  <c r="F4342" i="15" s="1"/>
  <c r="B4340" i="15"/>
  <c r="E4340" i="15"/>
  <c r="B4338" i="15"/>
  <c r="E4338" i="15"/>
  <c r="B4315" i="15"/>
  <c r="C4315" i="15"/>
  <c r="F4315" i="15" s="1"/>
  <c r="B4313" i="15"/>
  <c r="E4313" i="15"/>
  <c r="B4311" i="15"/>
  <c r="E4311" i="15"/>
  <c r="B4288" i="15"/>
  <c r="C4288" i="15"/>
  <c r="F4288" i="15" s="1"/>
  <c r="B4286" i="15"/>
  <c r="E4286" i="15"/>
  <c r="B4284" i="15"/>
  <c r="E4284" i="15"/>
  <c r="B4271" i="15"/>
  <c r="E4271" i="15"/>
  <c r="B4266" i="15"/>
  <c r="E4266" i="15"/>
  <c r="B4244" i="15"/>
  <c r="E4244" i="15"/>
  <c r="B4239" i="15"/>
  <c r="E4239" i="15"/>
  <c r="B4217" i="15"/>
  <c r="E4217" i="15"/>
  <c r="B4212" i="15"/>
  <c r="E4212" i="15"/>
  <c r="B4190" i="15"/>
  <c r="E4190" i="15"/>
  <c r="B4187" i="15"/>
  <c r="E4187" i="15"/>
  <c r="B4173" i="15"/>
  <c r="E4173" i="15"/>
  <c r="B4164" i="15"/>
  <c r="E4164" i="15"/>
  <c r="B4155" i="15"/>
  <c r="E4155" i="15"/>
  <c r="B4148" i="15"/>
  <c r="C4148" i="15"/>
  <c r="F4148" i="15" s="1"/>
  <c r="B4145" i="15"/>
  <c r="C4145" i="15"/>
  <c r="F4145" i="15" s="1"/>
  <c r="D4145" i="15"/>
  <c r="E4145" i="15"/>
  <c r="B4143" i="15"/>
  <c r="E4143" i="15"/>
  <c r="D4143" i="15"/>
  <c r="B4141" i="15"/>
  <c r="E4141" i="15"/>
  <c r="B4129" i="15"/>
  <c r="C4129" i="15"/>
  <c r="F4129" i="15" s="1"/>
  <c r="D4129" i="15"/>
  <c r="B4100" i="15"/>
  <c r="C4100" i="15"/>
  <c r="F4100" i="15" s="1"/>
  <c r="D4100" i="15"/>
  <c r="E4100" i="15"/>
  <c r="B4098" i="15"/>
  <c r="E4098" i="15"/>
  <c r="D4098" i="15"/>
  <c r="B4073" i="15"/>
  <c r="C4073" i="15"/>
  <c r="F4073" i="15" s="1"/>
  <c r="D4073" i="15"/>
  <c r="E4073" i="15"/>
  <c r="B4071" i="15"/>
  <c r="E4071" i="15"/>
  <c r="D4071" i="15"/>
  <c r="B4046" i="15"/>
  <c r="C4046" i="15"/>
  <c r="F4046" i="15" s="1"/>
  <c r="D4046" i="15"/>
  <c r="E4046" i="15"/>
  <c r="B4044" i="15"/>
  <c r="E4044" i="15"/>
  <c r="D4044" i="15"/>
  <c r="B4034" i="15"/>
  <c r="C4034" i="15"/>
  <c r="F4034" i="15" s="1"/>
  <c r="E4034" i="15"/>
  <c r="D4034" i="15"/>
  <c r="B4025" i="15"/>
  <c r="C4025" i="15"/>
  <c r="F4025" i="15" s="1"/>
  <c r="E4025" i="15"/>
  <c r="D4025" i="15"/>
  <c r="B4016" i="15"/>
  <c r="C4016" i="15"/>
  <c r="F4016" i="15" s="1"/>
  <c r="E4016" i="15"/>
  <c r="D4016" i="15"/>
  <c r="B4007" i="15"/>
  <c r="C4007" i="15"/>
  <c r="F4007" i="15" s="1"/>
  <c r="E4007" i="15"/>
  <c r="D4007" i="15"/>
  <c r="B3998" i="15"/>
  <c r="C3998" i="15"/>
  <c r="F3998" i="15" s="1"/>
  <c r="E3998" i="15"/>
  <c r="D3998" i="15"/>
  <c r="B3989" i="15"/>
  <c r="C3989" i="15"/>
  <c r="F3989" i="15" s="1"/>
  <c r="E3989" i="15"/>
  <c r="D3989" i="15"/>
  <c r="B3980" i="15"/>
  <c r="C3980" i="15"/>
  <c r="F3980" i="15" s="1"/>
  <c r="E3980" i="15"/>
  <c r="D3980" i="15"/>
  <c r="B3971" i="15"/>
  <c r="C3971" i="15"/>
  <c r="F3971" i="15" s="1"/>
  <c r="E3971" i="15"/>
  <c r="D3971" i="15"/>
  <c r="B3962" i="15"/>
  <c r="C3962" i="15"/>
  <c r="F3962" i="15" s="1"/>
  <c r="E3962" i="15"/>
  <c r="D3962" i="15"/>
  <c r="B3953" i="15"/>
  <c r="C3953" i="15"/>
  <c r="F3953" i="15" s="1"/>
  <c r="E3953" i="15"/>
  <c r="D3953" i="15"/>
  <c r="B3944" i="15"/>
  <c r="C3944" i="15"/>
  <c r="F3944" i="15" s="1"/>
  <c r="E3944" i="15"/>
  <c r="D3944" i="15"/>
  <c r="B3935" i="15"/>
  <c r="C3935" i="15"/>
  <c r="F3935" i="15" s="1"/>
  <c r="E3935" i="15"/>
  <c r="D3935" i="15"/>
  <c r="B3926" i="15"/>
  <c r="C3926" i="15"/>
  <c r="F3926" i="15" s="1"/>
  <c r="E3926" i="15"/>
  <c r="D3926" i="15"/>
  <c r="B3917" i="15"/>
  <c r="C3917" i="15"/>
  <c r="F3917" i="15" s="1"/>
  <c r="E3917" i="15"/>
  <c r="D3917" i="15"/>
  <c r="B3908" i="15"/>
  <c r="C3908" i="15"/>
  <c r="F3908" i="15" s="1"/>
  <c r="E3908" i="15"/>
  <c r="D3908" i="15"/>
  <c r="B3875" i="15"/>
  <c r="C3875" i="15"/>
  <c r="F3875" i="15" s="1"/>
  <c r="D3875" i="15"/>
  <c r="E3875" i="15"/>
  <c r="B3849" i="15"/>
  <c r="E3849" i="15"/>
  <c r="D3849" i="15"/>
  <c r="B3845" i="15"/>
  <c r="C3845" i="15"/>
  <c r="F3845" i="15" s="1"/>
  <c r="D3845" i="15"/>
  <c r="E3845" i="15"/>
  <c r="B3820" i="15"/>
  <c r="D3820" i="15"/>
  <c r="E3820" i="15"/>
  <c r="B3811" i="15"/>
  <c r="D3811" i="15"/>
  <c r="E3811" i="15"/>
  <c r="C3811" i="15"/>
  <c r="F3811" i="15" s="1"/>
  <c r="C3760" i="15"/>
  <c r="F3760" i="15" s="1"/>
  <c r="E3760" i="15"/>
  <c r="C3714" i="15"/>
  <c r="F3714" i="15" s="1"/>
  <c r="E3714" i="15"/>
  <c r="E3690" i="15"/>
  <c r="C3690" i="15"/>
  <c r="F3690" i="15" s="1"/>
  <c r="B4362" i="15"/>
  <c r="C4362" i="15"/>
  <c r="F4362" i="15" s="1"/>
  <c r="B4335" i="15"/>
  <c r="C4335" i="15"/>
  <c r="F4335" i="15" s="1"/>
  <c r="B4425" i="15"/>
  <c r="C4425" i="15"/>
  <c r="F4425" i="15" s="1"/>
  <c r="E4422" i="15"/>
  <c r="E4420" i="15"/>
  <c r="E4416" i="15"/>
  <c r="B4398" i="15"/>
  <c r="C4398" i="15"/>
  <c r="F4398" i="15" s="1"/>
  <c r="E4395" i="15"/>
  <c r="E4393" i="15"/>
  <c r="E4389" i="15"/>
  <c r="B4371" i="15"/>
  <c r="C4371" i="15"/>
  <c r="F4371" i="15" s="1"/>
  <c r="E4368" i="15"/>
  <c r="E4366" i="15"/>
  <c r="E4362" i="15"/>
  <c r="B4344" i="15"/>
  <c r="C4344" i="15"/>
  <c r="F4344" i="15" s="1"/>
  <c r="E4341" i="15"/>
  <c r="E4339" i="15"/>
  <c r="E4335" i="15"/>
  <c r="B4317" i="15"/>
  <c r="C4317" i="15"/>
  <c r="F4317" i="15" s="1"/>
  <c r="E4314" i="15"/>
  <c r="E4312" i="15"/>
  <c r="E4308" i="15"/>
  <c r="B4290" i="15"/>
  <c r="C4290" i="15"/>
  <c r="F4290" i="15" s="1"/>
  <c r="E4287" i="15"/>
  <c r="E4285" i="15"/>
  <c r="E4281" i="15"/>
  <c r="B4273" i="15"/>
  <c r="E4273" i="15"/>
  <c r="B4268" i="15"/>
  <c r="E4268" i="15"/>
  <c r="B4246" i="15"/>
  <c r="E4246" i="15"/>
  <c r="B4241" i="15"/>
  <c r="E4241" i="15"/>
  <c r="B4219" i="15"/>
  <c r="E4219" i="15"/>
  <c r="B4214" i="15"/>
  <c r="E4214" i="15"/>
  <c r="B4192" i="15"/>
  <c r="E4192" i="15"/>
  <c r="B4186" i="15"/>
  <c r="C4186" i="15"/>
  <c r="F4186" i="15" s="1"/>
  <c r="E4186" i="15"/>
  <c r="B4175" i="15"/>
  <c r="C4175" i="15"/>
  <c r="F4175" i="15" s="1"/>
  <c r="B4172" i="15"/>
  <c r="C4172" i="15"/>
  <c r="F4172" i="15" s="1"/>
  <c r="D4172" i="15"/>
  <c r="E4172" i="15"/>
  <c r="B4170" i="15"/>
  <c r="E4170" i="15"/>
  <c r="D4170" i="15"/>
  <c r="B4168" i="15"/>
  <c r="E4168" i="15"/>
  <c r="B4166" i="15"/>
  <c r="C4166" i="15"/>
  <c r="F4166" i="15" s="1"/>
  <c r="B4163" i="15"/>
  <c r="C4163" i="15"/>
  <c r="F4163" i="15" s="1"/>
  <c r="D4163" i="15"/>
  <c r="E4163" i="15"/>
  <c r="B4161" i="15"/>
  <c r="E4161" i="15"/>
  <c r="D4161" i="15"/>
  <c r="B4159" i="15"/>
  <c r="E4159" i="15"/>
  <c r="B4157" i="15"/>
  <c r="C4157" i="15"/>
  <c r="F4157" i="15" s="1"/>
  <c r="B4154" i="15"/>
  <c r="C4154" i="15"/>
  <c r="F4154" i="15" s="1"/>
  <c r="D4154" i="15"/>
  <c r="E4154" i="15"/>
  <c r="B4152" i="15"/>
  <c r="E4152" i="15"/>
  <c r="D4152" i="15"/>
  <c r="B4150" i="15"/>
  <c r="E4150" i="15"/>
  <c r="B4138" i="15"/>
  <c r="C4138" i="15"/>
  <c r="F4138" i="15" s="1"/>
  <c r="D4138" i="15"/>
  <c r="D4128" i="15"/>
  <c r="E4121" i="15"/>
  <c r="D4114" i="15"/>
  <c r="B4110" i="15"/>
  <c r="E4110" i="15"/>
  <c r="B4093" i="15"/>
  <c r="C4093" i="15"/>
  <c r="F4093" i="15" s="1"/>
  <c r="D4093" i="15"/>
  <c r="B4083" i="15"/>
  <c r="E4083" i="15"/>
  <c r="C4083" i="15"/>
  <c r="F4083" i="15" s="1"/>
  <c r="B4066" i="15"/>
  <c r="C4066" i="15"/>
  <c r="F4066" i="15" s="1"/>
  <c r="D4066" i="15"/>
  <c r="B4056" i="15"/>
  <c r="E4056" i="15"/>
  <c r="C4056" i="15"/>
  <c r="F4056" i="15" s="1"/>
  <c r="B3889" i="15"/>
  <c r="E3889" i="15"/>
  <c r="B3886" i="15"/>
  <c r="C3886" i="15"/>
  <c r="F3886" i="15" s="1"/>
  <c r="D3886" i="15"/>
  <c r="B3872" i="15"/>
  <c r="C3872" i="15"/>
  <c r="F3872" i="15" s="1"/>
  <c r="D3872" i="15"/>
  <c r="B3848" i="15"/>
  <c r="C3848" i="15"/>
  <c r="F3848" i="15" s="1"/>
  <c r="D3848" i="15"/>
  <c r="E3848" i="15"/>
  <c r="B3842" i="15"/>
  <c r="C3842" i="15"/>
  <c r="F3842" i="15" s="1"/>
  <c r="D3842" i="15"/>
  <c r="B3830" i="15"/>
  <c r="C3830" i="15"/>
  <c r="F3830" i="15" s="1"/>
  <c r="D3830" i="15"/>
  <c r="B3805" i="15"/>
  <c r="C3805" i="15"/>
  <c r="F3805" i="15" s="1"/>
  <c r="D3805" i="15"/>
  <c r="E3805" i="15"/>
  <c r="C3778" i="15"/>
  <c r="F3778" i="15" s="1"/>
  <c r="E3778" i="15"/>
  <c r="C3732" i="15"/>
  <c r="F3732" i="15" s="1"/>
  <c r="E3732" i="15"/>
  <c r="E3708" i="15"/>
  <c r="C3708" i="15"/>
  <c r="F3708" i="15" s="1"/>
  <c r="C3670" i="15"/>
  <c r="F3670" i="15" s="1"/>
  <c r="E3670" i="15"/>
  <c r="E4432" i="15"/>
  <c r="D4428" i="15"/>
  <c r="E4426" i="15"/>
  <c r="E4424" i="15"/>
  <c r="D4422" i="15"/>
  <c r="C4420" i="15"/>
  <c r="F4420" i="15" s="1"/>
  <c r="D4416" i="15"/>
  <c r="B4414" i="15"/>
  <c r="C4414" i="15"/>
  <c r="F4414" i="15" s="1"/>
  <c r="B4412" i="15"/>
  <c r="E4412" i="15"/>
  <c r="B4410" i="15"/>
  <c r="E4410" i="15"/>
  <c r="D4401" i="15"/>
  <c r="E4399" i="15"/>
  <c r="E4397" i="15"/>
  <c r="D4395" i="15"/>
  <c r="D4389" i="15"/>
  <c r="B4387" i="15"/>
  <c r="C4387" i="15"/>
  <c r="F4387" i="15" s="1"/>
  <c r="B4385" i="15"/>
  <c r="E4385" i="15"/>
  <c r="B4383" i="15"/>
  <c r="E4383" i="15"/>
  <c r="D4374" i="15"/>
  <c r="E4372" i="15"/>
  <c r="E4370" i="15"/>
  <c r="D4368" i="15"/>
  <c r="C4366" i="15"/>
  <c r="F4366" i="15" s="1"/>
  <c r="D4362" i="15"/>
  <c r="B4360" i="15"/>
  <c r="C4360" i="15"/>
  <c r="F4360" i="15" s="1"/>
  <c r="B4358" i="15"/>
  <c r="E4358" i="15"/>
  <c r="B4356" i="15"/>
  <c r="E4356" i="15"/>
  <c r="D4347" i="15"/>
  <c r="E4345" i="15"/>
  <c r="E4343" i="15"/>
  <c r="D4341" i="15"/>
  <c r="D4335" i="15"/>
  <c r="B4333" i="15"/>
  <c r="C4333" i="15"/>
  <c r="F4333" i="15" s="1"/>
  <c r="B4331" i="15"/>
  <c r="E4331" i="15"/>
  <c r="B4329" i="15"/>
  <c r="E4329" i="15"/>
  <c r="D4320" i="15"/>
  <c r="E4318" i="15"/>
  <c r="E4316" i="15"/>
  <c r="D4314" i="15"/>
  <c r="C4312" i="15"/>
  <c r="F4312" i="15" s="1"/>
  <c r="D4308" i="15"/>
  <c r="B4306" i="15"/>
  <c r="C4306" i="15"/>
  <c r="F4306" i="15" s="1"/>
  <c r="B4304" i="15"/>
  <c r="E4304" i="15"/>
  <c r="B4302" i="15"/>
  <c r="E4302" i="15"/>
  <c r="D4293" i="15"/>
  <c r="E4291" i="15"/>
  <c r="E4289" i="15"/>
  <c r="D4287" i="15"/>
  <c r="D4281" i="15"/>
  <c r="B4279" i="15"/>
  <c r="C4279" i="15"/>
  <c r="F4279" i="15" s="1"/>
  <c r="B4277" i="15"/>
  <c r="E4277" i="15"/>
  <c r="B4275" i="15"/>
  <c r="E4275" i="15"/>
  <c r="E4272" i="15"/>
  <c r="B4270" i="15"/>
  <c r="C4270" i="15"/>
  <c r="F4270" i="15" s="1"/>
  <c r="E4267" i="15"/>
  <c r="B4263" i="15"/>
  <c r="C4263" i="15"/>
  <c r="F4263" i="15" s="1"/>
  <c r="D4263" i="15"/>
  <c r="E4260" i="15"/>
  <c r="E4258" i="15"/>
  <c r="E4254" i="15"/>
  <c r="E4252" i="15"/>
  <c r="C4250" i="15"/>
  <c r="F4250" i="15" s="1"/>
  <c r="B4248" i="15"/>
  <c r="E4248" i="15"/>
  <c r="D4248" i="15"/>
  <c r="E4245" i="15"/>
  <c r="B4243" i="15"/>
  <c r="C4243" i="15"/>
  <c r="F4243" i="15" s="1"/>
  <c r="E4240" i="15"/>
  <c r="B4236" i="15"/>
  <c r="C4236" i="15"/>
  <c r="F4236" i="15" s="1"/>
  <c r="D4236" i="15"/>
  <c r="E4233" i="15"/>
  <c r="E4231" i="15"/>
  <c r="E4227" i="15"/>
  <c r="E4225" i="15"/>
  <c r="C4223" i="15"/>
  <c r="F4223" i="15" s="1"/>
  <c r="B4221" i="15"/>
  <c r="E4221" i="15"/>
  <c r="D4221" i="15"/>
  <c r="E4218" i="15"/>
  <c r="B4216" i="15"/>
  <c r="C4216" i="15"/>
  <c r="F4216" i="15" s="1"/>
  <c r="E4213" i="15"/>
  <c r="B4209" i="15"/>
  <c r="C4209" i="15"/>
  <c r="F4209" i="15" s="1"/>
  <c r="D4209" i="15"/>
  <c r="E4206" i="15"/>
  <c r="E4204" i="15"/>
  <c r="E4200" i="15"/>
  <c r="E4198" i="15"/>
  <c r="C4196" i="15"/>
  <c r="F4196" i="15" s="1"/>
  <c r="B4194" i="15"/>
  <c r="E4194" i="15"/>
  <c r="D4194" i="15"/>
  <c r="B4189" i="15"/>
  <c r="C4189" i="15"/>
  <c r="F4189" i="15" s="1"/>
  <c r="D4185" i="15"/>
  <c r="E4183" i="15"/>
  <c r="E4174" i="15"/>
  <c r="E4165" i="15"/>
  <c r="E4156" i="15"/>
  <c r="B4147" i="15"/>
  <c r="C4147" i="15"/>
  <c r="F4147" i="15" s="1"/>
  <c r="D4147" i="15"/>
  <c r="D4137" i="15"/>
  <c r="E4130" i="15"/>
  <c r="C4128" i="15"/>
  <c r="F4128" i="15" s="1"/>
  <c r="D4123" i="15"/>
  <c r="D4121" i="15"/>
  <c r="B4119" i="15"/>
  <c r="E4119" i="15"/>
  <c r="C4116" i="15"/>
  <c r="F4116" i="15" s="1"/>
  <c r="C4114" i="15"/>
  <c r="F4114" i="15" s="1"/>
  <c r="B4112" i="15"/>
  <c r="C4112" i="15"/>
  <c r="F4112" i="15" s="1"/>
  <c r="B4109" i="15"/>
  <c r="C4109" i="15"/>
  <c r="F4109" i="15" s="1"/>
  <c r="D4109" i="15"/>
  <c r="E4109" i="15"/>
  <c r="B4107" i="15"/>
  <c r="E4107" i="15"/>
  <c r="D4107" i="15"/>
  <c r="E4102" i="15"/>
  <c r="D4092" i="15"/>
  <c r="B4082" i="15"/>
  <c r="C4082" i="15"/>
  <c r="F4082" i="15" s="1"/>
  <c r="D4082" i="15"/>
  <c r="E4082" i="15"/>
  <c r="B4080" i="15"/>
  <c r="E4080" i="15"/>
  <c r="D4080" i="15"/>
  <c r="E4075" i="15"/>
  <c r="D4065" i="15"/>
  <c r="B4055" i="15"/>
  <c r="C4055" i="15"/>
  <c r="F4055" i="15" s="1"/>
  <c r="D4055" i="15"/>
  <c r="E4055" i="15"/>
  <c r="B4053" i="15"/>
  <c r="E4053" i="15"/>
  <c r="D4053" i="15"/>
  <c r="E4048" i="15"/>
  <c r="B4036" i="15"/>
  <c r="C4036" i="15"/>
  <c r="F4036" i="15" s="1"/>
  <c r="E4036" i="15"/>
  <c r="B4033" i="15"/>
  <c r="C4033" i="15"/>
  <c r="F4033" i="15" s="1"/>
  <c r="D4033" i="15"/>
  <c r="B4027" i="15"/>
  <c r="C4027" i="15"/>
  <c r="F4027" i="15" s="1"/>
  <c r="E4027" i="15"/>
  <c r="B4024" i="15"/>
  <c r="C4024" i="15"/>
  <c r="F4024" i="15" s="1"/>
  <c r="D4024" i="15"/>
  <c r="B4018" i="15"/>
  <c r="C4018" i="15"/>
  <c r="F4018" i="15" s="1"/>
  <c r="E4018" i="15"/>
  <c r="B4015" i="15"/>
  <c r="C4015" i="15"/>
  <c r="F4015" i="15" s="1"/>
  <c r="D4015" i="15"/>
  <c r="B4009" i="15"/>
  <c r="C4009" i="15"/>
  <c r="F4009" i="15" s="1"/>
  <c r="E4009" i="15"/>
  <c r="B4006" i="15"/>
  <c r="C4006" i="15"/>
  <c r="F4006" i="15" s="1"/>
  <c r="D4006" i="15"/>
  <c r="B4000" i="15"/>
  <c r="C4000" i="15"/>
  <c r="F4000" i="15" s="1"/>
  <c r="E4000" i="15"/>
  <c r="B3997" i="15"/>
  <c r="C3997" i="15"/>
  <c r="F3997" i="15" s="1"/>
  <c r="D3997" i="15"/>
  <c r="B3991" i="15"/>
  <c r="C3991" i="15"/>
  <c r="F3991" i="15" s="1"/>
  <c r="E3991" i="15"/>
  <c r="B3988" i="15"/>
  <c r="C3988" i="15"/>
  <c r="F3988" i="15" s="1"/>
  <c r="D3988" i="15"/>
  <c r="B3982" i="15"/>
  <c r="C3982" i="15"/>
  <c r="F3982" i="15" s="1"/>
  <c r="E3982" i="15"/>
  <c r="B3979" i="15"/>
  <c r="C3979" i="15"/>
  <c r="F3979" i="15" s="1"/>
  <c r="D3979" i="15"/>
  <c r="B3973" i="15"/>
  <c r="C3973" i="15"/>
  <c r="F3973" i="15" s="1"/>
  <c r="E3973" i="15"/>
  <c r="B3970" i="15"/>
  <c r="C3970" i="15"/>
  <c r="F3970" i="15" s="1"/>
  <c r="D3970" i="15"/>
  <c r="B3964" i="15"/>
  <c r="C3964" i="15"/>
  <c r="F3964" i="15" s="1"/>
  <c r="E3964" i="15"/>
  <c r="B3961" i="15"/>
  <c r="C3961" i="15"/>
  <c r="F3961" i="15" s="1"/>
  <c r="D3961" i="15"/>
  <c r="B3955" i="15"/>
  <c r="C3955" i="15"/>
  <c r="F3955" i="15" s="1"/>
  <c r="E3955" i="15"/>
  <c r="B3952" i="15"/>
  <c r="C3952" i="15"/>
  <c r="F3952" i="15" s="1"/>
  <c r="D3952" i="15"/>
  <c r="B3946" i="15"/>
  <c r="C3946" i="15"/>
  <c r="F3946" i="15" s="1"/>
  <c r="E3946" i="15"/>
  <c r="B3943" i="15"/>
  <c r="C3943" i="15"/>
  <c r="F3943" i="15" s="1"/>
  <c r="D3943" i="15"/>
  <c r="B3937" i="15"/>
  <c r="C3937" i="15"/>
  <c r="F3937" i="15" s="1"/>
  <c r="E3937" i="15"/>
  <c r="B3934" i="15"/>
  <c r="C3934" i="15"/>
  <c r="F3934" i="15" s="1"/>
  <c r="D3934" i="15"/>
  <c r="B3928" i="15"/>
  <c r="C3928" i="15"/>
  <c r="F3928" i="15" s="1"/>
  <c r="E3928" i="15"/>
  <c r="B3925" i="15"/>
  <c r="C3925" i="15"/>
  <c r="F3925" i="15" s="1"/>
  <c r="D3925" i="15"/>
  <c r="B3919" i="15"/>
  <c r="C3919" i="15"/>
  <c r="F3919" i="15" s="1"/>
  <c r="E3919" i="15"/>
  <c r="B3916" i="15"/>
  <c r="C3916" i="15"/>
  <c r="F3916" i="15" s="1"/>
  <c r="D3916" i="15"/>
  <c r="B3910" i="15"/>
  <c r="C3910" i="15"/>
  <c r="F3910" i="15" s="1"/>
  <c r="E3910" i="15"/>
  <c r="B3907" i="15"/>
  <c r="C3907" i="15"/>
  <c r="F3907" i="15" s="1"/>
  <c r="D3907" i="15"/>
  <c r="C3903" i="15"/>
  <c r="F3903" i="15" s="1"/>
  <c r="B3894" i="15"/>
  <c r="E3894" i="15"/>
  <c r="D3894" i="15"/>
  <c r="C3894" i="15"/>
  <c r="F3894" i="15" s="1"/>
  <c r="B3880" i="15"/>
  <c r="C3880" i="15"/>
  <c r="F3880" i="15" s="1"/>
  <c r="E3880" i="15"/>
  <c r="D3880" i="15"/>
  <c r="B3874" i="15"/>
  <c r="E3874" i="15"/>
  <c r="C3874" i="15"/>
  <c r="F3874" i="15" s="1"/>
  <c r="D3868" i="15"/>
  <c r="B3860" i="15"/>
  <c r="C3860" i="15"/>
  <c r="F3860" i="15" s="1"/>
  <c r="D3860" i="15"/>
  <c r="E3860" i="15"/>
  <c r="C3856" i="15"/>
  <c r="F3856" i="15" s="1"/>
  <c r="B3854" i="15"/>
  <c r="C3854" i="15"/>
  <c r="F3854" i="15" s="1"/>
  <c r="E3854" i="15"/>
  <c r="B3847" i="15"/>
  <c r="E3847" i="15"/>
  <c r="C3847" i="15"/>
  <c r="F3847" i="15" s="1"/>
  <c r="D3847" i="15"/>
  <c r="B3833" i="15"/>
  <c r="C3833" i="15"/>
  <c r="F3833" i="15" s="1"/>
  <c r="D3833" i="15"/>
  <c r="E3833" i="15"/>
  <c r="B3804" i="15"/>
  <c r="B24" i="34" s="1"/>
  <c r="E3804" i="15"/>
  <c r="C3804" i="15"/>
  <c r="F3804" i="15" s="1"/>
  <c r="D24" i="33" s="1"/>
  <c r="D3804" i="15"/>
  <c r="C3750" i="15"/>
  <c r="F3750" i="15" s="1"/>
  <c r="E3750" i="15"/>
  <c r="E3739" i="15"/>
  <c r="E3736" i="15"/>
  <c r="E3726" i="15"/>
  <c r="C3726" i="15"/>
  <c r="F3726" i="15" s="1"/>
  <c r="C3688" i="15"/>
  <c r="F3688" i="15" s="1"/>
  <c r="E3688" i="15"/>
  <c r="B4103" i="15"/>
  <c r="C4103" i="15"/>
  <c r="F4103" i="15" s="1"/>
  <c r="B4094" i="15"/>
  <c r="C4094" i="15"/>
  <c r="F4094" i="15" s="1"/>
  <c r="B4085" i="15"/>
  <c r="C4085" i="15"/>
  <c r="F4085" i="15" s="1"/>
  <c r="B4076" i="15"/>
  <c r="C4076" i="15"/>
  <c r="F4076" i="15" s="1"/>
  <c r="B4067" i="15"/>
  <c r="C4067" i="15"/>
  <c r="F4067" i="15" s="1"/>
  <c r="B4058" i="15"/>
  <c r="C4058" i="15"/>
  <c r="F4058" i="15" s="1"/>
  <c r="B4049" i="15"/>
  <c r="C4049" i="15"/>
  <c r="F4049" i="15" s="1"/>
  <c r="B4040" i="15"/>
  <c r="C4040" i="15"/>
  <c r="F4040" i="15" s="1"/>
  <c r="B4038" i="15"/>
  <c r="E4038" i="15"/>
  <c r="B4031" i="15"/>
  <c r="C4031" i="15"/>
  <c r="F4031" i="15" s="1"/>
  <c r="E4031" i="15"/>
  <c r="B4029" i="15"/>
  <c r="E4029" i="15"/>
  <c r="B4022" i="15"/>
  <c r="C4022" i="15"/>
  <c r="F4022" i="15" s="1"/>
  <c r="E4022" i="15"/>
  <c r="B4020" i="15"/>
  <c r="E4020" i="15"/>
  <c r="B4013" i="15"/>
  <c r="C4013" i="15"/>
  <c r="F4013" i="15" s="1"/>
  <c r="E4013" i="15"/>
  <c r="B4011" i="15"/>
  <c r="E4011" i="15"/>
  <c r="B4004" i="15"/>
  <c r="C4004" i="15"/>
  <c r="F4004" i="15" s="1"/>
  <c r="E4004" i="15"/>
  <c r="B4002" i="15"/>
  <c r="E4002" i="15"/>
  <c r="B3995" i="15"/>
  <c r="C3995" i="15"/>
  <c r="F3995" i="15" s="1"/>
  <c r="E3995" i="15"/>
  <c r="B3993" i="15"/>
  <c r="E3993" i="15"/>
  <c r="B3986" i="15"/>
  <c r="C3986" i="15"/>
  <c r="F3986" i="15" s="1"/>
  <c r="E3986" i="15"/>
  <c r="B3984" i="15"/>
  <c r="E3984" i="15"/>
  <c r="B3977" i="15"/>
  <c r="C3977" i="15"/>
  <c r="F3977" i="15" s="1"/>
  <c r="E3977" i="15"/>
  <c r="B3975" i="15"/>
  <c r="E3975" i="15"/>
  <c r="B3968" i="15"/>
  <c r="C3968" i="15"/>
  <c r="F3968" i="15" s="1"/>
  <c r="E3968" i="15"/>
  <c r="B3966" i="15"/>
  <c r="E3966" i="15"/>
  <c r="B3959" i="15"/>
  <c r="C3959" i="15"/>
  <c r="F3959" i="15" s="1"/>
  <c r="E3959" i="15"/>
  <c r="B3957" i="15"/>
  <c r="E3957" i="15"/>
  <c r="B3950" i="15"/>
  <c r="C3950" i="15"/>
  <c r="F3950" i="15" s="1"/>
  <c r="E3950" i="15"/>
  <c r="B3948" i="15"/>
  <c r="E3948" i="15"/>
  <c r="B3941" i="15"/>
  <c r="C3941" i="15"/>
  <c r="F3941" i="15" s="1"/>
  <c r="E3941" i="15"/>
  <c r="B3939" i="15"/>
  <c r="E3939" i="15"/>
  <c r="B3932" i="15"/>
  <c r="C3932" i="15"/>
  <c r="F3932" i="15" s="1"/>
  <c r="E3932" i="15"/>
  <c r="B3930" i="15"/>
  <c r="E3930" i="15"/>
  <c r="B3923" i="15"/>
  <c r="C3923" i="15"/>
  <c r="F3923" i="15" s="1"/>
  <c r="E3923" i="15"/>
  <c r="B3921" i="15"/>
  <c r="E3921" i="15"/>
  <c r="B3914" i="15"/>
  <c r="C3914" i="15"/>
  <c r="F3914" i="15" s="1"/>
  <c r="E3914" i="15"/>
  <c r="B3912" i="15"/>
  <c r="E3912" i="15"/>
  <c r="B3905" i="15"/>
  <c r="C3905" i="15"/>
  <c r="F3905" i="15" s="1"/>
  <c r="E3905" i="15"/>
  <c r="B3898" i="15"/>
  <c r="C3898" i="15"/>
  <c r="F3898" i="15" s="1"/>
  <c r="E3898" i="15"/>
  <c r="B3893" i="15"/>
  <c r="C3893" i="15"/>
  <c r="F3893" i="15" s="1"/>
  <c r="D3893" i="15"/>
  <c r="B3877" i="15"/>
  <c r="C3877" i="15"/>
  <c r="F3877" i="15" s="1"/>
  <c r="B3865" i="15"/>
  <c r="E3865" i="15"/>
  <c r="B3863" i="15"/>
  <c r="C3863" i="15"/>
  <c r="F3863" i="15" s="1"/>
  <c r="B3858" i="15"/>
  <c r="E3858" i="15"/>
  <c r="D3858" i="15"/>
  <c r="B3851" i="15"/>
  <c r="C3851" i="15"/>
  <c r="F3851" i="15" s="1"/>
  <c r="D3851" i="15"/>
  <c r="B3844" i="15"/>
  <c r="C3844" i="15"/>
  <c r="F3844" i="15" s="1"/>
  <c r="E3844" i="15"/>
  <c r="B3839" i="15"/>
  <c r="C3839" i="15"/>
  <c r="F3839" i="15" s="1"/>
  <c r="D3839" i="15"/>
  <c r="B3823" i="15"/>
  <c r="C3823" i="15"/>
  <c r="F3823" i="15" s="1"/>
  <c r="B3809" i="15"/>
  <c r="C3809" i="15"/>
  <c r="F3809" i="15" s="1"/>
  <c r="E3809" i="15"/>
  <c r="C3784" i="15"/>
  <c r="F3784" i="15" s="1"/>
  <c r="E3784" i="15"/>
  <c r="C3766" i="15"/>
  <c r="F3766" i="15" s="1"/>
  <c r="E3766" i="15"/>
  <c r="C3748" i="15"/>
  <c r="F3748" i="15" s="1"/>
  <c r="E3748" i="15"/>
  <c r="C3730" i="15"/>
  <c r="F3730" i="15" s="1"/>
  <c r="E3730" i="15"/>
  <c r="C3712" i="15"/>
  <c r="F3712" i="15" s="1"/>
  <c r="E3712" i="15"/>
  <c r="C3694" i="15"/>
  <c r="F3694" i="15" s="1"/>
  <c r="E3694" i="15"/>
  <c r="C3676" i="15"/>
  <c r="F3676" i="15" s="1"/>
  <c r="E3676" i="15"/>
  <c r="C3658" i="15"/>
  <c r="E3658" i="15"/>
  <c r="C3168" i="15"/>
  <c r="F3168" i="15" s="1"/>
  <c r="E3168" i="15"/>
  <c r="B3168" i="15"/>
  <c r="D3168" i="15"/>
  <c r="C3652" i="15"/>
  <c r="F3652" i="15" s="1"/>
  <c r="E3652" i="15"/>
  <c r="C3408" i="15"/>
  <c r="F3408" i="15" s="1"/>
  <c r="E3408" i="15"/>
  <c r="C3300" i="15"/>
  <c r="F3300" i="15" s="1"/>
  <c r="E3300" i="15"/>
  <c r="C3234" i="15"/>
  <c r="F3234" i="15" s="1"/>
  <c r="B3234" i="15"/>
  <c r="D3234" i="15"/>
  <c r="E3234" i="15"/>
  <c r="B4191" i="15"/>
  <c r="C4191" i="15"/>
  <c r="F4191" i="15" s="1"/>
  <c r="B4169" i="15"/>
  <c r="C4169" i="15"/>
  <c r="F4169" i="15" s="1"/>
  <c r="B4160" i="15"/>
  <c r="C4160" i="15"/>
  <c r="F4160" i="15" s="1"/>
  <c r="B4151" i="15"/>
  <c r="C4151" i="15"/>
  <c r="F4151" i="15" s="1"/>
  <c r="B4142" i="15"/>
  <c r="C4142" i="15"/>
  <c r="F4142" i="15" s="1"/>
  <c r="B4133" i="15"/>
  <c r="C4133" i="15"/>
  <c r="F4133" i="15" s="1"/>
  <c r="B4124" i="15"/>
  <c r="C4124" i="15"/>
  <c r="F4124" i="15" s="1"/>
  <c r="B4115" i="15"/>
  <c r="C4115" i="15"/>
  <c r="F4115" i="15" s="1"/>
  <c r="B4106" i="15"/>
  <c r="C4106" i="15"/>
  <c r="F4106" i="15" s="1"/>
  <c r="B4097" i="15"/>
  <c r="C4097" i="15"/>
  <c r="F4097" i="15" s="1"/>
  <c r="B4088" i="15"/>
  <c r="C4088" i="15"/>
  <c r="F4088" i="15" s="1"/>
  <c r="B4079" i="15"/>
  <c r="C4079" i="15"/>
  <c r="F4079" i="15" s="1"/>
  <c r="B4070" i="15"/>
  <c r="C4070" i="15"/>
  <c r="F4070" i="15" s="1"/>
  <c r="B4061" i="15"/>
  <c r="C4061" i="15"/>
  <c r="F4061" i="15" s="1"/>
  <c r="B4052" i="15"/>
  <c r="C4052" i="15"/>
  <c r="F4052" i="15" s="1"/>
  <c r="B4043" i="15"/>
  <c r="C4043" i="15"/>
  <c r="F4043" i="15" s="1"/>
  <c r="B4037" i="15"/>
  <c r="C4037" i="15"/>
  <c r="F4037" i="15" s="1"/>
  <c r="E4037" i="15"/>
  <c r="B4035" i="15"/>
  <c r="E4035" i="15"/>
  <c r="B4028" i="15"/>
  <c r="C4028" i="15"/>
  <c r="F4028" i="15" s="1"/>
  <c r="E4028" i="15"/>
  <c r="B4026" i="15"/>
  <c r="E4026" i="15"/>
  <c r="B4019" i="15"/>
  <c r="C4019" i="15"/>
  <c r="F4019" i="15" s="1"/>
  <c r="E4019" i="15"/>
  <c r="B4017" i="15"/>
  <c r="E4017" i="15"/>
  <c r="B4010" i="15"/>
  <c r="C4010" i="15"/>
  <c r="F4010" i="15" s="1"/>
  <c r="E4010" i="15"/>
  <c r="B4008" i="15"/>
  <c r="E4008" i="15"/>
  <c r="B4001" i="15"/>
  <c r="C4001" i="15"/>
  <c r="F4001" i="15" s="1"/>
  <c r="E4001" i="15"/>
  <c r="B3999" i="15"/>
  <c r="E3999" i="15"/>
  <c r="B3992" i="15"/>
  <c r="C3992" i="15"/>
  <c r="F3992" i="15" s="1"/>
  <c r="E3992" i="15"/>
  <c r="B3990" i="15"/>
  <c r="E3990" i="15"/>
  <c r="B3983" i="15"/>
  <c r="C3983" i="15"/>
  <c r="F3983" i="15" s="1"/>
  <c r="E3983" i="15"/>
  <c r="B3981" i="15"/>
  <c r="E3981" i="15"/>
  <c r="B3974" i="15"/>
  <c r="C3974" i="15"/>
  <c r="F3974" i="15" s="1"/>
  <c r="E3974" i="15"/>
  <c r="B3972" i="15"/>
  <c r="E3972" i="15"/>
  <c r="B3965" i="15"/>
  <c r="C3965" i="15"/>
  <c r="F3965" i="15" s="1"/>
  <c r="E3965" i="15"/>
  <c r="B3963" i="15"/>
  <c r="E3963" i="15"/>
  <c r="B3956" i="15"/>
  <c r="C3956" i="15"/>
  <c r="F3956" i="15" s="1"/>
  <c r="E3956" i="15"/>
  <c r="B3954" i="15"/>
  <c r="E3954" i="15"/>
  <c r="B3947" i="15"/>
  <c r="C3947" i="15"/>
  <c r="F3947" i="15" s="1"/>
  <c r="E3947" i="15"/>
  <c r="B3945" i="15"/>
  <c r="E3945" i="15"/>
  <c r="B3938" i="15"/>
  <c r="C3938" i="15"/>
  <c r="F3938" i="15" s="1"/>
  <c r="E3938" i="15"/>
  <c r="B3936" i="15"/>
  <c r="E3936" i="15"/>
  <c r="B3929" i="15"/>
  <c r="C3929" i="15"/>
  <c r="F3929" i="15" s="1"/>
  <c r="E3929" i="15"/>
  <c r="B3927" i="15"/>
  <c r="E3927" i="15"/>
  <c r="B3920" i="15"/>
  <c r="C3920" i="15"/>
  <c r="F3920" i="15" s="1"/>
  <c r="E3920" i="15"/>
  <c r="B3918" i="15"/>
  <c r="E3918" i="15"/>
  <c r="B3911" i="15"/>
  <c r="C3911" i="15"/>
  <c r="F3911" i="15" s="1"/>
  <c r="E3911" i="15"/>
  <c r="B3909" i="15"/>
  <c r="E3909" i="15"/>
  <c r="B3895" i="15"/>
  <c r="C3895" i="15"/>
  <c r="F3895" i="15" s="1"/>
  <c r="B3883" i="15"/>
  <c r="E3883" i="15"/>
  <c r="B3881" i="15"/>
  <c r="C3881" i="15"/>
  <c r="F3881" i="15" s="1"/>
  <c r="B3876" i="15"/>
  <c r="E3876" i="15"/>
  <c r="D3876" i="15"/>
  <c r="B3869" i="15"/>
  <c r="C3869" i="15"/>
  <c r="F3869" i="15" s="1"/>
  <c r="D3869" i="15"/>
  <c r="B3862" i="15"/>
  <c r="C3862" i="15"/>
  <c r="F3862" i="15" s="1"/>
  <c r="E3862" i="15"/>
  <c r="B3857" i="15"/>
  <c r="C3857" i="15"/>
  <c r="F3857" i="15" s="1"/>
  <c r="D3857" i="15"/>
  <c r="B3841" i="15"/>
  <c r="C3841" i="15"/>
  <c r="F3841" i="15" s="1"/>
  <c r="B3829" i="15"/>
  <c r="E3829" i="15"/>
  <c r="B3827" i="15"/>
  <c r="C3827" i="15"/>
  <c r="F3827" i="15" s="1"/>
  <c r="B3814" i="15"/>
  <c r="C3814" i="15"/>
  <c r="F3814" i="15" s="1"/>
  <c r="B3800" i="15"/>
  <c r="C3800" i="15"/>
  <c r="F3800" i="15" s="1"/>
  <c r="E3800" i="15"/>
  <c r="C3787" i="15"/>
  <c r="F3787" i="15" s="1"/>
  <c r="E3787" i="15"/>
  <c r="C3769" i="15"/>
  <c r="F3769" i="15" s="1"/>
  <c r="E3769" i="15"/>
  <c r="C3751" i="15"/>
  <c r="F3751" i="15" s="1"/>
  <c r="E3751" i="15"/>
  <c r="C3733" i="15"/>
  <c r="F3733" i="15" s="1"/>
  <c r="E3733" i="15"/>
  <c r="C3715" i="15"/>
  <c r="F3715" i="15" s="1"/>
  <c r="E3715" i="15"/>
  <c r="C3697" i="15"/>
  <c r="F3697" i="15" s="1"/>
  <c r="E3697" i="15"/>
  <c r="C3679" i="15"/>
  <c r="F3679" i="15" s="1"/>
  <c r="E3679" i="15"/>
  <c r="C3661" i="15"/>
  <c r="F3661" i="15" s="1"/>
  <c r="E3661" i="15"/>
  <c r="B4261" i="15"/>
  <c r="C4261" i="15"/>
  <c r="F4261" i="15" s="1"/>
  <c r="B4259" i="15"/>
  <c r="E4259" i="15"/>
  <c r="B4257" i="15"/>
  <c r="E4257" i="15"/>
  <c r="B4234" i="15"/>
  <c r="C4234" i="15"/>
  <c r="F4234" i="15" s="1"/>
  <c r="B4232" i="15"/>
  <c r="E4232" i="15"/>
  <c r="B4230" i="15"/>
  <c r="E4230" i="15"/>
  <c r="B4207" i="15"/>
  <c r="C4207" i="15"/>
  <c r="F4207" i="15" s="1"/>
  <c r="B4205" i="15"/>
  <c r="E4205" i="15"/>
  <c r="B4203" i="15"/>
  <c r="E4203" i="15"/>
  <c r="B4180" i="15"/>
  <c r="C4180" i="15"/>
  <c r="F4180" i="15" s="1"/>
  <c r="B4178" i="15"/>
  <c r="E4178" i="15"/>
  <c r="B4176" i="15"/>
  <c r="E4176" i="15"/>
  <c r="B4167" i="15"/>
  <c r="E4167" i="15"/>
  <c r="B4158" i="15"/>
  <c r="E4158" i="15"/>
  <c r="B4149" i="15"/>
  <c r="E4149" i="15"/>
  <c r="B4140" i="15"/>
  <c r="E4140" i="15"/>
  <c r="B4131" i="15"/>
  <c r="E4131" i="15"/>
  <c r="B4122" i="15"/>
  <c r="E4122" i="15"/>
  <c r="B4113" i="15"/>
  <c r="E4113" i="15"/>
  <c r="E4105" i="15"/>
  <c r="B4104" i="15"/>
  <c r="E4104" i="15"/>
  <c r="E4096" i="15"/>
  <c r="B4095" i="15"/>
  <c r="E4095" i="15"/>
  <c r="E4087" i="15"/>
  <c r="B4086" i="15"/>
  <c r="E4086" i="15"/>
  <c r="E4078" i="15"/>
  <c r="B4077" i="15"/>
  <c r="E4077" i="15"/>
  <c r="E4069" i="15"/>
  <c r="B4068" i="15"/>
  <c r="E4068" i="15"/>
  <c r="E4060" i="15"/>
  <c r="B4059" i="15"/>
  <c r="E4059" i="15"/>
  <c r="E4051" i="15"/>
  <c r="B4050" i="15"/>
  <c r="E4050" i="15"/>
  <c r="E4042" i="15"/>
  <c r="B4041" i="15"/>
  <c r="E4041" i="15"/>
  <c r="B4039" i="15"/>
  <c r="C4039" i="15"/>
  <c r="F4039" i="15" s="1"/>
  <c r="B4030" i="15"/>
  <c r="C4030" i="15"/>
  <c r="F4030" i="15" s="1"/>
  <c r="B4021" i="15"/>
  <c r="C4021" i="15"/>
  <c r="F4021" i="15" s="1"/>
  <c r="B4012" i="15"/>
  <c r="C4012" i="15"/>
  <c r="F4012" i="15" s="1"/>
  <c r="B4003" i="15"/>
  <c r="C4003" i="15"/>
  <c r="F4003" i="15" s="1"/>
  <c r="B3994" i="15"/>
  <c r="C3994" i="15"/>
  <c r="F3994" i="15" s="1"/>
  <c r="B3985" i="15"/>
  <c r="C3985" i="15"/>
  <c r="F3985" i="15" s="1"/>
  <c r="B3976" i="15"/>
  <c r="C3976" i="15"/>
  <c r="F3976" i="15" s="1"/>
  <c r="B3967" i="15"/>
  <c r="C3967" i="15"/>
  <c r="F3967" i="15" s="1"/>
  <c r="B3958" i="15"/>
  <c r="C3958" i="15"/>
  <c r="F3958" i="15" s="1"/>
  <c r="B3949" i="15"/>
  <c r="C3949" i="15"/>
  <c r="F3949" i="15" s="1"/>
  <c r="B3940" i="15"/>
  <c r="C3940" i="15"/>
  <c r="F3940" i="15" s="1"/>
  <c r="B3931" i="15"/>
  <c r="C3931" i="15"/>
  <c r="F3931" i="15" s="1"/>
  <c r="B3922" i="15"/>
  <c r="C3922" i="15"/>
  <c r="F3922" i="15" s="1"/>
  <c r="B3913" i="15"/>
  <c r="C3913" i="15"/>
  <c r="F3913" i="15" s="1"/>
  <c r="B3904" i="15"/>
  <c r="C3904" i="15"/>
  <c r="F3904" i="15" s="1"/>
  <c r="B3892" i="15"/>
  <c r="E3892" i="15"/>
  <c r="B3890" i="15"/>
  <c r="C3890" i="15"/>
  <c r="F3890" i="15" s="1"/>
  <c r="B3885" i="15"/>
  <c r="E3885" i="15"/>
  <c r="D3885" i="15"/>
  <c r="B3878" i="15"/>
  <c r="C3878" i="15"/>
  <c r="F3878" i="15" s="1"/>
  <c r="D3878" i="15"/>
  <c r="B3871" i="15"/>
  <c r="C3871" i="15"/>
  <c r="F3871" i="15" s="1"/>
  <c r="E3871" i="15"/>
  <c r="B3866" i="15"/>
  <c r="C3866" i="15"/>
  <c r="F3866" i="15" s="1"/>
  <c r="D3866" i="15"/>
  <c r="B3850" i="15"/>
  <c r="C3850" i="15"/>
  <c r="F3850" i="15" s="1"/>
  <c r="B3838" i="15"/>
  <c r="E3838" i="15"/>
  <c r="B3836" i="15"/>
  <c r="C3836" i="15"/>
  <c r="F3836" i="15" s="1"/>
  <c r="B3831" i="15"/>
  <c r="E3831" i="15"/>
  <c r="D3831" i="15"/>
  <c r="B3821" i="15"/>
  <c r="C3821" i="15"/>
  <c r="F3821" i="15" s="1"/>
  <c r="D3821" i="15"/>
  <c r="B3813" i="15"/>
  <c r="E3813" i="15"/>
  <c r="C3813" i="15"/>
  <c r="F3813" i="15" s="1"/>
  <c r="D3813" i="15"/>
  <c r="B3802" i="15"/>
  <c r="D3802" i="15"/>
  <c r="E3802" i="15"/>
  <c r="C3274" i="15"/>
  <c r="F3274" i="15" s="1"/>
  <c r="E3274" i="15"/>
  <c r="C3262" i="15"/>
  <c r="F3262" i="15" s="1"/>
  <c r="B3262" i="15"/>
  <c r="E3258" i="15"/>
  <c r="C3246" i="15"/>
  <c r="F3246" i="15" s="1"/>
  <c r="D3246" i="15"/>
  <c r="E3246" i="15"/>
  <c r="C3227" i="15"/>
  <c r="F3227" i="15" s="1"/>
  <c r="D3227" i="15"/>
  <c r="C3186" i="15"/>
  <c r="F3186" i="15" s="1"/>
  <c r="D3186" i="15"/>
  <c r="E3186" i="15"/>
  <c r="C3130" i="15"/>
  <c r="F3130" i="15" s="1"/>
  <c r="B3130" i="15"/>
  <c r="C3084" i="15"/>
  <c r="F3084" i="15" s="1"/>
  <c r="B3084" i="15"/>
  <c r="D3084" i="15"/>
  <c r="E3084" i="15"/>
  <c r="E3029" i="15"/>
  <c r="D3029" i="15"/>
  <c r="B2903" i="15"/>
  <c r="C2903" i="15"/>
  <c r="F2903" i="15" s="1"/>
  <c r="D2903" i="15"/>
  <c r="E2903" i="15"/>
  <c r="B2819" i="15"/>
  <c r="C2819" i="15"/>
  <c r="F2819" i="15" s="1"/>
  <c r="D2819" i="15"/>
  <c r="E2819" i="15"/>
  <c r="E2787" i="15"/>
  <c r="C2787" i="15"/>
  <c r="F2787" i="15" s="1"/>
  <c r="D2734" i="15"/>
  <c r="C2734" i="15"/>
  <c r="F2734" i="15" s="1"/>
  <c r="B2595" i="15"/>
  <c r="D2595" i="15"/>
  <c r="B2585" i="15"/>
  <c r="C2585" i="15"/>
  <c r="F2585" i="15" s="1"/>
  <c r="D2585" i="15"/>
  <c r="E2585" i="15"/>
  <c r="B2573" i="15"/>
  <c r="C2573" i="15"/>
  <c r="F2573" i="15" s="1"/>
  <c r="D2573" i="15"/>
  <c r="E2573" i="15"/>
  <c r="B2553" i="15"/>
  <c r="C2553" i="15"/>
  <c r="F2553" i="15" s="1"/>
  <c r="D2530" i="15"/>
  <c r="B2530" i="15"/>
  <c r="C2530" i="15"/>
  <c r="F2530" i="15" s="1"/>
  <c r="E2530" i="15"/>
  <c r="B2511" i="15"/>
  <c r="C2511" i="15"/>
  <c r="F2511" i="15" s="1"/>
  <c r="D2433" i="15"/>
  <c r="B2433" i="15"/>
  <c r="B2349" i="15"/>
  <c r="E2349" i="15"/>
  <c r="C2157" i="15"/>
  <c r="F2157" i="15" s="1"/>
  <c r="D2157" i="15"/>
  <c r="B3897" i="15"/>
  <c r="E3897" i="15"/>
  <c r="B3888" i="15"/>
  <c r="E3888" i="15"/>
  <c r="B3879" i="15"/>
  <c r="E3879" i="15"/>
  <c r="B3870" i="15"/>
  <c r="E3870" i="15"/>
  <c r="B3861" i="15"/>
  <c r="E3861" i="15"/>
  <c r="B3852" i="15"/>
  <c r="E3852" i="15"/>
  <c r="B3843" i="15"/>
  <c r="E3843" i="15"/>
  <c r="B3834" i="15"/>
  <c r="E3834" i="15"/>
  <c r="E3826" i="15"/>
  <c r="B3825" i="15"/>
  <c r="E3825" i="15"/>
  <c r="E3817" i="15"/>
  <c r="B3816" i="15"/>
  <c r="E3816" i="15"/>
  <c r="E3808" i="15"/>
  <c r="B3807" i="15"/>
  <c r="E3807" i="15"/>
  <c r="E3799" i="15"/>
  <c r="B3798" i="15"/>
  <c r="E3798" i="15"/>
  <c r="E3282" i="15"/>
  <c r="C3276" i="15"/>
  <c r="F3276" i="15" s="1"/>
  <c r="E3276" i="15"/>
  <c r="C3264" i="15"/>
  <c r="F3264" i="15" s="1"/>
  <c r="B3264" i="15"/>
  <c r="D3261" i="15"/>
  <c r="D3258" i="15"/>
  <c r="E3250" i="15"/>
  <c r="C3242" i="15"/>
  <c r="F3242" i="15" s="1"/>
  <c r="B3242" i="15"/>
  <c r="E3242" i="15"/>
  <c r="E3235" i="15"/>
  <c r="E3217" i="15"/>
  <c r="C3198" i="15"/>
  <c r="F3198" i="15" s="1"/>
  <c r="D3198" i="15"/>
  <c r="E3198" i="15"/>
  <c r="C3192" i="15"/>
  <c r="F3192" i="15" s="1"/>
  <c r="B3192" i="15"/>
  <c r="D3192" i="15"/>
  <c r="E3192" i="15"/>
  <c r="E3188" i="15"/>
  <c r="C3166" i="15"/>
  <c r="F3166" i="15" s="1"/>
  <c r="B3166" i="15"/>
  <c r="D3166" i="15"/>
  <c r="C3137" i="15"/>
  <c r="F3137" i="15" s="1"/>
  <c r="B3137" i="15"/>
  <c r="D3137" i="15"/>
  <c r="C3101" i="15"/>
  <c r="F3101" i="15" s="1"/>
  <c r="B3101" i="15"/>
  <c r="C3096" i="15"/>
  <c r="F3096" i="15" s="1"/>
  <c r="B3096" i="15"/>
  <c r="D3096" i="15"/>
  <c r="E3096" i="15"/>
  <c r="C3072" i="15"/>
  <c r="F3072" i="15" s="1"/>
  <c r="E3072" i="15"/>
  <c r="B3072" i="15"/>
  <c r="C3048" i="15"/>
  <c r="F3048" i="15" s="1"/>
  <c r="B3048" i="15"/>
  <c r="D3048" i="15"/>
  <c r="E3048" i="15"/>
  <c r="C3028" i="15"/>
  <c r="F3028" i="15" s="1"/>
  <c r="B3028" i="15"/>
  <c r="D3028" i="15"/>
  <c r="E3028" i="15"/>
  <c r="C3018" i="15"/>
  <c r="F3018" i="15" s="1"/>
  <c r="B3018" i="15"/>
  <c r="D3018" i="15"/>
  <c r="E3018" i="15"/>
  <c r="C2988" i="15"/>
  <c r="F2988" i="15" s="1"/>
  <c r="B2988" i="15"/>
  <c r="D2988" i="15"/>
  <c r="E2988" i="15"/>
  <c r="B2956" i="15"/>
  <c r="C2956" i="15"/>
  <c r="F2956" i="15" s="1"/>
  <c r="E2956" i="15"/>
  <c r="B2946" i="15"/>
  <c r="D2946" i="15"/>
  <c r="E2811" i="15"/>
  <c r="C2811" i="15"/>
  <c r="F2811" i="15" s="1"/>
  <c r="C2797" i="15"/>
  <c r="F2797" i="15" s="1"/>
  <c r="D2797" i="15"/>
  <c r="D2680" i="15"/>
  <c r="B2680" i="15"/>
  <c r="C2680" i="15"/>
  <c r="F2680" i="15" s="1"/>
  <c r="E2680" i="15"/>
  <c r="B2597" i="15"/>
  <c r="C2597" i="15"/>
  <c r="F2597" i="15" s="1"/>
  <c r="D2597" i="15"/>
  <c r="E2597" i="15"/>
  <c r="B2546" i="15"/>
  <c r="E2546" i="15"/>
  <c r="D2542" i="15"/>
  <c r="B2542" i="15"/>
  <c r="C2542" i="15"/>
  <c r="F2542" i="15" s="1"/>
  <c r="E2542" i="15"/>
  <c r="D2479" i="15"/>
  <c r="C2479" i="15"/>
  <c r="F2479" i="15" s="1"/>
  <c r="D2446" i="15"/>
  <c r="B2446" i="15"/>
  <c r="C2446" i="15"/>
  <c r="F2446" i="15" s="1"/>
  <c r="E2446" i="15"/>
  <c r="B2358" i="15"/>
  <c r="E2358" i="15"/>
  <c r="B2295" i="15"/>
  <c r="E2295" i="15"/>
  <c r="C2120" i="15"/>
  <c r="F2120" i="15" s="1"/>
  <c r="B2120" i="15"/>
  <c r="D2120" i="15"/>
  <c r="D2013" i="15"/>
  <c r="C2013" i="15"/>
  <c r="F2013" i="15" s="1"/>
  <c r="E3405" i="15"/>
  <c r="E3393" i="15"/>
  <c r="E3351" i="15"/>
  <c r="E3339" i="15"/>
  <c r="E3297" i="15"/>
  <c r="E3285" i="15"/>
  <c r="D3275" i="15"/>
  <c r="D3268" i="15"/>
  <c r="B3261" i="15"/>
  <c r="B3258" i="15"/>
  <c r="E3252" i="15"/>
  <c r="C3248" i="15"/>
  <c r="F3248" i="15" s="1"/>
  <c r="E3248" i="15"/>
  <c r="D3238" i="15"/>
  <c r="C3204" i="15"/>
  <c r="F3204" i="15" s="1"/>
  <c r="B3204" i="15"/>
  <c r="D3204" i="15"/>
  <c r="E3204" i="15"/>
  <c r="D3180" i="15"/>
  <c r="E3109" i="15"/>
  <c r="C3054" i="15"/>
  <c r="F3054" i="15" s="1"/>
  <c r="B3054" i="15"/>
  <c r="D3054" i="15"/>
  <c r="E3054" i="15"/>
  <c r="D3027" i="15"/>
  <c r="B3027" i="15"/>
  <c r="C2983" i="15"/>
  <c r="F2983" i="15" s="1"/>
  <c r="D2983" i="15"/>
  <c r="B2920" i="15"/>
  <c r="C2920" i="15"/>
  <c r="F2920" i="15" s="1"/>
  <c r="E2920" i="15"/>
  <c r="B2910" i="15"/>
  <c r="D2910" i="15"/>
  <c r="B2861" i="15"/>
  <c r="C2861" i="15"/>
  <c r="F2861" i="15" s="1"/>
  <c r="D2861" i="15"/>
  <c r="E2861" i="15"/>
  <c r="B2826" i="15"/>
  <c r="D2826" i="15"/>
  <c r="D2709" i="15"/>
  <c r="B2709" i="15"/>
  <c r="B2705" i="15"/>
  <c r="C2705" i="15"/>
  <c r="F2705" i="15" s="1"/>
  <c r="D2705" i="15"/>
  <c r="E2705" i="15"/>
  <c r="B2699" i="15"/>
  <c r="C2699" i="15"/>
  <c r="F2699" i="15" s="1"/>
  <c r="D2699" i="15"/>
  <c r="E2699" i="15"/>
  <c r="D2686" i="15"/>
  <c r="C2686" i="15"/>
  <c r="F2686" i="15" s="1"/>
  <c r="B2676" i="15"/>
  <c r="C2676" i="15"/>
  <c r="F2676" i="15" s="1"/>
  <c r="E2676" i="15"/>
  <c r="B2619" i="15"/>
  <c r="D2619" i="15"/>
  <c r="B2493" i="15"/>
  <c r="C2493" i="15"/>
  <c r="F2493" i="15" s="1"/>
  <c r="D2467" i="15"/>
  <c r="C2467" i="15"/>
  <c r="F2467" i="15" s="1"/>
  <c r="D2428" i="15"/>
  <c r="B2428" i="15"/>
  <c r="C2428" i="15"/>
  <c r="F2428" i="15" s="1"/>
  <c r="E2428" i="15"/>
  <c r="B2415" i="15"/>
  <c r="E2415" i="15"/>
  <c r="E2374" i="15"/>
  <c r="B2374" i="15"/>
  <c r="B2304" i="15"/>
  <c r="E2304" i="15"/>
  <c r="B2241" i="15"/>
  <c r="E2241" i="15"/>
  <c r="C2091" i="15"/>
  <c r="F2091" i="15" s="1"/>
  <c r="E2091" i="15"/>
  <c r="B3900" i="15"/>
  <c r="E3900" i="15"/>
  <c r="B3891" i="15"/>
  <c r="E3891" i="15"/>
  <c r="B3882" i="15"/>
  <c r="E3882" i="15"/>
  <c r="B3873" i="15"/>
  <c r="E3873" i="15"/>
  <c r="B3864" i="15"/>
  <c r="E3864" i="15"/>
  <c r="B3855" i="15"/>
  <c r="E3855" i="15"/>
  <c r="B3846" i="15"/>
  <c r="E3846" i="15"/>
  <c r="B3837" i="15"/>
  <c r="E3837" i="15"/>
  <c r="B3828" i="15"/>
  <c r="E3828" i="15"/>
  <c r="C3826" i="15"/>
  <c r="F3826" i="15" s="1"/>
  <c r="B3819" i="15"/>
  <c r="E3819" i="15"/>
  <c r="C3817" i="15"/>
  <c r="F3817" i="15" s="1"/>
  <c r="D5" i="36" s="1"/>
  <c r="B3810" i="15"/>
  <c r="E3810" i="15"/>
  <c r="C3808" i="15"/>
  <c r="F3808" i="15" s="1"/>
  <c r="B3801" i="15"/>
  <c r="E3801" i="15"/>
  <c r="C3799" i="15"/>
  <c r="F3799" i="15" s="1"/>
  <c r="C3420" i="15"/>
  <c r="F3420" i="15" s="1"/>
  <c r="E3381" i="15"/>
  <c r="C3366" i="15"/>
  <c r="F3366" i="15" s="1"/>
  <c r="E3327" i="15"/>
  <c r="C3312" i="15"/>
  <c r="F3312" i="15" s="1"/>
  <c r="C3250" i="15"/>
  <c r="F3250" i="15" s="1"/>
  <c r="D3250" i="15"/>
  <c r="C3244" i="15"/>
  <c r="F3244" i="15" s="1"/>
  <c r="B3244" i="15"/>
  <c r="D3244" i="15"/>
  <c r="B3238" i="15"/>
  <c r="B3224" i="15"/>
  <c r="E3224" i="15"/>
  <c r="D3145" i="15"/>
  <c r="E3145" i="15"/>
  <c r="B3087" i="15"/>
  <c r="D3087" i="15"/>
  <c r="B3039" i="15"/>
  <c r="D3039" i="15"/>
  <c r="B3032" i="15"/>
  <c r="E3032" i="15"/>
  <c r="C2986" i="15"/>
  <c r="F2986" i="15" s="1"/>
  <c r="B2986" i="15"/>
  <c r="D2986" i="15"/>
  <c r="E2986" i="15"/>
  <c r="D2834" i="15"/>
  <c r="C2834" i="15"/>
  <c r="F2834" i="15" s="1"/>
  <c r="B2795" i="15"/>
  <c r="C2795" i="15"/>
  <c r="F2795" i="15" s="1"/>
  <c r="D2795" i="15"/>
  <c r="E2795" i="15"/>
  <c r="E2782" i="15"/>
  <c r="C2782" i="15"/>
  <c r="F2782" i="15" s="1"/>
  <c r="C2755" i="15"/>
  <c r="F2755" i="15" s="1"/>
  <c r="D2755" i="15"/>
  <c r="D2728" i="15"/>
  <c r="B2728" i="15"/>
  <c r="E2728" i="15"/>
  <c r="D2668" i="15"/>
  <c r="B2668" i="15"/>
  <c r="C2668" i="15"/>
  <c r="F2668" i="15" s="1"/>
  <c r="E2668" i="15"/>
  <c r="C2653" i="15"/>
  <c r="F2653" i="15" s="1"/>
  <c r="B2653" i="15"/>
  <c r="D2653" i="15"/>
  <c r="E2653" i="15"/>
  <c r="B2621" i="15"/>
  <c r="C2621" i="15"/>
  <c r="F2621" i="15" s="1"/>
  <c r="D2621" i="15"/>
  <c r="E2621" i="15"/>
  <c r="C2557" i="15"/>
  <c r="F2557" i="15" s="1"/>
  <c r="E2557" i="15"/>
  <c r="D2482" i="15"/>
  <c r="B2482" i="15"/>
  <c r="C2482" i="15"/>
  <c r="F2482" i="15" s="1"/>
  <c r="E2482" i="15"/>
  <c r="E2320" i="15"/>
  <c r="B2320" i="15"/>
  <c r="B2250" i="15"/>
  <c r="E2250" i="15"/>
  <c r="B2186" i="15"/>
  <c r="E2186" i="15"/>
  <c r="C2138" i="15"/>
  <c r="F2138" i="15" s="1"/>
  <c r="B2138" i="15"/>
  <c r="D2138" i="15"/>
  <c r="B3824" i="15"/>
  <c r="C3824" i="15"/>
  <c r="F3824" i="15" s="1"/>
  <c r="B3815" i="15"/>
  <c r="C3815" i="15"/>
  <c r="F3815" i="15" s="1"/>
  <c r="B3806" i="15"/>
  <c r="C3806" i="15"/>
  <c r="F3806" i="15" s="1"/>
  <c r="B3797" i="15"/>
  <c r="C3797" i="15"/>
  <c r="F3797" i="15" s="1"/>
  <c r="C3268" i="15"/>
  <c r="F3268" i="15" s="1"/>
  <c r="E3268" i="15"/>
  <c r="C3255" i="15"/>
  <c r="F3255" i="15" s="1"/>
  <c r="B3255" i="15"/>
  <c r="C3252" i="15"/>
  <c r="F3252" i="15" s="1"/>
  <c r="D3252" i="15"/>
  <c r="C3216" i="15"/>
  <c r="F3216" i="15" s="1"/>
  <c r="B3216" i="15"/>
  <c r="D3216" i="15"/>
  <c r="E3216" i="15"/>
  <c r="B3195" i="15"/>
  <c r="D3195" i="15"/>
  <c r="C3180" i="15"/>
  <c r="F3180" i="15" s="1"/>
  <c r="E3180" i="15"/>
  <c r="C3156" i="15"/>
  <c r="F3156" i="15" s="1"/>
  <c r="E3156" i="15"/>
  <c r="B3156" i="15"/>
  <c r="B3116" i="15"/>
  <c r="E3116" i="15"/>
  <c r="C3108" i="15"/>
  <c r="F3108" i="15" s="1"/>
  <c r="B3108" i="15"/>
  <c r="D3108" i="15"/>
  <c r="E3108" i="15"/>
  <c r="C3004" i="15"/>
  <c r="F3004" i="15" s="1"/>
  <c r="B3004" i="15"/>
  <c r="D3004" i="15"/>
  <c r="E3004" i="15"/>
  <c r="D2888" i="15"/>
  <c r="C2888" i="15"/>
  <c r="F2888" i="15" s="1"/>
  <c r="B2855" i="15"/>
  <c r="C2855" i="15"/>
  <c r="F2855" i="15" s="1"/>
  <c r="D2855" i="15"/>
  <c r="E2855" i="15"/>
  <c r="B2715" i="15"/>
  <c r="D2715" i="15"/>
  <c r="B2643" i="15"/>
  <c r="D2643" i="15"/>
  <c r="D2536" i="15"/>
  <c r="B2536" i="15"/>
  <c r="C2536" i="15"/>
  <c r="F2536" i="15" s="1"/>
  <c r="E2536" i="15"/>
  <c r="E2519" i="15"/>
  <c r="C2519" i="15"/>
  <c r="F2519" i="15" s="1"/>
  <c r="E2266" i="15"/>
  <c r="B2266" i="15"/>
  <c r="B2195" i="15"/>
  <c r="E2195" i="15"/>
  <c r="C2101" i="15"/>
  <c r="F2101" i="15" s="1"/>
  <c r="B2101" i="15"/>
  <c r="E2029" i="15"/>
  <c r="C2029" i="15"/>
  <c r="F2029" i="15" s="1"/>
  <c r="B3008" i="15"/>
  <c r="B2992" i="15"/>
  <c r="D2989" i="15"/>
  <c r="B2969" i="15"/>
  <c r="B2963" i="15"/>
  <c r="E2951" i="15"/>
  <c r="C2949" i="15"/>
  <c r="F2949" i="15" s="1"/>
  <c r="E2945" i="15"/>
  <c r="B2933" i="15"/>
  <c r="B2927" i="15"/>
  <c r="E2915" i="15"/>
  <c r="C2913" i="15"/>
  <c r="F2913" i="15" s="1"/>
  <c r="E2909" i="15"/>
  <c r="B2897" i="15"/>
  <c r="B2891" i="15"/>
  <c r="B2885" i="15"/>
  <c r="C2870" i="15"/>
  <c r="F2870" i="15" s="1"/>
  <c r="B2843" i="15"/>
  <c r="B2837" i="15"/>
  <c r="D2833" i="15"/>
  <c r="B2831" i="15"/>
  <c r="E2825" i="15"/>
  <c r="C2823" i="15"/>
  <c r="F2823" i="15" s="1"/>
  <c r="C2818" i="15"/>
  <c r="F2818" i="15" s="1"/>
  <c r="E2801" i="15"/>
  <c r="D2791" i="15"/>
  <c r="C2786" i="15"/>
  <c r="F2786" i="15" s="1"/>
  <c r="E2777" i="15"/>
  <c r="C2776" i="15"/>
  <c r="F2776" i="15" s="1"/>
  <c r="B2771" i="15"/>
  <c r="C2762" i="15"/>
  <c r="F2762" i="15" s="1"/>
  <c r="D2754" i="15"/>
  <c r="C2748" i="15"/>
  <c r="F2748" i="15" s="1"/>
  <c r="D2739" i="15"/>
  <c r="B2723" i="15"/>
  <c r="E2704" i="15"/>
  <c r="C2698" i="15"/>
  <c r="F2698" i="15" s="1"/>
  <c r="E2693" i="15"/>
  <c r="B2692" i="15"/>
  <c r="B2681" i="15"/>
  <c r="D2679" i="15"/>
  <c r="E2675" i="15"/>
  <c r="B2673" i="15"/>
  <c r="B2669" i="15"/>
  <c r="D2667" i="15"/>
  <c r="E2658" i="15"/>
  <c r="B2635" i="15"/>
  <c r="B2629" i="15"/>
  <c r="B2626" i="15"/>
  <c r="B2611" i="15"/>
  <c r="B2605" i="15"/>
  <c r="B2602" i="15"/>
  <c r="E2591" i="15"/>
  <c r="E2579" i="15"/>
  <c r="E2567" i="15"/>
  <c r="B2561" i="15"/>
  <c r="B2541" i="15"/>
  <c r="B2508" i="15"/>
  <c r="B2502" i="15"/>
  <c r="E2492" i="15"/>
  <c r="B2490" i="15"/>
  <c r="B2488" i="15"/>
  <c r="B2458" i="15"/>
  <c r="B2445" i="15"/>
  <c r="B2440" i="15"/>
  <c r="B2427" i="15"/>
  <c r="E2421" i="15"/>
  <c r="B2410" i="15"/>
  <c r="E2398" i="15"/>
  <c r="B2398" i="15"/>
  <c r="E2394" i="15"/>
  <c r="B2373" i="15"/>
  <c r="E2373" i="15"/>
  <c r="E2344" i="15"/>
  <c r="B2344" i="15"/>
  <c r="E2340" i="15"/>
  <c r="B2319" i="15"/>
  <c r="E2319" i="15"/>
  <c r="E2290" i="15"/>
  <c r="B2290" i="15"/>
  <c r="E2286" i="15"/>
  <c r="B2265" i="15"/>
  <c r="E2265" i="15"/>
  <c r="E2236" i="15"/>
  <c r="B2236" i="15"/>
  <c r="E2232" i="15"/>
  <c r="B2210" i="15"/>
  <c r="E2210" i="15"/>
  <c r="E2181" i="15"/>
  <c r="B2181" i="15"/>
  <c r="E2177" i="15"/>
  <c r="D2162" i="15"/>
  <c r="C2159" i="15"/>
  <c r="F2159" i="15" s="1"/>
  <c r="E2159" i="15"/>
  <c r="D2156" i="15"/>
  <c r="C2153" i="15"/>
  <c r="F2153" i="15" s="1"/>
  <c r="D2153" i="15"/>
  <c r="C2140" i="15"/>
  <c r="F2140" i="15" s="1"/>
  <c r="E2140" i="15"/>
  <c r="B2140" i="15"/>
  <c r="C2134" i="15"/>
  <c r="F2134" i="15" s="1"/>
  <c r="B2134" i="15"/>
  <c r="D2134" i="15"/>
  <c r="C2128" i="15"/>
  <c r="F2128" i="15" s="1"/>
  <c r="D2128" i="15"/>
  <c r="C2122" i="15"/>
  <c r="F2122" i="15" s="1"/>
  <c r="E2122" i="15"/>
  <c r="B2122" i="15"/>
  <c r="C2108" i="15"/>
  <c r="F2108" i="15" s="1"/>
  <c r="B2108" i="15"/>
  <c r="C2093" i="15"/>
  <c r="F2093" i="15" s="1"/>
  <c r="E2093" i="15"/>
  <c r="E2079" i="15"/>
  <c r="C2049" i="15"/>
  <c r="F2049" i="15" s="1"/>
  <c r="B2049" i="15"/>
  <c r="D2034" i="15"/>
  <c r="C2034" i="15"/>
  <c r="F2034" i="15" s="1"/>
  <c r="E2034" i="15"/>
  <c r="B2034" i="15"/>
  <c r="D1974" i="15"/>
  <c r="B1974" i="15"/>
  <c r="E2514" i="15"/>
  <c r="E2484" i="15"/>
  <c r="E2464" i="15"/>
  <c r="E2454" i="15"/>
  <c r="E2436" i="15"/>
  <c r="B2385" i="15"/>
  <c r="E2385" i="15"/>
  <c r="E2356" i="15"/>
  <c r="B2356" i="15"/>
  <c r="B2331" i="15"/>
  <c r="E2331" i="15"/>
  <c r="E2302" i="15"/>
  <c r="B2302" i="15"/>
  <c r="B2277" i="15"/>
  <c r="E2277" i="15"/>
  <c r="E2248" i="15"/>
  <c r="B2248" i="15"/>
  <c r="B2222" i="15"/>
  <c r="E2222" i="15"/>
  <c r="E2193" i="15"/>
  <c r="B2193" i="15"/>
  <c r="B2168" i="15"/>
  <c r="E2168" i="15"/>
  <c r="C2145" i="15"/>
  <c r="F2145" i="15" s="1"/>
  <c r="B2145" i="15"/>
  <c r="E2133" i="15"/>
  <c r="D2133" i="15"/>
  <c r="D2127" i="15"/>
  <c r="E2127" i="15"/>
  <c r="C2110" i="15"/>
  <c r="F2110" i="15" s="1"/>
  <c r="E2110" i="15"/>
  <c r="B2110" i="15"/>
  <c r="C2104" i="15"/>
  <c r="F2104" i="15" s="1"/>
  <c r="B2104" i="15"/>
  <c r="D2104" i="15"/>
  <c r="C2096" i="15"/>
  <c r="F2096" i="15" s="1"/>
  <c r="D2096" i="15"/>
  <c r="C2089" i="15"/>
  <c r="F2089" i="15" s="1"/>
  <c r="B2089" i="15"/>
  <c r="E2016" i="15"/>
  <c r="C2016" i="15"/>
  <c r="F2016" i="15" s="1"/>
  <c r="B1950" i="15"/>
  <c r="D1950" i="15"/>
  <c r="D3222" i="15"/>
  <c r="D3213" i="15"/>
  <c r="D3210" i="15"/>
  <c r="D3184" i="15"/>
  <c r="E3163" i="15"/>
  <c r="D3155" i="15"/>
  <c r="E3134" i="15"/>
  <c r="D3126" i="15"/>
  <c r="D3114" i="15"/>
  <c r="D3105" i="15"/>
  <c r="D3102" i="15"/>
  <c r="D3076" i="15"/>
  <c r="D3016" i="15"/>
  <c r="E3002" i="15"/>
  <c r="D3000" i="15"/>
  <c r="D2998" i="15"/>
  <c r="E2972" i="15"/>
  <c r="C2951" i="15"/>
  <c r="F2951" i="15" s="1"/>
  <c r="C2945" i="15"/>
  <c r="F2945" i="15" s="1"/>
  <c r="C2915" i="15"/>
  <c r="F2915" i="15" s="1"/>
  <c r="C2909" i="15"/>
  <c r="F2909" i="15" s="1"/>
  <c r="E2884" i="15"/>
  <c r="E2830" i="15"/>
  <c r="C2825" i="15"/>
  <c r="F2825" i="15" s="1"/>
  <c r="E2813" i="15"/>
  <c r="C2801" i="15"/>
  <c r="F2801" i="15" s="1"/>
  <c r="C2777" i="15"/>
  <c r="F2777" i="15" s="1"/>
  <c r="E2753" i="15"/>
  <c r="D2749" i="15"/>
  <c r="E2747" i="15"/>
  <c r="D2736" i="15"/>
  <c r="D2719" i="15"/>
  <c r="D2707" i="15"/>
  <c r="D2697" i="15"/>
  <c r="D2695" i="15"/>
  <c r="C2693" i="15"/>
  <c r="F2693" i="15" s="1"/>
  <c r="E2678" i="15"/>
  <c r="C2675" i="15"/>
  <c r="F2675" i="15" s="1"/>
  <c r="E2663" i="15"/>
  <c r="C2662" i="15"/>
  <c r="F2662" i="15" s="1"/>
  <c r="E2657" i="15"/>
  <c r="C2656" i="15"/>
  <c r="F2656" i="15" s="1"/>
  <c r="D2647" i="15"/>
  <c r="D2641" i="15"/>
  <c r="E2639" i="15"/>
  <c r="C2638" i="15"/>
  <c r="F2638" i="15" s="1"/>
  <c r="E2628" i="15"/>
  <c r="D2625" i="15"/>
  <c r="D2623" i="15"/>
  <c r="D2617" i="15"/>
  <c r="E2615" i="15"/>
  <c r="C2614" i="15"/>
  <c r="F2614" i="15" s="1"/>
  <c r="E2604" i="15"/>
  <c r="D2601" i="15"/>
  <c r="D2599" i="15"/>
  <c r="D2593" i="15"/>
  <c r="C2591" i="15"/>
  <c r="F2591" i="15" s="1"/>
  <c r="D2587" i="15"/>
  <c r="D2581" i="15"/>
  <c r="C2579" i="15"/>
  <c r="F2579" i="15" s="1"/>
  <c r="D2575" i="15"/>
  <c r="D2569" i="15"/>
  <c r="C2567" i="15"/>
  <c r="F2567" i="15" s="1"/>
  <c r="C2562" i="15"/>
  <c r="F2562" i="15" s="1"/>
  <c r="C2549" i="15"/>
  <c r="F2549" i="15" s="1"/>
  <c r="C2544" i="15"/>
  <c r="F2544" i="15" s="1"/>
  <c r="E2540" i="15"/>
  <c r="C2538" i="15"/>
  <c r="F2538" i="15" s="1"/>
  <c r="C2526" i="15"/>
  <c r="F2526" i="15" s="1"/>
  <c r="C2524" i="15"/>
  <c r="F2524" i="15" s="1"/>
  <c r="D31" i="36" s="1"/>
  <c r="C2514" i="15"/>
  <c r="F2514" i="15" s="1"/>
  <c r="E2507" i="15"/>
  <c r="E2501" i="15"/>
  <c r="C2484" i="15"/>
  <c r="F2484" i="15" s="1"/>
  <c r="C2464" i="15"/>
  <c r="F2464" i="15" s="1"/>
  <c r="C2454" i="15"/>
  <c r="F2454" i="15" s="1"/>
  <c r="C2436" i="15"/>
  <c r="F2436" i="15" s="1"/>
  <c r="B2409" i="15"/>
  <c r="E2409" i="15"/>
  <c r="E2380" i="15"/>
  <c r="B2380" i="15"/>
  <c r="B2355" i="15"/>
  <c r="E2355" i="15"/>
  <c r="E2326" i="15"/>
  <c r="B2326" i="15"/>
  <c r="B2301" i="15"/>
  <c r="E2301" i="15"/>
  <c r="E2272" i="15"/>
  <c r="B2272" i="15"/>
  <c r="B2247" i="15"/>
  <c r="E2247" i="15"/>
  <c r="E2217" i="15"/>
  <c r="B2217" i="15"/>
  <c r="B2192" i="15"/>
  <c r="E2192" i="15"/>
  <c r="C2081" i="15"/>
  <c r="F2081" i="15" s="1"/>
  <c r="E2081" i="15"/>
  <c r="D2064" i="15"/>
  <c r="E2064" i="15"/>
  <c r="C2064" i="15"/>
  <c r="F2064" i="15" s="1"/>
  <c r="D2025" i="15"/>
  <c r="C2025" i="15"/>
  <c r="F2025" i="15" s="1"/>
  <c r="E2006" i="15"/>
  <c r="D2006" i="15"/>
  <c r="C2006" i="15"/>
  <c r="F2006" i="15" s="1"/>
  <c r="E2002" i="15"/>
  <c r="D2002" i="15"/>
  <c r="B2002" i="15"/>
  <c r="E1994" i="15"/>
  <c r="D1994" i="15"/>
  <c r="C1994" i="15"/>
  <c r="F1994" i="15" s="1"/>
  <c r="D1919" i="15"/>
  <c r="C1919" i="15"/>
  <c r="F1919" i="15" s="1"/>
  <c r="B3222" i="15"/>
  <c r="B3210" i="15"/>
  <c r="B3184" i="15"/>
  <c r="E3174" i="15"/>
  <c r="B3155" i="15"/>
  <c r="B3126" i="15"/>
  <c r="B3114" i="15"/>
  <c r="B3102" i="15"/>
  <c r="E3090" i="15"/>
  <c r="E3078" i="15"/>
  <c r="B3076" i="15"/>
  <c r="E3070" i="15"/>
  <c r="E3066" i="15"/>
  <c r="E3064" i="15"/>
  <c r="E3052" i="15"/>
  <c r="E3046" i="15"/>
  <c r="D3041" i="15"/>
  <c r="E3036" i="15"/>
  <c r="B3016" i="15"/>
  <c r="E3006" i="15"/>
  <c r="B3002" i="15"/>
  <c r="B3000" i="15"/>
  <c r="B2998" i="15"/>
  <c r="E2976" i="15"/>
  <c r="E2974" i="15"/>
  <c r="B2972" i="15"/>
  <c r="E2969" i="15"/>
  <c r="C2967" i="15"/>
  <c r="F2967" i="15" s="1"/>
  <c r="E2963" i="15"/>
  <c r="E2933" i="15"/>
  <c r="C2931" i="15"/>
  <c r="F2931" i="15" s="1"/>
  <c r="E2927" i="15"/>
  <c r="E2897" i="15"/>
  <c r="C2895" i="15"/>
  <c r="F2895" i="15" s="1"/>
  <c r="E2891" i="15"/>
  <c r="E2885" i="15"/>
  <c r="C2884" i="15"/>
  <c r="F2884" i="15" s="1"/>
  <c r="D2874" i="15"/>
  <c r="D2863" i="15"/>
  <c r="E2843" i="15"/>
  <c r="C2841" i="15"/>
  <c r="F2841" i="15" s="1"/>
  <c r="E2837" i="15"/>
  <c r="E2831" i="15"/>
  <c r="C2830" i="15"/>
  <c r="F2830" i="15" s="1"/>
  <c r="C2816" i="15"/>
  <c r="F2816" i="15" s="1"/>
  <c r="D2808" i="15"/>
  <c r="C2793" i="15"/>
  <c r="F2793" i="15" s="1"/>
  <c r="D2784" i="15"/>
  <c r="D2779" i="15"/>
  <c r="E2771" i="15"/>
  <c r="C2769" i="15"/>
  <c r="F2769" i="15" s="1"/>
  <c r="C2764" i="15"/>
  <c r="F2764" i="15" s="1"/>
  <c r="B2749" i="15"/>
  <c r="D2742" i="15"/>
  <c r="E2737" i="15"/>
  <c r="C2736" i="15"/>
  <c r="F2736" i="15" s="1"/>
  <c r="E2732" i="15"/>
  <c r="E2725" i="15"/>
  <c r="E2723" i="15"/>
  <c r="B2719" i="15"/>
  <c r="E2713" i="15"/>
  <c r="B2707" i="15"/>
  <c r="E2700" i="15"/>
  <c r="B2695" i="15"/>
  <c r="C2690" i="15"/>
  <c r="F2690" i="15" s="1"/>
  <c r="E2688" i="15"/>
  <c r="E2683" i="15"/>
  <c r="E2681" i="15"/>
  <c r="E2671" i="15"/>
  <c r="E2669" i="15"/>
  <c r="E2665" i="15"/>
  <c r="B2662" i="15"/>
  <c r="B2656" i="15"/>
  <c r="B2647" i="15"/>
  <c r="B2641" i="15"/>
  <c r="B2638" i="15"/>
  <c r="E2632" i="15"/>
  <c r="B2623" i="15"/>
  <c r="B2617" i="15"/>
  <c r="B2614" i="15"/>
  <c r="E2608" i="15"/>
  <c r="B2599" i="15"/>
  <c r="B2593" i="15"/>
  <c r="B2587" i="15"/>
  <c r="B2581" i="15"/>
  <c r="B2575" i="15"/>
  <c r="B2569" i="15"/>
  <c r="B2562" i="15"/>
  <c r="E2550" i="15"/>
  <c r="B2549" i="15"/>
  <c r="B2544" i="15"/>
  <c r="B2538" i="15"/>
  <c r="E2532" i="15"/>
  <c r="E2528" i="15"/>
  <c r="B2526" i="15"/>
  <c r="B2524" i="15"/>
  <c r="B31" i="36" s="1"/>
  <c r="B2514" i="15"/>
  <c r="B2505" i="15"/>
  <c r="B2484" i="15"/>
  <c r="E2472" i="15"/>
  <c r="E2470" i="15"/>
  <c r="B2464" i="15"/>
  <c r="C2461" i="15"/>
  <c r="F2461" i="15" s="1"/>
  <c r="B2454" i="15"/>
  <c r="E2448" i="15"/>
  <c r="C2443" i="15"/>
  <c r="F2443" i="15" s="1"/>
  <c r="B2436" i="15"/>
  <c r="E2430" i="15"/>
  <c r="C2425" i="15"/>
  <c r="F2425" i="15" s="1"/>
  <c r="B2419" i="15"/>
  <c r="E2412" i="15"/>
  <c r="B2404" i="15"/>
  <c r="E2392" i="15"/>
  <c r="B2392" i="15"/>
  <c r="B2383" i="15"/>
  <c r="E2379" i="15"/>
  <c r="B2367" i="15"/>
  <c r="E2367" i="15"/>
  <c r="B2350" i="15"/>
  <c r="E2338" i="15"/>
  <c r="B2338" i="15"/>
  <c r="B2329" i="15"/>
  <c r="E2325" i="15"/>
  <c r="B2313" i="15"/>
  <c r="E2313" i="15"/>
  <c r="B2296" i="15"/>
  <c r="E2284" i="15"/>
  <c r="B2284" i="15"/>
  <c r="B2275" i="15"/>
  <c r="E2271" i="15"/>
  <c r="B2259" i="15"/>
  <c r="E2259" i="15"/>
  <c r="B2242" i="15"/>
  <c r="E2229" i="15"/>
  <c r="B2229" i="15"/>
  <c r="B2220" i="15"/>
  <c r="E2216" i="15"/>
  <c r="B2204" i="15"/>
  <c r="E2204" i="15"/>
  <c r="B2187" i="15"/>
  <c r="E2175" i="15"/>
  <c r="B2175" i="15"/>
  <c r="C2164" i="15"/>
  <c r="F2164" i="15" s="1"/>
  <c r="D2164" i="15"/>
  <c r="C2152" i="15"/>
  <c r="F2152" i="15" s="1"/>
  <c r="E2152" i="15"/>
  <c r="C2147" i="15"/>
  <c r="F2147" i="15" s="1"/>
  <c r="D2147" i="15"/>
  <c r="C2126" i="15"/>
  <c r="F2126" i="15" s="1"/>
  <c r="D2126" i="15"/>
  <c r="C2115" i="15"/>
  <c r="F2115" i="15" s="1"/>
  <c r="D2115" i="15"/>
  <c r="C2103" i="15"/>
  <c r="F2103" i="15" s="1"/>
  <c r="E2103" i="15"/>
  <c r="C2084" i="15"/>
  <c r="F2084" i="15" s="1"/>
  <c r="D2084" i="15"/>
  <c r="D2075" i="15"/>
  <c r="E2075" i="15"/>
  <c r="C2075" i="15"/>
  <c r="F2075" i="15" s="1"/>
  <c r="E1996" i="15"/>
  <c r="D1996" i="15"/>
  <c r="B1996" i="15"/>
  <c r="C1987" i="15"/>
  <c r="F1987" i="15" s="1"/>
  <c r="B1987" i="15"/>
  <c r="E1940" i="15"/>
  <c r="D1940" i="15"/>
  <c r="B1940" i="15"/>
  <c r="C1940" i="15"/>
  <c r="F1940" i="15" s="1"/>
  <c r="E1924" i="15"/>
  <c r="D1924" i="15"/>
  <c r="B1924" i="15"/>
  <c r="C1924" i="15"/>
  <c r="F1924" i="15" s="1"/>
  <c r="D3174" i="15"/>
  <c r="D3148" i="15"/>
  <c r="D3119" i="15"/>
  <c r="D3090" i="15"/>
  <c r="D3078" i="15"/>
  <c r="D3070" i="15"/>
  <c r="E2992" i="15"/>
  <c r="E2635" i="15"/>
  <c r="E2629" i="15"/>
  <c r="E2626" i="15"/>
  <c r="E2611" i="15"/>
  <c r="E2605" i="15"/>
  <c r="E2602" i="15"/>
  <c r="B2391" i="15"/>
  <c r="E2391" i="15"/>
  <c r="E2362" i="15"/>
  <c r="B2362" i="15"/>
  <c r="B2337" i="15"/>
  <c r="E2337" i="15"/>
  <c r="E2308" i="15"/>
  <c r="B2308" i="15"/>
  <c r="B2283" i="15"/>
  <c r="E2283" i="15"/>
  <c r="E2254" i="15"/>
  <c r="B2254" i="15"/>
  <c r="B2228" i="15"/>
  <c r="E2228" i="15"/>
  <c r="E2199" i="15"/>
  <c r="B2199" i="15"/>
  <c r="B2174" i="15"/>
  <c r="E2174" i="15"/>
  <c r="C2151" i="15"/>
  <c r="F2151" i="15" s="1"/>
  <c r="E2151" i="15"/>
  <c r="C2135" i="15"/>
  <c r="F2135" i="15" s="1"/>
  <c r="D2135" i="15"/>
  <c r="E2053" i="15"/>
  <c r="C2053" i="15"/>
  <c r="F2053" i="15" s="1"/>
  <c r="E2018" i="15"/>
  <c r="D2018" i="15"/>
  <c r="C2018" i="15"/>
  <c r="F2018" i="15" s="1"/>
  <c r="C1959" i="15"/>
  <c r="F1959" i="15" s="1"/>
  <c r="D1959" i="15"/>
  <c r="E2146" i="15"/>
  <c r="E2098" i="15"/>
  <c r="E2086" i="15"/>
  <c r="E2068" i="15"/>
  <c r="E2057" i="15"/>
  <c r="E2046" i="15"/>
  <c r="E2022" i="15"/>
  <c r="D1982" i="15"/>
  <c r="B1972" i="15"/>
  <c r="B1948" i="15"/>
  <c r="B1946" i="15"/>
  <c r="B1942" i="15"/>
  <c r="B1933" i="15"/>
  <c r="D1928" i="15"/>
  <c r="B1926" i="15"/>
  <c r="B1915" i="15"/>
  <c r="B1911" i="15"/>
  <c r="B1905" i="15"/>
  <c r="B1903" i="15"/>
  <c r="D1900" i="15"/>
  <c r="B1899" i="15"/>
  <c r="D1894" i="15"/>
  <c r="D1888" i="15"/>
  <c r="D1886" i="15"/>
  <c r="C1881" i="15"/>
  <c r="F1881" i="15" s="1"/>
  <c r="B1879" i="15"/>
  <c r="D1876" i="15"/>
  <c r="D1874" i="15"/>
  <c r="D1872" i="15"/>
  <c r="B1870" i="15"/>
  <c r="C1861" i="15"/>
  <c r="F1861" i="15" s="1"/>
  <c r="C1856" i="15"/>
  <c r="F1856" i="15" s="1"/>
  <c r="B1854" i="15"/>
  <c r="B1852" i="15"/>
  <c r="B1850" i="15"/>
  <c r="C1843" i="15"/>
  <c r="F1843" i="15" s="1"/>
  <c r="C1840" i="15"/>
  <c r="F1840" i="15" s="1"/>
  <c r="C1837" i="15"/>
  <c r="F1837" i="15" s="1"/>
  <c r="C1834" i="15"/>
  <c r="F1834" i="15" s="1"/>
  <c r="C1831" i="15"/>
  <c r="F1831" i="15" s="1"/>
  <c r="C1828" i="15"/>
  <c r="F1828" i="15" s="1"/>
  <c r="C1825" i="15"/>
  <c r="F1825" i="15" s="1"/>
  <c r="C1822" i="15"/>
  <c r="F1822" i="15" s="1"/>
  <c r="C1819" i="15"/>
  <c r="F1819" i="15" s="1"/>
  <c r="C1816" i="15"/>
  <c r="F1816" i="15" s="1"/>
  <c r="C1813" i="15"/>
  <c r="F1813" i="15" s="1"/>
  <c r="B1810" i="15"/>
  <c r="C1806" i="15"/>
  <c r="F1806" i="15" s="1"/>
  <c r="E1803" i="15"/>
  <c r="D1803" i="15"/>
  <c r="B1801" i="15"/>
  <c r="C1797" i="15"/>
  <c r="F1797" i="15" s="1"/>
  <c r="D16" i="36" s="1"/>
  <c r="E1794" i="15"/>
  <c r="D1794" i="15"/>
  <c r="B1792" i="15"/>
  <c r="C1788" i="15"/>
  <c r="F1788" i="15" s="1"/>
  <c r="E1785" i="15"/>
  <c r="D1785" i="15"/>
  <c r="B1783" i="15"/>
  <c r="C1779" i="15"/>
  <c r="F1779" i="15" s="1"/>
  <c r="E1776" i="15"/>
  <c r="D1776" i="15"/>
  <c r="B1774" i="15"/>
  <c r="C1770" i="15"/>
  <c r="F1770" i="15" s="1"/>
  <c r="E1767" i="15"/>
  <c r="D1767" i="15"/>
  <c r="B1765" i="15"/>
  <c r="C1761" i="15"/>
  <c r="F1761" i="15" s="1"/>
  <c r="E1758" i="15"/>
  <c r="D1758" i="15"/>
  <c r="B1756" i="15"/>
  <c r="C1752" i="15"/>
  <c r="F1752" i="15" s="1"/>
  <c r="E1749" i="15"/>
  <c r="D1749" i="15"/>
  <c r="B1747" i="15"/>
  <c r="C1743" i="15"/>
  <c r="F1743" i="15" s="1"/>
  <c r="E1740" i="15"/>
  <c r="D1740" i="15"/>
  <c r="B1738" i="15"/>
  <c r="E1731" i="15"/>
  <c r="D1731" i="15"/>
  <c r="B1729" i="15"/>
  <c r="E1722" i="15"/>
  <c r="D1722" i="15"/>
  <c r="B1720" i="15"/>
  <c r="E1713" i="15"/>
  <c r="D1713" i="15"/>
  <c r="B1711" i="15"/>
  <c r="E1702" i="15"/>
  <c r="C1702" i="15"/>
  <c r="F1702" i="15" s="1"/>
  <c r="E1700" i="15"/>
  <c r="B1700" i="15"/>
  <c r="E1696" i="15"/>
  <c r="C1696" i="15"/>
  <c r="F1696" i="15" s="1"/>
  <c r="E1694" i="15"/>
  <c r="B1694" i="15"/>
  <c r="E1690" i="15"/>
  <c r="C1690" i="15"/>
  <c r="F1690" i="15" s="1"/>
  <c r="E1688" i="15"/>
  <c r="B1688" i="15"/>
  <c r="E1684" i="15"/>
  <c r="C1684" i="15"/>
  <c r="F1684" i="15" s="1"/>
  <c r="E1682" i="15"/>
  <c r="B1682" i="15"/>
  <c r="E1678" i="15"/>
  <c r="C1678" i="15"/>
  <c r="F1678" i="15" s="1"/>
  <c r="E1672" i="15"/>
  <c r="C1672" i="15"/>
  <c r="F1672" i="15" s="1"/>
  <c r="C1664" i="15"/>
  <c r="F1664" i="15" s="1"/>
  <c r="D1664" i="15"/>
  <c r="C1627" i="15"/>
  <c r="F1627" i="15" s="1"/>
  <c r="B1627" i="15"/>
  <c r="D1627" i="15"/>
  <c r="B1558" i="15"/>
  <c r="C1558" i="15"/>
  <c r="F1558" i="15" s="1"/>
  <c r="D1558" i="15"/>
  <c r="E1558" i="15"/>
  <c r="D1353" i="15"/>
  <c r="E1353" i="15"/>
  <c r="D1262" i="15"/>
  <c r="B1262" i="15"/>
  <c r="C1262" i="15"/>
  <c r="F1262" i="15" s="1"/>
  <c r="E1262" i="15"/>
  <c r="C1237" i="15"/>
  <c r="F1237" i="15" s="1"/>
  <c r="B1237" i="15"/>
  <c r="D1237" i="15"/>
  <c r="E1237" i="15"/>
  <c r="E1167" i="15"/>
  <c r="C1167" i="15"/>
  <c r="F1167" i="15" s="1"/>
  <c r="B1861" i="15"/>
  <c r="B1856" i="15"/>
  <c r="B1843" i="15"/>
  <c r="B1840" i="15"/>
  <c r="B1837" i="15"/>
  <c r="B1834" i="15"/>
  <c r="B1831" i="15"/>
  <c r="B1828" i="15"/>
  <c r="B1825" i="15"/>
  <c r="B1822" i="15"/>
  <c r="B1819" i="15"/>
  <c r="B1816" i="15"/>
  <c r="B1813" i="15"/>
  <c r="E1808" i="15"/>
  <c r="B1808" i="15"/>
  <c r="E1799" i="15"/>
  <c r="B1799" i="15"/>
  <c r="E1790" i="15"/>
  <c r="B1790" i="15"/>
  <c r="E1781" i="15"/>
  <c r="B1781" i="15"/>
  <c r="E1772" i="15"/>
  <c r="B1772" i="15"/>
  <c r="E1763" i="15"/>
  <c r="B1763" i="15"/>
  <c r="E1754" i="15"/>
  <c r="B1754" i="15"/>
  <c r="E1745" i="15"/>
  <c r="B1745" i="15"/>
  <c r="E1736" i="15"/>
  <c r="B1736" i="15"/>
  <c r="E1727" i="15"/>
  <c r="B1727" i="15"/>
  <c r="E1718" i="15"/>
  <c r="B1718" i="15"/>
  <c r="E1709" i="15"/>
  <c r="B1709" i="15"/>
  <c r="C1666" i="15"/>
  <c r="F1666" i="15" s="1"/>
  <c r="E1666" i="15"/>
  <c r="B1666" i="15"/>
  <c r="B1663" i="15"/>
  <c r="D1663" i="15"/>
  <c r="C1659" i="15"/>
  <c r="F1659" i="15" s="1"/>
  <c r="E1659" i="15"/>
  <c r="C1652" i="15"/>
  <c r="F1652" i="15" s="1"/>
  <c r="B1652" i="15"/>
  <c r="D1652" i="15"/>
  <c r="C1648" i="15"/>
  <c r="F1648" i="15" s="1"/>
  <c r="B1648" i="15"/>
  <c r="D1648" i="15"/>
  <c r="C1636" i="15"/>
  <c r="F1636" i="15" s="1"/>
  <c r="B1636" i="15"/>
  <c r="D1636" i="15"/>
  <c r="B1544" i="15"/>
  <c r="C1544" i="15"/>
  <c r="F1544" i="15" s="1"/>
  <c r="D1544" i="15"/>
  <c r="E1544" i="15"/>
  <c r="C1530" i="15"/>
  <c r="F1530" i="15" s="1"/>
  <c r="E1530" i="15"/>
  <c r="D1395" i="15"/>
  <c r="E1395" i="15"/>
  <c r="D1285" i="15"/>
  <c r="B1285" i="15"/>
  <c r="C1285" i="15"/>
  <c r="F1285" i="15" s="1"/>
  <c r="E1285" i="15"/>
  <c r="E1806" i="15"/>
  <c r="D1806" i="15"/>
  <c r="E1797" i="15"/>
  <c r="D1797" i="15"/>
  <c r="J12" i="21" s="1"/>
  <c r="E1788" i="15"/>
  <c r="D1788" i="15"/>
  <c r="E1779" i="15"/>
  <c r="D1779" i="15"/>
  <c r="E1770" i="15"/>
  <c r="D1770" i="15"/>
  <c r="E1761" i="15"/>
  <c r="D1761" i="15"/>
  <c r="E1752" i="15"/>
  <c r="D1752" i="15"/>
  <c r="E1743" i="15"/>
  <c r="D1743" i="15"/>
  <c r="E1734" i="15"/>
  <c r="D1734" i="15"/>
  <c r="E1725" i="15"/>
  <c r="D1725" i="15"/>
  <c r="E1716" i="15"/>
  <c r="D1716" i="15"/>
  <c r="E1707" i="15"/>
  <c r="D1707" i="15"/>
  <c r="C1647" i="15"/>
  <c r="F1647" i="15" s="1"/>
  <c r="D1647" i="15"/>
  <c r="E1647" i="15"/>
  <c r="C1635" i="15"/>
  <c r="F1635" i="15" s="1"/>
  <c r="D1635" i="15"/>
  <c r="E1635" i="15"/>
  <c r="C1616" i="15"/>
  <c r="F1616" i="15" s="1"/>
  <c r="B1616" i="15"/>
  <c r="D1616" i="15"/>
  <c r="C1606" i="15"/>
  <c r="F1606" i="15" s="1"/>
  <c r="B1606" i="15"/>
  <c r="D1606" i="15"/>
  <c r="E1554" i="15"/>
  <c r="C1554" i="15"/>
  <c r="F1554" i="15" s="1"/>
  <c r="B1540" i="15"/>
  <c r="C1540" i="15"/>
  <c r="F1540" i="15" s="1"/>
  <c r="D1540" i="15"/>
  <c r="E1540" i="15"/>
  <c r="D1470" i="15"/>
  <c r="E1470" i="15"/>
  <c r="D1413" i="15"/>
  <c r="E1413" i="15"/>
  <c r="D1361" i="15"/>
  <c r="E1361" i="15"/>
  <c r="D2102" i="15"/>
  <c r="E2099" i="15"/>
  <c r="D2090" i="15"/>
  <c r="E2087" i="15"/>
  <c r="D2078" i="15"/>
  <c r="C2074" i="15"/>
  <c r="F2074" i="15" s="1"/>
  <c r="C2063" i="15"/>
  <c r="F2063" i="15" s="1"/>
  <c r="C2058" i="15"/>
  <c r="F2058" i="15" s="1"/>
  <c r="C2052" i="15"/>
  <c r="F2052" i="15" s="1"/>
  <c r="E2047" i="15"/>
  <c r="C2043" i="15"/>
  <c r="F2043" i="15" s="1"/>
  <c r="C2040" i="15"/>
  <c r="F2040" i="15" s="1"/>
  <c r="D2017" i="15"/>
  <c r="C2005" i="15"/>
  <c r="F2005" i="15" s="1"/>
  <c r="D1990" i="15"/>
  <c r="D1966" i="15"/>
  <c r="C1964" i="15"/>
  <c r="F1964" i="15" s="1"/>
  <c r="D1960" i="15"/>
  <c r="C1951" i="15"/>
  <c r="F1951" i="15" s="1"/>
  <c r="D1936" i="15"/>
  <c r="D1923" i="15"/>
  <c r="C1921" i="15"/>
  <c r="F1921" i="15" s="1"/>
  <c r="C1910" i="15"/>
  <c r="F1910" i="15" s="1"/>
  <c r="D1889" i="15"/>
  <c r="C1882" i="15"/>
  <c r="F1882" i="15" s="1"/>
  <c r="C1880" i="15"/>
  <c r="F1880" i="15" s="1"/>
  <c r="C1864" i="15"/>
  <c r="F1864" i="15" s="1"/>
  <c r="C1862" i="15"/>
  <c r="F1862" i="15" s="1"/>
  <c r="C1855" i="15"/>
  <c r="F1855" i="15" s="1"/>
  <c r="C1846" i="15"/>
  <c r="F1846" i="15" s="1"/>
  <c r="D1842" i="15"/>
  <c r="D1839" i="15"/>
  <c r="D1836" i="15"/>
  <c r="D1833" i="15"/>
  <c r="D1830" i="15"/>
  <c r="D1827" i="15"/>
  <c r="D1824" i="15"/>
  <c r="D1821" i="15"/>
  <c r="D1818" i="15"/>
  <c r="D1815" i="15"/>
  <c r="D1812" i="15"/>
  <c r="E1811" i="15"/>
  <c r="B1811" i="15"/>
  <c r="C1807" i="15"/>
  <c r="F1807" i="15" s="1"/>
  <c r="D1805" i="15"/>
  <c r="E1802" i="15"/>
  <c r="B1802" i="15"/>
  <c r="C1798" i="15"/>
  <c r="F1798" i="15" s="1"/>
  <c r="D1796" i="15"/>
  <c r="E1793" i="15"/>
  <c r="B1793" i="15"/>
  <c r="C1789" i="15"/>
  <c r="F1789" i="15" s="1"/>
  <c r="D1787" i="15"/>
  <c r="E1784" i="15"/>
  <c r="B1784" i="15"/>
  <c r="C1780" i="15"/>
  <c r="F1780" i="15" s="1"/>
  <c r="D1778" i="15"/>
  <c r="E1775" i="15"/>
  <c r="B1775" i="15"/>
  <c r="C1771" i="15"/>
  <c r="F1771" i="15" s="1"/>
  <c r="D1769" i="15"/>
  <c r="E1766" i="15"/>
  <c r="B1766" i="15"/>
  <c r="C1762" i="15"/>
  <c r="F1762" i="15" s="1"/>
  <c r="D1760" i="15"/>
  <c r="E1757" i="15"/>
  <c r="B1757" i="15"/>
  <c r="C1753" i="15"/>
  <c r="F1753" i="15" s="1"/>
  <c r="D1751" i="15"/>
  <c r="E1748" i="15"/>
  <c r="B1748" i="15"/>
  <c r="C1744" i="15"/>
  <c r="F1744" i="15" s="1"/>
  <c r="D1742" i="15"/>
  <c r="E1739" i="15"/>
  <c r="B1739" i="15"/>
  <c r="C1735" i="15"/>
  <c r="F1735" i="15" s="1"/>
  <c r="D1733" i="15"/>
  <c r="E1730" i="15"/>
  <c r="B1730" i="15"/>
  <c r="C1726" i="15"/>
  <c r="F1726" i="15" s="1"/>
  <c r="D1724" i="15"/>
  <c r="E1721" i="15"/>
  <c r="B1721" i="15"/>
  <c r="C1717" i="15"/>
  <c r="F1717" i="15" s="1"/>
  <c r="D1715" i="15"/>
  <c r="E1712" i="15"/>
  <c r="B1712" i="15"/>
  <c r="C1708" i="15"/>
  <c r="F1708" i="15" s="1"/>
  <c r="D1706" i="15"/>
  <c r="E1703" i="15"/>
  <c r="B1703" i="15"/>
  <c r="E1699" i="15"/>
  <c r="C1699" i="15"/>
  <c r="F1699" i="15" s="1"/>
  <c r="E1697" i="15"/>
  <c r="B1697" i="15"/>
  <c r="E1693" i="15"/>
  <c r="C1693" i="15"/>
  <c r="F1693" i="15" s="1"/>
  <c r="E1691" i="15"/>
  <c r="B1691" i="15"/>
  <c r="E1687" i="15"/>
  <c r="C1687" i="15"/>
  <c r="F1687" i="15" s="1"/>
  <c r="E1685" i="15"/>
  <c r="B1685" i="15"/>
  <c r="E1681" i="15"/>
  <c r="C1681" i="15"/>
  <c r="F1681" i="15" s="1"/>
  <c r="E1675" i="15"/>
  <c r="C1675" i="15"/>
  <c r="F1675" i="15" s="1"/>
  <c r="C1615" i="15"/>
  <c r="F1615" i="15" s="1"/>
  <c r="B1615" i="15"/>
  <c r="D1615" i="15"/>
  <c r="C1579" i="15"/>
  <c r="F1579" i="15" s="1"/>
  <c r="B1579" i="15"/>
  <c r="D1579" i="15"/>
  <c r="B1566" i="15"/>
  <c r="D1566" i="15"/>
  <c r="E1566" i="15"/>
  <c r="D1297" i="15"/>
  <c r="E1297" i="15"/>
  <c r="D2158" i="15"/>
  <c r="E2117" i="15"/>
  <c r="B2102" i="15"/>
  <c r="D2099" i="15"/>
  <c r="E2097" i="15"/>
  <c r="D2092" i="15"/>
  <c r="B2090" i="15"/>
  <c r="D2087" i="15"/>
  <c r="E2085" i="15"/>
  <c r="D2080" i="15"/>
  <c r="B2078" i="15"/>
  <c r="B2074" i="15"/>
  <c r="B2063" i="15"/>
  <c r="B2058" i="15"/>
  <c r="C2056" i="15"/>
  <c r="F2056" i="15" s="1"/>
  <c r="B2052" i="15"/>
  <c r="B2045" i="15"/>
  <c r="B2043" i="15"/>
  <c r="B2040" i="15"/>
  <c r="C2028" i="15"/>
  <c r="F2028" i="15" s="1"/>
  <c r="C2026" i="15"/>
  <c r="F2026" i="15" s="1"/>
  <c r="E2021" i="15"/>
  <c r="B2017" i="15"/>
  <c r="C2012" i="15"/>
  <c r="F2012" i="15" s="1"/>
  <c r="B1990" i="15"/>
  <c r="C1970" i="15"/>
  <c r="F1970" i="15" s="1"/>
  <c r="B1966" i="15"/>
  <c r="B1964" i="15"/>
  <c r="B1960" i="15"/>
  <c r="C1958" i="15"/>
  <c r="F1958" i="15" s="1"/>
  <c r="D1946" i="15"/>
  <c r="B1936" i="15"/>
  <c r="C1918" i="15"/>
  <c r="F1918" i="15" s="1"/>
  <c r="B1910" i="15"/>
  <c r="C1901" i="15"/>
  <c r="F1901" i="15" s="1"/>
  <c r="D1899" i="15"/>
  <c r="C1895" i="15"/>
  <c r="F1895" i="15" s="1"/>
  <c r="D1893" i="15"/>
  <c r="D1887" i="15"/>
  <c r="B1882" i="15"/>
  <c r="B1880" i="15"/>
  <c r="C1873" i="15"/>
  <c r="F1873" i="15" s="1"/>
  <c r="D1870" i="15"/>
  <c r="C1868" i="15"/>
  <c r="F1868" i="15" s="1"/>
  <c r="B1866" i="15"/>
  <c r="B1864" i="15"/>
  <c r="B1862" i="15"/>
  <c r="B1855" i="15"/>
  <c r="D1852" i="15"/>
  <c r="D1850" i="15"/>
  <c r="B1846" i="15"/>
  <c r="C1842" i="15"/>
  <c r="F1842" i="15" s="1"/>
  <c r="C1839" i="15"/>
  <c r="F1839" i="15" s="1"/>
  <c r="C1836" i="15"/>
  <c r="F1836" i="15" s="1"/>
  <c r="C1833" i="15"/>
  <c r="F1833" i="15" s="1"/>
  <c r="C1830" i="15"/>
  <c r="F1830" i="15" s="1"/>
  <c r="C1827" i="15"/>
  <c r="F1827" i="15" s="1"/>
  <c r="C1824" i="15"/>
  <c r="F1824" i="15" s="1"/>
  <c r="C1821" i="15"/>
  <c r="F1821" i="15" s="1"/>
  <c r="C1818" i="15"/>
  <c r="F1818" i="15" s="1"/>
  <c r="C1815" i="15"/>
  <c r="F1815" i="15" s="1"/>
  <c r="C1812" i="15"/>
  <c r="F1812" i="15" s="1"/>
  <c r="D1810" i="15"/>
  <c r="E1809" i="15"/>
  <c r="D1809" i="15"/>
  <c r="B1807" i="15"/>
  <c r="C1803" i="15"/>
  <c r="F1803" i="15" s="1"/>
  <c r="D1801" i="15"/>
  <c r="E1800" i="15"/>
  <c r="D1800" i="15"/>
  <c r="B1798" i="15"/>
  <c r="C1794" i="15"/>
  <c r="F1794" i="15" s="1"/>
  <c r="D1792" i="15"/>
  <c r="E1791" i="15"/>
  <c r="D1791" i="15"/>
  <c r="B1789" i="15"/>
  <c r="C1785" i="15"/>
  <c r="F1785" i="15" s="1"/>
  <c r="D1783" i="15"/>
  <c r="E1782" i="15"/>
  <c r="D1782" i="15"/>
  <c r="B1780" i="15"/>
  <c r="C1776" i="15"/>
  <c r="F1776" i="15" s="1"/>
  <c r="D1774" i="15"/>
  <c r="E1773" i="15"/>
  <c r="D1773" i="15"/>
  <c r="B1771" i="15"/>
  <c r="C1767" i="15"/>
  <c r="F1767" i="15" s="1"/>
  <c r="D1765" i="15"/>
  <c r="E1764" i="15"/>
  <c r="D1764" i="15"/>
  <c r="B1762" i="15"/>
  <c r="C1758" i="15"/>
  <c r="F1758" i="15" s="1"/>
  <c r="D1756" i="15"/>
  <c r="E1755" i="15"/>
  <c r="D1755" i="15"/>
  <c r="B1753" i="15"/>
  <c r="C1749" i="15"/>
  <c r="F1749" i="15" s="1"/>
  <c r="D1747" i="15"/>
  <c r="E1746" i="15"/>
  <c r="D1746" i="15"/>
  <c r="B1744" i="15"/>
  <c r="C1740" i="15"/>
  <c r="F1740" i="15" s="1"/>
  <c r="D1738" i="15"/>
  <c r="E1737" i="15"/>
  <c r="D1737" i="15"/>
  <c r="B1735" i="15"/>
  <c r="C1731" i="15"/>
  <c r="F1731" i="15" s="1"/>
  <c r="D1729" i="15"/>
  <c r="E1728" i="15"/>
  <c r="D1728" i="15"/>
  <c r="B1726" i="15"/>
  <c r="C1722" i="15"/>
  <c r="F1722" i="15" s="1"/>
  <c r="D1720" i="15"/>
  <c r="E1719" i="15"/>
  <c r="D1719" i="15"/>
  <c r="B1717" i="15"/>
  <c r="C1713" i="15"/>
  <c r="F1713" i="15" s="1"/>
  <c r="D1711" i="15"/>
  <c r="E1710" i="15"/>
  <c r="D1710" i="15"/>
  <c r="B1708" i="15"/>
  <c r="D1702" i="15"/>
  <c r="D1700" i="15"/>
  <c r="D1696" i="15"/>
  <c r="D1694" i="15"/>
  <c r="D1690" i="15"/>
  <c r="D1688" i="15"/>
  <c r="D1684" i="15"/>
  <c r="D1682" i="15"/>
  <c r="D1678" i="15"/>
  <c r="D1672" i="15"/>
  <c r="E1664" i="15"/>
  <c r="C1624" i="15"/>
  <c r="F1624" i="15" s="1"/>
  <c r="B1624" i="15"/>
  <c r="D1624" i="15"/>
  <c r="C1602" i="15"/>
  <c r="F1602" i="15" s="1"/>
  <c r="B1602" i="15"/>
  <c r="D1458" i="15"/>
  <c r="E1458" i="15"/>
  <c r="D1449" i="15"/>
  <c r="E1449" i="15"/>
  <c r="D1317" i="15"/>
  <c r="E1317" i="15"/>
  <c r="D1972" i="15"/>
  <c r="D1948" i="15"/>
  <c r="C1946" i="15"/>
  <c r="F1946" i="15" s="1"/>
  <c r="D1942" i="15"/>
  <c r="D1911" i="15"/>
  <c r="D1905" i="15"/>
  <c r="C1899" i="15"/>
  <c r="F1899" i="15" s="1"/>
  <c r="C1870" i="15"/>
  <c r="F1870" i="15" s="1"/>
  <c r="D1856" i="15"/>
  <c r="C1852" i="15"/>
  <c r="F1852" i="15" s="1"/>
  <c r="C1850" i="15"/>
  <c r="F1850" i="15" s="1"/>
  <c r="D1843" i="15"/>
  <c r="D1840" i="15"/>
  <c r="D1837" i="15"/>
  <c r="D1834" i="15"/>
  <c r="D1831" i="15"/>
  <c r="D1828" i="15"/>
  <c r="D1825" i="15"/>
  <c r="D1822" i="15"/>
  <c r="D1819" i="15"/>
  <c r="D1816" i="15"/>
  <c r="D1813" i="15"/>
  <c r="C1810" i="15"/>
  <c r="F1810" i="15" s="1"/>
  <c r="D1808" i="15"/>
  <c r="E1805" i="15"/>
  <c r="B1805" i="15"/>
  <c r="C1801" i="15"/>
  <c r="F1801" i="15" s="1"/>
  <c r="D1799" i="15"/>
  <c r="E1796" i="15"/>
  <c r="B1796" i="15"/>
  <c r="C1792" i="15"/>
  <c r="F1792" i="15" s="1"/>
  <c r="D1790" i="15"/>
  <c r="E1787" i="15"/>
  <c r="B1787" i="15"/>
  <c r="C1783" i="15"/>
  <c r="F1783" i="15" s="1"/>
  <c r="D1781" i="15"/>
  <c r="E1778" i="15"/>
  <c r="B1778" i="15"/>
  <c r="C1774" i="15"/>
  <c r="F1774" i="15" s="1"/>
  <c r="D1772" i="15"/>
  <c r="E1769" i="15"/>
  <c r="B1769" i="15"/>
  <c r="C1765" i="15"/>
  <c r="F1765" i="15" s="1"/>
  <c r="D1763" i="15"/>
  <c r="E1760" i="15"/>
  <c r="B1760" i="15"/>
  <c r="C1756" i="15"/>
  <c r="F1756" i="15" s="1"/>
  <c r="D1754" i="15"/>
  <c r="E1751" i="15"/>
  <c r="B1751" i="15"/>
  <c r="C1747" i="15"/>
  <c r="F1747" i="15" s="1"/>
  <c r="D1745" i="15"/>
  <c r="E1742" i="15"/>
  <c r="B1742" i="15"/>
  <c r="B1740" i="15"/>
  <c r="C1738" i="15"/>
  <c r="F1738" i="15" s="1"/>
  <c r="D1736" i="15"/>
  <c r="E1733" i="15"/>
  <c r="B1733" i="15"/>
  <c r="B1731" i="15"/>
  <c r="C1729" i="15"/>
  <c r="F1729" i="15" s="1"/>
  <c r="D1727" i="15"/>
  <c r="E1724" i="15"/>
  <c r="B1724" i="15"/>
  <c r="B1722" i="15"/>
  <c r="C1720" i="15"/>
  <c r="F1720" i="15" s="1"/>
  <c r="D1718" i="15"/>
  <c r="E1715" i="15"/>
  <c r="B1715" i="15"/>
  <c r="B1713" i="15"/>
  <c r="C1711" i="15"/>
  <c r="F1711" i="15" s="1"/>
  <c r="D1709" i="15"/>
  <c r="E1706" i="15"/>
  <c r="B1706" i="15"/>
  <c r="B1702" i="15"/>
  <c r="C1700" i="15"/>
  <c r="F1700" i="15" s="1"/>
  <c r="B1696" i="15"/>
  <c r="C1694" i="15"/>
  <c r="F1694" i="15" s="1"/>
  <c r="B1690" i="15"/>
  <c r="C1688" i="15"/>
  <c r="F1688" i="15" s="1"/>
  <c r="B1684" i="15"/>
  <c r="C1682" i="15"/>
  <c r="F1682" i="15" s="1"/>
  <c r="B1678" i="15"/>
  <c r="B1672" i="15"/>
  <c r="B1664" i="15"/>
  <c r="C1660" i="15"/>
  <c r="F1660" i="15" s="1"/>
  <c r="B1660" i="15"/>
  <c r="D1660" i="15"/>
  <c r="C1628" i="15"/>
  <c r="F1628" i="15" s="1"/>
  <c r="B1628" i="15"/>
  <c r="D1628" i="15"/>
  <c r="C1623" i="15"/>
  <c r="F1623" i="15" s="1"/>
  <c r="D1623" i="15"/>
  <c r="E1623" i="15"/>
  <c r="C1598" i="15"/>
  <c r="F1598" i="15" s="1"/>
  <c r="B1598" i="15"/>
  <c r="D1598" i="15"/>
  <c r="E1598" i="15"/>
  <c r="B1577" i="15"/>
  <c r="C1577" i="15"/>
  <c r="F1577" i="15" s="1"/>
  <c r="D1577" i="15"/>
  <c r="E1577" i="15"/>
  <c r="B1562" i="15"/>
  <c r="C1562" i="15"/>
  <c r="F1562" i="15" s="1"/>
  <c r="D1562" i="15"/>
  <c r="E1562" i="15"/>
  <c r="B1532" i="15"/>
  <c r="C1532" i="15"/>
  <c r="F1532" i="15" s="1"/>
  <c r="D1532" i="15"/>
  <c r="E1532" i="15"/>
  <c r="B1528" i="15"/>
  <c r="C1528" i="15"/>
  <c r="F1528" i="15" s="1"/>
  <c r="D1465" i="15"/>
  <c r="I23" i="26" s="1"/>
  <c r="E1465" i="15"/>
  <c r="D1335" i="15"/>
  <c r="E1335" i="15"/>
  <c r="B1654" i="15"/>
  <c r="D1629" i="15"/>
  <c r="B1618" i="15"/>
  <c r="B1614" i="15"/>
  <c r="B1610" i="15"/>
  <c r="E1605" i="15"/>
  <c r="D1599" i="15"/>
  <c r="D1597" i="15"/>
  <c r="C1595" i="15"/>
  <c r="F1595" i="15" s="1"/>
  <c r="D1591" i="15"/>
  <c r="C1587" i="15"/>
  <c r="F1587" i="15" s="1"/>
  <c r="E1584" i="15"/>
  <c r="B1583" i="15"/>
  <c r="E1580" i="15"/>
  <c r="C1572" i="15"/>
  <c r="F1572" i="15" s="1"/>
  <c r="B1568" i="15"/>
  <c r="C1559" i="15"/>
  <c r="F1559" i="15" s="1"/>
  <c r="E1557" i="15"/>
  <c r="C1552" i="15"/>
  <c r="F1552" i="15" s="1"/>
  <c r="C1541" i="15"/>
  <c r="F1541" i="15" s="1"/>
  <c r="E1539" i="15"/>
  <c r="D1535" i="15"/>
  <c r="I18" i="26" s="1"/>
  <c r="D1531" i="15"/>
  <c r="E1529" i="15"/>
  <c r="E1524" i="15"/>
  <c r="E1519" i="15"/>
  <c r="E1513" i="15"/>
  <c r="E1507" i="15"/>
  <c r="E1501" i="15"/>
  <c r="E1495" i="15"/>
  <c r="E1469" i="15"/>
  <c r="E1464" i="15"/>
  <c r="E1457" i="15"/>
  <c r="E1425" i="15"/>
  <c r="D1343" i="15"/>
  <c r="E1343" i="15"/>
  <c r="D1325" i="15"/>
  <c r="E1325" i="15"/>
  <c r="D1305" i="15"/>
  <c r="E1305" i="15"/>
  <c r="D1287" i="15"/>
  <c r="E1287" i="15"/>
  <c r="E1284" i="15"/>
  <c r="B1284" i="15"/>
  <c r="D1284" i="15"/>
  <c r="B1276" i="15"/>
  <c r="C1276" i="15"/>
  <c r="F1276" i="15" s="1"/>
  <c r="E1276" i="15"/>
  <c r="B1266" i="15"/>
  <c r="C1266" i="15"/>
  <c r="F1266" i="15" s="1"/>
  <c r="D1266" i="15"/>
  <c r="C1261" i="15"/>
  <c r="F1261" i="15" s="1"/>
  <c r="B1261" i="15"/>
  <c r="E1261" i="15"/>
  <c r="C1186" i="15"/>
  <c r="F1186" i="15" s="1"/>
  <c r="B1186" i="15"/>
  <c r="D1186" i="15"/>
  <c r="E1186" i="15"/>
  <c r="D1605" i="15"/>
  <c r="B1597" i="15"/>
  <c r="B1595" i="15"/>
  <c r="D1584" i="15"/>
  <c r="C1580" i="15"/>
  <c r="F1580" i="15" s="1"/>
  <c r="E1537" i="15"/>
  <c r="C1535" i="15"/>
  <c r="F1535" i="15" s="1"/>
  <c r="E18" i="26" s="1"/>
  <c r="C1531" i="15"/>
  <c r="F1531" i="15" s="1"/>
  <c r="E1471" i="15"/>
  <c r="E1459" i="15"/>
  <c r="E1431" i="15"/>
  <c r="D1389" i="15"/>
  <c r="E1389" i="15"/>
  <c r="E1355" i="15"/>
  <c r="E1275" i="15"/>
  <c r="B1275" i="15"/>
  <c r="D1275" i="15"/>
  <c r="B1260" i="15"/>
  <c r="C1260" i="15"/>
  <c r="F1260" i="15" s="1"/>
  <c r="E1260" i="15"/>
  <c r="B1247" i="15"/>
  <c r="C1247" i="15"/>
  <c r="F1247" i="15" s="1"/>
  <c r="D1247" i="15"/>
  <c r="E1247" i="15"/>
  <c r="C1213" i="15"/>
  <c r="F1213" i="15" s="1"/>
  <c r="E1213" i="15"/>
  <c r="B1213" i="15"/>
  <c r="B1200" i="15"/>
  <c r="E1200" i="15"/>
  <c r="C1200" i="15"/>
  <c r="F1200" i="15" s="1"/>
  <c r="B1182" i="15"/>
  <c r="C1182" i="15"/>
  <c r="F1182" i="15" s="1"/>
  <c r="E1182" i="15"/>
  <c r="D1274" i="15"/>
  <c r="B1274" i="15"/>
  <c r="E1274" i="15"/>
  <c r="E1251" i="15"/>
  <c r="B1251" i="15"/>
  <c r="C1251" i="15"/>
  <c r="F1251" i="15" s="1"/>
  <c r="D1202" i="15"/>
  <c r="B1202" i="15"/>
  <c r="E1202" i="15"/>
  <c r="D1704" i="15"/>
  <c r="D1701" i="15"/>
  <c r="D1698" i="15"/>
  <c r="D1695" i="15"/>
  <c r="D1692" i="15"/>
  <c r="D1689" i="15"/>
  <c r="D1686" i="15"/>
  <c r="D1683" i="15"/>
  <c r="D1680" i="15"/>
  <c r="B1679" i="15"/>
  <c r="D1677" i="15"/>
  <c r="B1676" i="15"/>
  <c r="D1674" i="15"/>
  <c r="B1673" i="15"/>
  <c r="D1671" i="15"/>
  <c r="B1670" i="15"/>
  <c r="D1665" i="15"/>
  <c r="E1658" i="15"/>
  <c r="D1653" i="15"/>
  <c r="D1651" i="15"/>
  <c r="E1646" i="15"/>
  <c r="B1640" i="15"/>
  <c r="E1634" i="15"/>
  <c r="B1630" i="15"/>
  <c r="D1617" i="15"/>
  <c r="E1612" i="15"/>
  <c r="B1609" i="15"/>
  <c r="E1604" i="15"/>
  <c r="B1600" i="15"/>
  <c r="E1594" i="15"/>
  <c r="C1590" i="15"/>
  <c r="F1590" i="15" s="1"/>
  <c r="B1586" i="15"/>
  <c r="E1583" i="15"/>
  <c r="B1582" i="15"/>
  <c r="D1573" i="15"/>
  <c r="D1571" i="15"/>
  <c r="C1569" i="15"/>
  <c r="F1569" i="15" s="1"/>
  <c r="E1556" i="15"/>
  <c r="E1550" i="15"/>
  <c r="C1547" i="15"/>
  <c r="F1547" i="15" s="1"/>
  <c r="C1536" i="15"/>
  <c r="F1536" i="15" s="1"/>
  <c r="C1526" i="15"/>
  <c r="F1526" i="15" s="1"/>
  <c r="E1463" i="15"/>
  <c r="E1443" i="15"/>
  <c r="E1407" i="15"/>
  <c r="D1403" i="15"/>
  <c r="E1403" i="15"/>
  <c r="E1391" i="15"/>
  <c r="D1371" i="15"/>
  <c r="E1371" i="15"/>
  <c r="D1250" i="15"/>
  <c r="B1250" i="15"/>
  <c r="E1250" i="15"/>
  <c r="E1245" i="15"/>
  <c r="B1245" i="15"/>
  <c r="D1245" i="15"/>
  <c r="E1654" i="15"/>
  <c r="E1618" i="15"/>
  <c r="E1610" i="15"/>
  <c r="E1559" i="15"/>
  <c r="E1552" i="15"/>
  <c r="E1541" i="15"/>
  <c r="B1271" i="15"/>
  <c r="C1271" i="15"/>
  <c r="F1271" i="15" s="1"/>
  <c r="E1271" i="15"/>
  <c r="C1234" i="15"/>
  <c r="F1234" i="15" s="1"/>
  <c r="B1234" i="15"/>
  <c r="D1234" i="15"/>
  <c r="E1234" i="15"/>
  <c r="E1179" i="15"/>
  <c r="B1179" i="15"/>
  <c r="C1179" i="15"/>
  <c r="F1179" i="15" s="1"/>
  <c r="D1179" i="15"/>
  <c r="E1249" i="15"/>
  <c r="D1246" i="15"/>
  <c r="C1241" i="15"/>
  <c r="F1241" i="15" s="1"/>
  <c r="E1236" i="15"/>
  <c r="B1218" i="15"/>
  <c r="C1218" i="15"/>
  <c r="F1218" i="15" s="1"/>
  <c r="E1215" i="15"/>
  <c r="C1215" i="15"/>
  <c r="F1215" i="15" s="1"/>
  <c r="C1211" i="15"/>
  <c r="F1211" i="15" s="1"/>
  <c r="D1205" i="15"/>
  <c r="C1189" i="15"/>
  <c r="F1189" i="15" s="1"/>
  <c r="B1189" i="15"/>
  <c r="D1185" i="15"/>
  <c r="D1172" i="15"/>
  <c r="B1172" i="15"/>
  <c r="E1169" i="15"/>
  <c r="C1169" i="15"/>
  <c r="F1169" i="15" s="1"/>
  <c r="C1157" i="15"/>
  <c r="F1157" i="15" s="1"/>
  <c r="D1157" i="15"/>
  <c r="B1157" i="15"/>
  <c r="E1147" i="15"/>
  <c r="B1147" i="15"/>
  <c r="C1143" i="15"/>
  <c r="F1143" i="15" s="1"/>
  <c r="D1143" i="15"/>
  <c r="B1143" i="15"/>
  <c r="E1136" i="15"/>
  <c r="D1136" i="15"/>
  <c r="B1136" i="15"/>
  <c r="B1249" i="15"/>
  <c r="B1246" i="15"/>
  <c r="B1241" i="15"/>
  <c r="C1236" i="15"/>
  <c r="F1236" i="15" s="1"/>
  <c r="B1211" i="15"/>
  <c r="B1205" i="15"/>
  <c r="B1194" i="15"/>
  <c r="C1194" i="15"/>
  <c r="F1194" i="15" s="1"/>
  <c r="B1185" i="15"/>
  <c r="D1178" i="15"/>
  <c r="B1178" i="15"/>
  <c r="B1176" i="15"/>
  <c r="D1176" i="15"/>
  <c r="E1162" i="15"/>
  <c r="D1162" i="15"/>
  <c r="B1154" i="15"/>
  <c r="E1146" i="15"/>
  <c r="E1101" i="15"/>
  <c r="B1101" i="15"/>
  <c r="C1101" i="15"/>
  <c r="F1101" i="15" s="1"/>
  <c r="D1101" i="15"/>
  <c r="C1171" i="15"/>
  <c r="F1171" i="15" s="1"/>
  <c r="E1171" i="15"/>
  <c r="D1121" i="15"/>
  <c r="E1121" i="15"/>
  <c r="E1385" i="15"/>
  <c r="E1367" i="15"/>
  <c r="E1349" i="15"/>
  <c r="E1331" i="15"/>
  <c r="E1313" i="15"/>
  <c r="E1293" i="15"/>
  <c r="E1286" i="15"/>
  <c r="E1280" i="15"/>
  <c r="B1279" i="15"/>
  <c r="D1277" i="15"/>
  <c r="B1268" i="15"/>
  <c r="B1263" i="15"/>
  <c r="E1259" i="15"/>
  <c r="D1258" i="15"/>
  <c r="B1255" i="15"/>
  <c r="D1253" i="15"/>
  <c r="B1252" i="15"/>
  <c r="E1248" i="15"/>
  <c r="E1240" i="15"/>
  <c r="B1239" i="15"/>
  <c r="E1235" i="15"/>
  <c r="D1229" i="15"/>
  <c r="B1226" i="15"/>
  <c r="B1224" i="15"/>
  <c r="E1224" i="15"/>
  <c r="B1219" i="15"/>
  <c r="C1206" i="15"/>
  <c r="F1206" i="15" s="1"/>
  <c r="E1204" i="15"/>
  <c r="B1195" i="15"/>
  <c r="B1190" i="15"/>
  <c r="E1173" i="15"/>
  <c r="B1173" i="15"/>
  <c r="D1168" i="15"/>
  <c r="B1168" i="15"/>
  <c r="E1165" i="15"/>
  <c r="D1158" i="15"/>
  <c r="E1149" i="15"/>
  <c r="D1149" i="15"/>
  <c r="C1149" i="15"/>
  <c r="F1149" i="15" s="1"/>
  <c r="E1112" i="15"/>
  <c r="B1112" i="15"/>
  <c r="C1112" i="15"/>
  <c r="F1112" i="15" s="1"/>
  <c r="D1112" i="15"/>
  <c r="B1099" i="15"/>
  <c r="C1099" i="15"/>
  <c r="F1099" i="15" s="1"/>
  <c r="E1282" i="15"/>
  <c r="E1272" i="15"/>
  <c r="D1269" i="15"/>
  <c r="E1256" i="15"/>
  <c r="D1248" i="15"/>
  <c r="E1243" i="15"/>
  <c r="E1232" i="15"/>
  <c r="E1230" i="15"/>
  <c r="D1227" i="15"/>
  <c r="D1215" i="15"/>
  <c r="E1210" i="15"/>
  <c r="D1210" i="15"/>
  <c r="D1208" i="15"/>
  <c r="E1208" i="15"/>
  <c r="D1204" i="15"/>
  <c r="E1197" i="15"/>
  <c r="D1197" i="15"/>
  <c r="E1187" i="15"/>
  <c r="D1184" i="15"/>
  <c r="E1184" i="15"/>
  <c r="D1175" i="15"/>
  <c r="B1175" i="15"/>
  <c r="E1172" i="15"/>
  <c r="D1169" i="15"/>
  <c r="D1145" i="15"/>
  <c r="E1145" i="15"/>
  <c r="C1145" i="15"/>
  <c r="F1145" i="15" s="1"/>
  <c r="E1131" i="15"/>
  <c r="B1131" i="15"/>
  <c r="D1131" i="15"/>
  <c r="E1095" i="15"/>
  <c r="B1095" i="15"/>
  <c r="C1095" i="15"/>
  <c r="F1095" i="15" s="1"/>
  <c r="D1095" i="15"/>
  <c r="D1127" i="15"/>
  <c r="B1124" i="15"/>
  <c r="C1120" i="15"/>
  <c r="F1120" i="15" s="1"/>
  <c r="B1119" i="15"/>
  <c r="D1115" i="15"/>
  <c r="B1108" i="15"/>
  <c r="B1105" i="15"/>
  <c r="B1100" i="15"/>
  <c r="B1094" i="15"/>
  <c r="B1090" i="15"/>
  <c r="B1081" i="15"/>
  <c r="E1078" i="15"/>
  <c r="C1069" i="15"/>
  <c r="F1069" i="15" s="1"/>
  <c r="B1065" i="15"/>
  <c r="C1060" i="15"/>
  <c r="F1060" i="15" s="1"/>
  <c r="C1056" i="15"/>
  <c r="F1056" i="15" s="1"/>
  <c r="E1051" i="15"/>
  <c r="C1047" i="15"/>
  <c r="F1047" i="15" s="1"/>
  <c r="C1020" i="15"/>
  <c r="F1020" i="15" s="1"/>
  <c r="B1020" i="15"/>
  <c r="C1016" i="15"/>
  <c r="F1016" i="15" s="1"/>
  <c r="E1016" i="15"/>
  <c r="C1014" i="15"/>
  <c r="F1014" i="15" s="1"/>
  <c r="E1014" i="15"/>
  <c r="B1010" i="15"/>
  <c r="B1008" i="15"/>
  <c r="B1004" i="15"/>
  <c r="C990" i="15"/>
  <c r="F990" i="15" s="1"/>
  <c r="E990" i="15"/>
  <c r="E979" i="15"/>
  <c r="C970" i="15"/>
  <c r="F970" i="15" s="1"/>
  <c r="E970" i="15"/>
  <c r="B928" i="15"/>
  <c r="B874" i="15"/>
  <c r="B850" i="15"/>
  <c r="E841" i="15"/>
  <c r="C841" i="15"/>
  <c r="F841" i="15" s="1"/>
  <c r="D841" i="15"/>
  <c r="C834" i="15"/>
  <c r="F834" i="15" s="1"/>
  <c r="E814" i="15"/>
  <c r="B814" i="15"/>
  <c r="C814" i="15"/>
  <c r="F814" i="15" s="1"/>
  <c r="E781" i="15"/>
  <c r="B781" i="15"/>
  <c r="C781" i="15"/>
  <c r="F781" i="15" s="1"/>
  <c r="D781" i="15"/>
  <c r="C1078" i="15"/>
  <c r="F1078" i="15" s="1"/>
  <c r="C1071" i="15"/>
  <c r="F1071" i="15" s="1"/>
  <c r="C1062" i="15"/>
  <c r="F1062" i="15" s="1"/>
  <c r="E1038" i="15"/>
  <c r="E1021" i="15"/>
  <c r="C992" i="15"/>
  <c r="F992" i="15" s="1"/>
  <c r="E992" i="15"/>
  <c r="C964" i="15"/>
  <c r="F964" i="15" s="1"/>
  <c r="E964" i="15"/>
  <c r="E960" i="15"/>
  <c r="B960" i="15"/>
  <c r="D931" i="15"/>
  <c r="D919" i="15"/>
  <c r="B919" i="15"/>
  <c r="D877" i="15"/>
  <c r="D865" i="15"/>
  <c r="B865" i="15"/>
  <c r="B837" i="15"/>
  <c r="D837" i="15"/>
  <c r="E830" i="15"/>
  <c r="C830" i="15"/>
  <c r="F830" i="15" s="1"/>
  <c r="E806" i="15"/>
  <c r="C806" i="15"/>
  <c r="F806" i="15" s="1"/>
  <c r="E789" i="15"/>
  <c r="D789" i="15"/>
  <c r="B1078" i="15"/>
  <c r="E1075" i="15"/>
  <c r="B1071" i="15"/>
  <c r="B1062" i="15"/>
  <c r="E1032" i="15"/>
  <c r="C1027" i="15"/>
  <c r="F1027" i="15" s="1"/>
  <c r="E1027" i="15"/>
  <c r="D1021" i="15"/>
  <c r="D1015" i="15"/>
  <c r="C985" i="15"/>
  <c r="F985" i="15" s="1"/>
  <c r="D985" i="15"/>
  <c r="E985" i="15"/>
  <c r="C972" i="15"/>
  <c r="F972" i="15" s="1"/>
  <c r="E972" i="15"/>
  <c r="D959" i="15"/>
  <c r="D918" i="15"/>
  <c r="D909" i="15"/>
  <c r="D864" i="15"/>
  <c r="E857" i="15"/>
  <c r="C857" i="15"/>
  <c r="F857" i="15" s="1"/>
  <c r="D857" i="15"/>
  <c r="E853" i="15"/>
  <c r="D853" i="15"/>
  <c r="B853" i="15"/>
  <c r="C853" i="15"/>
  <c r="F853" i="15" s="1"/>
  <c r="E833" i="15"/>
  <c r="D833" i="15"/>
  <c r="B833" i="15"/>
  <c r="C833" i="15"/>
  <c r="F833" i="15" s="1"/>
  <c r="E823" i="15"/>
  <c r="C823" i="15"/>
  <c r="F823" i="15" s="1"/>
  <c r="D823" i="15"/>
  <c r="E809" i="15"/>
  <c r="C809" i="15"/>
  <c r="F809" i="15" s="1"/>
  <c r="D809" i="15"/>
  <c r="E784" i="15"/>
  <c r="B784" i="15"/>
  <c r="C784" i="15"/>
  <c r="F784" i="15" s="1"/>
  <c r="C1040" i="15"/>
  <c r="F1040" i="15" s="1"/>
  <c r="B1040" i="15"/>
  <c r="C1038" i="15"/>
  <c r="F1038" i="15" s="1"/>
  <c r="D1038" i="15"/>
  <c r="C1009" i="15"/>
  <c r="F1009" i="15" s="1"/>
  <c r="D1009" i="15"/>
  <c r="C997" i="15"/>
  <c r="F997" i="15" s="1"/>
  <c r="E997" i="15"/>
  <c r="C978" i="15"/>
  <c r="F978" i="15" s="1"/>
  <c r="E978" i="15"/>
  <c r="B978" i="15"/>
  <c r="D978" i="15"/>
  <c r="C974" i="15"/>
  <c r="F974" i="15" s="1"/>
  <c r="E974" i="15"/>
  <c r="B954" i="15"/>
  <c r="D954" i="15"/>
  <c r="B913" i="15"/>
  <c r="D913" i="15"/>
  <c r="B900" i="15"/>
  <c r="D900" i="15"/>
  <c r="E826" i="15"/>
  <c r="B826" i="15"/>
  <c r="C826" i="15"/>
  <c r="F826" i="15" s="1"/>
  <c r="E799" i="15"/>
  <c r="C799" i="15"/>
  <c r="F799" i="15" s="1"/>
  <c r="D799" i="15"/>
  <c r="B1142" i="15"/>
  <c r="C1130" i="15"/>
  <c r="F1130" i="15" s="1"/>
  <c r="E1120" i="15"/>
  <c r="D1119" i="15"/>
  <c r="C1111" i="15"/>
  <c r="F1111" i="15" s="1"/>
  <c r="D1108" i="15"/>
  <c r="D1100" i="15"/>
  <c r="D1094" i="15"/>
  <c r="D1090" i="15"/>
  <c r="E1081" i="15"/>
  <c r="B1075" i="15"/>
  <c r="B1068" i="15"/>
  <c r="D1037" i="15"/>
  <c r="B1032" i="15"/>
  <c r="E1008" i="15"/>
  <c r="C962" i="15"/>
  <c r="F962" i="15" s="1"/>
  <c r="E962" i="15"/>
  <c r="E859" i="15"/>
  <c r="C859" i="15"/>
  <c r="F859" i="15" s="1"/>
  <c r="D859" i="15"/>
  <c r="E818" i="15"/>
  <c r="C818" i="15"/>
  <c r="F818" i="15" s="1"/>
  <c r="D36" i="36" s="1"/>
  <c r="D801" i="15"/>
  <c r="E794" i="15"/>
  <c r="C794" i="15"/>
  <c r="F794" i="15" s="1"/>
  <c r="E787" i="15"/>
  <c r="D787" i="15"/>
  <c r="B787" i="15"/>
  <c r="C787" i="15"/>
  <c r="F787" i="15" s="1"/>
  <c r="E778" i="15"/>
  <c r="C778" i="15"/>
  <c r="F778" i="15" s="1"/>
  <c r="B778" i="15"/>
  <c r="C1100" i="15"/>
  <c r="F1100" i="15" s="1"/>
  <c r="C1094" i="15"/>
  <c r="F1094" i="15" s="1"/>
  <c r="C1081" i="15"/>
  <c r="F1081" i="15" s="1"/>
  <c r="C1065" i="15"/>
  <c r="F1065" i="15" s="1"/>
  <c r="D1045" i="15"/>
  <c r="E1045" i="15"/>
  <c r="E1010" i="15"/>
  <c r="D1008" i="15"/>
  <c r="E1004" i="15"/>
  <c r="D964" i="15"/>
  <c r="D916" i="15"/>
  <c r="B916" i="15"/>
  <c r="D862" i="15"/>
  <c r="B862" i="15"/>
  <c r="E851" i="15"/>
  <c r="D851" i="15"/>
  <c r="B851" i="15"/>
  <c r="C851" i="15"/>
  <c r="F851" i="15" s="1"/>
  <c r="E845" i="15"/>
  <c r="D845" i="15"/>
  <c r="E839" i="15"/>
  <c r="D839" i="15"/>
  <c r="E821" i="15"/>
  <c r="C821" i="15"/>
  <c r="F821" i="15" s="1"/>
  <c r="D821" i="15"/>
  <c r="E811" i="15"/>
  <c r="C811" i="15"/>
  <c r="F811" i="15" s="1"/>
  <c r="D811" i="15"/>
  <c r="E767" i="15"/>
  <c r="C767" i="15"/>
  <c r="F767" i="15" s="1"/>
  <c r="D767" i="15"/>
  <c r="B969" i="15"/>
  <c r="B967" i="15"/>
  <c r="B958" i="15"/>
  <c r="D945" i="15"/>
  <c r="B910" i="15"/>
  <c r="B907" i="15"/>
  <c r="B904" i="15"/>
  <c r="D891" i="15"/>
  <c r="B835" i="15"/>
  <c r="B802" i="15"/>
  <c r="C797" i="15"/>
  <c r="F797" i="15" s="1"/>
  <c r="E790" i="15"/>
  <c r="C790" i="15"/>
  <c r="F790" i="15" s="1"/>
  <c r="C770" i="15"/>
  <c r="F770" i="15" s="1"/>
  <c r="E757" i="15"/>
  <c r="B757" i="15"/>
  <c r="E754" i="15"/>
  <c r="C754" i="15"/>
  <c r="F754" i="15" s="1"/>
  <c r="C751" i="15"/>
  <c r="F751" i="15" s="1"/>
  <c r="E739" i="15"/>
  <c r="B739" i="15"/>
  <c r="E736" i="15"/>
  <c r="C736" i="15"/>
  <c r="F736" i="15" s="1"/>
  <c r="C733" i="15"/>
  <c r="F733" i="15" s="1"/>
  <c r="E718" i="15"/>
  <c r="D717" i="15"/>
  <c r="E717" i="15"/>
  <c r="D707" i="15"/>
  <c r="D705" i="15"/>
  <c r="E705" i="15"/>
  <c r="D700" i="15"/>
  <c r="C698" i="15"/>
  <c r="F698" i="15" s="1"/>
  <c r="D687" i="15"/>
  <c r="D685" i="15"/>
  <c r="B681" i="15"/>
  <c r="C681" i="15"/>
  <c r="F681" i="15" s="1"/>
  <c r="D681" i="15"/>
  <c r="D672" i="15"/>
  <c r="B666" i="15"/>
  <c r="D666" i="15"/>
  <c r="E666" i="15"/>
  <c r="B664" i="15"/>
  <c r="E664" i="15"/>
  <c r="C659" i="15"/>
  <c r="F659" i="15" s="1"/>
  <c r="C656" i="15"/>
  <c r="F656" i="15" s="1"/>
  <c r="B656" i="15"/>
  <c r="C636" i="15"/>
  <c r="F636" i="15" s="1"/>
  <c r="D632" i="15"/>
  <c r="B629" i="15"/>
  <c r="E582" i="15"/>
  <c r="C582" i="15"/>
  <c r="F582" i="15" s="1"/>
  <c r="D575" i="15"/>
  <c r="B575" i="15"/>
  <c r="B400" i="15"/>
  <c r="C400" i="15"/>
  <c r="F400" i="15" s="1"/>
  <c r="D400" i="15"/>
  <c r="B115" i="15"/>
  <c r="C115" i="15"/>
  <c r="F115" i="15" s="1"/>
  <c r="D775" i="15"/>
  <c r="E773" i="15"/>
  <c r="D773" i="15"/>
  <c r="E759" i="15"/>
  <c r="D759" i="15"/>
  <c r="D753" i="15"/>
  <c r="B751" i="15"/>
  <c r="C746" i="15"/>
  <c r="F746" i="15" s="1"/>
  <c r="E741" i="15"/>
  <c r="B741" i="15"/>
  <c r="D735" i="15"/>
  <c r="B733" i="15"/>
  <c r="C728" i="15"/>
  <c r="F728" i="15" s="1"/>
  <c r="E720" i="15"/>
  <c r="D718" i="15"/>
  <c r="D709" i="15"/>
  <c r="E695" i="15"/>
  <c r="B689" i="15"/>
  <c r="C689" i="15"/>
  <c r="F689" i="15" s="1"/>
  <c r="E689" i="15"/>
  <c r="C685" i="15"/>
  <c r="F685" i="15" s="1"/>
  <c r="E680" i="15"/>
  <c r="B676" i="15"/>
  <c r="C676" i="15"/>
  <c r="F676" i="15" s="1"/>
  <c r="D676" i="15"/>
  <c r="B674" i="15"/>
  <c r="E674" i="15"/>
  <c r="C672" i="15"/>
  <c r="F672" i="15" s="1"/>
  <c r="B661" i="15"/>
  <c r="D661" i="15"/>
  <c r="E661" i="15"/>
  <c r="B652" i="15"/>
  <c r="D652" i="15"/>
  <c r="E652" i="15"/>
  <c r="B636" i="15"/>
  <c r="B632" i="15"/>
  <c r="E595" i="15"/>
  <c r="C595" i="15"/>
  <c r="F595" i="15" s="1"/>
  <c r="B590" i="15"/>
  <c r="B552" i="15"/>
  <c r="D552" i="15"/>
  <c r="B385" i="15"/>
  <c r="C385" i="15"/>
  <c r="F385" i="15" s="1"/>
  <c r="E385" i="15"/>
  <c r="B124" i="15"/>
  <c r="E124" i="15"/>
  <c r="E743" i="15"/>
  <c r="C743" i="15"/>
  <c r="F743" i="15" s="1"/>
  <c r="D26" i="36" s="1"/>
  <c r="D702" i="15"/>
  <c r="C702" i="15"/>
  <c r="F702" i="15" s="1"/>
  <c r="E702" i="15"/>
  <c r="B700" i="15"/>
  <c r="E700" i="15"/>
  <c r="B687" i="15"/>
  <c r="E687" i="15"/>
  <c r="B663" i="15"/>
  <c r="C663" i="15"/>
  <c r="F663" i="15" s="1"/>
  <c r="D663" i="15"/>
  <c r="D557" i="15"/>
  <c r="C557" i="15"/>
  <c r="F557" i="15" s="1"/>
  <c r="B443" i="15"/>
  <c r="E443" i="15"/>
  <c r="B413" i="15"/>
  <c r="C413" i="15"/>
  <c r="F413" i="15" s="1"/>
  <c r="D413" i="15"/>
  <c r="E413" i="15"/>
  <c r="C211" i="15"/>
  <c r="F211" i="15" s="1"/>
  <c r="D211" i="15"/>
  <c r="D145" i="15"/>
  <c r="E145" i="15"/>
  <c r="E783" i="15"/>
  <c r="D783" i="15"/>
  <c r="E761" i="15"/>
  <c r="D761" i="15"/>
  <c r="B697" i="15"/>
  <c r="D697" i="15"/>
  <c r="E697" i="15"/>
  <c r="B671" i="15"/>
  <c r="C671" i="15"/>
  <c r="F671" i="15" s="1"/>
  <c r="E671" i="15"/>
  <c r="B658" i="15"/>
  <c r="C658" i="15"/>
  <c r="F658" i="15" s="1"/>
  <c r="D658" i="15"/>
  <c r="E606" i="15"/>
  <c r="C606" i="15"/>
  <c r="F606" i="15" s="1"/>
  <c r="D560" i="15"/>
  <c r="C560" i="15"/>
  <c r="F560" i="15" s="1"/>
  <c r="C165" i="15"/>
  <c r="F165" i="15" s="1"/>
  <c r="E165" i="15"/>
  <c r="E769" i="15"/>
  <c r="B769" i="15"/>
  <c r="E766" i="15"/>
  <c r="C766" i="15"/>
  <c r="F766" i="15" s="1"/>
  <c r="E752" i="15"/>
  <c r="C752" i="15"/>
  <c r="F752" i="15" s="1"/>
  <c r="E734" i="15"/>
  <c r="C734" i="15"/>
  <c r="F734" i="15" s="1"/>
  <c r="E715" i="15"/>
  <c r="D715" i="15"/>
  <c r="B699" i="15"/>
  <c r="C699" i="15"/>
  <c r="F699" i="15" s="1"/>
  <c r="D699" i="15"/>
  <c r="B684" i="15"/>
  <c r="D684" i="15"/>
  <c r="E684" i="15"/>
  <c r="B682" i="15"/>
  <c r="E682" i="15"/>
  <c r="B669" i="15"/>
  <c r="E669" i="15"/>
  <c r="D664" i="15"/>
  <c r="C654" i="15"/>
  <c r="F654" i="15" s="1"/>
  <c r="B654" i="15"/>
  <c r="B620" i="15"/>
  <c r="D620" i="15"/>
  <c r="E620" i="15"/>
  <c r="B550" i="15"/>
  <c r="C550" i="15"/>
  <c r="F550" i="15" s="1"/>
  <c r="D550" i="15"/>
  <c r="D534" i="15"/>
  <c r="E534" i="15"/>
  <c r="B492" i="15"/>
  <c r="C492" i="15"/>
  <c r="F492" i="15" s="1"/>
  <c r="E492" i="15"/>
  <c r="B111" i="15"/>
  <c r="C111" i="15"/>
  <c r="F111" i="15" s="1"/>
  <c r="D111" i="15"/>
  <c r="E1003" i="15"/>
  <c r="B998" i="15"/>
  <c r="D996" i="15"/>
  <c r="D991" i="15"/>
  <c r="B984" i="15"/>
  <c r="E980" i="15"/>
  <c r="D973" i="15"/>
  <c r="D971" i="15"/>
  <c r="E969" i="15"/>
  <c r="B963" i="15"/>
  <c r="B955" i="15"/>
  <c r="B952" i="15"/>
  <c r="D936" i="15"/>
  <c r="B901" i="15"/>
  <c r="B898" i="15"/>
  <c r="D882" i="15"/>
  <c r="B844" i="15"/>
  <c r="C835" i="15"/>
  <c r="F835" i="15" s="1"/>
  <c r="B829" i="15"/>
  <c r="B817" i="15"/>
  <c r="B805" i="15"/>
  <c r="C802" i="15"/>
  <c r="F802" i="15" s="1"/>
  <c r="D797" i="15"/>
  <c r="D795" i="15"/>
  <c r="B793" i="15"/>
  <c r="B790" i="15"/>
  <c r="E785" i="15"/>
  <c r="D785" i="15"/>
  <c r="C779" i="15"/>
  <c r="F779" i="15" s="1"/>
  <c r="E771" i="15"/>
  <c r="D771" i="15"/>
  <c r="D765" i="15"/>
  <c r="B763" i="15"/>
  <c r="B760" i="15"/>
  <c r="C757" i="15"/>
  <c r="F757" i="15" s="1"/>
  <c r="B754" i="15"/>
  <c r="D751" i="15"/>
  <c r="C749" i="15"/>
  <c r="F749" i="15" s="1"/>
  <c r="B747" i="15"/>
  <c r="E745" i="15"/>
  <c r="D745" i="15"/>
  <c r="C739" i="15"/>
  <c r="F739" i="15" s="1"/>
  <c r="B736" i="15"/>
  <c r="D733" i="15"/>
  <c r="C731" i="15"/>
  <c r="F731" i="15" s="1"/>
  <c r="B729" i="15"/>
  <c r="E727" i="15"/>
  <c r="D727" i="15"/>
  <c r="B717" i="15"/>
  <c r="B705" i="15"/>
  <c r="B703" i="15"/>
  <c r="E698" i="15"/>
  <c r="B694" i="15"/>
  <c r="C694" i="15"/>
  <c r="F694" i="15" s="1"/>
  <c r="D694" i="15"/>
  <c r="B692" i="15"/>
  <c r="E692" i="15"/>
  <c r="C690" i="15"/>
  <c r="F690" i="15" s="1"/>
  <c r="E685" i="15"/>
  <c r="E681" i="15"/>
  <c r="B679" i="15"/>
  <c r="D679" i="15"/>
  <c r="E679" i="15"/>
  <c r="E672" i="15"/>
  <c r="C666" i="15"/>
  <c r="F666" i="15" s="1"/>
  <c r="C664" i="15"/>
  <c r="F664" i="15" s="1"/>
  <c r="E659" i="15"/>
  <c r="D656" i="15"/>
  <c r="B633" i="15"/>
  <c r="D633" i="15"/>
  <c r="C633" i="15"/>
  <c r="F633" i="15" s="1"/>
  <c r="C629" i="15"/>
  <c r="F629" i="15" s="1"/>
  <c r="E613" i="15"/>
  <c r="C613" i="15"/>
  <c r="F613" i="15" s="1"/>
  <c r="C575" i="15"/>
  <c r="F575" i="15" s="1"/>
  <c r="D571" i="15"/>
  <c r="C571" i="15"/>
  <c r="F571" i="15" s="1"/>
  <c r="E571" i="15"/>
  <c r="B426" i="15"/>
  <c r="C426" i="15"/>
  <c r="F426" i="15" s="1"/>
  <c r="B539" i="15"/>
  <c r="C539" i="15"/>
  <c r="F539" i="15" s="1"/>
  <c r="B475" i="15"/>
  <c r="D475" i="15"/>
  <c r="B341" i="15"/>
  <c r="C341" i="15"/>
  <c r="F341" i="15" s="1"/>
  <c r="C290" i="15"/>
  <c r="F290" i="15" s="1"/>
  <c r="E290" i="15"/>
  <c r="E248" i="15"/>
  <c r="B248" i="15"/>
  <c r="B103" i="15"/>
  <c r="E103" i="15"/>
  <c r="E540" i="15"/>
  <c r="B491" i="15"/>
  <c r="C491" i="15"/>
  <c r="F491" i="15" s="1"/>
  <c r="C158" i="15"/>
  <c r="F158" i="15" s="1"/>
  <c r="D158" i="15"/>
  <c r="C153" i="15"/>
  <c r="F153" i="15" s="1"/>
  <c r="E153" i="15"/>
  <c r="E109" i="15"/>
  <c r="C725" i="15"/>
  <c r="F725" i="15" s="1"/>
  <c r="B723" i="15"/>
  <c r="B721" i="15"/>
  <c r="B719" i="15"/>
  <c r="B714" i="15"/>
  <c r="C712" i="15"/>
  <c r="F712" i="15" s="1"/>
  <c r="C708" i="15"/>
  <c r="D704" i="15"/>
  <c r="C696" i="15"/>
  <c r="F696" i="15" s="1"/>
  <c r="C691" i="15"/>
  <c r="F691" i="15" s="1"/>
  <c r="C686" i="15"/>
  <c r="F686" i="15" s="1"/>
  <c r="C678" i="15"/>
  <c r="C673" i="15"/>
  <c r="F673" i="15" s="1"/>
  <c r="C668" i="15"/>
  <c r="F668" i="15" s="1"/>
  <c r="C660" i="15"/>
  <c r="F660" i="15" s="1"/>
  <c r="C655" i="15"/>
  <c r="F655" i="15" s="1"/>
  <c r="D625" i="15"/>
  <c r="B625" i="15"/>
  <c r="C618" i="15"/>
  <c r="F618" i="15" s="1"/>
  <c r="B608" i="15"/>
  <c r="B584" i="15"/>
  <c r="E584" i="15"/>
  <c r="D547" i="15"/>
  <c r="D540" i="15"/>
  <c r="B503" i="15"/>
  <c r="D503" i="15"/>
  <c r="B487" i="15"/>
  <c r="E487" i="15"/>
  <c r="D397" i="15"/>
  <c r="C394" i="15"/>
  <c r="F394" i="15" s="1"/>
  <c r="B358" i="15"/>
  <c r="C358" i="15"/>
  <c r="F358" i="15" s="1"/>
  <c r="B354" i="15"/>
  <c r="D354" i="15"/>
  <c r="B314" i="15"/>
  <c r="B296" i="15"/>
  <c r="C266" i="15"/>
  <c r="F266" i="15" s="1"/>
  <c r="D266" i="15"/>
  <c r="B256" i="15"/>
  <c r="C188" i="15"/>
  <c r="F188" i="15" s="1"/>
  <c r="D188" i="15"/>
  <c r="C109" i="15"/>
  <c r="F109" i="15" s="1"/>
  <c r="E69" i="15"/>
  <c r="B618" i="15"/>
  <c r="D610" i="15"/>
  <c r="E588" i="15"/>
  <c r="C588" i="15"/>
  <c r="F588" i="15" s="1"/>
  <c r="D579" i="15"/>
  <c r="C540" i="15"/>
  <c r="F540" i="15" s="1"/>
  <c r="E515" i="15"/>
  <c r="C460" i="15"/>
  <c r="F460" i="15" s="1"/>
  <c r="E456" i="15"/>
  <c r="B444" i="15"/>
  <c r="D444" i="15"/>
  <c r="C397" i="15"/>
  <c r="F397" i="15" s="1"/>
  <c r="E366" i="15"/>
  <c r="C366" i="15"/>
  <c r="F366" i="15" s="1"/>
  <c r="C270" i="15"/>
  <c r="F270" i="15" s="1"/>
  <c r="B270" i="15"/>
  <c r="D265" i="15"/>
  <c r="E212" i="15"/>
  <c r="D212" i="15"/>
  <c r="D207" i="15"/>
  <c r="D198" i="15"/>
  <c r="D176" i="15"/>
  <c r="E146" i="15"/>
  <c r="B125" i="15"/>
  <c r="B30" i="36" s="1"/>
  <c r="E125" i="15"/>
  <c r="B109" i="15"/>
  <c r="C78" i="15"/>
  <c r="F78" i="15" s="1"/>
  <c r="D599" i="15"/>
  <c r="C599" i="15"/>
  <c r="F599" i="15" s="1"/>
  <c r="C568" i="15"/>
  <c r="F568" i="15" s="1"/>
  <c r="B568" i="15"/>
  <c r="B547" i="15"/>
  <c r="E547" i="15"/>
  <c r="B511" i="15"/>
  <c r="E511" i="15"/>
  <c r="E475" i="15"/>
  <c r="B472" i="15"/>
  <c r="C472" i="15"/>
  <c r="F472" i="15" s="1"/>
  <c r="E451" i="15"/>
  <c r="D371" i="15"/>
  <c r="E371" i="15"/>
  <c r="E365" i="15"/>
  <c r="E341" i="15"/>
  <c r="D290" i="15"/>
  <c r="B136" i="15"/>
  <c r="D136" i="15"/>
  <c r="E4556" i="15"/>
  <c r="D4555" i="15"/>
  <c r="B1306" i="15"/>
  <c r="E1307" i="15"/>
  <c r="D4429" i="15"/>
  <c r="D4426" i="15"/>
  <c r="D4423" i="15"/>
  <c r="D4420" i="15"/>
  <c r="D4417" i="15"/>
  <c r="D4414" i="15"/>
  <c r="D4411" i="15"/>
  <c r="D4408" i="15"/>
  <c r="D4405" i="15"/>
  <c r="D4402" i="15"/>
  <c r="D4399" i="15"/>
  <c r="D4396" i="15"/>
  <c r="D4393" i="15"/>
  <c r="D4390" i="15"/>
  <c r="D4387" i="15"/>
  <c r="D4384" i="15"/>
  <c r="D4381" i="15"/>
  <c r="D4378" i="15"/>
  <c r="D4375" i="15"/>
  <c r="D4372" i="15"/>
  <c r="D4369" i="15"/>
  <c r="D4366" i="15"/>
  <c r="D4363" i="15"/>
  <c r="D4360" i="15"/>
  <c r="D4357" i="15"/>
  <c r="D4354" i="15"/>
  <c r="D4351" i="15"/>
  <c r="D4348" i="15"/>
  <c r="D4345" i="15"/>
  <c r="D4342" i="15"/>
  <c r="D4339" i="15"/>
  <c r="D4336" i="15"/>
  <c r="D4333" i="15"/>
  <c r="D4330" i="15"/>
  <c r="D4327" i="15"/>
  <c r="D4324" i="15"/>
  <c r="D4321" i="15"/>
  <c r="D4318" i="15"/>
  <c r="D4315" i="15"/>
  <c r="D4312" i="15"/>
  <c r="D4309" i="15"/>
  <c r="D4306" i="15"/>
  <c r="D4303" i="15"/>
  <c r="D4300" i="15"/>
  <c r="D4297" i="15"/>
  <c r="D4294" i="15"/>
  <c r="D4291" i="15"/>
  <c r="D4288" i="15"/>
  <c r="D4285" i="15"/>
  <c r="D4282" i="15"/>
  <c r="D4279" i="15"/>
  <c r="D4276" i="15"/>
  <c r="D4273" i="15"/>
  <c r="D4270" i="15"/>
  <c r="D4267" i="15"/>
  <c r="D4264" i="15"/>
  <c r="D4261" i="15"/>
  <c r="D4258" i="15"/>
  <c r="D4255" i="15"/>
  <c r="D4252" i="15"/>
  <c r="D4249" i="15"/>
  <c r="D4246" i="15"/>
  <c r="D4243" i="15"/>
  <c r="D4240" i="15"/>
  <c r="D4237" i="15"/>
  <c r="D4234" i="15"/>
  <c r="D4231" i="15"/>
  <c r="D4228" i="15"/>
  <c r="D4225" i="15"/>
  <c r="D4222" i="15"/>
  <c r="D4219" i="15"/>
  <c r="D4216" i="15"/>
  <c r="D4213" i="15"/>
  <c r="D4210" i="15"/>
  <c r="D4207" i="15"/>
  <c r="D4204" i="15"/>
  <c r="D4201" i="15"/>
  <c r="D4198" i="15"/>
  <c r="D4195" i="15"/>
  <c r="D4192" i="15"/>
  <c r="D4189" i="15"/>
  <c r="D4186" i="15"/>
  <c r="D4183" i="15"/>
  <c r="D4180" i="15"/>
  <c r="D4177" i="15"/>
  <c r="B3791" i="15"/>
  <c r="D3791" i="15"/>
  <c r="C3791" i="15"/>
  <c r="F3791" i="15" s="1"/>
  <c r="E3791" i="15"/>
  <c r="B3789" i="15"/>
  <c r="D3789" i="15"/>
  <c r="E3783" i="15"/>
  <c r="B3773" i="15"/>
  <c r="D3773" i="15"/>
  <c r="C3773" i="15"/>
  <c r="F3773" i="15" s="1"/>
  <c r="E3773" i="15"/>
  <c r="B3771" i="15"/>
  <c r="D3771" i="15"/>
  <c r="E3765" i="15"/>
  <c r="B3755" i="15"/>
  <c r="D3755" i="15"/>
  <c r="C3755" i="15"/>
  <c r="F3755" i="15" s="1"/>
  <c r="E3755" i="15"/>
  <c r="B3753" i="15"/>
  <c r="D3753" i="15"/>
  <c r="E3747" i="15"/>
  <c r="B3737" i="15"/>
  <c r="D3737" i="15"/>
  <c r="C3737" i="15"/>
  <c r="F3737" i="15" s="1"/>
  <c r="E3737" i="15"/>
  <c r="B3735" i="15"/>
  <c r="D3735" i="15"/>
  <c r="E3729" i="15"/>
  <c r="B3719" i="15"/>
  <c r="D3719" i="15"/>
  <c r="C3719" i="15"/>
  <c r="F3719" i="15" s="1"/>
  <c r="E3719" i="15"/>
  <c r="B3717" i="15"/>
  <c r="D3717" i="15"/>
  <c r="E3711" i="15"/>
  <c r="B3701" i="15"/>
  <c r="D3701" i="15"/>
  <c r="C3701" i="15"/>
  <c r="F3701" i="15" s="1"/>
  <c r="E3701" i="15"/>
  <c r="B3699" i="15"/>
  <c r="D3699" i="15"/>
  <c r="E3693" i="15"/>
  <c r="B3683" i="15"/>
  <c r="D3683" i="15"/>
  <c r="C3683" i="15"/>
  <c r="F3683" i="15" s="1"/>
  <c r="E3683" i="15"/>
  <c r="B3681" i="15"/>
  <c r="D3681" i="15"/>
  <c r="E3675" i="15"/>
  <c r="B3665" i="15"/>
  <c r="D3665" i="15"/>
  <c r="C3665" i="15"/>
  <c r="F3665" i="15" s="1"/>
  <c r="E3665" i="15"/>
  <c r="B3663" i="15"/>
  <c r="D3663" i="15"/>
  <c r="E3657" i="15"/>
  <c r="B3647" i="15"/>
  <c r="D3647" i="15"/>
  <c r="C3647" i="15"/>
  <c r="F3647" i="15" s="1"/>
  <c r="E3647" i="15"/>
  <c r="B3629" i="15"/>
  <c r="D3629" i="15"/>
  <c r="C3629" i="15"/>
  <c r="F3629" i="15" s="1"/>
  <c r="E3629" i="15"/>
  <c r="B3611" i="15"/>
  <c r="D3611" i="15"/>
  <c r="C3611" i="15"/>
  <c r="F3611" i="15" s="1"/>
  <c r="E3611" i="15"/>
  <c r="E4557" i="15"/>
  <c r="D20" i="28"/>
  <c r="B3796" i="15"/>
  <c r="E3796" i="15"/>
  <c r="B3788" i="15"/>
  <c r="D3788" i="15"/>
  <c r="C3788" i="15"/>
  <c r="F3788" i="15" s="1"/>
  <c r="E3788" i="15"/>
  <c r="B3786" i="15"/>
  <c r="D3786" i="15"/>
  <c r="B3770" i="15"/>
  <c r="D3770" i="15"/>
  <c r="C3770" i="15"/>
  <c r="F3770" i="15" s="1"/>
  <c r="E3770" i="15"/>
  <c r="B3768" i="15"/>
  <c r="D3768" i="15"/>
  <c r="B3752" i="15"/>
  <c r="D3752" i="15"/>
  <c r="C3752" i="15"/>
  <c r="F3752" i="15" s="1"/>
  <c r="E3752" i="15"/>
  <c r="B3750" i="15"/>
  <c r="D3750" i="15"/>
  <c r="B3734" i="15"/>
  <c r="D3734" i="15"/>
  <c r="C3734" i="15"/>
  <c r="F3734" i="15" s="1"/>
  <c r="E3734" i="15"/>
  <c r="B3732" i="15"/>
  <c r="D3732" i="15"/>
  <c r="B3716" i="15"/>
  <c r="D3716" i="15"/>
  <c r="C3716" i="15"/>
  <c r="F3716" i="15" s="1"/>
  <c r="E3716" i="15"/>
  <c r="B3714" i="15"/>
  <c r="D3714" i="15"/>
  <c r="B3698" i="15"/>
  <c r="B10" i="20" s="1"/>
  <c r="D3698" i="15"/>
  <c r="C3698" i="15"/>
  <c r="F3698" i="15" s="1"/>
  <c r="E10" i="20" s="1"/>
  <c r="E3698" i="15"/>
  <c r="B3696" i="15"/>
  <c r="D3696" i="15"/>
  <c r="B3680" i="15"/>
  <c r="D3680" i="15"/>
  <c r="C3680" i="15"/>
  <c r="F3680" i="15" s="1"/>
  <c r="E3680" i="15"/>
  <c r="B3678" i="15"/>
  <c r="D3678" i="15"/>
  <c r="B3662" i="15"/>
  <c r="D3662" i="15"/>
  <c r="C3662" i="15"/>
  <c r="F3662" i="15" s="1"/>
  <c r="E3662" i="15"/>
  <c r="B3660" i="15"/>
  <c r="D3660" i="15"/>
  <c r="B3644" i="15"/>
  <c r="D3644" i="15"/>
  <c r="C3644" i="15"/>
  <c r="F3644" i="15" s="1"/>
  <c r="E3644" i="15"/>
  <c r="B3626" i="15"/>
  <c r="D3626" i="15"/>
  <c r="C3626" i="15"/>
  <c r="F3626" i="15" s="1"/>
  <c r="E3626" i="15"/>
  <c r="B3608" i="15"/>
  <c r="D3608" i="15"/>
  <c r="C3608" i="15"/>
  <c r="F3608" i="15" s="1"/>
  <c r="E3608" i="15"/>
  <c r="C4555" i="15"/>
  <c r="F4555" i="15" s="1"/>
  <c r="E4434" i="15"/>
  <c r="D4557" i="15"/>
  <c r="D4434" i="15"/>
  <c r="D4433" i="15"/>
  <c r="D4430" i="15"/>
  <c r="D4427" i="15"/>
  <c r="D4424" i="15"/>
  <c r="D4421" i="15"/>
  <c r="D4418" i="15"/>
  <c r="D4415" i="15"/>
  <c r="D4412" i="15"/>
  <c r="D4409" i="15"/>
  <c r="D4406" i="15"/>
  <c r="D4403" i="15"/>
  <c r="D4400" i="15"/>
  <c r="D4397" i="15"/>
  <c r="D4394" i="15"/>
  <c r="D4391" i="15"/>
  <c r="D4388" i="15"/>
  <c r="D4385" i="15"/>
  <c r="D4382" i="15"/>
  <c r="D4379" i="15"/>
  <c r="D4376" i="15"/>
  <c r="D4373" i="15"/>
  <c r="D4370" i="15"/>
  <c r="D4367" i="15"/>
  <c r="D4364" i="15"/>
  <c r="D4361" i="15"/>
  <c r="D4358" i="15"/>
  <c r="D4355" i="15"/>
  <c r="D4352" i="15"/>
  <c r="D4349" i="15"/>
  <c r="D4346" i="15"/>
  <c r="D4343" i="15"/>
  <c r="D4340" i="15"/>
  <c r="D4337" i="15"/>
  <c r="D4334" i="15"/>
  <c r="D4331" i="15"/>
  <c r="D4328" i="15"/>
  <c r="D4325" i="15"/>
  <c r="D4322" i="15"/>
  <c r="D4319" i="15"/>
  <c r="D4316" i="15"/>
  <c r="D4313" i="15"/>
  <c r="D4310" i="15"/>
  <c r="D4307" i="15"/>
  <c r="D4304" i="15"/>
  <c r="D4301" i="15"/>
  <c r="D4298" i="15"/>
  <c r="D4295" i="15"/>
  <c r="D4292" i="15"/>
  <c r="D4289" i="15"/>
  <c r="D4286" i="15"/>
  <c r="D4283" i="15"/>
  <c r="D4280" i="15"/>
  <c r="D4277" i="15"/>
  <c r="D4274" i="15"/>
  <c r="D4271" i="15"/>
  <c r="D4268" i="15"/>
  <c r="D4265" i="15"/>
  <c r="D4262" i="15"/>
  <c r="D4259" i="15"/>
  <c r="D4256" i="15"/>
  <c r="D4253" i="15"/>
  <c r="D4250" i="15"/>
  <c r="D4247" i="15"/>
  <c r="D4244" i="15"/>
  <c r="D4241" i="15"/>
  <c r="D4238" i="15"/>
  <c r="J19" i="27" s="1"/>
  <c r="D4235" i="15"/>
  <c r="D4232" i="15"/>
  <c r="D4229" i="15"/>
  <c r="D4226" i="15"/>
  <c r="D4223" i="15"/>
  <c r="D4220" i="15"/>
  <c r="D4217" i="15"/>
  <c r="D4214" i="15"/>
  <c r="D4211" i="15"/>
  <c r="D4208" i="15"/>
  <c r="D4205" i="15"/>
  <c r="D4202" i="15"/>
  <c r="D4199" i="15"/>
  <c r="D4196" i="15"/>
  <c r="D4193" i="15"/>
  <c r="D4190" i="15"/>
  <c r="D4187" i="15"/>
  <c r="D4184" i="15"/>
  <c r="D4181" i="15"/>
  <c r="D4178" i="15"/>
  <c r="B3785" i="15"/>
  <c r="D3785" i="15"/>
  <c r="C3785" i="15"/>
  <c r="F3785" i="15" s="1"/>
  <c r="E3785" i="15"/>
  <c r="B3783" i="15"/>
  <c r="D3783" i="15"/>
  <c r="E3777" i="15"/>
  <c r="B3767" i="15"/>
  <c r="D3767" i="15"/>
  <c r="C3767" i="15"/>
  <c r="F3767" i="15" s="1"/>
  <c r="E3767" i="15"/>
  <c r="B3765" i="15"/>
  <c r="D3765" i="15"/>
  <c r="E3759" i="15"/>
  <c r="B3749" i="15"/>
  <c r="D3749" i="15"/>
  <c r="C3749" i="15"/>
  <c r="F3749" i="15" s="1"/>
  <c r="E3749" i="15"/>
  <c r="B3747" i="15"/>
  <c r="D3747" i="15"/>
  <c r="E3741" i="15"/>
  <c r="B3731" i="15"/>
  <c r="D3731" i="15"/>
  <c r="C3731" i="15"/>
  <c r="F3731" i="15" s="1"/>
  <c r="E3731" i="15"/>
  <c r="B3729" i="15"/>
  <c r="D3729" i="15"/>
  <c r="E3723" i="15"/>
  <c r="B3713" i="15"/>
  <c r="D3713" i="15"/>
  <c r="C3713" i="15"/>
  <c r="F3713" i="15" s="1"/>
  <c r="E3713" i="15"/>
  <c r="B3711" i="15"/>
  <c r="D3711" i="15"/>
  <c r="E3705" i="15"/>
  <c r="B3695" i="15"/>
  <c r="D3695" i="15"/>
  <c r="C3695" i="15"/>
  <c r="F3695" i="15" s="1"/>
  <c r="E3695" i="15"/>
  <c r="B3693" i="15"/>
  <c r="D3693" i="15"/>
  <c r="E3687" i="15"/>
  <c r="B3677" i="15"/>
  <c r="D3677" i="15"/>
  <c r="C3677" i="15"/>
  <c r="F3677" i="15" s="1"/>
  <c r="E3677" i="15"/>
  <c r="B3675" i="15"/>
  <c r="D3675" i="15"/>
  <c r="E3669" i="15"/>
  <c r="B3659" i="15"/>
  <c r="D3659" i="15"/>
  <c r="C3659" i="15"/>
  <c r="F3659" i="15" s="1"/>
  <c r="E3659" i="15"/>
  <c r="B3657" i="15"/>
  <c r="D3657" i="15"/>
  <c r="E3651" i="15"/>
  <c r="B3641" i="15"/>
  <c r="D3641" i="15"/>
  <c r="C3641" i="15"/>
  <c r="F3641" i="15" s="1"/>
  <c r="E3641" i="15"/>
  <c r="B3623" i="15"/>
  <c r="D3623" i="15"/>
  <c r="C3623" i="15"/>
  <c r="F3623" i="15" s="1"/>
  <c r="E3623" i="15"/>
  <c r="B3605" i="15"/>
  <c r="B9" i="20" s="1"/>
  <c r="D3605" i="15"/>
  <c r="C3605" i="15"/>
  <c r="E3605" i="15"/>
  <c r="B3602" i="15"/>
  <c r="D3602" i="15"/>
  <c r="C3602" i="15"/>
  <c r="F3602" i="15" s="1"/>
  <c r="E3602" i="15"/>
  <c r="B3599" i="15"/>
  <c r="D3599" i="15"/>
  <c r="C3599" i="15"/>
  <c r="F3599" i="15" s="1"/>
  <c r="E3599" i="15"/>
  <c r="B3596" i="15"/>
  <c r="D3596" i="15"/>
  <c r="C3596" i="15"/>
  <c r="F3596" i="15" s="1"/>
  <c r="E3596" i="15"/>
  <c r="B3593" i="15"/>
  <c r="D3593" i="15"/>
  <c r="C3593" i="15"/>
  <c r="F3593" i="15" s="1"/>
  <c r="E3593" i="15"/>
  <c r="B3590" i="15"/>
  <c r="D3590" i="15"/>
  <c r="C3590" i="15"/>
  <c r="F3590" i="15" s="1"/>
  <c r="E3590" i="15"/>
  <c r="B3587" i="15"/>
  <c r="D3587" i="15"/>
  <c r="C3587" i="15"/>
  <c r="F3587" i="15" s="1"/>
  <c r="E3587" i="15"/>
  <c r="B3584" i="15"/>
  <c r="D3584" i="15"/>
  <c r="C3584" i="15"/>
  <c r="F3584" i="15" s="1"/>
  <c r="E3584" i="15"/>
  <c r="B3581" i="15"/>
  <c r="D3581" i="15"/>
  <c r="C3581" i="15"/>
  <c r="F3581" i="15" s="1"/>
  <c r="E3581" i="15"/>
  <c r="B3578" i="15"/>
  <c r="D3578" i="15"/>
  <c r="C3578" i="15"/>
  <c r="F3578" i="15" s="1"/>
  <c r="E3578" i="15"/>
  <c r="B3575" i="15"/>
  <c r="D3575" i="15"/>
  <c r="C3575" i="15"/>
  <c r="F3575" i="15" s="1"/>
  <c r="E3575" i="15"/>
  <c r="B3572" i="15"/>
  <c r="D3572" i="15"/>
  <c r="C3572" i="15"/>
  <c r="F3572" i="15" s="1"/>
  <c r="E3572" i="15"/>
  <c r="B3569" i="15"/>
  <c r="D3569" i="15"/>
  <c r="C3569" i="15"/>
  <c r="F3569" i="15" s="1"/>
  <c r="E3569" i="15"/>
  <c r="B3566" i="15"/>
  <c r="D3566" i="15"/>
  <c r="C3566" i="15"/>
  <c r="F3566" i="15" s="1"/>
  <c r="E3566" i="15"/>
  <c r="B3563" i="15"/>
  <c r="D3563" i="15"/>
  <c r="C3563" i="15"/>
  <c r="F3563" i="15" s="1"/>
  <c r="E3563" i="15"/>
  <c r="B3560" i="15"/>
  <c r="D3560" i="15"/>
  <c r="C3560" i="15"/>
  <c r="F3560" i="15" s="1"/>
  <c r="E3560" i="15"/>
  <c r="B3557" i="15"/>
  <c r="D3557" i="15"/>
  <c r="C3557" i="15"/>
  <c r="F3557" i="15" s="1"/>
  <c r="E3557" i="15"/>
  <c r="B3554" i="15"/>
  <c r="D3554" i="15"/>
  <c r="C3554" i="15"/>
  <c r="F3554" i="15" s="1"/>
  <c r="E3554" i="15"/>
  <c r="B3551" i="15"/>
  <c r="D3551" i="15"/>
  <c r="C3551" i="15"/>
  <c r="F3551" i="15" s="1"/>
  <c r="E3551" i="15"/>
  <c r="B3548" i="15"/>
  <c r="D3548" i="15"/>
  <c r="C3548" i="15"/>
  <c r="F3548" i="15" s="1"/>
  <c r="E3548" i="15"/>
  <c r="B3545" i="15"/>
  <c r="D3545" i="15"/>
  <c r="C3545" i="15"/>
  <c r="F3545" i="15" s="1"/>
  <c r="E3545" i="15"/>
  <c r="B3542" i="15"/>
  <c r="D3542" i="15"/>
  <c r="C3542" i="15"/>
  <c r="F3542" i="15" s="1"/>
  <c r="E3542" i="15"/>
  <c r="B3539" i="15"/>
  <c r="D3539" i="15"/>
  <c r="C3539" i="15"/>
  <c r="F3539" i="15" s="1"/>
  <c r="E3539" i="15"/>
  <c r="B3536" i="15"/>
  <c r="D3536" i="15"/>
  <c r="C3536" i="15"/>
  <c r="F3536" i="15" s="1"/>
  <c r="E3536" i="15"/>
  <c r="B3533" i="15"/>
  <c r="D3533" i="15"/>
  <c r="C3533" i="15"/>
  <c r="F3533" i="15" s="1"/>
  <c r="E3533" i="15"/>
  <c r="B3530" i="15"/>
  <c r="D3530" i="15"/>
  <c r="C3530" i="15"/>
  <c r="F3530" i="15" s="1"/>
  <c r="E3530" i="15"/>
  <c r="B3527" i="15"/>
  <c r="D3527" i="15"/>
  <c r="C3527" i="15"/>
  <c r="F3527" i="15" s="1"/>
  <c r="E3527" i="15"/>
  <c r="B3524" i="15"/>
  <c r="D3524" i="15"/>
  <c r="C3524" i="15"/>
  <c r="F3524" i="15" s="1"/>
  <c r="E3524" i="15"/>
  <c r="C4557" i="15"/>
  <c r="F4557" i="15" s="1"/>
  <c r="C4434" i="15"/>
  <c r="F4434" i="15" s="1"/>
  <c r="E26" i="23" s="1"/>
  <c r="B3795" i="15"/>
  <c r="D3795" i="15"/>
  <c r="E3795" i="15"/>
  <c r="B3782" i="15"/>
  <c r="D3782" i="15"/>
  <c r="C3782" i="15"/>
  <c r="F3782" i="15" s="1"/>
  <c r="E3782" i="15"/>
  <c r="B3780" i="15"/>
  <c r="D3780" i="15"/>
  <c r="B3764" i="15"/>
  <c r="D3764" i="15"/>
  <c r="C3764" i="15"/>
  <c r="F3764" i="15" s="1"/>
  <c r="E3764" i="15"/>
  <c r="B3762" i="15"/>
  <c r="D3762" i="15"/>
  <c r="B3746" i="15"/>
  <c r="D3746" i="15"/>
  <c r="C3746" i="15"/>
  <c r="F3746" i="15" s="1"/>
  <c r="E3746" i="15"/>
  <c r="B3744" i="15"/>
  <c r="D3744" i="15"/>
  <c r="B3728" i="15"/>
  <c r="D3728" i="15"/>
  <c r="C3728" i="15"/>
  <c r="F3728" i="15" s="1"/>
  <c r="E3728" i="15"/>
  <c r="B3726" i="15"/>
  <c r="D3726" i="15"/>
  <c r="B3710" i="15"/>
  <c r="D3710" i="15"/>
  <c r="C3710" i="15"/>
  <c r="F3710" i="15" s="1"/>
  <c r="E3710" i="15"/>
  <c r="B3708" i="15"/>
  <c r="D3708" i="15"/>
  <c r="B3692" i="15"/>
  <c r="D3692" i="15"/>
  <c r="C3692" i="15"/>
  <c r="F3692" i="15" s="1"/>
  <c r="E3692" i="15"/>
  <c r="B3690" i="15"/>
  <c r="D3690" i="15"/>
  <c r="B3674" i="15"/>
  <c r="D3674" i="15"/>
  <c r="C3674" i="15"/>
  <c r="F3674" i="15" s="1"/>
  <c r="E3674" i="15"/>
  <c r="B3672" i="15"/>
  <c r="D3672" i="15"/>
  <c r="B3656" i="15"/>
  <c r="D3656" i="15"/>
  <c r="C3656" i="15"/>
  <c r="F3656" i="15" s="1"/>
  <c r="E3656" i="15"/>
  <c r="B3654" i="15"/>
  <c r="D3654" i="15"/>
  <c r="B3638" i="15"/>
  <c r="D3638" i="15"/>
  <c r="C3638" i="15"/>
  <c r="F3638" i="15" s="1"/>
  <c r="E3638" i="15"/>
  <c r="B3620" i="15"/>
  <c r="D3620" i="15"/>
  <c r="C3620" i="15"/>
  <c r="F3620" i="15" s="1"/>
  <c r="E3620" i="15"/>
  <c r="B3779" i="15"/>
  <c r="D3779" i="15"/>
  <c r="C3779" i="15"/>
  <c r="F3779" i="15" s="1"/>
  <c r="E3779" i="15"/>
  <c r="B3777" i="15"/>
  <c r="D3777" i="15"/>
  <c r="B3761" i="15"/>
  <c r="D3761" i="15"/>
  <c r="C3761" i="15"/>
  <c r="F3761" i="15" s="1"/>
  <c r="E3761" i="15"/>
  <c r="B3759" i="15"/>
  <c r="D3759" i="15"/>
  <c r="B3743" i="15"/>
  <c r="D3743" i="15"/>
  <c r="C3743" i="15"/>
  <c r="F3743" i="15" s="1"/>
  <c r="E3743" i="15"/>
  <c r="B3741" i="15"/>
  <c r="D3741" i="15"/>
  <c r="B3725" i="15"/>
  <c r="D3725" i="15"/>
  <c r="C3725" i="15"/>
  <c r="F3725" i="15" s="1"/>
  <c r="E3725" i="15"/>
  <c r="B3723" i="15"/>
  <c r="D3723" i="15"/>
  <c r="B3707" i="15"/>
  <c r="D3707" i="15"/>
  <c r="C3707" i="15"/>
  <c r="F3707" i="15" s="1"/>
  <c r="E3707" i="15"/>
  <c r="B3705" i="15"/>
  <c r="D3705" i="15"/>
  <c r="B3689" i="15"/>
  <c r="D3689" i="15"/>
  <c r="C3689" i="15"/>
  <c r="F3689" i="15" s="1"/>
  <c r="E3689" i="15"/>
  <c r="B3687" i="15"/>
  <c r="D3687" i="15"/>
  <c r="B3671" i="15"/>
  <c r="D3671" i="15"/>
  <c r="C3671" i="15"/>
  <c r="F3671" i="15" s="1"/>
  <c r="E3671" i="15"/>
  <c r="B3669" i="15"/>
  <c r="D3669" i="15"/>
  <c r="B3653" i="15"/>
  <c r="D3653" i="15"/>
  <c r="C3653" i="15"/>
  <c r="F3653" i="15" s="1"/>
  <c r="E3653" i="15"/>
  <c r="B3651" i="15"/>
  <c r="D3651" i="15"/>
  <c r="B3635" i="15"/>
  <c r="D3635" i="15"/>
  <c r="C3635" i="15"/>
  <c r="F3635" i="15" s="1"/>
  <c r="E3635" i="15"/>
  <c r="B3617" i="15"/>
  <c r="D3617" i="15"/>
  <c r="C3617" i="15"/>
  <c r="F3617" i="15" s="1"/>
  <c r="E3617" i="15"/>
  <c r="B3794" i="15"/>
  <c r="C3794" i="15"/>
  <c r="F3794" i="15" s="1"/>
  <c r="D3794" i="15"/>
  <c r="E3794" i="15"/>
  <c r="B3792" i="15"/>
  <c r="D3792" i="15"/>
  <c r="C3789" i="15"/>
  <c r="F3789" i="15" s="1"/>
  <c r="B3776" i="15"/>
  <c r="D3776" i="15"/>
  <c r="C3776" i="15"/>
  <c r="F3776" i="15" s="1"/>
  <c r="E3776" i="15"/>
  <c r="B3774" i="15"/>
  <c r="D3774" i="15"/>
  <c r="C3771" i="15"/>
  <c r="F3771" i="15" s="1"/>
  <c r="B3758" i="15"/>
  <c r="D3758" i="15"/>
  <c r="C3758" i="15"/>
  <c r="F3758" i="15" s="1"/>
  <c r="E3758" i="15"/>
  <c r="B3756" i="15"/>
  <c r="D3756" i="15"/>
  <c r="C3753" i="15"/>
  <c r="F3753" i="15" s="1"/>
  <c r="B3740" i="15"/>
  <c r="D3740" i="15"/>
  <c r="C3740" i="15"/>
  <c r="F3740" i="15" s="1"/>
  <c r="E3740" i="15"/>
  <c r="B3738" i="15"/>
  <c r="D3738" i="15"/>
  <c r="C3735" i="15"/>
  <c r="F3735" i="15" s="1"/>
  <c r="B3722" i="15"/>
  <c r="D3722" i="15"/>
  <c r="C3722" i="15"/>
  <c r="F3722" i="15" s="1"/>
  <c r="E3722" i="15"/>
  <c r="B3720" i="15"/>
  <c r="D3720" i="15"/>
  <c r="C3717" i="15"/>
  <c r="F3717" i="15" s="1"/>
  <c r="B3704" i="15"/>
  <c r="D3704" i="15"/>
  <c r="C3704" i="15"/>
  <c r="F3704" i="15" s="1"/>
  <c r="E3704" i="15"/>
  <c r="B3702" i="15"/>
  <c r="D3702" i="15"/>
  <c r="C3699" i="15"/>
  <c r="F3699" i="15" s="1"/>
  <c r="B3686" i="15"/>
  <c r="D3686" i="15"/>
  <c r="C3686" i="15"/>
  <c r="F3686" i="15" s="1"/>
  <c r="E3686" i="15"/>
  <c r="B3684" i="15"/>
  <c r="D3684" i="15"/>
  <c r="C3681" i="15"/>
  <c r="F3681" i="15" s="1"/>
  <c r="B3668" i="15"/>
  <c r="D3668" i="15"/>
  <c r="C3668" i="15"/>
  <c r="F3668" i="15" s="1"/>
  <c r="E3668" i="15"/>
  <c r="B3666" i="15"/>
  <c r="D3666" i="15"/>
  <c r="C3663" i="15"/>
  <c r="F3663" i="15" s="1"/>
  <c r="B3650" i="15"/>
  <c r="D3650" i="15"/>
  <c r="C3650" i="15"/>
  <c r="F3650" i="15" s="1"/>
  <c r="E3650" i="15"/>
  <c r="B3632" i="15"/>
  <c r="D3632" i="15"/>
  <c r="C3632" i="15"/>
  <c r="F3632" i="15" s="1"/>
  <c r="E3632" i="15"/>
  <c r="B3614" i="15"/>
  <c r="D3614" i="15"/>
  <c r="C3614" i="15"/>
  <c r="F3614" i="15" s="1"/>
  <c r="E3614" i="15"/>
  <c r="C3273" i="15"/>
  <c r="F3273" i="15" s="1"/>
  <c r="E3273" i="15"/>
  <c r="C3271" i="15"/>
  <c r="F3271" i="15" s="1"/>
  <c r="B3271" i="15"/>
  <c r="E3271" i="15"/>
  <c r="C3259" i="15"/>
  <c r="F3259" i="15" s="1"/>
  <c r="B3259" i="15"/>
  <c r="E3259" i="15"/>
  <c r="C3247" i="15"/>
  <c r="F3247" i="15" s="1"/>
  <c r="B3247" i="15"/>
  <c r="E3247" i="15"/>
  <c r="C3219" i="15"/>
  <c r="F3219" i="15" s="1"/>
  <c r="E3219" i="15"/>
  <c r="B3219" i="15"/>
  <c r="D3219" i="15"/>
  <c r="C3201" i="15"/>
  <c r="F3201" i="15" s="1"/>
  <c r="E3201" i="15"/>
  <c r="B3201" i="15"/>
  <c r="D3201" i="15"/>
  <c r="C3183" i="15"/>
  <c r="F3183" i="15" s="1"/>
  <c r="E3183" i="15"/>
  <c r="B3183" i="15"/>
  <c r="D3183" i="15"/>
  <c r="C3165" i="15"/>
  <c r="F3165" i="15" s="1"/>
  <c r="E3165" i="15"/>
  <c r="B3165" i="15"/>
  <c r="D3165" i="15"/>
  <c r="C3147" i="15"/>
  <c r="F3147" i="15" s="1"/>
  <c r="E3147" i="15"/>
  <c r="B3147" i="15"/>
  <c r="D3147" i="15"/>
  <c r="C3129" i="15"/>
  <c r="F3129" i="15" s="1"/>
  <c r="E3129" i="15"/>
  <c r="B3129" i="15"/>
  <c r="D3129" i="15"/>
  <c r="B3793" i="15"/>
  <c r="D3793" i="15"/>
  <c r="B3790" i="15"/>
  <c r="D3790" i="15"/>
  <c r="B3787" i="15"/>
  <c r="D3787" i="15"/>
  <c r="B3784" i="15"/>
  <c r="D3784" i="15"/>
  <c r="B3781" i="15"/>
  <c r="D3781" i="15"/>
  <c r="B3778" i="15"/>
  <c r="D3778" i="15"/>
  <c r="B3775" i="15"/>
  <c r="D3775" i="15"/>
  <c r="B3772" i="15"/>
  <c r="D3772" i="15"/>
  <c r="B3769" i="15"/>
  <c r="D3769" i="15"/>
  <c r="B3766" i="15"/>
  <c r="D3766" i="15"/>
  <c r="B3763" i="15"/>
  <c r="D3763" i="15"/>
  <c r="B3760" i="15"/>
  <c r="D3760" i="15"/>
  <c r="B3757" i="15"/>
  <c r="D3757" i="15"/>
  <c r="B3754" i="15"/>
  <c r="D3754" i="15"/>
  <c r="B3751" i="15"/>
  <c r="D3751" i="15"/>
  <c r="B3748" i="15"/>
  <c r="D3748" i="15"/>
  <c r="B3745" i="15"/>
  <c r="D3745" i="15"/>
  <c r="B3742" i="15"/>
  <c r="D3742" i="15"/>
  <c r="B3739" i="15"/>
  <c r="D3739" i="15"/>
  <c r="B3736" i="15"/>
  <c r="D3736" i="15"/>
  <c r="B3733" i="15"/>
  <c r="D3733" i="15"/>
  <c r="B3730" i="15"/>
  <c r="D3730" i="15"/>
  <c r="B3727" i="15"/>
  <c r="D3727" i="15"/>
  <c r="B3724" i="15"/>
  <c r="D3724" i="15"/>
  <c r="B3721" i="15"/>
  <c r="D3721" i="15"/>
  <c r="B3718" i="15"/>
  <c r="D3718" i="15"/>
  <c r="B3715" i="15"/>
  <c r="D3715" i="15"/>
  <c r="B3712" i="15"/>
  <c r="D3712" i="15"/>
  <c r="B3709" i="15"/>
  <c r="D3709" i="15"/>
  <c r="B3706" i="15"/>
  <c r="D3706" i="15"/>
  <c r="B3703" i="15"/>
  <c r="D3703" i="15"/>
  <c r="B3700" i="15"/>
  <c r="D3700" i="15"/>
  <c r="B3697" i="15"/>
  <c r="D3697" i="15"/>
  <c r="B3694" i="15"/>
  <c r="D3694" i="15"/>
  <c r="B3691" i="15"/>
  <c r="D3691" i="15"/>
  <c r="B3688" i="15"/>
  <c r="D3688" i="15"/>
  <c r="B3685" i="15"/>
  <c r="D3685" i="15"/>
  <c r="B3682" i="15"/>
  <c r="D3682" i="15"/>
  <c r="B3679" i="15"/>
  <c r="D3679" i="15"/>
  <c r="B3676" i="15"/>
  <c r="D3676" i="15"/>
  <c r="B3673" i="15"/>
  <c r="D3673" i="15"/>
  <c r="B3670" i="15"/>
  <c r="D3670" i="15"/>
  <c r="B3667" i="15"/>
  <c r="D3667" i="15"/>
  <c r="B3664" i="15"/>
  <c r="D3664" i="15"/>
  <c r="B3661" i="15"/>
  <c r="D3661" i="15"/>
  <c r="B3658" i="15"/>
  <c r="D3658" i="15"/>
  <c r="B3655" i="15"/>
  <c r="D3655" i="15"/>
  <c r="B3652" i="15"/>
  <c r="D3652" i="15"/>
  <c r="B3649" i="15"/>
  <c r="D3649" i="15"/>
  <c r="B3646" i="15"/>
  <c r="D3646" i="15"/>
  <c r="B3643" i="15"/>
  <c r="D3643" i="15"/>
  <c r="B3640" i="15"/>
  <c r="D3640" i="15"/>
  <c r="B3637" i="15"/>
  <c r="D3637" i="15"/>
  <c r="B3634" i="15"/>
  <c r="D3634" i="15"/>
  <c r="B3631" i="15"/>
  <c r="D3631" i="15"/>
  <c r="B3628" i="15"/>
  <c r="D3628" i="15"/>
  <c r="B3625" i="15"/>
  <c r="D3625" i="15"/>
  <c r="B3622" i="15"/>
  <c r="D3622" i="15"/>
  <c r="B3619" i="15"/>
  <c r="D3619" i="15"/>
  <c r="B3616" i="15"/>
  <c r="D3616" i="15"/>
  <c r="B3613" i="15"/>
  <c r="D3613" i="15"/>
  <c r="B3610" i="15"/>
  <c r="D3610" i="15"/>
  <c r="B3607" i="15"/>
  <c r="D3607" i="15"/>
  <c r="B3604" i="15"/>
  <c r="D3604" i="15"/>
  <c r="B3601" i="15"/>
  <c r="D3601" i="15"/>
  <c r="B3598" i="15"/>
  <c r="D3598" i="15"/>
  <c r="B3595" i="15"/>
  <c r="D3595" i="15"/>
  <c r="B3592" i="15"/>
  <c r="D3592" i="15"/>
  <c r="B3589" i="15"/>
  <c r="D3589" i="15"/>
  <c r="B3586" i="15"/>
  <c r="D3586" i="15"/>
  <c r="B3583" i="15"/>
  <c r="D3583" i="15"/>
  <c r="B3580" i="15"/>
  <c r="D3580" i="15"/>
  <c r="B3577" i="15"/>
  <c r="D3577" i="15"/>
  <c r="B3574" i="15"/>
  <c r="D3574" i="15"/>
  <c r="B3571" i="15"/>
  <c r="D3571" i="15"/>
  <c r="B3568" i="15"/>
  <c r="D3568" i="15"/>
  <c r="B3565" i="15"/>
  <c r="D3565" i="15"/>
  <c r="B3562" i="15"/>
  <c r="D3562" i="15"/>
  <c r="B3559" i="15"/>
  <c r="D3559" i="15"/>
  <c r="B3556" i="15"/>
  <c r="D3556" i="15"/>
  <c r="B3553" i="15"/>
  <c r="D3553" i="15"/>
  <c r="B3550" i="15"/>
  <c r="D3550" i="15"/>
  <c r="B3547" i="15"/>
  <c r="D3547" i="15"/>
  <c r="B3544" i="15"/>
  <c r="D3544" i="15"/>
  <c r="B3541" i="15"/>
  <c r="D3541" i="15"/>
  <c r="B3538" i="15"/>
  <c r="D3538" i="15"/>
  <c r="B3535" i="15"/>
  <c r="D3535" i="15"/>
  <c r="B3532" i="15"/>
  <c r="D3532" i="15"/>
  <c r="B3529" i="15"/>
  <c r="D3529" i="15"/>
  <c r="B3526" i="15"/>
  <c r="D3526" i="15"/>
  <c r="B3523" i="15"/>
  <c r="D3523" i="15"/>
  <c r="E3521" i="15"/>
  <c r="B3520" i="15"/>
  <c r="D3520" i="15"/>
  <c r="E3518" i="15"/>
  <c r="B3517" i="15"/>
  <c r="D3517" i="15"/>
  <c r="E3515" i="15"/>
  <c r="B3514" i="15"/>
  <c r="D3514" i="15"/>
  <c r="E3512" i="15"/>
  <c r="B3511" i="15"/>
  <c r="D3511" i="15"/>
  <c r="E3509" i="15"/>
  <c r="B3508" i="15"/>
  <c r="D3508" i="15"/>
  <c r="E3506" i="15"/>
  <c r="B3505" i="15"/>
  <c r="D3505" i="15"/>
  <c r="E3503" i="15"/>
  <c r="B3502" i="15"/>
  <c r="D3502" i="15"/>
  <c r="E3500" i="15"/>
  <c r="B3499" i="15"/>
  <c r="D3499" i="15"/>
  <c r="E3497" i="15"/>
  <c r="B3496" i="15"/>
  <c r="D3496" i="15"/>
  <c r="E3494" i="15"/>
  <c r="B3493" i="15"/>
  <c r="D3493" i="15"/>
  <c r="E3491" i="15"/>
  <c r="B3490" i="15"/>
  <c r="D3490" i="15"/>
  <c r="E3488" i="15"/>
  <c r="B3487" i="15"/>
  <c r="D3487" i="15"/>
  <c r="E3485" i="15"/>
  <c r="B3484" i="15"/>
  <c r="D3484" i="15"/>
  <c r="E3482" i="15"/>
  <c r="B3481" i="15"/>
  <c r="D3481" i="15"/>
  <c r="E3479" i="15"/>
  <c r="B3478" i="15"/>
  <c r="D3478" i="15"/>
  <c r="E3476" i="15"/>
  <c r="B3475" i="15"/>
  <c r="D3475" i="15"/>
  <c r="E3473" i="15"/>
  <c r="B3472" i="15"/>
  <c r="D3472" i="15"/>
  <c r="E3470" i="15"/>
  <c r="B3469" i="15"/>
  <c r="D3469" i="15"/>
  <c r="E3467" i="15"/>
  <c r="B3466" i="15"/>
  <c r="D3466" i="15"/>
  <c r="E3464" i="15"/>
  <c r="B3463" i="15"/>
  <c r="D3463" i="15"/>
  <c r="E3461" i="15"/>
  <c r="B3460" i="15"/>
  <c r="D3460" i="15"/>
  <c r="E3458" i="15"/>
  <c r="B3457" i="15"/>
  <c r="D3457" i="15"/>
  <c r="E3455" i="15"/>
  <c r="B3454" i="15"/>
  <c r="D3454" i="15"/>
  <c r="E3452" i="15"/>
  <c r="B3451" i="15"/>
  <c r="D3451" i="15"/>
  <c r="E3449" i="15"/>
  <c r="B3448" i="15"/>
  <c r="D3448" i="15"/>
  <c r="E3446" i="15"/>
  <c r="B3445" i="15"/>
  <c r="D3445" i="15"/>
  <c r="E3443" i="15"/>
  <c r="B3442" i="15"/>
  <c r="D3442" i="15"/>
  <c r="E3440" i="15"/>
  <c r="B3439" i="15"/>
  <c r="D3439" i="15"/>
  <c r="E3437" i="15"/>
  <c r="B3436" i="15"/>
  <c r="D3436" i="15"/>
  <c r="E3434" i="15"/>
  <c r="B3433" i="15"/>
  <c r="D3433" i="15"/>
  <c r="E3431" i="15"/>
  <c r="B3430" i="15"/>
  <c r="D3430" i="15"/>
  <c r="E3428" i="15"/>
  <c r="B3427" i="15"/>
  <c r="D3427" i="15"/>
  <c r="E3425" i="15"/>
  <c r="B3424" i="15"/>
  <c r="D3424" i="15"/>
  <c r="E3422" i="15"/>
  <c r="B3421" i="15"/>
  <c r="D3421" i="15"/>
  <c r="E3419" i="15"/>
  <c r="B3418" i="15"/>
  <c r="D3418" i="15"/>
  <c r="E3416" i="15"/>
  <c r="B3415" i="15"/>
  <c r="D3415" i="15"/>
  <c r="E3413" i="15"/>
  <c r="B3412" i="15"/>
  <c r="D3412" i="15"/>
  <c r="E3410" i="15"/>
  <c r="B3409" i="15"/>
  <c r="D3409" i="15"/>
  <c r="E3407" i="15"/>
  <c r="B3406" i="15"/>
  <c r="D3406" i="15"/>
  <c r="E3404" i="15"/>
  <c r="B3403" i="15"/>
  <c r="D3403" i="15"/>
  <c r="E3401" i="15"/>
  <c r="B3400" i="15"/>
  <c r="D3400" i="15"/>
  <c r="E3398" i="15"/>
  <c r="B3397" i="15"/>
  <c r="D3397" i="15"/>
  <c r="E3395" i="15"/>
  <c r="B3394" i="15"/>
  <c r="D3394" i="15"/>
  <c r="E3392" i="15"/>
  <c r="B3391" i="15"/>
  <c r="D3391" i="15"/>
  <c r="E3389" i="15"/>
  <c r="B3388" i="15"/>
  <c r="D3388" i="15"/>
  <c r="E3386" i="15"/>
  <c r="B3385" i="15"/>
  <c r="D3385" i="15"/>
  <c r="E3383" i="15"/>
  <c r="B3382" i="15"/>
  <c r="D3382" i="15"/>
  <c r="E3380" i="15"/>
  <c r="B3379" i="15"/>
  <c r="D3379" i="15"/>
  <c r="E3377" i="15"/>
  <c r="B3376" i="15"/>
  <c r="D3376" i="15"/>
  <c r="E3374" i="15"/>
  <c r="B3373" i="15"/>
  <c r="D3373" i="15"/>
  <c r="E3371" i="15"/>
  <c r="B3370" i="15"/>
  <c r="D3370" i="15"/>
  <c r="E3368" i="15"/>
  <c r="B3367" i="15"/>
  <c r="D3367" i="15"/>
  <c r="E3365" i="15"/>
  <c r="B3364" i="15"/>
  <c r="D3364" i="15"/>
  <c r="E3362" i="15"/>
  <c r="B3361" i="15"/>
  <c r="D3361" i="15"/>
  <c r="E3359" i="15"/>
  <c r="B3358" i="15"/>
  <c r="D3358" i="15"/>
  <c r="E3356" i="15"/>
  <c r="B3355" i="15"/>
  <c r="D3355" i="15"/>
  <c r="E3353" i="15"/>
  <c r="B3352" i="15"/>
  <c r="D3352" i="15"/>
  <c r="E3350" i="15"/>
  <c r="B3349" i="15"/>
  <c r="D3349" i="15"/>
  <c r="E3347" i="15"/>
  <c r="B3346" i="15"/>
  <c r="D3346" i="15"/>
  <c r="E3344" i="15"/>
  <c r="B3343" i="15"/>
  <c r="D3343" i="15"/>
  <c r="E3341" i="15"/>
  <c r="B3340" i="15"/>
  <c r="D3340" i="15"/>
  <c r="E3338" i="15"/>
  <c r="B3337" i="15"/>
  <c r="D3337" i="15"/>
  <c r="E3335" i="15"/>
  <c r="B3334" i="15"/>
  <c r="D3334" i="15"/>
  <c r="E3332" i="15"/>
  <c r="B3331" i="15"/>
  <c r="D3331" i="15"/>
  <c r="E3329" i="15"/>
  <c r="B3328" i="15"/>
  <c r="D3328" i="15"/>
  <c r="E3326" i="15"/>
  <c r="B3325" i="15"/>
  <c r="D3325" i="15"/>
  <c r="E3323" i="15"/>
  <c r="B3322" i="15"/>
  <c r="D3322" i="15"/>
  <c r="E3320" i="15"/>
  <c r="B3319" i="15"/>
  <c r="D3319" i="15"/>
  <c r="E3317" i="15"/>
  <c r="B3316" i="15"/>
  <c r="D3316" i="15"/>
  <c r="E3314" i="15"/>
  <c r="B3313" i="15"/>
  <c r="D3313" i="15"/>
  <c r="E3311" i="15"/>
  <c r="B3310" i="15"/>
  <c r="D3310" i="15"/>
  <c r="E3308" i="15"/>
  <c r="B3307" i="15"/>
  <c r="D3307" i="15"/>
  <c r="E3305" i="15"/>
  <c r="B3304" i="15"/>
  <c r="D3304" i="15"/>
  <c r="E3302" i="15"/>
  <c r="B3301" i="15"/>
  <c r="D3301" i="15"/>
  <c r="E3299" i="15"/>
  <c r="B3298" i="15"/>
  <c r="D3298" i="15"/>
  <c r="E3296" i="15"/>
  <c r="B3295" i="15"/>
  <c r="D3295" i="15"/>
  <c r="E3293" i="15"/>
  <c r="B3292" i="15"/>
  <c r="D3292" i="15"/>
  <c r="E3290" i="15"/>
  <c r="B3289" i="15"/>
  <c r="D3289" i="15"/>
  <c r="E3287" i="15"/>
  <c r="B3286" i="15"/>
  <c r="D3286" i="15"/>
  <c r="E3284" i="15"/>
  <c r="B3283" i="15"/>
  <c r="D3283" i="15"/>
  <c r="E3281" i="15"/>
  <c r="B3280" i="15"/>
  <c r="D3280" i="15"/>
  <c r="E3278" i="15"/>
  <c r="B3277" i="15"/>
  <c r="D3277" i="15"/>
  <c r="C3266" i="15"/>
  <c r="F3266" i="15" s="1"/>
  <c r="D3266" i="15"/>
  <c r="C3254" i="15"/>
  <c r="F3254" i="15" s="1"/>
  <c r="D3254" i="15"/>
  <c r="C3245" i="15"/>
  <c r="F3245" i="15" s="1"/>
  <c r="D3245" i="15"/>
  <c r="E3245" i="15"/>
  <c r="B3245" i="15"/>
  <c r="C3233" i="15"/>
  <c r="F3233" i="15" s="1"/>
  <c r="B3233" i="15"/>
  <c r="E3233" i="15"/>
  <c r="C3230" i="15"/>
  <c r="F3230" i="15" s="1"/>
  <c r="D3230" i="15"/>
  <c r="B3230" i="15"/>
  <c r="C3226" i="15"/>
  <c r="F3226" i="15" s="1"/>
  <c r="B3226" i="15"/>
  <c r="E3226" i="15"/>
  <c r="C3223" i="15"/>
  <c r="F3223" i="15" s="1"/>
  <c r="B3223" i="15"/>
  <c r="D3223" i="15"/>
  <c r="C3205" i="15"/>
  <c r="F3205" i="15" s="1"/>
  <c r="B3205" i="15"/>
  <c r="D3205" i="15"/>
  <c r="E3205" i="15"/>
  <c r="C3187" i="15"/>
  <c r="F3187" i="15" s="1"/>
  <c r="B3187" i="15"/>
  <c r="D3187" i="15"/>
  <c r="E3187" i="15"/>
  <c r="C3169" i="15"/>
  <c r="F3169" i="15" s="1"/>
  <c r="B3169" i="15"/>
  <c r="D3169" i="15"/>
  <c r="E3169" i="15"/>
  <c r="C3151" i="15"/>
  <c r="F3151" i="15" s="1"/>
  <c r="B3151" i="15"/>
  <c r="D3151" i="15"/>
  <c r="E3151" i="15"/>
  <c r="C3133" i="15"/>
  <c r="F3133" i="15" s="1"/>
  <c r="B3133" i="15"/>
  <c r="D3133" i="15"/>
  <c r="E3133" i="15"/>
  <c r="C3115" i="15"/>
  <c r="F3115" i="15" s="1"/>
  <c r="B3115" i="15"/>
  <c r="D3115" i="15"/>
  <c r="E3115" i="15"/>
  <c r="C3269" i="15"/>
  <c r="F3269" i="15" s="1"/>
  <c r="D3269" i="15"/>
  <c r="B3269" i="15"/>
  <c r="E3260" i="15"/>
  <c r="C3257" i="15"/>
  <c r="F3257" i="15" s="1"/>
  <c r="D3257" i="15"/>
  <c r="B3257" i="15"/>
  <c r="C3241" i="15"/>
  <c r="F3241" i="15" s="1"/>
  <c r="B3241" i="15"/>
  <c r="E3241" i="15"/>
  <c r="C3237" i="15"/>
  <c r="F3237" i="15" s="1"/>
  <c r="E3237" i="15"/>
  <c r="B3237" i="15"/>
  <c r="C3232" i="15"/>
  <c r="F3232" i="15" s="1"/>
  <c r="D3232" i="15"/>
  <c r="E3232" i="15"/>
  <c r="B3232" i="15"/>
  <c r="C3229" i="15"/>
  <c r="F3229" i="15" s="1"/>
  <c r="B3229" i="15"/>
  <c r="E3229" i="15"/>
  <c r="D3229" i="15"/>
  <c r="C3225" i="15"/>
  <c r="F3225" i="15" s="1"/>
  <c r="E3225" i="15"/>
  <c r="D3225" i="15"/>
  <c r="B3225" i="15"/>
  <c r="C3208" i="15"/>
  <c r="F3208" i="15" s="1"/>
  <c r="B3208" i="15"/>
  <c r="D3208" i="15"/>
  <c r="E3208" i="15"/>
  <c r="C3190" i="15"/>
  <c r="F3190" i="15" s="1"/>
  <c r="B3190" i="15"/>
  <c r="D3190" i="15"/>
  <c r="E3190" i="15"/>
  <c r="C3172" i="15"/>
  <c r="F3172" i="15" s="1"/>
  <c r="B3172" i="15"/>
  <c r="D3172" i="15"/>
  <c r="E3172" i="15"/>
  <c r="C3154" i="15"/>
  <c r="F3154" i="15" s="1"/>
  <c r="B3154" i="15"/>
  <c r="D3154" i="15"/>
  <c r="E3154" i="15"/>
  <c r="C3136" i="15"/>
  <c r="F3136" i="15" s="1"/>
  <c r="B3136" i="15"/>
  <c r="D3136" i="15"/>
  <c r="E3136" i="15"/>
  <c r="C3118" i="15"/>
  <c r="F3118" i="15" s="1"/>
  <c r="B3118" i="15"/>
  <c r="D3118" i="15"/>
  <c r="E3118" i="15"/>
  <c r="B3521" i="15"/>
  <c r="D3521" i="15"/>
  <c r="B3518" i="15"/>
  <c r="D3518" i="15"/>
  <c r="B3515" i="15"/>
  <c r="D3515" i="15"/>
  <c r="B3512" i="15"/>
  <c r="D3512" i="15"/>
  <c r="B3509" i="15"/>
  <c r="D3509" i="15"/>
  <c r="B3506" i="15"/>
  <c r="D3506" i="15"/>
  <c r="B3503" i="15"/>
  <c r="D3503" i="15"/>
  <c r="B3500" i="15"/>
  <c r="D3500" i="15"/>
  <c r="B3497" i="15"/>
  <c r="D3497" i="15"/>
  <c r="B3494" i="15"/>
  <c r="D3494" i="15"/>
  <c r="B3491" i="15"/>
  <c r="D3491" i="15"/>
  <c r="B3488" i="15"/>
  <c r="D3488" i="15"/>
  <c r="B3485" i="15"/>
  <c r="D3485" i="15"/>
  <c r="B3482" i="15"/>
  <c r="D3482" i="15"/>
  <c r="B3479" i="15"/>
  <c r="D3479" i="15"/>
  <c r="B3476" i="15"/>
  <c r="D3476" i="15"/>
  <c r="B3473" i="15"/>
  <c r="D3473" i="15"/>
  <c r="B3470" i="15"/>
  <c r="D3470" i="15"/>
  <c r="B3467" i="15"/>
  <c r="D3467" i="15"/>
  <c r="B3464" i="15"/>
  <c r="D3464" i="15"/>
  <c r="B3461" i="15"/>
  <c r="D3461" i="15"/>
  <c r="B3458" i="15"/>
  <c r="D3458" i="15"/>
  <c r="B3455" i="15"/>
  <c r="D3455" i="15"/>
  <c r="B3452" i="15"/>
  <c r="D3452" i="15"/>
  <c r="B3449" i="15"/>
  <c r="D3449" i="15"/>
  <c r="B3446" i="15"/>
  <c r="D3446" i="15"/>
  <c r="B3443" i="15"/>
  <c r="D3443" i="15"/>
  <c r="B3440" i="15"/>
  <c r="D3440" i="15"/>
  <c r="B3437" i="15"/>
  <c r="D3437" i="15"/>
  <c r="B3434" i="15"/>
  <c r="B10" i="21" s="1"/>
  <c r="D3434" i="15"/>
  <c r="I10" i="21" s="1"/>
  <c r="B3431" i="15"/>
  <c r="D3431" i="15"/>
  <c r="B3428" i="15"/>
  <c r="D3428" i="15"/>
  <c r="B3425" i="15"/>
  <c r="D3425" i="15"/>
  <c r="B3422" i="15"/>
  <c r="D3422" i="15"/>
  <c r="B3419" i="15"/>
  <c r="D3419" i="15"/>
  <c r="B3416" i="15"/>
  <c r="D3416" i="15"/>
  <c r="B3413" i="15"/>
  <c r="D3413" i="15"/>
  <c r="B3410" i="15"/>
  <c r="D3410" i="15"/>
  <c r="B3407" i="15"/>
  <c r="D3407" i="15"/>
  <c r="B3404" i="15"/>
  <c r="D3404" i="15"/>
  <c r="B3401" i="15"/>
  <c r="D3401" i="15"/>
  <c r="B3398" i="15"/>
  <c r="D3398" i="15"/>
  <c r="B3395" i="15"/>
  <c r="D3395" i="15"/>
  <c r="B3392" i="15"/>
  <c r="D3392" i="15"/>
  <c r="B3389" i="15"/>
  <c r="D3389" i="15"/>
  <c r="B3386" i="15"/>
  <c r="D3386" i="15"/>
  <c r="B3383" i="15"/>
  <c r="D3383" i="15"/>
  <c r="B3380" i="15"/>
  <c r="D3380" i="15"/>
  <c r="B3377" i="15"/>
  <c r="D3377" i="15"/>
  <c r="B3374" i="15"/>
  <c r="D3374" i="15"/>
  <c r="B3371" i="15"/>
  <c r="D3371" i="15"/>
  <c r="B3368" i="15"/>
  <c r="D3368" i="15"/>
  <c r="B3365" i="15"/>
  <c r="D3365" i="15"/>
  <c r="B3362" i="15"/>
  <c r="D3362" i="15"/>
  <c r="B3359" i="15"/>
  <c r="D3359" i="15"/>
  <c r="B3356" i="15"/>
  <c r="D3356" i="15"/>
  <c r="B3353" i="15"/>
  <c r="D3353" i="15"/>
  <c r="B3350" i="15"/>
  <c r="D3350" i="15"/>
  <c r="B3347" i="15"/>
  <c r="D3347" i="15"/>
  <c r="B3344" i="15"/>
  <c r="D3344" i="15"/>
  <c r="B3341" i="15"/>
  <c r="D3341" i="15"/>
  <c r="B3338" i="15"/>
  <c r="D3338" i="15"/>
  <c r="B3335" i="15"/>
  <c r="D3335" i="15"/>
  <c r="B3332" i="15"/>
  <c r="D3332" i="15"/>
  <c r="B3329" i="15"/>
  <c r="D3329" i="15"/>
  <c r="B3326" i="15"/>
  <c r="D3326" i="15"/>
  <c r="B3323" i="15"/>
  <c r="D3323" i="15"/>
  <c r="B3320" i="15"/>
  <c r="D3320" i="15"/>
  <c r="B3317" i="15"/>
  <c r="D3317" i="15"/>
  <c r="B3314" i="15"/>
  <c r="D3314" i="15"/>
  <c r="B3311" i="15"/>
  <c r="D3311" i="15"/>
  <c r="B3308" i="15"/>
  <c r="D3308" i="15"/>
  <c r="B3305" i="15"/>
  <c r="D3305" i="15"/>
  <c r="B3302" i="15"/>
  <c r="D3302" i="15"/>
  <c r="B3299" i="15"/>
  <c r="D3299" i="15"/>
  <c r="B3296" i="15"/>
  <c r="D3296" i="15"/>
  <c r="B3293" i="15"/>
  <c r="D3293" i="15"/>
  <c r="B3290" i="15"/>
  <c r="D3290" i="15"/>
  <c r="B3287" i="15"/>
  <c r="D3287" i="15"/>
  <c r="B3284" i="15"/>
  <c r="D3284" i="15"/>
  <c r="B3281" i="15"/>
  <c r="D3281" i="15"/>
  <c r="B3278" i="15"/>
  <c r="D3278" i="15"/>
  <c r="C3272" i="15"/>
  <c r="F3272" i="15" s="1"/>
  <c r="D3272" i="15"/>
  <c r="C3265" i="15"/>
  <c r="F3265" i="15" s="1"/>
  <c r="B3265" i="15"/>
  <c r="E3265" i="15"/>
  <c r="C3253" i="15"/>
  <c r="F3253" i="15" s="1"/>
  <c r="B3253" i="15"/>
  <c r="E3253" i="15"/>
  <c r="C3239" i="15"/>
  <c r="F3239" i="15" s="1"/>
  <c r="D3239" i="15"/>
  <c r="E3239" i="15"/>
  <c r="B3239" i="15"/>
  <c r="C3236" i="15"/>
  <c r="F3236" i="15" s="1"/>
  <c r="D3236" i="15"/>
  <c r="E3236" i="15"/>
  <c r="B3236" i="15"/>
  <c r="C3212" i="15"/>
  <c r="F3212" i="15" s="1"/>
  <c r="D3212" i="15"/>
  <c r="B3212" i="15"/>
  <c r="E3212" i="15"/>
  <c r="C3194" i="15"/>
  <c r="F3194" i="15" s="1"/>
  <c r="D3194" i="15"/>
  <c r="B3194" i="15"/>
  <c r="E3194" i="15"/>
  <c r="C3176" i="15"/>
  <c r="F3176" i="15" s="1"/>
  <c r="D3176" i="15"/>
  <c r="B3176" i="15"/>
  <c r="E3176" i="15"/>
  <c r="C3158" i="15"/>
  <c r="F3158" i="15" s="1"/>
  <c r="D3158" i="15"/>
  <c r="B3158" i="15"/>
  <c r="E3158" i="15"/>
  <c r="C3140" i="15"/>
  <c r="F3140" i="15" s="1"/>
  <c r="D3140" i="15"/>
  <c r="B3140" i="15"/>
  <c r="E3140" i="15"/>
  <c r="C3122" i="15"/>
  <c r="F3122" i="15" s="1"/>
  <c r="D3122" i="15"/>
  <c r="B3122" i="15"/>
  <c r="E3122" i="15"/>
  <c r="C3275" i="15"/>
  <c r="F3275" i="15" s="1"/>
  <c r="B3275" i="15"/>
  <c r="C3260" i="15"/>
  <c r="F3260" i="15" s="1"/>
  <c r="D3260" i="15"/>
  <c r="C3215" i="15"/>
  <c r="F3215" i="15" s="1"/>
  <c r="B3215" i="15"/>
  <c r="D3215" i="15"/>
  <c r="E3215" i="15"/>
  <c r="C3197" i="15"/>
  <c r="F3197" i="15" s="1"/>
  <c r="B3197" i="15"/>
  <c r="D3197" i="15"/>
  <c r="E3197" i="15"/>
  <c r="C3179" i="15"/>
  <c r="F3179" i="15" s="1"/>
  <c r="B3179" i="15"/>
  <c r="D3179" i="15"/>
  <c r="E3179" i="15"/>
  <c r="C3161" i="15"/>
  <c r="F3161" i="15" s="1"/>
  <c r="B3161" i="15"/>
  <c r="D3161" i="15"/>
  <c r="E3161" i="15"/>
  <c r="C3143" i="15"/>
  <c r="F3143" i="15" s="1"/>
  <c r="B3143" i="15"/>
  <c r="D3143" i="15"/>
  <c r="E3143" i="15"/>
  <c r="C3125" i="15"/>
  <c r="F3125" i="15" s="1"/>
  <c r="B3125" i="15"/>
  <c r="D3125" i="15"/>
  <c r="E3125" i="15"/>
  <c r="B3648" i="15"/>
  <c r="D3648" i="15"/>
  <c r="B3645" i="15"/>
  <c r="D3645" i="15"/>
  <c r="B3642" i="15"/>
  <c r="D3642" i="15"/>
  <c r="B3639" i="15"/>
  <c r="D3639" i="15"/>
  <c r="B3636" i="15"/>
  <c r="D3636" i="15"/>
  <c r="B3633" i="15"/>
  <c r="D3633" i="15"/>
  <c r="B3630" i="15"/>
  <c r="D3630" i="15"/>
  <c r="B3627" i="15"/>
  <c r="D3627" i="15"/>
  <c r="B3624" i="15"/>
  <c r="D3624" i="15"/>
  <c r="B3621" i="15"/>
  <c r="D3621" i="15"/>
  <c r="B3618" i="15"/>
  <c r="D3618" i="15"/>
  <c r="B3615" i="15"/>
  <c r="D3615" i="15"/>
  <c r="B3612" i="15"/>
  <c r="D3612" i="15"/>
  <c r="B3609" i="15"/>
  <c r="D3609" i="15"/>
  <c r="B3606" i="15"/>
  <c r="D3606" i="15"/>
  <c r="B3603" i="15"/>
  <c r="D3603" i="15"/>
  <c r="B3600" i="15"/>
  <c r="D3600" i="15"/>
  <c r="B3597" i="15"/>
  <c r="D3597" i="15"/>
  <c r="B3594" i="15"/>
  <c r="D3594" i="15"/>
  <c r="B3591" i="15"/>
  <c r="D3591" i="15"/>
  <c r="B3588" i="15"/>
  <c r="D3588" i="15"/>
  <c r="B3585" i="15"/>
  <c r="D3585" i="15"/>
  <c r="B3582" i="15"/>
  <c r="D3582" i="15"/>
  <c r="B3579" i="15"/>
  <c r="D3579" i="15"/>
  <c r="B3576" i="15"/>
  <c r="D3576" i="15"/>
  <c r="B3573" i="15"/>
  <c r="D3573" i="15"/>
  <c r="B3570" i="15"/>
  <c r="D3570" i="15"/>
  <c r="B3567" i="15"/>
  <c r="D3567" i="15"/>
  <c r="B3564" i="15"/>
  <c r="D3564" i="15"/>
  <c r="B3561" i="15"/>
  <c r="D3561" i="15"/>
  <c r="B3558" i="15"/>
  <c r="D3558" i="15"/>
  <c r="B3555" i="15"/>
  <c r="D3555" i="15"/>
  <c r="B3552" i="15"/>
  <c r="D3552" i="15"/>
  <c r="B3549" i="15"/>
  <c r="D3549" i="15"/>
  <c r="B3546" i="15"/>
  <c r="D3546" i="15"/>
  <c r="B3543" i="15"/>
  <c r="D3543" i="15"/>
  <c r="B3540" i="15"/>
  <c r="D3540" i="15"/>
  <c r="B3537" i="15"/>
  <c r="D3537" i="15"/>
  <c r="B3534" i="15"/>
  <c r="D3534" i="15"/>
  <c r="B3531" i="15"/>
  <c r="D3531" i="15"/>
  <c r="B3528" i="15"/>
  <c r="D3528" i="15"/>
  <c r="B3525" i="15"/>
  <c r="D3525" i="15"/>
  <c r="B3522" i="15"/>
  <c r="D3522" i="15"/>
  <c r="B3519" i="15"/>
  <c r="D3519" i="15"/>
  <c r="B3516" i="15"/>
  <c r="D3516" i="15"/>
  <c r="B3513" i="15"/>
  <c r="D3513" i="15"/>
  <c r="B3510" i="15"/>
  <c r="D3510" i="15"/>
  <c r="B3507" i="15"/>
  <c r="D3507" i="15"/>
  <c r="B3504" i="15"/>
  <c r="D3504" i="15"/>
  <c r="B3501" i="15"/>
  <c r="D3501" i="15"/>
  <c r="B3498" i="15"/>
  <c r="D3498" i="15"/>
  <c r="B3495" i="15"/>
  <c r="D3495" i="15"/>
  <c r="B3492" i="15"/>
  <c r="D3492" i="15"/>
  <c r="B3489" i="15"/>
  <c r="D3489" i="15"/>
  <c r="B3486" i="15"/>
  <c r="D3486" i="15"/>
  <c r="B3483" i="15"/>
  <c r="D3483" i="15"/>
  <c r="B3480" i="15"/>
  <c r="D3480" i="15"/>
  <c r="B3477" i="15"/>
  <c r="D3477" i="15"/>
  <c r="B3474" i="15"/>
  <c r="D3474" i="15"/>
  <c r="B3471" i="15"/>
  <c r="D3471" i="15"/>
  <c r="B3468" i="15"/>
  <c r="B20" i="33" s="1"/>
  <c r="D3468" i="15"/>
  <c r="B3465" i="15"/>
  <c r="D3465" i="15"/>
  <c r="B3462" i="15"/>
  <c r="D3462" i="15"/>
  <c r="B3459" i="15"/>
  <c r="D3459" i="15"/>
  <c r="B3456" i="15"/>
  <c r="D3456" i="15"/>
  <c r="B3453" i="15"/>
  <c r="D3453" i="15"/>
  <c r="B3450" i="15"/>
  <c r="D3450" i="15"/>
  <c r="B3447" i="15"/>
  <c r="D3447" i="15"/>
  <c r="B3444" i="15"/>
  <c r="D3444" i="15"/>
  <c r="B3441" i="15"/>
  <c r="D3441" i="15"/>
  <c r="B3438" i="15"/>
  <c r="D3438" i="15"/>
  <c r="B3435" i="15"/>
  <c r="D3435" i="15"/>
  <c r="B3432" i="15"/>
  <c r="D3432" i="15"/>
  <c r="E3430" i="15"/>
  <c r="B3429" i="15"/>
  <c r="D3429" i="15"/>
  <c r="E3427" i="15"/>
  <c r="B3426" i="15"/>
  <c r="D3426" i="15"/>
  <c r="E3424" i="15"/>
  <c r="B3423" i="15"/>
  <c r="D3423" i="15"/>
  <c r="E3421" i="15"/>
  <c r="B3420" i="15"/>
  <c r="D3420" i="15"/>
  <c r="E3418" i="15"/>
  <c r="B3417" i="15"/>
  <c r="D3417" i="15"/>
  <c r="E3415" i="15"/>
  <c r="B3414" i="15"/>
  <c r="D3414" i="15"/>
  <c r="E3412" i="15"/>
  <c r="B3411" i="15"/>
  <c r="D3411" i="15"/>
  <c r="E3409" i="15"/>
  <c r="B3408" i="15"/>
  <c r="D3408" i="15"/>
  <c r="E3406" i="15"/>
  <c r="B3405" i="15"/>
  <c r="D3405" i="15"/>
  <c r="E3403" i="15"/>
  <c r="B3402" i="15"/>
  <c r="D3402" i="15"/>
  <c r="E3400" i="15"/>
  <c r="B3399" i="15"/>
  <c r="D3399" i="15"/>
  <c r="E3397" i="15"/>
  <c r="B3396" i="15"/>
  <c r="D3396" i="15"/>
  <c r="E3394" i="15"/>
  <c r="B3393" i="15"/>
  <c r="D3393" i="15"/>
  <c r="E3391" i="15"/>
  <c r="B3390" i="15"/>
  <c r="D3390" i="15"/>
  <c r="E3388" i="15"/>
  <c r="B3387" i="15"/>
  <c r="D3387" i="15"/>
  <c r="E3385" i="15"/>
  <c r="B3384" i="15"/>
  <c r="D3384" i="15"/>
  <c r="E3382" i="15"/>
  <c r="B3381" i="15"/>
  <c r="D3381" i="15"/>
  <c r="E3379" i="15"/>
  <c r="B3378" i="15"/>
  <c r="D3378" i="15"/>
  <c r="E3376" i="15"/>
  <c r="B3375" i="15"/>
  <c r="D3375" i="15"/>
  <c r="E3373" i="15"/>
  <c r="B3372" i="15"/>
  <c r="D3372" i="15"/>
  <c r="E3370" i="15"/>
  <c r="B3369" i="15"/>
  <c r="D3369" i="15"/>
  <c r="E3367" i="15"/>
  <c r="B3366" i="15"/>
  <c r="D3366" i="15"/>
  <c r="E3364" i="15"/>
  <c r="B3363" i="15"/>
  <c r="D3363" i="15"/>
  <c r="E3361" i="15"/>
  <c r="B3360" i="15"/>
  <c r="D3360" i="15"/>
  <c r="E3358" i="15"/>
  <c r="B3357" i="15"/>
  <c r="D3357" i="15"/>
  <c r="E3355" i="15"/>
  <c r="B3354" i="15"/>
  <c r="D3354" i="15"/>
  <c r="E3352" i="15"/>
  <c r="B3351" i="15"/>
  <c r="D3351" i="15"/>
  <c r="E3349" i="15"/>
  <c r="B3348" i="15"/>
  <c r="D3348" i="15"/>
  <c r="E3346" i="15"/>
  <c r="B3345" i="15"/>
  <c r="D3345" i="15"/>
  <c r="E3343" i="15"/>
  <c r="B3342" i="15"/>
  <c r="D3342" i="15"/>
  <c r="E3340" i="15"/>
  <c r="B3339" i="15"/>
  <c r="D3339" i="15"/>
  <c r="E3337" i="15"/>
  <c r="B3336" i="15"/>
  <c r="D3336" i="15"/>
  <c r="E3334" i="15"/>
  <c r="B3333" i="15"/>
  <c r="D3333" i="15"/>
  <c r="E3331" i="15"/>
  <c r="B3330" i="15"/>
  <c r="D3330" i="15"/>
  <c r="E3328" i="15"/>
  <c r="B3327" i="15"/>
  <c r="D3327" i="15"/>
  <c r="E3325" i="15"/>
  <c r="B3324" i="15"/>
  <c r="D3324" i="15"/>
  <c r="E3322" i="15"/>
  <c r="B3321" i="15"/>
  <c r="D3321" i="15"/>
  <c r="E3319" i="15"/>
  <c r="B3318" i="15"/>
  <c r="D3318" i="15"/>
  <c r="E3316" i="15"/>
  <c r="B3315" i="15"/>
  <c r="D3315" i="15"/>
  <c r="E3313" i="15"/>
  <c r="B3312" i="15"/>
  <c r="D3312" i="15"/>
  <c r="E3310" i="15"/>
  <c r="B3309" i="15"/>
  <c r="D3309" i="15"/>
  <c r="E3307" i="15"/>
  <c r="B3306" i="15"/>
  <c r="D3306" i="15"/>
  <c r="E3304" i="15"/>
  <c r="B3303" i="15"/>
  <c r="D3303" i="15"/>
  <c r="E3301" i="15"/>
  <c r="B3300" i="15"/>
  <c r="D3300" i="15"/>
  <c r="E3298" i="15"/>
  <c r="B3297" i="15"/>
  <c r="D3297" i="15"/>
  <c r="E3295" i="15"/>
  <c r="B3294" i="15"/>
  <c r="D3294" i="15"/>
  <c r="E3292" i="15"/>
  <c r="B3291" i="15"/>
  <c r="D3291" i="15"/>
  <c r="E3289" i="15"/>
  <c r="B3288" i="15"/>
  <c r="D3288" i="15"/>
  <c r="E3286" i="15"/>
  <c r="B3285" i="15"/>
  <c r="D3285" i="15"/>
  <c r="E3283" i="15"/>
  <c r="B3282" i="15"/>
  <c r="D3282" i="15"/>
  <c r="E3280" i="15"/>
  <c r="B3279" i="15"/>
  <c r="D3279" i="15"/>
  <c r="E3277" i="15"/>
  <c r="E3266" i="15"/>
  <c r="C3263" i="15"/>
  <c r="F3263" i="15" s="1"/>
  <c r="D3263" i="15"/>
  <c r="B3263" i="15"/>
  <c r="E3254" i="15"/>
  <c r="C3251" i="15"/>
  <c r="F3251" i="15" s="1"/>
  <c r="D3251" i="15"/>
  <c r="B3251" i="15"/>
  <c r="B3221" i="15"/>
  <c r="B3214" i="15"/>
  <c r="B3203" i="15"/>
  <c r="B3196" i="15"/>
  <c r="B3185" i="15"/>
  <c r="B3178" i="15"/>
  <c r="B3167" i="15"/>
  <c r="B3160" i="15"/>
  <c r="B3149" i="15"/>
  <c r="B3142" i="15"/>
  <c r="B3131" i="15"/>
  <c r="B3124" i="15"/>
  <c r="B3113" i="15"/>
  <c r="E3107" i="15"/>
  <c r="B3106" i="15"/>
  <c r="E3100" i="15"/>
  <c r="B3095" i="15"/>
  <c r="E3089" i="15"/>
  <c r="B3088" i="15"/>
  <c r="E3082" i="15"/>
  <c r="B3077" i="15"/>
  <c r="E3071" i="15"/>
  <c r="C3056" i="15"/>
  <c r="F3056" i="15" s="1"/>
  <c r="D3056" i="15"/>
  <c r="C3053" i="15"/>
  <c r="F3053" i="15" s="1"/>
  <c r="B3053" i="15"/>
  <c r="C3039" i="15"/>
  <c r="F3039" i="15" s="1"/>
  <c r="E3039" i="15"/>
  <c r="C3037" i="15"/>
  <c r="F3037" i="15" s="1"/>
  <c r="B3037" i="15"/>
  <c r="E3037" i="15"/>
  <c r="C3023" i="15"/>
  <c r="F3023" i="15" s="1"/>
  <c r="B3023" i="15"/>
  <c r="E3023" i="15"/>
  <c r="C3011" i="15"/>
  <c r="F3011" i="15" s="1"/>
  <c r="B3011" i="15"/>
  <c r="E3011" i="15"/>
  <c r="C2999" i="15"/>
  <c r="F2999" i="15" s="1"/>
  <c r="B2999" i="15"/>
  <c r="E2999" i="15"/>
  <c r="C2975" i="15"/>
  <c r="F2975" i="15" s="1"/>
  <c r="B2975" i="15"/>
  <c r="E2975" i="15"/>
  <c r="C2973" i="15"/>
  <c r="F2973" i="15" s="1"/>
  <c r="D2973" i="15"/>
  <c r="E2973" i="15"/>
  <c r="B2973" i="15"/>
  <c r="E2961" i="15"/>
  <c r="C2961" i="15"/>
  <c r="F2961" i="15" s="1"/>
  <c r="D2961" i="15"/>
  <c r="B2961" i="15"/>
  <c r="E2943" i="15"/>
  <c r="C2943" i="15"/>
  <c r="F2943" i="15" s="1"/>
  <c r="D2943" i="15"/>
  <c r="B2943" i="15"/>
  <c r="E2925" i="15"/>
  <c r="C2925" i="15"/>
  <c r="F2925" i="15" s="1"/>
  <c r="D2925" i="15"/>
  <c r="B2925" i="15"/>
  <c r="E2907" i="15"/>
  <c r="C2907" i="15"/>
  <c r="F2907" i="15" s="1"/>
  <c r="D2907" i="15"/>
  <c r="B2907" i="15"/>
  <c r="E2889" i="15"/>
  <c r="C2889" i="15"/>
  <c r="F2889" i="15" s="1"/>
  <c r="D2889" i="15"/>
  <c r="B2889" i="15"/>
  <c r="E2871" i="15"/>
  <c r="C2871" i="15"/>
  <c r="F2871" i="15" s="1"/>
  <c r="D2871" i="15"/>
  <c r="B2871" i="15"/>
  <c r="E2853" i="15"/>
  <c r="C2853" i="15"/>
  <c r="F2853" i="15" s="1"/>
  <c r="D2853" i="15"/>
  <c r="B2853" i="15"/>
  <c r="E2835" i="15"/>
  <c r="C2835" i="15"/>
  <c r="F2835" i="15" s="1"/>
  <c r="D2835" i="15"/>
  <c r="B2835" i="15"/>
  <c r="C3218" i="15"/>
  <c r="F3218" i="15" s="1"/>
  <c r="D3218" i="15"/>
  <c r="C3211" i="15"/>
  <c r="F3211" i="15" s="1"/>
  <c r="B3211" i="15"/>
  <c r="C3207" i="15"/>
  <c r="F3207" i="15" s="1"/>
  <c r="E3207" i="15"/>
  <c r="C3200" i="15"/>
  <c r="F3200" i="15" s="1"/>
  <c r="D3200" i="15"/>
  <c r="C3193" i="15"/>
  <c r="F3193" i="15" s="1"/>
  <c r="B3193" i="15"/>
  <c r="C3189" i="15"/>
  <c r="F3189" i="15" s="1"/>
  <c r="E3189" i="15"/>
  <c r="C3182" i="15"/>
  <c r="F3182" i="15" s="1"/>
  <c r="D3182" i="15"/>
  <c r="C3175" i="15"/>
  <c r="F3175" i="15" s="1"/>
  <c r="B3175" i="15"/>
  <c r="C3171" i="15"/>
  <c r="F3171" i="15" s="1"/>
  <c r="E3171" i="15"/>
  <c r="C3164" i="15"/>
  <c r="F3164" i="15" s="1"/>
  <c r="D3164" i="15"/>
  <c r="C3157" i="15"/>
  <c r="F3157" i="15" s="1"/>
  <c r="B3157" i="15"/>
  <c r="C3153" i="15"/>
  <c r="F3153" i="15" s="1"/>
  <c r="E3153" i="15"/>
  <c r="C3146" i="15"/>
  <c r="F3146" i="15" s="1"/>
  <c r="D3146" i="15"/>
  <c r="C3139" i="15"/>
  <c r="F3139" i="15" s="1"/>
  <c r="B3139" i="15"/>
  <c r="C3135" i="15"/>
  <c r="F3135" i="15" s="1"/>
  <c r="E3135" i="15"/>
  <c r="C3128" i="15"/>
  <c r="F3128" i="15" s="1"/>
  <c r="D3128" i="15"/>
  <c r="C3121" i="15"/>
  <c r="F3121" i="15" s="1"/>
  <c r="B3121" i="15"/>
  <c r="C3117" i="15"/>
  <c r="F3117" i="15" s="1"/>
  <c r="E3117" i="15"/>
  <c r="D3111" i="15"/>
  <c r="C3110" i="15"/>
  <c r="F3110" i="15" s="1"/>
  <c r="D3110" i="15"/>
  <c r="D3107" i="15"/>
  <c r="E3104" i="15"/>
  <c r="C3103" i="15"/>
  <c r="F3103" i="15" s="1"/>
  <c r="B3103" i="15"/>
  <c r="D3100" i="15"/>
  <c r="C3099" i="15"/>
  <c r="F3099" i="15" s="1"/>
  <c r="E3099" i="15"/>
  <c r="E3097" i="15"/>
  <c r="D3093" i="15"/>
  <c r="C3092" i="15"/>
  <c r="F3092" i="15" s="1"/>
  <c r="D3092" i="15"/>
  <c r="D3089" i="15"/>
  <c r="E3086" i="15"/>
  <c r="C3085" i="15"/>
  <c r="F3085" i="15" s="1"/>
  <c r="B3085" i="15"/>
  <c r="D3082" i="15"/>
  <c r="C3081" i="15"/>
  <c r="F3081" i="15" s="1"/>
  <c r="E3081" i="15"/>
  <c r="E3079" i="15"/>
  <c r="D3075" i="15"/>
  <c r="C3074" i="15"/>
  <c r="F3074" i="15" s="1"/>
  <c r="D3074" i="15"/>
  <c r="D3071" i="15"/>
  <c r="C3062" i="15"/>
  <c r="F3062" i="15" s="1"/>
  <c r="D3062" i="15"/>
  <c r="C3059" i="15"/>
  <c r="F3059" i="15" s="1"/>
  <c r="B3059" i="15"/>
  <c r="D3057" i="15"/>
  <c r="C3045" i="15"/>
  <c r="F3045" i="15" s="1"/>
  <c r="E3045" i="15"/>
  <c r="C3043" i="15"/>
  <c r="F3043" i="15" s="1"/>
  <c r="B3043" i="15"/>
  <c r="E3043" i="15"/>
  <c r="E3038" i="15"/>
  <c r="E3035" i="15"/>
  <c r="C3026" i="15"/>
  <c r="F3026" i="15" s="1"/>
  <c r="D3026" i="15"/>
  <c r="C3021" i="15"/>
  <c r="F3021" i="15" s="1"/>
  <c r="E3021" i="15"/>
  <c r="B3021" i="15"/>
  <c r="C3019" i="15"/>
  <c r="F3019" i="15" s="1"/>
  <c r="B3019" i="15"/>
  <c r="E3019" i="15"/>
  <c r="C3009" i="15"/>
  <c r="F3009" i="15" s="1"/>
  <c r="E3009" i="15"/>
  <c r="B3009" i="15"/>
  <c r="C3007" i="15"/>
  <c r="F3007" i="15" s="1"/>
  <c r="B3007" i="15"/>
  <c r="E3007" i="15"/>
  <c r="C2997" i="15"/>
  <c r="F2997" i="15" s="1"/>
  <c r="E2997" i="15"/>
  <c r="B2997" i="15"/>
  <c r="C2995" i="15"/>
  <c r="F2995" i="15" s="1"/>
  <c r="B2995" i="15"/>
  <c r="E2995" i="15"/>
  <c r="D2966" i="15"/>
  <c r="B2966" i="15"/>
  <c r="E2966" i="15"/>
  <c r="D2948" i="15"/>
  <c r="B2948" i="15"/>
  <c r="E2948" i="15"/>
  <c r="D2930" i="15"/>
  <c r="B2930" i="15"/>
  <c r="E2930" i="15"/>
  <c r="D2912" i="15"/>
  <c r="B2912" i="15"/>
  <c r="E2912" i="15"/>
  <c r="D2894" i="15"/>
  <c r="B2894" i="15"/>
  <c r="E2894" i="15"/>
  <c r="D2876" i="15"/>
  <c r="B2876" i="15"/>
  <c r="E2876" i="15"/>
  <c r="D2858" i="15"/>
  <c r="B2858" i="15"/>
  <c r="E2858" i="15"/>
  <c r="D2840" i="15"/>
  <c r="B2840" i="15"/>
  <c r="E2840" i="15"/>
  <c r="E3267" i="15"/>
  <c r="E3261" i="15"/>
  <c r="E3255" i="15"/>
  <c r="E3249" i="15"/>
  <c r="D3248" i="15"/>
  <c r="E3243" i="15"/>
  <c r="D3242" i="15"/>
  <c r="E3238" i="15"/>
  <c r="E3227" i="15"/>
  <c r="E3220" i="15"/>
  <c r="E3209" i="15"/>
  <c r="E3202" i="15"/>
  <c r="E3191" i="15"/>
  <c r="E3184" i="15"/>
  <c r="E3173" i="15"/>
  <c r="E3166" i="15"/>
  <c r="E3155" i="15"/>
  <c r="E3148" i="15"/>
  <c r="E3137" i="15"/>
  <c r="E3130" i="15"/>
  <c r="E3119" i="15"/>
  <c r="E3112" i="15"/>
  <c r="B3107" i="15"/>
  <c r="E3101" i="15"/>
  <c r="B3100" i="15"/>
  <c r="E3094" i="15"/>
  <c r="B3089" i="15"/>
  <c r="E3083" i="15"/>
  <c r="B3082" i="15"/>
  <c r="E3076" i="15"/>
  <c r="B3071" i="15"/>
  <c r="C3068" i="15"/>
  <c r="F3068" i="15" s="1"/>
  <c r="D3068" i="15"/>
  <c r="C3065" i="15"/>
  <c r="F3065" i="15" s="1"/>
  <c r="B3065" i="15"/>
  <c r="C3051" i="15"/>
  <c r="F3051" i="15" s="1"/>
  <c r="E3051" i="15"/>
  <c r="C3049" i="15"/>
  <c r="F3049" i="15" s="1"/>
  <c r="B3049" i="15"/>
  <c r="E3049" i="15"/>
  <c r="C3032" i="15"/>
  <c r="F3032" i="15" s="1"/>
  <c r="D3032" i="15"/>
  <c r="C3029" i="15"/>
  <c r="F3029" i="15" s="1"/>
  <c r="B3029" i="15"/>
  <c r="B2970" i="15"/>
  <c r="C2970" i="15"/>
  <c r="F2970" i="15" s="1"/>
  <c r="E2970" i="15"/>
  <c r="C2965" i="15"/>
  <c r="F2965" i="15" s="1"/>
  <c r="D2965" i="15"/>
  <c r="E2965" i="15"/>
  <c r="B2965" i="15"/>
  <c r="B2952" i="15"/>
  <c r="C2952" i="15"/>
  <c r="F2952" i="15" s="1"/>
  <c r="E2952" i="15"/>
  <c r="C2947" i="15"/>
  <c r="F2947" i="15" s="1"/>
  <c r="D2947" i="15"/>
  <c r="E2947" i="15"/>
  <c r="B2947" i="15"/>
  <c r="B2934" i="15"/>
  <c r="C2934" i="15"/>
  <c r="F2934" i="15" s="1"/>
  <c r="E2934" i="15"/>
  <c r="C2929" i="15"/>
  <c r="F2929" i="15" s="1"/>
  <c r="D2929" i="15"/>
  <c r="E2929" i="15"/>
  <c r="B2929" i="15"/>
  <c r="B2916" i="15"/>
  <c r="C2916" i="15"/>
  <c r="F2916" i="15" s="1"/>
  <c r="E2916" i="15"/>
  <c r="C2911" i="15"/>
  <c r="F2911" i="15" s="1"/>
  <c r="D2911" i="15"/>
  <c r="E2911" i="15"/>
  <c r="B2911" i="15"/>
  <c r="B2898" i="15"/>
  <c r="C2898" i="15"/>
  <c r="F2898" i="15" s="1"/>
  <c r="E2898" i="15"/>
  <c r="C2893" i="15"/>
  <c r="F2893" i="15" s="1"/>
  <c r="D2893" i="15"/>
  <c r="E2893" i="15"/>
  <c r="B2893" i="15"/>
  <c r="B2880" i="15"/>
  <c r="C2880" i="15"/>
  <c r="F2880" i="15" s="1"/>
  <c r="E2880" i="15"/>
  <c r="C2875" i="15"/>
  <c r="F2875" i="15" s="1"/>
  <c r="D2875" i="15"/>
  <c r="E2875" i="15"/>
  <c r="B2875" i="15"/>
  <c r="B2862" i="15"/>
  <c r="C2862" i="15"/>
  <c r="F2862" i="15" s="1"/>
  <c r="E2862" i="15"/>
  <c r="C2857" i="15"/>
  <c r="F2857" i="15" s="1"/>
  <c r="D2857" i="15"/>
  <c r="E2857" i="15"/>
  <c r="B2857" i="15"/>
  <c r="B2844" i="15"/>
  <c r="C2844" i="15"/>
  <c r="F2844" i="15" s="1"/>
  <c r="E2844" i="15"/>
  <c r="C2839" i="15"/>
  <c r="F2839" i="15" s="1"/>
  <c r="D2839" i="15"/>
  <c r="E2839" i="15"/>
  <c r="B2839" i="15"/>
  <c r="C3111" i="15"/>
  <c r="F3111" i="15" s="1"/>
  <c r="E3111" i="15"/>
  <c r="C3104" i="15"/>
  <c r="F3104" i="15" s="1"/>
  <c r="D3104" i="15"/>
  <c r="C3097" i="15"/>
  <c r="F3097" i="15" s="1"/>
  <c r="B3097" i="15"/>
  <c r="C3093" i="15"/>
  <c r="F3093" i="15" s="1"/>
  <c r="E3093" i="15"/>
  <c r="C3086" i="15"/>
  <c r="F3086" i="15" s="1"/>
  <c r="D3086" i="15"/>
  <c r="C3079" i="15"/>
  <c r="F3079" i="15" s="1"/>
  <c r="B3079" i="15"/>
  <c r="C3075" i="15"/>
  <c r="F3075" i="15" s="1"/>
  <c r="E3075" i="15"/>
  <c r="C3057" i="15"/>
  <c r="F3057" i="15" s="1"/>
  <c r="E3057" i="15"/>
  <c r="C3055" i="15"/>
  <c r="F3055" i="15" s="1"/>
  <c r="B3055" i="15"/>
  <c r="E3055" i="15"/>
  <c r="C3038" i="15"/>
  <c r="F3038" i="15" s="1"/>
  <c r="D3038" i="15"/>
  <c r="C3035" i="15"/>
  <c r="F3035" i="15" s="1"/>
  <c r="B3035" i="15"/>
  <c r="C3017" i="15"/>
  <c r="F3017" i="15" s="1"/>
  <c r="B3017" i="15"/>
  <c r="E3017" i="15"/>
  <c r="C3005" i="15"/>
  <c r="F3005" i="15" s="1"/>
  <c r="B3005" i="15"/>
  <c r="E3005" i="15"/>
  <c r="C2993" i="15"/>
  <c r="F2993" i="15" s="1"/>
  <c r="B2993" i="15"/>
  <c r="E2993" i="15"/>
  <c r="C2991" i="15"/>
  <c r="F2991" i="15" s="1"/>
  <c r="D2991" i="15"/>
  <c r="E2991" i="15"/>
  <c r="B2991" i="15"/>
  <c r="C2968" i="15"/>
  <c r="F2968" i="15" s="1"/>
  <c r="D2968" i="15"/>
  <c r="B2968" i="15"/>
  <c r="E2955" i="15"/>
  <c r="B2955" i="15"/>
  <c r="D2955" i="15"/>
  <c r="C2950" i="15"/>
  <c r="F2950" i="15" s="1"/>
  <c r="D2950" i="15"/>
  <c r="B2950" i="15"/>
  <c r="E2937" i="15"/>
  <c r="B2937" i="15"/>
  <c r="D2937" i="15"/>
  <c r="C2932" i="15"/>
  <c r="F2932" i="15" s="1"/>
  <c r="D2932" i="15"/>
  <c r="B2932" i="15"/>
  <c r="E2919" i="15"/>
  <c r="B2919" i="15"/>
  <c r="D2919" i="15"/>
  <c r="C2914" i="15"/>
  <c r="F2914" i="15" s="1"/>
  <c r="D2914" i="15"/>
  <c r="B2914" i="15"/>
  <c r="E2901" i="15"/>
  <c r="B2901" i="15"/>
  <c r="D2901" i="15"/>
  <c r="C2896" i="15"/>
  <c r="F2896" i="15" s="1"/>
  <c r="D2896" i="15"/>
  <c r="B2896" i="15"/>
  <c r="E2883" i="15"/>
  <c r="B2883" i="15"/>
  <c r="D2883" i="15"/>
  <c r="C2878" i="15"/>
  <c r="F2878" i="15" s="1"/>
  <c r="D2878" i="15"/>
  <c r="B2878" i="15"/>
  <c r="E2865" i="15"/>
  <c r="B2865" i="15"/>
  <c r="D2865" i="15"/>
  <c r="C2860" i="15"/>
  <c r="F2860" i="15" s="1"/>
  <c r="D2860" i="15"/>
  <c r="B2860" i="15"/>
  <c r="E2847" i="15"/>
  <c r="B2847" i="15"/>
  <c r="D2847" i="15"/>
  <c r="C2842" i="15"/>
  <c r="F2842" i="15" s="1"/>
  <c r="D2842" i="15"/>
  <c r="B2842" i="15"/>
  <c r="E3221" i="15"/>
  <c r="E3214" i="15"/>
  <c r="E3203" i="15"/>
  <c r="E3196" i="15"/>
  <c r="E3185" i="15"/>
  <c r="E3178" i="15"/>
  <c r="E3167" i="15"/>
  <c r="E3160" i="15"/>
  <c r="E3149" i="15"/>
  <c r="E3142" i="15"/>
  <c r="E3131" i="15"/>
  <c r="E3124" i="15"/>
  <c r="E3113" i="15"/>
  <c r="E3106" i="15"/>
  <c r="E3095" i="15"/>
  <c r="E3088" i="15"/>
  <c r="E3077" i="15"/>
  <c r="C3063" i="15"/>
  <c r="F3063" i="15" s="1"/>
  <c r="E3063" i="15"/>
  <c r="C3061" i="15"/>
  <c r="F3061" i="15" s="1"/>
  <c r="B3061" i="15"/>
  <c r="E3061" i="15"/>
  <c r="C3044" i="15"/>
  <c r="F3044" i="15" s="1"/>
  <c r="D3044" i="15"/>
  <c r="C3041" i="15"/>
  <c r="F3041" i="15" s="1"/>
  <c r="B3041" i="15"/>
  <c r="C3027" i="15"/>
  <c r="F3027" i="15" s="1"/>
  <c r="E3027" i="15"/>
  <c r="C3025" i="15"/>
  <c r="F3025" i="15" s="1"/>
  <c r="B3025" i="15"/>
  <c r="E3025" i="15"/>
  <c r="C3015" i="15"/>
  <c r="F3015" i="15" s="1"/>
  <c r="E3015" i="15"/>
  <c r="B3015" i="15"/>
  <c r="C3013" i="15"/>
  <c r="F3013" i="15" s="1"/>
  <c r="B3013" i="15"/>
  <c r="E3013" i="15"/>
  <c r="C3003" i="15"/>
  <c r="F3003" i="15" s="1"/>
  <c r="E3003" i="15"/>
  <c r="B3003" i="15"/>
  <c r="C3001" i="15"/>
  <c r="F3001" i="15" s="1"/>
  <c r="B3001" i="15"/>
  <c r="E3001" i="15"/>
  <c r="C2987" i="15"/>
  <c r="F2987" i="15" s="1"/>
  <c r="B2987" i="15"/>
  <c r="E2987" i="15"/>
  <c r="C2985" i="15"/>
  <c r="F2985" i="15" s="1"/>
  <c r="D2985" i="15"/>
  <c r="E2985" i="15"/>
  <c r="B2985" i="15"/>
  <c r="C2959" i="15"/>
  <c r="F2959" i="15" s="1"/>
  <c r="B2959" i="15"/>
  <c r="E2959" i="15"/>
  <c r="D2954" i="15"/>
  <c r="C2954" i="15"/>
  <c r="F2954" i="15" s="1"/>
  <c r="E2954" i="15"/>
  <c r="B2954" i="15"/>
  <c r="C2941" i="15"/>
  <c r="F2941" i="15" s="1"/>
  <c r="B2941" i="15"/>
  <c r="E2941" i="15"/>
  <c r="D2936" i="15"/>
  <c r="C2936" i="15"/>
  <c r="F2936" i="15" s="1"/>
  <c r="E2936" i="15"/>
  <c r="B2936" i="15"/>
  <c r="C2923" i="15"/>
  <c r="F2923" i="15" s="1"/>
  <c r="B2923" i="15"/>
  <c r="E2923" i="15"/>
  <c r="D2918" i="15"/>
  <c r="C2918" i="15"/>
  <c r="F2918" i="15" s="1"/>
  <c r="E2918" i="15"/>
  <c r="B2918" i="15"/>
  <c r="C2905" i="15"/>
  <c r="F2905" i="15" s="1"/>
  <c r="B2905" i="15"/>
  <c r="E2905" i="15"/>
  <c r="D2900" i="15"/>
  <c r="C2900" i="15"/>
  <c r="F2900" i="15" s="1"/>
  <c r="E2900" i="15"/>
  <c r="B2900" i="15"/>
  <c r="C2887" i="15"/>
  <c r="F2887" i="15" s="1"/>
  <c r="B2887" i="15"/>
  <c r="E2887" i="15"/>
  <c r="D2882" i="15"/>
  <c r="C2882" i="15"/>
  <c r="F2882" i="15" s="1"/>
  <c r="E2882" i="15"/>
  <c r="B2882" i="15"/>
  <c r="C2869" i="15"/>
  <c r="F2869" i="15" s="1"/>
  <c r="B2869" i="15"/>
  <c r="E2869" i="15"/>
  <c r="D2864" i="15"/>
  <c r="C2864" i="15"/>
  <c r="F2864" i="15" s="1"/>
  <c r="E2864" i="15"/>
  <c r="B2864" i="15"/>
  <c r="C2851" i="15"/>
  <c r="F2851" i="15" s="1"/>
  <c r="B2851" i="15"/>
  <c r="E2851" i="15"/>
  <c r="D2846" i="15"/>
  <c r="C2846" i="15"/>
  <c r="F2846" i="15" s="1"/>
  <c r="E2846" i="15"/>
  <c r="B2846" i="15"/>
  <c r="D2828" i="15"/>
  <c r="C2828" i="15"/>
  <c r="F2828" i="15" s="1"/>
  <c r="E2828" i="15"/>
  <c r="B2828" i="15"/>
  <c r="C3235" i="15"/>
  <c r="F3235" i="15" s="1"/>
  <c r="B3235" i="15"/>
  <c r="C3231" i="15"/>
  <c r="F3231" i="15" s="1"/>
  <c r="E3231" i="15"/>
  <c r="C3224" i="15"/>
  <c r="F3224" i="15" s="1"/>
  <c r="D3224" i="15"/>
  <c r="D3221" i="15"/>
  <c r="E3218" i="15"/>
  <c r="C3217" i="15"/>
  <c r="F3217" i="15" s="1"/>
  <c r="B3217" i="15"/>
  <c r="D3214" i="15"/>
  <c r="C3213" i="15"/>
  <c r="F3213" i="15" s="1"/>
  <c r="E3213" i="15"/>
  <c r="E3211" i="15"/>
  <c r="D3207" i="15"/>
  <c r="C3206" i="15"/>
  <c r="F3206" i="15" s="1"/>
  <c r="D3206" i="15"/>
  <c r="D3203" i="15"/>
  <c r="E3200" i="15"/>
  <c r="C3199" i="15"/>
  <c r="F3199" i="15" s="1"/>
  <c r="B3199" i="15"/>
  <c r="D3196" i="15"/>
  <c r="C3195" i="15"/>
  <c r="F3195" i="15" s="1"/>
  <c r="E3195" i="15"/>
  <c r="E3193" i="15"/>
  <c r="D3189" i="15"/>
  <c r="C3188" i="15"/>
  <c r="F3188" i="15" s="1"/>
  <c r="D3188" i="15"/>
  <c r="D3185" i="15"/>
  <c r="E3182" i="15"/>
  <c r="C3181" i="15"/>
  <c r="F3181" i="15" s="1"/>
  <c r="B3181" i="15"/>
  <c r="D3178" i="15"/>
  <c r="C3177" i="15"/>
  <c r="F3177" i="15" s="1"/>
  <c r="E3177" i="15"/>
  <c r="E3175" i="15"/>
  <c r="D3171" i="15"/>
  <c r="C3170" i="15"/>
  <c r="F3170" i="15" s="1"/>
  <c r="D3170" i="15"/>
  <c r="D3167" i="15"/>
  <c r="E3164" i="15"/>
  <c r="C3163" i="15"/>
  <c r="F3163" i="15" s="1"/>
  <c r="B3163" i="15"/>
  <c r="D3160" i="15"/>
  <c r="C3159" i="15"/>
  <c r="F3159" i="15" s="1"/>
  <c r="E3159" i="15"/>
  <c r="E3157" i="15"/>
  <c r="D3153" i="15"/>
  <c r="C3152" i="15"/>
  <c r="F3152" i="15" s="1"/>
  <c r="D3152" i="15"/>
  <c r="D3149" i="15"/>
  <c r="E3146" i="15"/>
  <c r="C3145" i="15"/>
  <c r="F3145" i="15" s="1"/>
  <c r="B3145" i="15"/>
  <c r="D3142" i="15"/>
  <c r="C3141" i="15"/>
  <c r="F3141" i="15" s="1"/>
  <c r="E3141" i="15"/>
  <c r="E3139" i="15"/>
  <c r="D3135" i="15"/>
  <c r="C3134" i="15"/>
  <c r="D3134" i="15"/>
  <c r="D3131" i="15"/>
  <c r="E3128" i="15"/>
  <c r="C3127" i="15"/>
  <c r="F3127" i="15" s="1"/>
  <c r="B3127" i="15"/>
  <c r="D3124" i="15"/>
  <c r="C3123" i="15"/>
  <c r="F3123" i="15" s="1"/>
  <c r="E3123" i="15"/>
  <c r="E3121" i="15"/>
  <c r="D3117" i="15"/>
  <c r="C3116" i="15"/>
  <c r="F3116" i="15" s="1"/>
  <c r="D3116" i="15"/>
  <c r="D3113" i="15"/>
  <c r="E3110" i="15"/>
  <c r="C3109" i="15"/>
  <c r="F3109" i="15" s="1"/>
  <c r="B3109" i="15"/>
  <c r="D3106" i="15"/>
  <c r="C3105" i="15"/>
  <c r="F3105" i="15" s="1"/>
  <c r="E3105" i="15"/>
  <c r="E3103" i="15"/>
  <c r="D3099" i="15"/>
  <c r="C3098" i="15"/>
  <c r="F3098" i="15" s="1"/>
  <c r="D3098" i="15"/>
  <c r="D3095" i="15"/>
  <c r="E3092" i="15"/>
  <c r="C3091" i="15"/>
  <c r="F3091" i="15" s="1"/>
  <c r="B3091" i="15"/>
  <c r="D3088" i="15"/>
  <c r="C3087" i="15"/>
  <c r="F3087" i="15" s="1"/>
  <c r="E3087" i="15"/>
  <c r="E3085" i="15"/>
  <c r="D3081" i="15"/>
  <c r="C3080" i="15"/>
  <c r="F3080" i="15" s="1"/>
  <c r="D3080" i="15"/>
  <c r="D3077" i="15"/>
  <c r="E3074" i="15"/>
  <c r="C3073" i="15"/>
  <c r="F3073" i="15" s="1"/>
  <c r="B3073" i="15"/>
  <c r="C3069" i="15"/>
  <c r="F3069" i="15" s="1"/>
  <c r="E3069" i="15"/>
  <c r="C3067" i="15"/>
  <c r="F3067" i="15" s="1"/>
  <c r="B3067" i="15"/>
  <c r="E3067" i="15"/>
  <c r="E3062" i="15"/>
  <c r="E3059" i="15"/>
  <c r="C3050" i="15"/>
  <c r="F3050" i="15" s="1"/>
  <c r="D3050" i="15"/>
  <c r="C3047" i="15"/>
  <c r="F3047" i="15" s="1"/>
  <c r="B3047" i="15"/>
  <c r="D3045" i="15"/>
  <c r="C3033" i="15"/>
  <c r="F3033" i="15" s="1"/>
  <c r="E3033" i="15"/>
  <c r="C3031" i="15"/>
  <c r="F3031" i="15" s="1"/>
  <c r="B3031" i="15"/>
  <c r="E3031" i="15"/>
  <c r="E3026" i="15"/>
  <c r="C2981" i="15"/>
  <c r="F2981" i="15" s="1"/>
  <c r="B2981" i="15"/>
  <c r="E2981" i="15"/>
  <c r="C2979" i="15"/>
  <c r="F2979" i="15" s="1"/>
  <c r="D2979" i="15"/>
  <c r="E2979" i="15"/>
  <c r="B2979" i="15"/>
  <c r="E2962" i="15"/>
  <c r="B2962" i="15"/>
  <c r="D2962" i="15"/>
  <c r="B2958" i="15"/>
  <c r="D2958" i="15"/>
  <c r="E2958" i="15"/>
  <c r="C2958" i="15"/>
  <c r="F2958" i="15" s="1"/>
  <c r="E2944" i="15"/>
  <c r="B2944" i="15"/>
  <c r="D2944" i="15"/>
  <c r="B2940" i="15"/>
  <c r="D2940" i="15"/>
  <c r="E2940" i="15"/>
  <c r="C2940" i="15"/>
  <c r="F2940" i="15" s="1"/>
  <c r="E2926" i="15"/>
  <c r="B2926" i="15"/>
  <c r="D2926" i="15"/>
  <c r="B2922" i="15"/>
  <c r="D2922" i="15"/>
  <c r="E2922" i="15"/>
  <c r="C2922" i="15"/>
  <c r="F2922" i="15" s="1"/>
  <c r="E2908" i="15"/>
  <c r="B2908" i="15"/>
  <c r="D2908" i="15"/>
  <c r="B2904" i="15"/>
  <c r="D2904" i="15"/>
  <c r="E2904" i="15"/>
  <c r="C2904" i="15"/>
  <c r="F2904" i="15" s="1"/>
  <c r="E2890" i="15"/>
  <c r="B2890" i="15"/>
  <c r="D2890" i="15"/>
  <c r="B2886" i="15"/>
  <c r="D2886" i="15"/>
  <c r="E2886" i="15"/>
  <c r="C2886" i="15"/>
  <c r="F2886" i="15" s="1"/>
  <c r="E2872" i="15"/>
  <c r="B2872" i="15"/>
  <c r="D2872" i="15"/>
  <c r="B2868" i="15"/>
  <c r="D2868" i="15"/>
  <c r="E2868" i="15"/>
  <c r="C2868" i="15"/>
  <c r="F2868" i="15" s="1"/>
  <c r="E2854" i="15"/>
  <c r="B2854" i="15"/>
  <c r="D2854" i="15"/>
  <c r="B2850" i="15"/>
  <c r="D2850" i="15"/>
  <c r="E2850" i="15"/>
  <c r="C2850" i="15"/>
  <c r="F2850" i="15" s="1"/>
  <c r="E2836" i="15"/>
  <c r="B2836" i="15"/>
  <c r="D2836" i="15"/>
  <c r="B2832" i="15"/>
  <c r="D2832" i="15"/>
  <c r="E2832" i="15"/>
  <c r="C2832" i="15"/>
  <c r="F2832" i="15" s="1"/>
  <c r="E2833" i="15"/>
  <c r="D2829" i="15"/>
  <c r="E2826" i="15"/>
  <c r="B2824" i="15"/>
  <c r="E2822" i="15"/>
  <c r="B2821" i="15"/>
  <c r="D2818" i="15"/>
  <c r="B2817" i="15"/>
  <c r="E2815" i="15"/>
  <c r="C2814" i="15"/>
  <c r="F2814" i="15" s="1"/>
  <c r="D2811" i="15"/>
  <c r="B2810" i="15"/>
  <c r="E2808" i="15"/>
  <c r="B2806" i="15"/>
  <c r="E2804" i="15"/>
  <c r="B2803" i="15"/>
  <c r="D2800" i="15"/>
  <c r="B2799" i="15"/>
  <c r="E2797" i="15"/>
  <c r="C2796" i="15"/>
  <c r="F2796" i="15" s="1"/>
  <c r="D2793" i="15"/>
  <c r="B2792" i="15"/>
  <c r="E2790" i="15"/>
  <c r="B2788" i="15"/>
  <c r="E2786" i="15"/>
  <c r="B2785" i="15"/>
  <c r="D2782" i="15"/>
  <c r="B2781" i="15"/>
  <c r="E2779" i="15"/>
  <c r="C2778" i="15"/>
  <c r="F2778" i="15" s="1"/>
  <c r="D2775" i="15"/>
  <c r="B2774" i="15"/>
  <c r="E2772" i="15"/>
  <c r="B2770" i="15"/>
  <c r="E2768" i="15"/>
  <c r="B2767" i="15"/>
  <c r="D2764" i="15"/>
  <c r="B2763" i="15"/>
  <c r="E2761" i="15"/>
  <c r="C2760" i="15"/>
  <c r="F2760" i="15" s="1"/>
  <c r="D2757" i="15"/>
  <c r="B2756" i="15"/>
  <c r="E2754" i="15"/>
  <c r="B2752" i="15"/>
  <c r="B2746" i="15"/>
  <c r="E2742" i="15"/>
  <c r="B2738" i="15"/>
  <c r="D2738" i="15"/>
  <c r="C2730" i="15"/>
  <c r="F2730" i="15" s="1"/>
  <c r="E2722" i="15"/>
  <c r="C2721" i="15"/>
  <c r="F2721" i="15" s="1"/>
  <c r="E2721" i="15"/>
  <c r="B2710" i="15"/>
  <c r="E2706" i="15"/>
  <c r="B2702" i="15"/>
  <c r="D2702" i="15"/>
  <c r="C2694" i="15"/>
  <c r="F2694" i="15" s="1"/>
  <c r="E2686" i="15"/>
  <c r="C2685" i="15"/>
  <c r="F2685" i="15" s="1"/>
  <c r="E2685" i="15"/>
  <c r="B2674" i="15"/>
  <c r="E2670" i="15"/>
  <c r="B2664" i="15"/>
  <c r="C2664" i="15"/>
  <c r="F2664" i="15" s="1"/>
  <c r="C2661" i="15"/>
  <c r="F2661" i="15" s="1"/>
  <c r="E2661" i="15"/>
  <c r="B2652" i="15"/>
  <c r="C2652" i="15"/>
  <c r="F2652" i="15" s="1"/>
  <c r="C2649" i="15"/>
  <c r="F2649" i="15" s="1"/>
  <c r="E2649" i="15"/>
  <c r="B2640" i="15"/>
  <c r="C2640" i="15"/>
  <c r="F2640" i="15" s="1"/>
  <c r="C2637" i="15"/>
  <c r="F2637" i="15" s="1"/>
  <c r="E2637" i="15"/>
  <c r="B2628" i="15"/>
  <c r="C2628" i="15"/>
  <c r="F2628" i="15" s="1"/>
  <c r="C2625" i="15"/>
  <c r="F2625" i="15" s="1"/>
  <c r="E2625" i="15"/>
  <c r="B2616" i="15"/>
  <c r="C2616" i="15"/>
  <c r="F2616" i="15" s="1"/>
  <c r="C2613" i="15"/>
  <c r="F2613" i="15" s="1"/>
  <c r="E2613" i="15"/>
  <c r="B2604" i="15"/>
  <c r="C2604" i="15"/>
  <c r="F2604" i="15" s="1"/>
  <c r="C2601" i="15"/>
  <c r="F2601" i="15" s="1"/>
  <c r="E2601" i="15"/>
  <c r="E2586" i="15"/>
  <c r="B2586" i="15"/>
  <c r="C2586" i="15"/>
  <c r="F2586" i="15" s="1"/>
  <c r="B2577" i="15"/>
  <c r="C2577" i="15"/>
  <c r="F2577" i="15" s="1"/>
  <c r="E2577" i="15"/>
  <c r="D2531" i="15"/>
  <c r="B2531" i="15"/>
  <c r="C2531" i="15"/>
  <c r="F2531" i="15" s="1"/>
  <c r="E2531" i="15"/>
  <c r="B2744" i="15"/>
  <c r="D2744" i="15"/>
  <c r="C2727" i="15"/>
  <c r="F2727" i="15" s="1"/>
  <c r="E2727" i="15"/>
  <c r="B2708" i="15"/>
  <c r="D2708" i="15"/>
  <c r="C2691" i="15"/>
  <c r="F2691" i="15" s="1"/>
  <c r="E2691" i="15"/>
  <c r="B2672" i="15"/>
  <c r="D2672" i="15"/>
  <c r="E2580" i="15"/>
  <c r="B2580" i="15"/>
  <c r="C2580" i="15"/>
  <c r="F2580" i="15" s="1"/>
  <c r="B2571" i="15"/>
  <c r="C2571" i="15"/>
  <c r="F2571" i="15" s="1"/>
  <c r="E2571" i="15"/>
  <c r="D2559" i="15"/>
  <c r="E2559" i="15"/>
  <c r="B2559" i="15"/>
  <c r="C2559" i="15"/>
  <c r="F2559" i="15" s="1"/>
  <c r="E2989" i="15"/>
  <c r="E2983" i="15"/>
  <c r="E2977" i="15"/>
  <c r="E2971" i="15"/>
  <c r="D2967" i="15"/>
  <c r="E2964" i="15"/>
  <c r="E2960" i="15"/>
  <c r="D2956" i="15"/>
  <c r="E2953" i="15"/>
  <c r="D2949" i="15"/>
  <c r="E2946" i="15"/>
  <c r="E2942" i="15"/>
  <c r="D2938" i="15"/>
  <c r="E2935" i="15"/>
  <c r="D2931" i="15"/>
  <c r="E2928" i="15"/>
  <c r="E2924" i="15"/>
  <c r="D2920" i="15"/>
  <c r="E2917" i="15"/>
  <c r="D2913" i="15"/>
  <c r="E2910" i="15"/>
  <c r="E2906" i="15"/>
  <c r="D2902" i="15"/>
  <c r="E2899" i="15"/>
  <c r="D2895" i="15"/>
  <c r="E2892" i="15"/>
  <c r="E2888" i="15"/>
  <c r="D2884" i="15"/>
  <c r="E2881" i="15"/>
  <c r="D2877" i="15"/>
  <c r="E2874" i="15"/>
  <c r="E2870" i="15"/>
  <c r="D2866" i="15"/>
  <c r="E2863" i="15"/>
  <c r="D2859" i="15"/>
  <c r="E2856" i="15"/>
  <c r="E2852" i="15"/>
  <c r="D2848" i="15"/>
  <c r="E2845" i="15"/>
  <c r="D2841" i="15"/>
  <c r="E2838" i="15"/>
  <c r="E2834" i="15"/>
  <c r="B2833" i="15"/>
  <c r="D2830" i="15"/>
  <c r="B2829" i="15"/>
  <c r="E2827" i="15"/>
  <c r="C2826" i="15"/>
  <c r="F2826" i="15" s="1"/>
  <c r="D2823" i="15"/>
  <c r="B2822" i="15"/>
  <c r="E2820" i="15"/>
  <c r="B2818" i="15"/>
  <c r="E2816" i="15"/>
  <c r="B2815" i="15"/>
  <c r="D2812" i="15"/>
  <c r="B2811" i="15"/>
  <c r="E2809" i="15"/>
  <c r="C2808" i="15"/>
  <c r="F2808" i="15" s="1"/>
  <c r="D2805" i="15"/>
  <c r="B2804" i="15"/>
  <c r="E2802" i="15"/>
  <c r="B2800" i="15"/>
  <c r="E2798" i="15"/>
  <c r="B2797" i="15"/>
  <c r="D2794" i="15"/>
  <c r="B2793" i="15"/>
  <c r="E2791" i="15"/>
  <c r="C2790" i="15"/>
  <c r="F2790" i="15" s="1"/>
  <c r="D2787" i="15"/>
  <c r="B2786" i="15"/>
  <c r="E2784" i="15"/>
  <c r="B2782" i="15"/>
  <c r="E2780" i="15"/>
  <c r="B2779" i="15"/>
  <c r="D2776" i="15"/>
  <c r="B2775" i="15"/>
  <c r="E2773" i="15"/>
  <c r="C2772" i="15"/>
  <c r="F2772" i="15" s="1"/>
  <c r="D2769" i="15"/>
  <c r="B2768" i="15"/>
  <c r="E2766" i="15"/>
  <c r="B2764" i="15"/>
  <c r="E2762" i="15"/>
  <c r="B2761" i="15"/>
  <c r="D2758" i="15"/>
  <c r="B2757" i="15"/>
  <c r="E2755" i="15"/>
  <c r="C2754" i="15"/>
  <c r="F2754" i="15" s="1"/>
  <c r="D2751" i="15"/>
  <c r="B2750" i="15"/>
  <c r="D2750" i="15"/>
  <c r="D2748" i="15"/>
  <c r="C2742" i="15"/>
  <c r="F2742" i="15" s="1"/>
  <c r="E2734" i="15"/>
  <c r="C2733" i="15"/>
  <c r="F2733" i="15" s="1"/>
  <c r="E2733" i="15"/>
  <c r="C2728" i="15"/>
  <c r="F2728" i="15" s="1"/>
  <c r="B2722" i="15"/>
  <c r="E2718" i="15"/>
  <c r="B2714" i="15"/>
  <c r="D2714" i="15"/>
  <c r="D2712" i="15"/>
  <c r="C2706" i="15"/>
  <c r="F2706" i="15" s="1"/>
  <c r="E2698" i="15"/>
  <c r="C2697" i="15"/>
  <c r="F2697" i="15" s="1"/>
  <c r="E2697" i="15"/>
  <c r="C2692" i="15"/>
  <c r="F2692" i="15" s="1"/>
  <c r="B2686" i="15"/>
  <c r="E2682" i="15"/>
  <c r="B2678" i="15"/>
  <c r="D2678" i="15"/>
  <c r="D2676" i="15"/>
  <c r="C2670" i="15"/>
  <c r="F2670" i="15" s="1"/>
  <c r="B2660" i="15"/>
  <c r="D2660" i="15"/>
  <c r="E2660" i="15"/>
  <c r="B2648" i="15"/>
  <c r="D2648" i="15"/>
  <c r="E2648" i="15"/>
  <c r="B2636" i="15"/>
  <c r="D2636" i="15"/>
  <c r="E2636" i="15"/>
  <c r="B2624" i="15"/>
  <c r="D2624" i="15"/>
  <c r="E2624" i="15"/>
  <c r="B2612" i="15"/>
  <c r="D2612" i="15"/>
  <c r="E2612" i="15"/>
  <c r="B2600" i="15"/>
  <c r="D2600" i="15"/>
  <c r="E2600" i="15"/>
  <c r="E2574" i="15"/>
  <c r="B2574" i="15"/>
  <c r="C2574" i="15"/>
  <c r="F2574" i="15" s="1"/>
  <c r="D2555" i="15"/>
  <c r="B2555" i="15"/>
  <c r="C2555" i="15"/>
  <c r="F2555" i="15" s="1"/>
  <c r="E2824" i="15"/>
  <c r="E2806" i="15"/>
  <c r="E2788" i="15"/>
  <c r="E2770" i="15"/>
  <c r="E2752" i="15"/>
  <c r="C2739" i="15"/>
  <c r="F2739" i="15" s="1"/>
  <c r="E2739" i="15"/>
  <c r="B2720" i="15"/>
  <c r="D2720" i="15"/>
  <c r="C2703" i="15"/>
  <c r="F2703" i="15" s="1"/>
  <c r="E2703" i="15"/>
  <c r="B2684" i="15"/>
  <c r="D2684" i="15"/>
  <c r="C2667" i="15"/>
  <c r="F2667" i="15" s="1"/>
  <c r="E2667" i="15"/>
  <c r="B2658" i="15"/>
  <c r="C2658" i="15"/>
  <c r="F2658" i="15" s="1"/>
  <c r="C2655" i="15"/>
  <c r="F2655" i="15" s="1"/>
  <c r="E2655" i="15"/>
  <c r="B2646" i="15"/>
  <c r="C2646" i="15"/>
  <c r="F2646" i="15" s="1"/>
  <c r="C2643" i="15"/>
  <c r="F2643" i="15" s="1"/>
  <c r="E2643" i="15"/>
  <c r="B2634" i="15"/>
  <c r="C2634" i="15"/>
  <c r="F2634" i="15" s="1"/>
  <c r="C2631" i="15"/>
  <c r="F2631" i="15" s="1"/>
  <c r="E2631" i="15"/>
  <c r="B2622" i="15"/>
  <c r="C2622" i="15"/>
  <c r="F2622" i="15" s="1"/>
  <c r="C2619" i="15"/>
  <c r="F2619" i="15" s="1"/>
  <c r="E2619" i="15"/>
  <c r="B2610" i="15"/>
  <c r="C2610" i="15"/>
  <c r="F2610" i="15" s="1"/>
  <c r="C2607" i="15"/>
  <c r="F2607" i="15" s="1"/>
  <c r="E2607" i="15"/>
  <c r="B2598" i="15"/>
  <c r="C2598" i="15"/>
  <c r="F2598" i="15" s="1"/>
  <c r="C2595" i="15"/>
  <c r="F2595" i="15" s="1"/>
  <c r="E2595" i="15"/>
  <c r="E2568" i="15"/>
  <c r="B2568" i="15"/>
  <c r="C2568" i="15"/>
  <c r="F2568" i="15" s="1"/>
  <c r="D3020" i="15"/>
  <c r="D3014" i="15"/>
  <c r="D3008" i="15"/>
  <c r="D3002" i="15"/>
  <c r="D2996" i="15"/>
  <c r="D2990" i="15"/>
  <c r="B2989" i="15"/>
  <c r="D2984" i="15"/>
  <c r="B2983" i="15"/>
  <c r="D2978" i="15"/>
  <c r="B2977" i="15"/>
  <c r="D2972" i="15"/>
  <c r="B2971" i="15"/>
  <c r="B2967" i="15"/>
  <c r="C2964" i="15"/>
  <c r="F2964" i="15" s="1"/>
  <c r="B2960" i="15"/>
  <c r="B2953" i="15"/>
  <c r="B2949" i="15"/>
  <c r="C2946" i="15"/>
  <c r="F2946" i="15" s="1"/>
  <c r="B2942" i="15"/>
  <c r="B2935" i="15"/>
  <c r="B2931" i="15"/>
  <c r="C2928" i="15"/>
  <c r="F2928" i="15" s="1"/>
  <c r="B2924" i="15"/>
  <c r="B2917" i="15"/>
  <c r="B2913" i="15"/>
  <c r="C2910" i="15"/>
  <c r="F2910" i="15" s="1"/>
  <c r="B2906" i="15"/>
  <c r="B2899" i="15"/>
  <c r="B2895" i="15"/>
  <c r="C2892" i="15"/>
  <c r="F2892" i="15" s="1"/>
  <c r="B2888" i="15"/>
  <c r="B2881" i="15"/>
  <c r="B2877" i="15"/>
  <c r="C2874" i="15"/>
  <c r="F2874" i="15" s="1"/>
  <c r="B2870" i="15"/>
  <c r="B2863" i="15"/>
  <c r="B2859" i="15"/>
  <c r="C2856" i="15"/>
  <c r="F2856" i="15" s="1"/>
  <c r="B2852" i="15"/>
  <c r="B2845" i="15"/>
  <c r="B2841" i="15"/>
  <c r="C2838" i="15"/>
  <c r="F2838" i="15" s="1"/>
  <c r="B2834" i="15"/>
  <c r="B2827" i="15"/>
  <c r="D2824" i="15"/>
  <c r="B2823" i="15"/>
  <c r="E2821" i="15"/>
  <c r="C2820" i="15"/>
  <c r="F2820" i="15" s="1"/>
  <c r="D2817" i="15"/>
  <c r="B2816" i="15"/>
  <c r="E2814" i="15"/>
  <c r="E2810" i="15"/>
  <c r="B2809" i="15"/>
  <c r="D2806" i="15"/>
  <c r="B2805" i="15"/>
  <c r="E2803" i="15"/>
  <c r="C2802" i="15"/>
  <c r="F2802" i="15" s="1"/>
  <c r="D2799" i="15"/>
  <c r="B2798" i="15"/>
  <c r="E2796" i="15"/>
  <c r="E2792" i="15"/>
  <c r="B2791" i="15"/>
  <c r="D2788" i="15"/>
  <c r="B2787" i="15"/>
  <c r="E2785" i="15"/>
  <c r="C2784" i="15"/>
  <c r="F2784" i="15" s="1"/>
  <c r="D2781" i="15"/>
  <c r="B2780" i="15"/>
  <c r="E2778" i="15"/>
  <c r="E2774" i="15"/>
  <c r="B2773" i="15"/>
  <c r="D2770" i="15"/>
  <c r="B2769" i="15"/>
  <c r="E2767" i="15"/>
  <c r="C2766" i="15"/>
  <c r="F2766" i="15" s="1"/>
  <c r="D2763" i="15"/>
  <c r="B2762" i="15"/>
  <c r="E2760" i="15"/>
  <c r="E2756" i="15"/>
  <c r="B2755" i="15"/>
  <c r="D2752" i="15"/>
  <c r="B2751" i="15"/>
  <c r="E2746" i="15"/>
  <c r="C2745" i="15"/>
  <c r="F2745" i="15" s="1"/>
  <c r="E2745" i="15"/>
  <c r="C2740" i="15"/>
  <c r="F2740" i="15" s="1"/>
  <c r="E2738" i="15"/>
  <c r="B2734" i="15"/>
  <c r="E2730" i="15"/>
  <c r="B2726" i="15"/>
  <c r="D2726" i="15"/>
  <c r="D2724" i="15"/>
  <c r="D2721" i="15"/>
  <c r="C2718" i="15"/>
  <c r="F2718" i="15" s="1"/>
  <c r="E2710" i="15"/>
  <c r="C2709" i="15"/>
  <c r="F2709" i="15" s="1"/>
  <c r="E2709" i="15"/>
  <c r="C2704" i="15"/>
  <c r="F2704" i="15" s="1"/>
  <c r="E2702" i="15"/>
  <c r="B2698" i="15"/>
  <c r="E2694" i="15"/>
  <c r="B2690" i="15"/>
  <c r="D2690" i="15"/>
  <c r="D2688" i="15"/>
  <c r="D2685" i="15"/>
  <c r="C2682" i="15"/>
  <c r="F2682" i="15" s="1"/>
  <c r="E2674" i="15"/>
  <c r="C2673" i="15"/>
  <c r="F2673" i="15" s="1"/>
  <c r="E2673" i="15"/>
  <c r="E2664" i="15"/>
  <c r="D2661" i="15"/>
  <c r="E2652" i="15"/>
  <c r="D2649" i="15"/>
  <c r="B2589" i="15"/>
  <c r="C2589" i="15"/>
  <c r="F2589" i="15" s="1"/>
  <c r="E2589" i="15"/>
  <c r="D2566" i="15"/>
  <c r="B2566" i="15"/>
  <c r="C2566" i="15"/>
  <c r="F2566" i="15" s="1"/>
  <c r="D2552" i="15"/>
  <c r="C2552" i="15"/>
  <c r="F2552" i="15" s="1"/>
  <c r="B2552" i="15"/>
  <c r="E2552" i="15"/>
  <c r="D2821" i="15"/>
  <c r="C2817" i="15"/>
  <c r="F2817" i="15" s="1"/>
  <c r="D2814" i="15"/>
  <c r="C2810" i="15"/>
  <c r="F2810" i="15" s="1"/>
  <c r="D2803" i="15"/>
  <c r="C2799" i="15"/>
  <c r="F2799" i="15" s="1"/>
  <c r="D2796" i="15"/>
  <c r="C2792" i="15"/>
  <c r="F2792" i="15" s="1"/>
  <c r="D2785" i="15"/>
  <c r="C2781" i="15"/>
  <c r="F2781" i="15" s="1"/>
  <c r="D2778" i="15"/>
  <c r="C2774" i="15"/>
  <c r="F2774" i="15" s="1"/>
  <c r="D2767" i="15"/>
  <c r="C2763" i="15"/>
  <c r="F2763" i="15" s="1"/>
  <c r="D2760" i="15"/>
  <c r="C2756" i="15"/>
  <c r="F2756" i="15" s="1"/>
  <c r="C2746" i="15"/>
  <c r="F2746" i="15" s="1"/>
  <c r="E2744" i="15"/>
  <c r="B2740" i="15"/>
  <c r="C2738" i="15"/>
  <c r="F2738" i="15" s="1"/>
  <c r="B2732" i="15"/>
  <c r="D2732" i="15"/>
  <c r="D2730" i="15"/>
  <c r="D2727" i="15"/>
  <c r="C2724" i="15"/>
  <c r="F2724" i="15" s="1"/>
  <c r="B2721" i="15"/>
  <c r="C2715" i="15"/>
  <c r="F2715" i="15" s="1"/>
  <c r="E2715" i="15"/>
  <c r="C2710" i="15"/>
  <c r="F2710" i="15" s="1"/>
  <c r="E2708" i="15"/>
  <c r="B2704" i="15"/>
  <c r="C2702" i="15"/>
  <c r="F2702" i="15" s="1"/>
  <c r="B2696" i="15"/>
  <c r="D2696" i="15"/>
  <c r="D2694" i="15"/>
  <c r="D2691" i="15"/>
  <c r="C2688" i="15"/>
  <c r="F2688" i="15" s="1"/>
  <c r="B2685" i="15"/>
  <c r="C2679" i="15"/>
  <c r="F2679" i="15" s="1"/>
  <c r="E2679" i="15"/>
  <c r="C2674" i="15"/>
  <c r="F2674" i="15" s="1"/>
  <c r="E2672" i="15"/>
  <c r="B2666" i="15"/>
  <c r="D2666" i="15"/>
  <c r="E2666" i="15"/>
  <c r="D2664" i="15"/>
  <c r="B2661" i="15"/>
  <c r="B2654" i="15"/>
  <c r="D2654" i="15"/>
  <c r="E2654" i="15"/>
  <c r="D2652" i="15"/>
  <c r="B2649" i="15"/>
  <c r="B2642" i="15"/>
  <c r="D2642" i="15"/>
  <c r="E2642" i="15"/>
  <c r="B2630" i="15"/>
  <c r="D2630" i="15"/>
  <c r="E2630" i="15"/>
  <c r="B2618" i="15"/>
  <c r="D2618" i="15"/>
  <c r="E2618" i="15"/>
  <c r="B2606" i="15"/>
  <c r="D2606" i="15"/>
  <c r="E2606" i="15"/>
  <c r="B2594" i="15"/>
  <c r="D2594" i="15"/>
  <c r="E2594" i="15"/>
  <c r="E2592" i="15"/>
  <c r="B2592" i="15"/>
  <c r="C2592" i="15"/>
  <c r="F2592" i="15" s="1"/>
  <c r="B2583" i="15"/>
  <c r="C2583" i="15"/>
  <c r="F2583" i="15" s="1"/>
  <c r="E2583" i="15"/>
  <c r="D2563" i="15"/>
  <c r="B2563" i="15"/>
  <c r="C2563" i="15"/>
  <c r="F2563" i="15" s="1"/>
  <c r="E2563" i="15"/>
  <c r="D2548" i="15"/>
  <c r="B2548" i="15"/>
  <c r="C2548" i="15"/>
  <c r="F2548" i="15" s="1"/>
  <c r="D2534" i="15"/>
  <c r="C2534" i="15"/>
  <c r="F2534" i="15" s="1"/>
  <c r="B2534" i="15"/>
  <c r="E2534" i="15"/>
  <c r="E2588" i="15"/>
  <c r="E2582" i="15"/>
  <c r="E2576" i="15"/>
  <c r="E2570" i="15"/>
  <c r="D2540" i="15"/>
  <c r="C2540" i="15"/>
  <c r="F2540" i="15" s="1"/>
  <c r="D2537" i="15"/>
  <c r="B2537" i="15"/>
  <c r="C2535" i="15"/>
  <c r="F2535" i="15" s="1"/>
  <c r="D2523" i="15"/>
  <c r="E2523" i="15"/>
  <c r="D2521" i="15"/>
  <c r="E2521" i="15"/>
  <c r="B2521" i="15"/>
  <c r="E2516" i="15"/>
  <c r="E2513" i="15"/>
  <c r="D2504" i="15"/>
  <c r="C2504" i="15"/>
  <c r="F2504" i="15" s="1"/>
  <c r="D2501" i="15"/>
  <c r="B2501" i="15"/>
  <c r="C2499" i="15"/>
  <c r="F2499" i="15" s="1"/>
  <c r="D2483" i="15"/>
  <c r="B2483" i="15"/>
  <c r="E2477" i="15"/>
  <c r="D2465" i="15"/>
  <c r="B2465" i="15"/>
  <c r="E2459" i="15"/>
  <c r="C2221" i="15"/>
  <c r="F2221" i="15" s="1"/>
  <c r="D2221" i="15"/>
  <c r="B2221" i="15"/>
  <c r="E2221" i="15"/>
  <c r="C2203" i="15"/>
  <c r="F2203" i="15" s="1"/>
  <c r="D2203" i="15"/>
  <c r="B2203" i="15"/>
  <c r="E2203" i="15"/>
  <c r="D2588" i="15"/>
  <c r="D2582" i="15"/>
  <c r="D2576" i="15"/>
  <c r="D2570" i="15"/>
  <c r="D2564" i="15"/>
  <c r="C2564" i="15"/>
  <c r="F2564" i="15" s="1"/>
  <c r="C2561" i="15"/>
  <c r="F2561" i="15" s="1"/>
  <c r="D2557" i="15"/>
  <c r="B2557" i="15"/>
  <c r="C2554" i="15"/>
  <c r="F2554" i="15" s="1"/>
  <c r="D2553" i="15"/>
  <c r="E2553" i="15"/>
  <c r="D2546" i="15"/>
  <c r="C2546" i="15"/>
  <c r="F2546" i="15" s="1"/>
  <c r="D2543" i="15"/>
  <c r="B2543" i="15"/>
  <c r="D2529" i="15"/>
  <c r="E2529" i="15"/>
  <c r="D2527" i="15"/>
  <c r="E2527" i="15"/>
  <c r="B2527" i="15"/>
  <c r="D2510" i="15"/>
  <c r="C2510" i="15"/>
  <c r="F2510" i="15" s="1"/>
  <c r="D2507" i="15"/>
  <c r="B2507" i="15"/>
  <c r="D2493" i="15"/>
  <c r="E2493" i="15"/>
  <c r="D2491" i="15"/>
  <c r="E2491" i="15"/>
  <c r="B2491" i="15"/>
  <c r="D2486" i="15"/>
  <c r="B2486" i="15"/>
  <c r="C2486" i="15"/>
  <c r="F2486" i="15" s="1"/>
  <c r="D2481" i="15"/>
  <c r="C2481" i="15"/>
  <c r="F2481" i="15" s="1"/>
  <c r="E2481" i="15"/>
  <c r="D2468" i="15"/>
  <c r="B2468" i="15"/>
  <c r="C2468" i="15"/>
  <c r="F2468" i="15" s="1"/>
  <c r="D2463" i="15"/>
  <c r="C2463" i="15"/>
  <c r="F2463" i="15" s="1"/>
  <c r="E2463" i="15"/>
  <c r="C2224" i="15"/>
  <c r="F2224" i="15" s="1"/>
  <c r="D2224" i="15"/>
  <c r="B2224" i="15"/>
  <c r="E2224" i="15"/>
  <c r="C2206" i="15"/>
  <c r="F2206" i="15" s="1"/>
  <c r="D2206" i="15"/>
  <c r="B2206" i="15"/>
  <c r="E2206" i="15"/>
  <c r="D2535" i="15"/>
  <c r="E2535" i="15"/>
  <c r="D2533" i="15"/>
  <c r="E2533" i="15"/>
  <c r="B2533" i="15"/>
  <c r="D2516" i="15"/>
  <c r="C2516" i="15"/>
  <c r="F2516" i="15" s="1"/>
  <c r="D2513" i="15"/>
  <c r="B2513" i="15"/>
  <c r="D2499" i="15"/>
  <c r="E2499" i="15"/>
  <c r="D2497" i="15"/>
  <c r="E2497" i="15"/>
  <c r="B2497" i="15"/>
  <c r="D2477" i="15"/>
  <c r="B2477" i="15"/>
  <c r="D2459" i="15"/>
  <c r="B2459" i="15"/>
  <c r="D2453" i="15"/>
  <c r="B2453" i="15"/>
  <c r="C2453" i="15"/>
  <c r="F2453" i="15" s="1"/>
  <c r="D2447" i="15"/>
  <c r="B2447" i="15"/>
  <c r="C2447" i="15"/>
  <c r="F2447" i="15" s="1"/>
  <c r="D2441" i="15"/>
  <c r="B2441" i="15"/>
  <c r="C2441" i="15"/>
  <c r="F2441" i="15" s="1"/>
  <c r="D2435" i="15"/>
  <c r="B2435" i="15"/>
  <c r="C2435" i="15"/>
  <c r="F2435" i="15" s="1"/>
  <c r="D2429" i="15"/>
  <c r="B2429" i="15"/>
  <c r="C2429" i="15"/>
  <c r="F2429" i="15" s="1"/>
  <c r="D2423" i="15"/>
  <c r="B2423" i="15"/>
  <c r="C2423" i="15"/>
  <c r="F2423" i="15" s="1"/>
  <c r="C2420" i="15"/>
  <c r="F2420" i="15" s="1"/>
  <c r="D2420" i="15"/>
  <c r="B2420" i="15"/>
  <c r="E2420" i="15"/>
  <c r="C2417" i="15"/>
  <c r="F2417" i="15" s="1"/>
  <c r="D2417" i="15"/>
  <c r="B2417" i="15"/>
  <c r="E2417" i="15"/>
  <c r="C2414" i="15"/>
  <c r="F2414" i="15" s="1"/>
  <c r="D2414" i="15"/>
  <c r="B2414" i="15"/>
  <c r="E2414" i="15"/>
  <c r="C2411" i="15"/>
  <c r="F2411" i="15" s="1"/>
  <c r="D2411" i="15"/>
  <c r="B2411" i="15"/>
  <c r="E2411" i="15"/>
  <c r="C2408" i="15"/>
  <c r="F2408" i="15" s="1"/>
  <c r="D2408" i="15"/>
  <c r="B2408" i="15"/>
  <c r="E2408" i="15"/>
  <c r="C2405" i="15"/>
  <c r="F2405" i="15" s="1"/>
  <c r="D2405" i="15"/>
  <c r="B2405" i="15"/>
  <c r="E2405" i="15"/>
  <c r="C2402" i="15"/>
  <c r="F2402" i="15" s="1"/>
  <c r="D2402" i="15"/>
  <c r="B2402" i="15"/>
  <c r="E2402" i="15"/>
  <c r="C2399" i="15"/>
  <c r="F2399" i="15" s="1"/>
  <c r="D2399" i="15"/>
  <c r="B2399" i="15"/>
  <c r="E2399" i="15"/>
  <c r="C2396" i="15"/>
  <c r="F2396" i="15" s="1"/>
  <c r="D2396" i="15"/>
  <c r="B2396" i="15"/>
  <c r="E2396" i="15"/>
  <c r="C2393" i="15"/>
  <c r="F2393" i="15" s="1"/>
  <c r="D2393" i="15"/>
  <c r="B2393" i="15"/>
  <c r="E2393" i="15"/>
  <c r="C2390" i="15"/>
  <c r="F2390" i="15" s="1"/>
  <c r="D2390" i="15"/>
  <c r="B2390" i="15"/>
  <c r="E2390" i="15"/>
  <c r="C2387" i="15"/>
  <c r="F2387" i="15" s="1"/>
  <c r="D2387" i="15"/>
  <c r="B2387" i="15"/>
  <c r="E2387" i="15"/>
  <c r="C2384" i="15"/>
  <c r="F2384" i="15" s="1"/>
  <c r="D2384" i="15"/>
  <c r="B2384" i="15"/>
  <c r="E2384" i="15"/>
  <c r="C2381" i="15"/>
  <c r="F2381" i="15" s="1"/>
  <c r="D2381" i="15"/>
  <c r="B2381" i="15"/>
  <c r="E2381" i="15"/>
  <c r="C2378" i="15"/>
  <c r="F2378" i="15" s="1"/>
  <c r="D2378" i="15"/>
  <c r="B2378" i="15"/>
  <c r="E2378" i="15"/>
  <c r="C2375" i="15"/>
  <c r="F2375" i="15" s="1"/>
  <c r="D2375" i="15"/>
  <c r="B2375" i="15"/>
  <c r="E2375" i="15"/>
  <c r="C2372" i="15"/>
  <c r="F2372" i="15" s="1"/>
  <c r="D2372" i="15"/>
  <c r="B2372" i="15"/>
  <c r="E2372" i="15"/>
  <c r="C2369" i="15"/>
  <c r="F2369" i="15" s="1"/>
  <c r="D2369" i="15"/>
  <c r="B2369" i="15"/>
  <c r="E2369" i="15"/>
  <c r="C2366" i="15"/>
  <c r="F2366" i="15" s="1"/>
  <c r="D2366" i="15"/>
  <c r="B2366" i="15"/>
  <c r="E2366" i="15"/>
  <c r="C2363" i="15"/>
  <c r="F2363" i="15" s="1"/>
  <c r="D2363" i="15"/>
  <c r="B2363" i="15"/>
  <c r="E2363" i="15"/>
  <c r="C2360" i="15"/>
  <c r="F2360" i="15" s="1"/>
  <c r="D2360" i="15"/>
  <c r="B2360" i="15"/>
  <c r="E2360" i="15"/>
  <c r="C2357" i="15"/>
  <c r="F2357" i="15" s="1"/>
  <c r="D2357" i="15"/>
  <c r="B2357" i="15"/>
  <c r="E2357" i="15"/>
  <c r="C2354" i="15"/>
  <c r="F2354" i="15" s="1"/>
  <c r="D2354" i="15"/>
  <c r="B2354" i="15"/>
  <c r="E2354" i="15"/>
  <c r="C2351" i="15"/>
  <c r="F2351" i="15" s="1"/>
  <c r="D2351" i="15"/>
  <c r="B2351" i="15"/>
  <c r="E2351" i="15"/>
  <c r="C2348" i="15"/>
  <c r="F2348" i="15" s="1"/>
  <c r="D2348" i="15"/>
  <c r="B2348" i="15"/>
  <c r="E2348" i="15"/>
  <c r="C2345" i="15"/>
  <c r="F2345" i="15" s="1"/>
  <c r="D2345" i="15"/>
  <c r="B2345" i="15"/>
  <c r="E2345" i="15"/>
  <c r="C2342" i="15"/>
  <c r="F2342" i="15" s="1"/>
  <c r="D2342" i="15"/>
  <c r="B2342" i="15"/>
  <c r="E2342" i="15"/>
  <c r="C2339" i="15"/>
  <c r="F2339" i="15" s="1"/>
  <c r="D2339" i="15"/>
  <c r="B2339" i="15"/>
  <c r="E2339" i="15"/>
  <c r="C2336" i="15"/>
  <c r="F2336" i="15" s="1"/>
  <c r="D2336" i="15"/>
  <c r="B2336" i="15"/>
  <c r="E2336" i="15"/>
  <c r="C2333" i="15"/>
  <c r="F2333" i="15" s="1"/>
  <c r="D2333" i="15"/>
  <c r="B2333" i="15"/>
  <c r="E2333" i="15"/>
  <c r="C2330" i="15"/>
  <c r="F2330" i="15" s="1"/>
  <c r="D2330" i="15"/>
  <c r="B2330" i="15"/>
  <c r="E2330" i="15"/>
  <c r="C2327" i="15"/>
  <c r="F2327" i="15" s="1"/>
  <c r="D2327" i="15"/>
  <c r="B2327" i="15"/>
  <c r="E2327" i="15"/>
  <c r="C2324" i="15"/>
  <c r="F2324" i="15" s="1"/>
  <c r="D2324" i="15"/>
  <c r="B2324" i="15"/>
  <c r="E2324" i="15"/>
  <c r="C2321" i="15"/>
  <c r="F2321" i="15" s="1"/>
  <c r="D2321" i="15"/>
  <c r="B2321" i="15"/>
  <c r="E2321" i="15"/>
  <c r="C2318" i="15"/>
  <c r="F2318" i="15" s="1"/>
  <c r="D2318" i="15"/>
  <c r="B2318" i="15"/>
  <c r="E2318" i="15"/>
  <c r="C2315" i="15"/>
  <c r="F2315" i="15" s="1"/>
  <c r="D2315" i="15"/>
  <c r="B2315" i="15"/>
  <c r="E2315" i="15"/>
  <c r="C2312" i="15"/>
  <c r="F2312" i="15" s="1"/>
  <c r="D2312" i="15"/>
  <c r="B2312" i="15"/>
  <c r="E2312" i="15"/>
  <c r="C2309" i="15"/>
  <c r="F2309" i="15" s="1"/>
  <c r="D2309" i="15"/>
  <c r="B2309" i="15"/>
  <c r="E2309" i="15"/>
  <c r="C2306" i="15"/>
  <c r="F2306" i="15" s="1"/>
  <c r="D2306" i="15"/>
  <c r="B2306" i="15"/>
  <c r="E2306" i="15"/>
  <c r="C2303" i="15"/>
  <c r="F2303" i="15" s="1"/>
  <c r="D2303" i="15"/>
  <c r="B2303" i="15"/>
  <c r="E2303" i="15"/>
  <c r="C2300" i="15"/>
  <c r="F2300" i="15" s="1"/>
  <c r="D2300" i="15"/>
  <c r="B2300" i="15"/>
  <c r="E2300" i="15"/>
  <c r="C2297" i="15"/>
  <c r="F2297" i="15" s="1"/>
  <c r="D2297" i="15"/>
  <c r="B2297" i="15"/>
  <c r="E2297" i="15"/>
  <c r="C2294" i="15"/>
  <c r="F2294" i="15" s="1"/>
  <c r="D2294" i="15"/>
  <c r="B2294" i="15"/>
  <c r="E2294" i="15"/>
  <c r="C2291" i="15"/>
  <c r="F2291" i="15" s="1"/>
  <c r="D2291" i="15"/>
  <c r="B2291" i="15"/>
  <c r="E2291" i="15"/>
  <c r="C2288" i="15"/>
  <c r="F2288" i="15" s="1"/>
  <c r="D2288" i="15"/>
  <c r="B2288" i="15"/>
  <c r="E2288" i="15"/>
  <c r="C2285" i="15"/>
  <c r="F2285" i="15" s="1"/>
  <c r="D2285" i="15"/>
  <c r="B2285" i="15"/>
  <c r="E2285" i="15"/>
  <c r="C2282" i="15"/>
  <c r="F2282" i="15" s="1"/>
  <c r="D2282" i="15"/>
  <c r="B2282" i="15"/>
  <c r="E2282" i="15"/>
  <c r="C2279" i="15"/>
  <c r="F2279" i="15" s="1"/>
  <c r="D2279" i="15"/>
  <c r="B2279" i="15"/>
  <c r="E2279" i="15"/>
  <c r="C2276" i="15"/>
  <c r="F2276" i="15" s="1"/>
  <c r="D2276" i="15"/>
  <c r="B2276" i="15"/>
  <c r="E2276" i="15"/>
  <c r="C2273" i="15"/>
  <c r="F2273" i="15" s="1"/>
  <c r="D2273" i="15"/>
  <c r="B2273" i="15"/>
  <c r="E2273" i="15"/>
  <c r="C2270" i="15"/>
  <c r="F2270" i="15" s="1"/>
  <c r="D2270" i="15"/>
  <c r="B2270" i="15"/>
  <c r="E2270" i="15"/>
  <c r="C2267" i="15"/>
  <c r="F2267" i="15" s="1"/>
  <c r="D2267" i="15"/>
  <c r="B2267" i="15"/>
  <c r="E2267" i="15"/>
  <c r="C2264" i="15"/>
  <c r="F2264" i="15" s="1"/>
  <c r="D2264" i="15"/>
  <c r="B2264" i="15"/>
  <c r="E2264" i="15"/>
  <c r="C2261" i="15"/>
  <c r="F2261" i="15" s="1"/>
  <c r="D2261" i="15"/>
  <c r="B2261" i="15"/>
  <c r="E2261" i="15"/>
  <c r="C2258" i="15"/>
  <c r="F2258" i="15" s="1"/>
  <c r="D2258" i="15"/>
  <c r="B2258" i="15"/>
  <c r="E2258" i="15"/>
  <c r="C2255" i="15"/>
  <c r="F2255" i="15" s="1"/>
  <c r="D2255" i="15"/>
  <c r="B2255" i="15"/>
  <c r="E2255" i="15"/>
  <c r="C2252" i="15"/>
  <c r="F2252" i="15" s="1"/>
  <c r="D2252" i="15"/>
  <c r="B2252" i="15"/>
  <c r="E2252" i="15"/>
  <c r="C2249" i="15"/>
  <c r="F2249" i="15" s="1"/>
  <c r="D2249" i="15"/>
  <c r="B2249" i="15"/>
  <c r="E2249" i="15"/>
  <c r="C2246" i="15"/>
  <c r="F2246" i="15" s="1"/>
  <c r="D2246" i="15"/>
  <c r="B2246" i="15"/>
  <c r="E2246" i="15"/>
  <c r="C2243" i="15"/>
  <c r="F2243" i="15" s="1"/>
  <c r="D2243" i="15"/>
  <c r="B2243" i="15"/>
  <c r="E2243" i="15"/>
  <c r="C2240" i="15"/>
  <c r="F2240" i="15" s="1"/>
  <c r="D2240" i="15"/>
  <c r="B2240" i="15"/>
  <c r="E2240" i="15"/>
  <c r="C2237" i="15"/>
  <c r="F2237" i="15" s="1"/>
  <c r="D2237" i="15"/>
  <c r="B2237" i="15"/>
  <c r="E2237" i="15"/>
  <c r="C2234" i="15"/>
  <c r="F2234" i="15" s="1"/>
  <c r="D2234" i="15"/>
  <c r="B2234" i="15"/>
  <c r="E2234" i="15"/>
  <c r="C2231" i="15"/>
  <c r="F2231" i="15" s="1"/>
  <c r="D2231" i="15"/>
  <c r="B2231" i="15"/>
  <c r="E2231" i="15"/>
  <c r="C2227" i="15"/>
  <c r="F2227" i="15" s="1"/>
  <c r="D2227" i="15"/>
  <c r="B2227" i="15"/>
  <c r="E2227" i="15"/>
  <c r="C2209" i="15"/>
  <c r="F2209" i="15" s="1"/>
  <c r="D2209" i="15"/>
  <c r="B2209" i="15"/>
  <c r="E2209" i="15"/>
  <c r="D2565" i="15"/>
  <c r="E2565" i="15"/>
  <c r="D2558" i="15"/>
  <c r="C2558" i="15"/>
  <c r="F2558" i="15" s="1"/>
  <c r="D2551" i="15"/>
  <c r="B2551" i="15"/>
  <c r="D2547" i="15"/>
  <c r="E2547" i="15"/>
  <c r="D2541" i="15"/>
  <c r="E2541" i="15"/>
  <c r="D2539" i="15"/>
  <c r="E2539" i="15"/>
  <c r="B2539" i="15"/>
  <c r="D2522" i="15"/>
  <c r="C2522" i="15"/>
  <c r="F2522" i="15" s="1"/>
  <c r="D2519" i="15"/>
  <c r="B2519" i="15"/>
  <c r="C2517" i="15"/>
  <c r="F2517" i="15" s="1"/>
  <c r="D2505" i="15"/>
  <c r="E2505" i="15"/>
  <c r="D2503" i="15"/>
  <c r="E2503" i="15"/>
  <c r="B2503" i="15"/>
  <c r="E2498" i="15"/>
  <c r="E2495" i="15"/>
  <c r="D2480" i="15"/>
  <c r="B2480" i="15"/>
  <c r="C2480" i="15"/>
  <c r="F2480" i="15" s="1"/>
  <c r="D2475" i="15"/>
  <c r="C2475" i="15"/>
  <c r="F2475" i="15" s="1"/>
  <c r="E2475" i="15"/>
  <c r="D2462" i="15"/>
  <c r="B2462" i="15"/>
  <c r="C2462" i="15"/>
  <c r="F2462" i="15" s="1"/>
  <c r="C2212" i="15"/>
  <c r="F2212" i="15" s="1"/>
  <c r="D2212" i="15"/>
  <c r="B2212" i="15"/>
  <c r="E2212" i="15"/>
  <c r="D2545" i="15"/>
  <c r="E2545" i="15"/>
  <c r="B2545" i="15"/>
  <c r="D2528" i="15"/>
  <c r="C2528" i="15"/>
  <c r="F2528" i="15" s="1"/>
  <c r="D2525" i="15"/>
  <c r="B2525" i="15"/>
  <c r="D2511" i="15"/>
  <c r="E2511" i="15"/>
  <c r="D2509" i="15"/>
  <c r="E2509" i="15"/>
  <c r="B2509" i="15"/>
  <c r="D2492" i="15"/>
  <c r="C2492" i="15"/>
  <c r="F2492" i="15" s="1"/>
  <c r="D2489" i="15"/>
  <c r="B2489" i="15"/>
  <c r="D2471" i="15"/>
  <c r="B2471" i="15"/>
  <c r="C2215" i="15"/>
  <c r="F2215" i="15" s="1"/>
  <c r="D2215" i="15"/>
  <c r="B2215" i="15"/>
  <c r="E2215" i="15"/>
  <c r="D2517" i="15"/>
  <c r="E2517" i="15"/>
  <c r="D2515" i="15"/>
  <c r="E2515" i="15"/>
  <c r="B2515" i="15"/>
  <c r="D2498" i="15"/>
  <c r="C2498" i="15"/>
  <c r="F2498" i="15" s="1"/>
  <c r="D2495" i="15"/>
  <c r="B2495" i="15"/>
  <c r="D2487" i="15"/>
  <c r="C2487" i="15"/>
  <c r="F2487" i="15" s="1"/>
  <c r="E2487" i="15"/>
  <c r="D2474" i="15"/>
  <c r="B2474" i="15"/>
  <c r="C2474" i="15"/>
  <c r="F2474" i="15" s="1"/>
  <c r="D2469" i="15"/>
  <c r="C2469" i="15"/>
  <c r="F2469" i="15" s="1"/>
  <c r="E2469" i="15"/>
  <c r="D2456" i="15"/>
  <c r="B2456" i="15"/>
  <c r="C2456" i="15"/>
  <c r="F2456" i="15" s="1"/>
  <c r="D2450" i="15"/>
  <c r="B2450" i="15"/>
  <c r="C2450" i="15"/>
  <c r="F2450" i="15" s="1"/>
  <c r="D2444" i="15"/>
  <c r="B2444" i="15"/>
  <c r="C2444" i="15"/>
  <c r="F2444" i="15" s="1"/>
  <c r="D2438" i="15"/>
  <c r="B2438" i="15"/>
  <c r="C2438" i="15"/>
  <c r="F2438" i="15" s="1"/>
  <c r="D2432" i="15"/>
  <c r="B2432" i="15"/>
  <c r="C2432" i="15"/>
  <c r="F2432" i="15" s="1"/>
  <c r="D2426" i="15"/>
  <c r="B2426" i="15"/>
  <c r="C2426" i="15"/>
  <c r="F2426" i="15" s="1"/>
  <c r="C2218" i="15"/>
  <c r="F2218" i="15" s="1"/>
  <c r="D2218" i="15"/>
  <c r="B2218" i="15"/>
  <c r="E2218" i="15"/>
  <c r="B2485" i="15"/>
  <c r="B2479" i="15"/>
  <c r="B2473" i="15"/>
  <c r="B2467" i="15"/>
  <c r="B2461" i="15"/>
  <c r="E2457" i="15"/>
  <c r="B2455" i="15"/>
  <c r="E2451" i="15"/>
  <c r="B2449" i="15"/>
  <c r="B19" i="33" s="1"/>
  <c r="E2445" i="15"/>
  <c r="B2443" i="15"/>
  <c r="E2439" i="15"/>
  <c r="B2437" i="15"/>
  <c r="E2433" i="15"/>
  <c r="B2431" i="15"/>
  <c r="E2427" i="15"/>
  <c r="B2425" i="15"/>
  <c r="E2163" i="15"/>
  <c r="C2162" i="15"/>
  <c r="F2162" i="15" s="1"/>
  <c r="E2162" i="15"/>
  <c r="C2160" i="15"/>
  <c r="F2160" i="15" s="1"/>
  <c r="B2160" i="15"/>
  <c r="D2160" i="15"/>
  <c r="B2157" i="15"/>
  <c r="D2150" i="15"/>
  <c r="E2145" i="15"/>
  <c r="C2144" i="15"/>
  <c r="F2144" i="15" s="1"/>
  <c r="E2144" i="15"/>
  <c r="C2142" i="15"/>
  <c r="F2142" i="15" s="1"/>
  <c r="B2142" i="15"/>
  <c r="D2142" i="15"/>
  <c r="C2139" i="15"/>
  <c r="F2139" i="15" s="1"/>
  <c r="B2139" i="15"/>
  <c r="C2137" i="15"/>
  <c r="F2137" i="15" s="1"/>
  <c r="D2137" i="15"/>
  <c r="E2137" i="15"/>
  <c r="C2124" i="15"/>
  <c r="F2124" i="15" s="1"/>
  <c r="B2124" i="15"/>
  <c r="D2124" i="15"/>
  <c r="C2118" i="15"/>
  <c r="F2118" i="15" s="1"/>
  <c r="B2118" i="15"/>
  <c r="D2118" i="15"/>
  <c r="E2118" i="15"/>
  <c r="C2112" i="15"/>
  <c r="F2112" i="15" s="1"/>
  <c r="B2112" i="15"/>
  <c r="D2112" i="15"/>
  <c r="E2112" i="15"/>
  <c r="C2106" i="15"/>
  <c r="F2106" i="15" s="1"/>
  <c r="B2106" i="15"/>
  <c r="D2106" i="15"/>
  <c r="E2106" i="15"/>
  <c r="C2100" i="15"/>
  <c r="F2100" i="15" s="1"/>
  <c r="B2100" i="15"/>
  <c r="D2100" i="15"/>
  <c r="E2100" i="15"/>
  <c r="C2457" i="15"/>
  <c r="F2457" i="15" s="1"/>
  <c r="C2451" i="15"/>
  <c r="F2451" i="15" s="1"/>
  <c r="C2445" i="15"/>
  <c r="F2445" i="15" s="1"/>
  <c r="C2439" i="15"/>
  <c r="F2439" i="15" s="1"/>
  <c r="C2433" i="15"/>
  <c r="F2433" i="15" s="1"/>
  <c r="C2427" i="15"/>
  <c r="F2427" i="15" s="1"/>
  <c r="C2421" i="15"/>
  <c r="F2421" i="15" s="1"/>
  <c r="D2421" i="15"/>
  <c r="C2418" i="15"/>
  <c r="F2418" i="15" s="1"/>
  <c r="D2418" i="15"/>
  <c r="C2415" i="15"/>
  <c r="F2415" i="15" s="1"/>
  <c r="D2415" i="15"/>
  <c r="C2412" i="15"/>
  <c r="F2412" i="15" s="1"/>
  <c r="D2412" i="15"/>
  <c r="C2409" i="15"/>
  <c r="F2409" i="15" s="1"/>
  <c r="D2409" i="15"/>
  <c r="C2406" i="15"/>
  <c r="F2406" i="15" s="1"/>
  <c r="D2406" i="15"/>
  <c r="C2403" i="15"/>
  <c r="F2403" i="15" s="1"/>
  <c r="D2403" i="15"/>
  <c r="C2400" i="15"/>
  <c r="F2400" i="15" s="1"/>
  <c r="D2400" i="15"/>
  <c r="C2397" i="15"/>
  <c r="F2397" i="15" s="1"/>
  <c r="D2397" i="15"/>
  <c r="C2394" i="15"/>
  <c r="F2394" i="15" s="1"/>
  <c r="D2394" i="15"/>
  <c r="C2391" i="15"/>
  <c r="F2391" i="15" s="1"/>
  <c r="D2391" i="15"/>
  <c r="C2388" i="15"/>
  <c r="F2388" i="15" s="1"/>
  <c r="D2388" i="15"/>
  <c r="C2385" i="15"/>
  <c r="F2385" i="15" s="1"/>
  <c r="D2385" i="15"/>
  <c r="C2382" i="15"/>
  <c r="F2382" i="15" s="1"/>
  <c r="D2382" i="15"/>
  <c r="C2379" i="15"/>
  <c r="F2379" i="15" s="1"/>
  <c r="D2379" i="15"/>
  <c r="C2376" i="15"/>
  <c r="F2376" i="15" s="1"/>
  <c r="D2376" i="15"/>
  <c r="C2373" i="15"/>
  <c r="F2373" i="15" s="1"/>
  <c r="D2373" i="15"/>
  <c r="C2370" i="15"/>
  <c r="F2370" i="15" s="1"/>
  <c r="D2370" i="15"/>
  <c r="C2367" i="15"/>
  <c r="F2367" i="15" s="1"/>
  <c r="D2367" i="15"/>
  <c r="C2364" i="15"/>
  <c r="F2364" i="15" s="1"/>
  <c r="D2364" i="15"/>
  <c r="C2361" i="15"/>
  <c r="F2361" i="15" s="1"/>
  <c r="D2361" i="15"/>
  <c r="C2358" i="15"/>
  <c r="F2358" i="15" s="1"/>
  <c r="D2358" i="15"/>
  <c r="C2355" i="15"/>
  <c r="F2355" i="15" s="1"/>
  <c r="D2355" i="15"/>
  <c r="C2352" i="15"/>
  <c r="F2352" i="15" s="1"/>
  <c r="D2352" i="15"/>
  <c r="C2349" i="15"/>
  <c r="F2349" i="15" s="1"/>
  <c r="D2349" i="15"/>
  <c r="C2346" i="15"/>
  <c r="F2346" i="15" s="1"/>
  <c r="D2346" i="15"/>
  <c r="C2343" i="15"/>
  <c r="F2343" i="15" s="1"/>
  <c r="D2343" i="15"/>
  <c r="C2340" i="15"/>
  <c r="F2340" i="15" s="1"/>
  <c r="D2340" i="15"/>
  <c r="C2337" i="15"/>
  <c r="F2337" i="15" s="1"/>
  <c r="D2337" i="15"/>
  <c r="C2334" i="15"/>
  <c r="F2334" i="15" s="1"/>
  <c r="D2334" i="15"/>
  <c r="C2331" i="15"/>
  <c r="F2331" i="15" s="1"/>
  <c r="D2331" i="15"/>
  <c r="C2328" i="15"/>
  <c r="F2328" i="15" s="1"/>
  <c r="D2328" i="15"/>
  <c r="C2325" i="15"/>
  <c r="F2325" i="15" s="1"/>
  <c r="D2325" i="15"/>
  <c r="C2322" i="15"/>
  <c r="F2322" i="15" s="1"/>
  <c r="D2322" i="15"/>
  <c r="C2319" i="15"/>
  <c r="F2319" i="15" s="1"/>
  <c r="D2319" i="15"/>
  <c r="C2316" i="15"/>
  <c r="F2316" i="15" s="1"/>
  <c r="D2316" i="15"/>
  <c r="C2313" i="15"/>
  <c r="F2313" i="15" s="1"/>
  <c r="D2313" i="15"/>
  <c r="C2310" i="15"/>
  <c r="F2310" i="15" s="1"/>
  <c r="D2310" i="15"/>
  <c r="C2307" i="15"/>
  <c r="F2307" i="15" s="1"/>
  <c r="D2307" i="15"/>
  <c r="C2304" i="15"/>
  <c r="F2304" i="15" s="1"/>
  <c r="D2304" i="15"/>
  <c r="C2301" i="15"/>
  <c r="F2301" i="15" s="1"/>
  <c r="D2301" i="15"/>
  <c r="C2298" i="15"/>
  <c r="F2298" i="15" s="1"/>
  <c r="D2298" i="15"/>
  <c r="C2295" i="15"/>
  <c r="F2295" i="15" s="1"/>
  <c r="D2295" i="15"/>
  <c r="C2292" i="15"/>
  <c r="F2292" i="15" s="1"/>
  <c r="D2292" i="15"/>
  <c r="C2289" i="15"/>
  <c r="F2289" i="15" s="1"/>
  <c r="D2289" i="15"/>
  <c r="C2286" i="15"/>
  <c r="F2286" i="15" s="1"/>
  <c r="D2286" i="15"/>
  <c r="C2283" i="15"/>
  <c r="F2283" i="15" s="1"/>
  <c r="D2283" i="15"/>
  <c r="C2280" i="15"/>
  <c r="F2280" i="15" s="1"/>
  <c r="D2280" i="15"/>
  <c r="C2277" i="15"/>
  <c r="F2277" i="15" s="1"/>
  <c r="D2277" i="15"/>
  <c r="C2274" i="15"/>
  <c r="F2274" i="15" s="1"/>
  <c r="D2274" i="15"/>
  <c r="C2271" i="15"/>
  <c r="F2271" i="15" s="1"/>
  <c r="D2271" i="15"/>
  <c r="C2268" i="15"/>
  <c r="F2268" i="15" s="1"/>
  <c r="D2268" i="15"/>
  <c r="C2265" i="15"/>
  <c r="F2265" i="15" s="1"/>
  <c r="D2265" i="15"/>
  <c r="C2262" i="15"/>
  <c r="F2262" i="15" s="1"/>
  <c r="D2262" i="15"/>
  <c r="C2259" i="15"/>
  <c r="F2259" i="15" s="1"/>
  <c r="D2259" i="15"/>
  <c r="C2256" i="15"/>
  <c r="F2256" i="15" s="1"/>
  <c r="D2256" i="15"/>
  <c r="C2253" i="15"/>
  <c r="F2253" i="15" s="1"/>
  <c r="D2253" i="15"/>
  <c r="C2250" i="15"/>
  <c r="F2250" i="15" s="1"/>
  <c r="D2250" i="15"/>
  <c r="C2247" i="15"/>
  <c r="F2247" i="15" s="1"/>
  <c r="D2247" i="15"/>
  <c r="C2244" i="15"/>
  <c r="F2244" i="15" s="1"/>
  <c r="D2244" i="15"/>
  <c r="C2241" i="15"/>
  <c r="F2241" i="15" s="1"/>
  <c r="D2241" i="15"/>
  <c r="C2238" i="15"/>
  <c r="F2238" i="15" s="1"/>
  <c r="D2238" i="15"/>
  <c r="C2235" i="15"/>
  <c r="F2235" i="15" s="1"/>
  <c r="D2235" i="15"/>
  <c r="C2232" i="15"/>
  <c r="F2232" i="15" s="1"/>
  <c r="D2232" i="15"/>
  <c r="C2228" i="15"/>
  <c r="F2228" i="15" s="1"/>
  <c r="D2228" i="15"/>
  <c r="C2225" i="15"/>
  <c r="F2225" i="15" s="1"/>
  <c r="D2225" i="15"/>
  <c r="C2222" i="15"/>
  <c r="F2222" i="15" s="1"/>
  <c r="D2222" i="15"/>
  <c r="C2219" i="15"/>
  <c r="F2219" i="15" s="1"/>
  <c r="D2219" i="15"/>
  <c r="C2216" i="15"/>
  <c r="F2216" i="15" s="1"/>
  <c r="D2216" i="15"/>
  <c r="C2213" i="15"/>
  <c r="F2213" i="15" s="1"/>
  <c r="D2213" i="15"/>
  <c r="C2210" i="15"/>
  <c r="F2210" i="15" s="1"/>
  <c r="D2210" i="15"/>
  <c r="C2207" i="15"/>
  <c r="F2207" i="15" s="1"/>
  <c r="D2207" i="15"/>
  <c r="C2204" i="15"/>
  <c r="F2204" i="15" s="1"/>
  <c r="D2204" i="15"/>
  <c r="C2201" i="15"/>
  <c r="F2201" i="15" s="1"/>
  <c r="D2201" i="15"/>
  <c r="C2198" i="15"/>
  <c r="F2198" i="15" s="1"/>
  <c r="D2198" i="15"/>
  <c r="C2195" i="15"/>
  <c r="F2195" i="15" s="1"/>
  <c r="D2195" i="15"/>
  <c r="C2192" i="15"/>
  <c r="F2192" i="15" s="1"/>
  <c r="D2192" i="15"/>
  <c r="C2189" i="15"/>
  <c r="F2189" i="15" s="1"/>
  <c r="D2189" i="15"/>
  <c r="C2186" i="15"/>
  <c r="F2186" i="15" s="1"/>
  <c r="D2186" i="15"/>
  <c r="C2183" i="15"/>
  <c r="F2183" i="15" s="1"/>
  <c r="D2183" i="15"/>
  <c r="C2180" i="15"/>
  <c r="F2180" i="15" s="1"/>
  <c r="D2180" i="15"/>
  <c r="C2177" i="15"/>
  <c r="F2177" i="15" s="1"/>
  <c r="D2177" i="15"/>
  <c r="C2174" i="15"/>
  <c r="F2174" i="15" s="1"/>
  <c r="D2174" i="15"/>
  <c r="C2171" i="15"/>
  <c r="F2171" i="15" s="1"/>
  <c r="D2171" i="15"/>
  <c r="C2168" i="15"/>
  <c r="F2168" i="15" s="1"/>
  <c r="D2168" i="15"/>
  <c r="D2163" i="15"/>
  <c r="C2155" i="15"/>
  <c r="F2155" i="15" s="1"/>
  <c r="D2155" i="15"/>
  <c r="E2155" i="15"/>
  <c r="D2145" i="15"/>
  <c r="C2166" i="15"/>
  <c r="F2166" i="15" s="1"/>
  <c r="B2166" i="15"/>
  <c r="D2166" i="15"/>
  <c r="C2150" i="15"/>
  <c r="F2150" i="15" s="1"/>
  <c r="E2150" i="15"/>
  <c r="C2148" i="15"/>
  <c r="F2148" i="15" s="1"/>
  <c r="B2148" i="15"/>
  <c r="D2148" i="15"/>
  <c r="C2136" i="15"/>
  <c r="F2136" i="15" s="1"/>
  <c r="B2136" i="15"/>
  <c r="D2136" i="15"/>
  <c r="C2133" i="15"/>
  <c r="F2133" i="15" s="1"/>
  <c r="B2133" i="15"/>
  <c r="C2131" i="15"/>
  <c r="F2131" i="15" s="1"/>
  <c r="D2131" i="15"/>
  <c r="E2131" i="15"/>
  <c r="C2422" i="15"/>
  <c r="F2422" i="15" s="1"/>
  <c r="D2422" i="15"/>
  <c r="C2419" i="15"/>
  <c r="F2419" i="15" s="1"/>
  <c r="D2419" i="15"/>
  <c r="C2416" i="15"/>
  <c r="F2416" i="15" s="1"/>
  <c r="D2416" i="15"/>
  <c r="C2413" i="15"/>
  <c r="F2413" i="15" s="1"/>
  <c r="D2413" i="15"/>
  <c r="C2410" i="15"/>
  <c r="F2410" i="15" s="1"/>
  <c r="D2410" i="15"/>
  <c r="C2407" i="15"/>
  <c r="F2407" i="15" s="1"/>
  <c r="D2407" i="15"/>
  <c r="C2404" i="15"/>
  <c r="F2404" i="15" s="1"/>
  <c r="D2404" i="15"/>
  <c r="C2401" i="15"/>
  <c r="F2401" i="15" s="1"/>
  <c r="D2401" i="15"/>
  <c r="C2398" i="15"/>
  <c r="F2398" i="15" s="1"/>
  <c r="D2398" i="15"/>
  <c r="C2395" i="15"/>
  <c r="F2395" i="15" s="1"/>
  <c r="D2395" i="15"/>
  <c r="C2392" i="15"/>
  <c r="F2392" i="15" s="1"/>
  <c r="D2392" i="15"/>
  <c r="C2389" i="15"/>
  <c r="F2389" i="15" s="1"/>
  <c r="D2389" i="15"/>
  <c r="C2386" i="15"/>
  <c r="F2386" i="15" s="1"/>
  <c r="D2386" i="15"/>
  <c r="C2383" i="15"/>
  <c r="F2383" i="15" s="1"/>
  <c r="D2383" i="15"/>
  <c r="C2380" i="15"/>
  <c r="F2380" i="15" s="1"/>
  <c r="D2380" i="15"/>
  <c r="C2377" i="15"/>
  <c r="F2377" i="15" s="1"/>
  <c r="D2377" i="15"/>
  <c r="C2374" i="15"/>
  <c r="F2374" i="15" s="1"/>
  <c r="D2374" i="15"/>
  <c r="C2371" i="15"/>
  <c r="F2371" i="15" s="1"/>
  <c r="D2371" i="15"/>
  <c r="C2368" i="15"/>
  <c r="F2368" i="15" s="1"/>
  <c r="D2368" i="15"/>
  <c r="C2365" i="15"/>
  <c r="F2365" i="15" s="1"/>
  <c r="D2365" i="15"/>
  <c r="C2362" i="15"/>
  <c r="F2362" i="15" s="1"/>
  <c r="D2362" i="15"/>
  <c r="C2359" i="15"/>
  <c r="F2359" i="15" s="1"/>
  <c r="D2359" i="15"/>
  <c r="C2356" i="15"/>
  <c r="F2356" i="15" s="1"/>
  <c r="D2356" i="15"/>
  <c r="C2353" i="15"/>
  <c r="F2353" i="15" s="1"/>
  <c r="D2353" i="15"/>
  <c r="C2350" i="15"/>
  <c r="F2350" i="15" s="1"/>
  <c r="D2350" i="15"/>
  <c r="C2347" i="15"/>
  <c r="F2347" i="15" s="1"/>
  <c r="D2347" i="15"/>
  <c r="C2344" i="15"/>
  <c r="F2344" i="15" s="1"/>
  <c r="D2344" i="15"/>
  <c r="C2341" i="15"/>
  <c r="F2341" i="15" s="1"/>
  <c r="D2341" i="15"/>
  <c r="C2338" i="15"/>
  <c r="F2338" i="15" s="1"/>
  <c r="D2338" i="15"/>
  <c r="C2335" i="15"/>
  <c r="F2335" i="15" s="1"/>
  <c r="D2335" i="15"/>
  <c r="C2332" i="15"/>
  <c r="F2332" i="15" s="1"/>
  <c r="D2332" i="15"/>
  <c r="C2329" i="15"/>
  <c r="F2329" i="15" s="1"/>
  <c r="D2329" i="15"/>
  <c r="C2326" i="15"/>
  <c r="F2326" i="15" s="1"/>
  <c r="D2326" i="15"/>
  <c r="C2323" i="15"/>
  <c r="F2323" i="15" s="1"/>
  <c r="D2323" i="15"/>
  <c r="C2320" i="15"/>
  <c r="F2320" i="15" s="1"/>
  <c r="D2320" i="15"/>
  <c r="C2317" i="15"/>
  <c r="F2317" i="15" s="1"/>
  <c r="D2317" i="15"/>
  <c r="C2314" i="15"/>
  <c r="F2314" i="15" s="1"/>
  <c r="D2314" i="15"/>
  <c r="C2311" i="15"/>
  <c r="F2311" i="15" s="1"/>
  <c r="D2311" i="15"/>
  <c r="C2308" i="15"/>
  <c r="F2308" i="15" s="1"/>
  <c r="D2308" i="15"/>
  <c r="C2305" i="15"/>
  <c r="F2305" i="15" s="1"/>
  <c r="D2305" i="15"/>
  <c r="C2302" i="15"/>
  <c r="F2302" i="15" s="1"/>
  <c r="D2302" i="15"/>
  <c r="C2299" i="15"/>
  <c r="F2299" i="15" s="1"/>
  <c r="D2299" i="15"/>
  <c r="C2296" i="15"/>
  <c r="F2296" i="15" s="1"/>
  <c r="D2296" i="15"/>
  <c r="C2293" i="15"/>
  <c r="F2293" i="15" s="1"/>
  <c r="D2293" i="15"/>
  <c r="C2290" i="15"/>
  <c r="F2290" i="15" s="1"/>
  <c r="D2290" i="15"/>
  <c r="C2287" i="15"/>
  <c r="F2287" i="15" s="1"/>
  <c r="D2287" i="15"/>
  <c r="C2284" i="15"/>
  <c r="F2284" i="15" s="1"/>
  <c r="D2284" i="15"/>
  <c r="C2281" i="15"/>
  <c r="F2281" i="15" s="1"/>
  <c r="D2281" i="15"/>
  <c r="C2278" i="15"/>
  <c r="F2278" i="15" s="1"/>
  <c r="D2278" i="15"/>
  <c r="C2275" i="15"/>
  <c r="F2275" i="15" s="1"/>
  <c r="D2275" i="15"/>
  <c r="C2272" i="15"/>
  <c r="F2272" i="15" s="1"/>
  <c r="D2272" i="15"/>
  <c r="C2269" i="15"/>
  <c r="F2269" i="15" s="1"/>
  <c r="D2269" i="15"/>
  <c r="C2266" i="15"/>
  <c r="F2266" i="15" s="1"/>
  <c r="D2266" i="15"/>
  <c r="C2263" i="15"/>
  <c r="F2263" i="15" s="1"/>
  <c r="D2263" i="15"/>
  <c r="C2260" i="15"/>
  <c r="F2260" i="15" s="1"/>
  <c r="D2260" i="15"/>
  <c r="C2257" i="15"/>
  <c r="F2257" i="15" s="1"/>
  <c r="D2257" i="15"/>
  <c r="C2254" i="15"/>
  <c r="F2254" i="15" s="1"/>
  <c r="D2254" i="15"/>
  <c r="C2251" i="15"/>
  <c r="F2251" i="15" s="1"/>
  <c r="D2251" i="15"/>
  <c r="C2248" i="15"/>
  <c r="F2248" i="15" s="1"/>
  <c r="D2248" i="15"/>
  <c r="C2245" i="15"/>
  <c r="F2245" i="15" s="1"/>
  <c r="D2245" i="15"/>
  <c r="C2242" i="15"/>
  <c r="F2242" i="15" s="1"/>
  <c r="D2242" i="15"/>
  <c r="C2239" i="15"/>
  <c r="F2239" i="15" s="1"/>
  <c r="D2239" i="15"/>
  <c r="C2236" i="15"/>
  <c r="F2236" i="15" s="1"/>
  <c r="D2236" i="15"/>
  <c r="C2233" i="15"/>
  <c r="F2233" i="15" s="1"/>
  <c r="D2233" i="15"/>
  <c r="C2229" i="15"/>
  <c r="F2229" i="15" s="1"/>
  <c r="D2229" i="15"/>
  <c r="C2226" i="15"/>
  <c r="F2226" i="15" s="1"/>
  <c r="D2226" i="15"/>
  <c r="C2223" i="15"/>
  <c r="F2223" i="15" s="1"/>
  <c r="D2223" i="15"/>
  <c r="C2220" i="15"/>
  <c r="F2220" i="15" s="1"/>
  <c r="D2220" i="15"/>
  <c r="C2217" i="15"/>
  <c r="F2217" i="15" s="1"/>
  <c r="D2217" i="15"/>
  <c r="C2214" i="15"/>
  <c r="F2214" i="15" s="1"/>
  <c r="D2214" i="15"/>
  <c r="C2211" i="15"/>
  <c r="F2211" i="15" s="1"/>
  <c r="D2211" i="15"/>
  <c r="C2208" i="15"/>
  <c r="F2208" i="15" s="1"/>
  <c r="D2208" i="15"/>
  <c r="C2205" i="15"/>
  <c r="F2205" i="15" s="1"/>
  <c r="D2205" i="15"/>
  <c r="C2202" i="15"/>
  <c r="F2202" i="15" s="1"/>
  <c r="D2202" i="15"/>
  <c r="E2200" i="15"/>
  <c r="C2199" i="15"/>
  <c r="F2199" i="15" s="1"/>
  <c r="D2199" i="15"/>
  <c r="E2197" i="15"/>
  <c r="C2196" i="15"/>
  <c r="F2196" i="15" s="1"/>
  <c r="D2196" i="15"/>
  <c r="E2194" i="15"/>
  <c r="C2193" i="15"/>
  <c r="F2193" i="15" s="1"/>
  <c r="D2193" i="15"/>
  <c r="E2191" i="15"/>
  <c r="C2190" i="15"/>
  <c r="F2190" i="15" s="1"/>
  <c r="D2190" i="15"/>
  <c r="E2188" i="15"/>
  <c r="C2187" i="15"/>
  <c r="F2187" i="15" s="1"/>
  <c r="D2187" i="15"/>
  <c r="E2185" i="15"/>
  <c r="C2184" i="15"/>
  <c r="F2184" i="15" s="1"/>
  <c r="D2184" i="15"/>
  <c r="E2182" i="15"/>
  <c r="C2181" i="15"/>
  <c r="F2181" i="15" s="1"/>
  <c r="D2181" i="15"/>
  <c r="E2179" i="15"/>
  <c r="C2178" i="15"/>
  <c r="F2178" i="15" s="1"/>
  <c r="D2178" i="15"/>
  <c r="E2176" i="15"/>
  <c r="C2175" i="15"/>
  <c r="F2175" i="15" s="1"/>
  <c r="D2175" i="15"/>
  <c r="E2173" i="15"/>
  <c r="C2172" i="15"/>
  <c r="F2172" i="15" s="1"/>
  <c r="D2172" i="15"/>
  <c r="E2170" i="15"/>
  <c r="C2169" i="15"/>
  <c r="F2169" i="15" s="1"/>
  <c r="D2169" i="15"/>
  <c r="E2167" i="15"/>
  <c r="C2161" i="15"/>
  <c r="F2161" i="15" s="1"/>
  <c r="D2161" i="15"/>
  <c r="E2161" i="15"/>
  <c r="D2151" i="15"/>
  <c r="C2143" i="15"/>
  <c r="F2143" i="15" s="1"/>
  <c r="D2143" i="15"/>
  <c r="E2143" i="15"/>
  <c r="E2485" i="15"/>
  <c r="E2479" i="15"/>
  <c r="E2473" i="15"/>
  <c r="E2467" i="15"/>
  <c r="E2461" i="15"/>
  <c r="E2455" i="15"/>
  <c r="E2449" i="15"/>
  <c r="E2443" i="15"/>
  <c r="E2437" i="15"/>
  <c r="E2431" i="15"/>
  <c r="E2425" i="15"/>
  <c r="E2157" i="15"/>
  <c r="C2156" i="15"/>
  <c r="F2156" i="15" s="1"/>
  <c r="E2156" i="15"/>
  <c r="C2154" i="15"/>
  <c r="F2154" i="15" s="1"/>
  <c r="B2154" i="15"/>
  <c r="D2154" i="15"/>
  <c r="B2151" i="15"/>
  <c r="C2130" i="15"/>
  <c r="F2130" i="15" s="1"/>
  <c r="B2130" i="15"/>
  <c r="D2130" i="15"/>
  <c r="C2127" i="15"/>
  <c r="F2127" i="15" s="1"/>
  <c r="B2127" i="15"/>
  <c r="C2125" i="15"/>
  <c r="F2125" i="15" s="1"/>
  <c r="D2125" i="15"/>
  <c r="E2125" i="15"/>
  <c r="C2200" i="15"/>
  <c r="F2200" i="15" s="1"/>
  <c r="D2200" i="15"/>
  <c r="C2197" i="15"/>
  <c r="F2197" i="15" s="1"/>
  <c r="D2197" i="15"/>
  <c r="C2194" i="15"/>
  <c r="F2194" i="15" s="1"/>
  <c r="D2194" i="15"/>
  <c r="C2191" i="15"/>
  <c r="F2191" i="15" s="1"/>
  <c r="D2191" i="15"/>
  <c r="C2188" i="15"/>
  <c r="F2188" i="15" s="1"/>
  <c r="D2188" i="15"/>
  <c r="C2185" i="15"/>
  <c r="F2185" i="15" s="1"/>
  <c r="D2185" i="15"/>
  <c r="C2182" i="15"/>
  <c r="F2182" i="15" s="1"/>
  <c r="D2182" i="15"/>
  <c r="C2179" i="15"/>
  <c r="F2179" i="15" s="1"/>
  <c r="D2179" i="15"/>
  <c r="C2176" i="15"/>
  <c r="F2176" i="15" s="1"/>
  <c r="D2176" i="15"/>
  <c r="C2173" i="15"/>
  <c r="F2173" i="15" s="1"/>
  <c r="D2173" i="15"/>
  <c r="C2170" i="15"/>
  <c r="F2170" i="15" s="1"/>
  <c r="D2170" i="15"/>
  <c r="C2167" i="15"/>
  <c r="F2167" i="15" s="1"/>
  <c r="D2167" i="15"/>
  <c r="C2149" i="15"/>
  <c r="F2149" i="15" s="1"/>
  <c r="D2149" i="15"/>
  <c r="E2149" i="15"/>
  <c r="C2119" i="15"/>
  <c r="F2119" i="15" s="1"/>
  <c r="D2119" i="15"/>
  <c r="E2119" i="15"/>
  <c r="C2113" i="15"/>
  <c r="F2113" i="15" s="1"/>
  <c r="D2113" i="15"/>
  <c r="E2113" i="15"/>
  <c r="E2094" i="15"/>
  <c r="E2088" i="15"/>
  <c r="E2082" i="15"/>
  <c r="E2069" i="15"/>
  <c r="E2062" i="15"/>
  <c r="E2051" i="15"/>
  <c r="D2041" i="15"/>
  <c r="B2041" i="15"/>
  <c r="D2038" i="15"/>
  <c r="B2038" i="15"/>
  <c r="D2023" i="15"/>
  <c r="B2023" i="15"/>
  <c r="C2023" i="15"/>
  <c r="F2023" i="15" s="1"/>
  <c r="E1998" i="15"/>
  <c r="C1998" i="15"/>
  <c r="F1998" i="15" s="1"/>
  <c r="B1998" i="15"/>
  <c r="D1998" i="15"/>
  <c r="E1980" i="15"/>
  <c r="C1980" i="15"/>
  <c r="F1980" i="15" s="1"/>
  <c r="B1980" i="15"/>
  <c r="D1980" i="15"/>
  <c r="B2165" i="15"/>
  <c r="B2159" i="15"/>
  <c r="B2153" i="15"/>
  <c r="B2147" i="15"/>
  <c r="B2141" i="15"/>
  <c r="B2135" i="15"/>
  <c r="B2129" i="15"/>
  <c r="B2123" i="15"/>
  <c r="B2117" i="15"/>
  <c r="B2111" i="15"/>
  <c r="E2107" i="15"/>
  <c r="B2105" i="15"/>
  <c r="E2101" i="15"/>
  <c r="B2099" i="15"/>
  <c r="E2095" i="15"/>
  <c r="D2094" i="15"/>
  <c r="B2093" i="15"/>
  <c r="E2089" i="15"/>
  <c r="D2088" i="15"/>
  <c r="B2087" i="15"/>
  <c r="E2083" i="15"/>
  <c r="D2082" i="15"/>
  <c r="B2081" i="15"/>
  <c r="E2077" i="15"/>
  <c r="C2073" i="15"/>
  <c r="F2073" i="15" s="1"/>
  <c r="D2072" i="15"/>
  <c r="C2072" i="15"/>
  <c r="F2072" i="15" s="1"/>
  <c r="C2069" i="15"/>
  <c r="F2069" i="15" s="1"/>
  <c r="E2066" i="15"/>
  <c r="D2065" i="15"/>
  <c r="B2065" i="15"/>
  <c r="C2062" i="15"/>
  <c r="F2062" i="15" s="1"/>
  <c r="D2061" i="15"/>
  <c r="E2061" i="15"/>
  <c r="E2059" i="15"/>
  <c r="C2055" i="15"/>
  <c r="F2055" i="15" s="1"/>
  <c r="D2054" i="15"/>
  <c r="C2054" i="15"/>
  <c r="F2054" i="15" s="1"/>
  <c r="C2051" i="15"/>
  <c r="F2051" i="15" s="1"/>
  <c r="E2048" i="15"/>
  <c r="D2047" i="15"/>
  <c r="B2047" i="15"/>
  <c r="D2044" i="15"/>
  <c r="B2044" i="15"/>
  <c r="E2042" i="15"/>
  <c r="E2039" i="15"/>
  <c r="D2030" i="15"/>
  <c r="C2030" i="15"/>
  <c r="F2030" i="15" s="1"/>
  <c r="E2019" i="15"/>
  <c r="B2019" i="15"/>
  <c r="B11" i="33" s="1"/>
  <c r="C2019" i="15"/>
  <c r="F2019" i="15" s="1"/>
  <c r="E11" i="23" s="1"/>
  <c r="D2019" i="15"/>
  <c r="E1997" i="15"/>
  <c r="B1997" i="15"/>
  <c r="D1997" i="15"/>
  <c r="C1997" i="15"/>
  <c r="F1997" i="15" s="1"/>
  <c r="E2138" i="15"/>
  <c r="E2132" i="15"/>
  <c r="E2126" i="15"/>
  <c r="E2120" i="15"/>
  <c r="E2114" i="15"/>
  <c r="E2108" i="15"/>
  <c r="D2107" i="15"/>
  <c r="E2102" i="15"/>
  <c r="D2101" i="15"/>
  <c r="E2096" i="15"/>
  <c r="D2095" i="15"/>
  <c r="B2094" i="15"/>
  <c r="E2090" i="15"/>
  <c r="D2089" i="15"/>
  <c r="B2088" i="15"/>
  <c r="E2084" i="15"/>
  <c r="D2083" i="15"/>
  <c r="B2082" i="15"/>
  <c r="E2078" i="15"/>
  <c r="E2074" i="15"/>
  <c r="B2069" i="15"/>
  <c r="E2063" i="15"/>
  <c r="B2062" i="15"/>
  <c r="E2056" i="15"/>
  <c r="B2051" i="15"/>
  <c r="D2036" i="15"/>
  <c r="C2036" i="15"/>
  <c r="F2036" i="15" s="1"/>
  <c r="D2033" i="15"/>
  <c r="C2033" i="15"/>
  <c r="F2033" i="15" s="1"/>
  <c r="E2015" i="15"/>
  <c r="D2015" i="15"/>
  <c r="B2015" i="15"/>
  <c r="C2015" i="15"/>
  <c r="F2015" i="15" s="1"/>
  <c r="D2077" i="15"/>
  <c r="B2077" i="15"/>
  <c r="D2073" i="15"/>
  <c r="E2073" i="15"/>
  <c r="D2066" i="15"/>
  <c r="C2066" i="15"/>
  <c r="F2066" i="15" s="1"/>
  <c r="D2059" i="15"/>
  <c r="B2059" i="15"/>
  <c r="D2055" i="15"/>
  <c r="E2055" i="15"/>
  <c r="D2048" i="15"/>
  <c r="C2048" i="15"/>
  <c r="F2048" i="15" s="1"/>
  <c r="D2042" i="15"/>
  <c r="C2042" i="15"/>
  <c r="F2042" i="15" s="1"/>
  <c r="D2039" i="15"/>
  <c r="C2039" i="15"/>
  <c r="F2039" i="15" s="1"/>
  <c r="D2097" i="15"/>
  <c r="D2091" i="15"/>
  <c r="D2085" i="15"/>
  <c r="D2079" i="15"/>
  <c r="D2045" i="15"/>
  <c r="C2045" i="15"/>
  <c r="F2045" i="15" s="1"/>
  <c r="E2041" i="15"/>
  <c r="E2038" i="15"/>
  <c r="D2029" i="15"/>
  <c r="B2029" i="15"/>
  <c r="D2026" i="15"/>
  <c r="B2026" i="15"/>
  <c r="E2007" i="15"/>
  <c r="B2007" i="15"/>
  <c r="C2007" i="15"/>
  <c r="F2007" i="15" s="1"/>
  <c r="D2007" i="15"/>
  <c r="B2121" i="15"/>
  <c r="B2115" i="15"/>
  <c r="B2109" i="15"/>
  <c r="B2103" i="15"/>
  <c r="B2097" i="15"/>
  <c r="B2091" i="15"/>
  <c r="B2085" i="15"/>
  <c r="B2079" i="15"/>
  <c r="D2071" i="15"/>
  <c r="B2071" i="15"/>
  <c r="D2067" i="15"/>
  <c r="E2067" i="15"/>
  <c r="D2060" i="15"/>
  <c r="C2060" i="15"/>
  <c r="F2060" i="15" s="1"/>
  <c r="D2053" i="15"/>
  <c r="B2053" i="15"/>
  <c r="D2049" i="15"/>
  <c r="E2049" i="15"/>
  <c r="C2041" i="15"/>
  <c r="F2041" i="15" s="1"/>
  <c r="C2038" i="15"/>
  <c r="F2038" i="15" s="1"/>
  <c r="D2035" i="15"/>
  <c r="B2035" i="15"/>
  <c r="D2032" i="15"/>
  <c r="B2032" i="15"/>
  <c r="E2023" i="15"/>
  <c r="E1999" i="15"/>
  <c r="D1999" i="15"/>
  <c r="B1999" i="15"/>
  <c r="C1999" i="15"/>
  <c r="F1999" i="15" s="1"/>
  <c r="E1962" i="15"/>
  <c r="C1962" i="15"/>
  <c r="F1962" i="15" s="1"/>
  <c r="E1944" i="15"/>
  <c r="C1944" i="15"/>
  <c r="F1944" i="15" s="1"/>
  <c r="E1916" i="15"/>
  <c r="C1916" i="15"/>
  <c r="F1916" i="15" s="1"/>
  <c r="E2024" i="15"/>
  <c r="E2014" i="15"/>
  <c r="C2014" i="15"/>
  <c r="F2014" i="15" s="1"/>
  <c r="E2011" i="15"/>
  <c r="D2011" i="15"/>
  <c r="E2009" i="15"/>
  <c r="B2009" i="15"/>
  <c r="D2009" i="15"/>
  <c r="E2001" i="15"/>
  <c r="B2001" i="15"/>
  <c r="E1993" i="15"/>
  <c r="D1993" i="15"/>
  <c r="E1991" i="15"/>
  <c r="B1991" i="15"/>
  <c r="D1991" i="15"/>
  <c r="D1989" i="15"/>
  <c r="E1983" i="15"/>
  <c r="B1983" i="15"/>
  <c r="C1981" i="15"/>
  <c r="F1981" i="15" s="1"/>
  <c r="E1975" i="15"/>
  <c r="D1975" i="15"/>
  <c r="E1973" i="15"/>
  <c r="B1973" i="15"/>
  <c r="D1973" i="15"/>
  <c r="D1971" i="15"/>
  <c r="E1965" i="15"/>
  <c r="B1965" i="15"/>
  <c r="C1963" i="15"/>
  <c r="F1963" i="15" s="1"/>
  <c r="E1957" i="15"/>
  <c r="D1957" i="15"/>
  <c r="E1955" i="15"/>
  <c r="B1955" i="15"/>
  <c r="D1955" i="15"/>
  <c r="D1953" i="15"/>
  <c r="E1947" i="15"/>
  <c r="B1947" i="15"/>
  <c r="C1945" i="15"/>
  <c r="F1945" i="15" s="1"/>
  <c r="E1939" i="15"/>
  <c r="D1939" i="15"/>
  <c r="E1937" i="15"/>
  <c r="B1937" i="15"/>
  <c r="D1937" i="15"/>
  <c r="D1935" i="15"/>
  <c r="E1929" i="15"/>
  <c r="B1929" i="15"/>
  <c r="E1878" i="15"/>
  <c r="C1878" i="15"/>
  <c r="F1878" i="15" s="1"/>
  <c r="B1878" i="15"/>
  <c r="E1860" i="15"/>
  <c r="C1860" i="15"/>
  <c r="F1860" i="15" s="1"/>
  <c r="B1860" i="15"/>
  <c r="E1845" i="15"/>
  <c r="B1845" i="15"/>
  <c r="C1845" i="15"/>
  <c r="F1845" i="15" s="1"/>
  <c r="D1845" i="15"/>
  <c r="E2043" i="15"/>
  <c r="E2037" i="15"/>
  <c r="E2031" i="15"/>
  <c r="E2025" i="15"/>
  <c r="C2024" i="15"/>
  <c r="F2024" i="15" s="1"/>
  <c r="D2016" i="15"/>
  <c r="E2004" i="15"/>
  <c r="C2004" i="15"/>
  <c r="F2004" i="15" s="1"/>
  <c r="E1986" i="15"/>
  <c r="C1986" i="15"/>
  <c r="F1986" i="15" s="1"/>
  <c r="E1968" i="15"/>
  <c r="C1968" i="15"/>
  <c r="F1968" i="15" s="1"/>
  <c r="E1950" i="15"/>
  <c r="C1950" i="15"/>
  <c r="F1950" i="15" s="1"/>
  <c r="E1932" i="15"/>
  <c r="C1932" i="15"/>
  <c r="F1932" i="15" s="1"/>
  <c r="E1927" i="15"/>
  <c r="D1927" i="15"/>
  <c r="C1927" i="15"/>
  <c r="F1927" i="15" s="1"/>
  <c r="E1909" i="15"/>
  <c r="D1909" i="15"/>
  <c r="C1909" i="15"/>
  <c r="F1909" i="15" s="1"/>
  <c r="E1883" i="15"/>
  <c r="B1883" i="15"/>
  <c r="D1883" i="15"/>
  <c r="C1883" i="15"/>
  <c r="F1883" i="15" s="1"/>
  <c r="E1857" i="15"/>
  <c r="B1857" i="15"/>
  <c r="C1857" i="15"/>
  <c r="F1857" i="15" s="1"/>
  <c r="D1857" i="15"/>
  <c r="E1989" i="15"/>
  <c r="B1989" i="15"/>
  <c r="E1981" i="15"/>
  <c r="D1981" i="15"/>
  <c r="E1979" i="15"/>
  <c r="B1979" i="15"/>
  <c r="D1979" i="15"/>
  <c r="E1971" i="15"/>
  <c r="B1971" i="15"/>
  <c r="E1963" i="15"/>
  <c r="D1963" i="15"/>
  <c r="E1961" i="15"/>
  <c r="B1961" i="15"/>
  <c r="D1961" i="15"/>
  <c r="E1953" i="15"/>
  <c r="B1953" i="15"/>
  <c r="E1945" i="15"/>
  <c r="D1945" i="15"/>
  <c r="E1943" i="15"/>
  <c r="B1943" i="15"/>
  <c r="D1943" i="15"/>
  <c r="E1935" i="15"/>
  <c r="B1935" i="15"/>
  <c r="E1920" i="15"/>
  <c r="C1920" i="15"/>
  <c r="F1920" i="15" s="1"/>
  <c r="D1920" i="15"/>
  <c r="E1869" i="15"/>
  <c r="B1869" i="15"/>
  <c r="C1869" i="15"/>
  <c r="F1869" i="15" s="1"/>
  <c r="D1869" i="15"/>
  <c r="E2010" i="15"/>
  <c r="C2010" i="15"/>
  <c r="F2010" i="15" s="1"/>
  <c r="E1992" i="15"/>
  <c r="C1992" i="15"/>
  <c r="F1992" i="15" s="1"/>
  <c r="E1974" i="15"/>
  <c r="C1974" i="15"/>
  <c r="F1974" i="15" s="1"/>
  <c r="D1962" i="15"/>
  <c r="E1956" i="15"/>
  <c r="C1956" i="15"/>
  <c r="F1956" i="15" s="1"/>
  <c r="D1944" i="15"/>
  <c r="E1938" i="15"/>
  <c r="C1938" i="15"/>
  <c r="F1938" i="15" s="1"/>
  <c r="D1916" i="15"/>
  <c r="E1913" i="15"/>
  <c r="B1913" i="15"/>
  <c r="D1913" i="15"/>
  <c r="E1875" i="15"/>
  <c r="B1875" i="15"/>
  <c r="C1875" i="15"/>
  <c r="F1875" i="15" s="1"/>
  <c r="C2027" i="15"/>
  <c r="F2027" i="15" s="1"/>
  <c r="C2021" i="15"/>
  <c r="F2021" i="15" s="1"/>
  <c r="E2020" i="15"/>
  <c r="C2020" i="15"/>
  <c r="F2020" i="15" s="1"/>
  <c r="C2017" i="15"/>
  <c r="F2017" i="15" s="1"/>
  <c r="D2014" i="15"/>
  <c r="E2013" i="15"/>
  <c r="B2013" i="15"/>
  <c r="C2011" i="15"/>
  <c r="F2011" i="15" s="1"/>
  <c r="E2005" i="15"/>
  <c r="D2005" i="15"/>
  <c r="E2003" i="15"/>
  <c r="B2003" i="15"/>
  <c r="D2003" i="15"/>
  <c r="D2001" i="15"/>
  <c r="E1995" i="15"/>
  <c r="B1995" i="15"/>
  <c r="C1993" i="15"/>
  <c r="F1993" i="15" s="1"/>
  <c r="E1987" i="15"/>
  <c r="D1987" i="15"/>
  <c r="E1985" i="15"/>
  <c r="B1985" i="15"/>
  <c r="D1985" i="15"/>
  <c r="D1983" i="15"/>
  <c r="E1977" i="15"/>
  <c r="B1977" i="15"/>
  <c r="C1975" i="15"/>
  <c r="F1975" i="15" s="1"/>
  <c r="E1969" i="15"/>
  <c r="D1969" i="15"/>
  <c r="E1967" i="15"/>
  <c r="B1967" i="15"/>
  <c r="D1967" i="15"/>
  <c r="D1965" i="15"/>
  <c r="B1962" i="15"/>
  <c r="E1959" i="15"/>
  <c r="B1959" i="15"/>
  <c r="C1957" i="15"/>
  <c r="F1957" i="15" s="1"/>
  <c r="E1951" i="15"/>
  <c r="D1951" i="15"/>
  <c r="E1949" i="15"/>
  <c r="B1949" i="15"/>
  <c r="D1949" i="15"/>
  <c r="D1947" i="15"/>
  <c r="B1944" i="15"/>
  <c r="E1941" i="15"/>
  <c r="B1941" i="15"/>
  <c r="C1939" i="15"/>
  <c r="F1939" i="15" s="1"/>
  <c r="E1933" i="15"/>
  <c r="D1933" i="15"/>
  <c r="E1931" i="15"/>
  <c r="B1931" i="15"/>
  <c r="D1931" i="15"/>
  <c r="D1929" i="15"/>
  <c r="E1923" i="15"/>
  <c r="C1923" i="15"/>
  <c r="F1923" i="15" s="1"/>
  <c r="B1916" i="15"/>
  <c r="E1885" i="15"/>
  <c r="D1885" i="15"/>
  <c r="B1885" i="15"/>
  <c r="C1885" i="15"/>
  <c r="F1885" i="15" s="1"/>
  <c r="C2008" i="15"/>
  <c r="F2008" i="15" s="1"/>
  <c r="C2002" i="15"/>
  <c r="F2002" i="15" s="1"/>
  <c r="C1996" i="15"/>
  <c r="F1996" i="15" s="1"/>
  <c r="C1990" i="15"/>
  <c r="F1990" i="15" s="1"/>
  <c r="C1984" i="15"/>
  <c r="F1984" i="15" s="1"/>
  <c r="C1978" i="15"/>
  <c r="F1978" i="15" s="1"/>
  <c r="C1972" i="15"/>
  <c r="F1972" i="15" s="1"/>
  <c r="C1966" i="15"/>
  <c r="F1966" i="15" s="1"/>
  <c r="C1960" i="15"/>
  <c r="F1960" i="15" s="1"/>
  <c r="C1954" i="15"/>
  <c r="F1954" i="15" s="1"/>
  <c r="C1948" i="15"/>
  <c r="F1948" i="15" s="1"/>
  <c r="C1942" i="15"/>
  <c r="F1942" i="15" s="1"/>
  <c r="C1936" i="15"/>
  <c r="F1936" i="15" s="1"/>
  <c r="C1930" i="15"/>
  <c r="F1930" i="15" s="1"/>
  <c r="E1925" i="15"/>
  <c r="B1925" i="15"/>
  <c r="C1922" i="15"/>
  <c r="F1922" i="15" s="1"/>
  <c r="E1921" i="15"/>
  <c r="D1921" i="15"/>
  <c r="E1914" i="15"/>
  <c r="C1914" i="15"/>
  <c r="F1914" i="15" s="1"/>
  <c r="C1911" i="15"/>
  <c r="F1911" i="15" s="1"/>
  <c r="E1907" i="15"/>
  <c r="B1907" i="15"/>
  <c r="C1904" i="15"/>
  <c r="F1904" i="15" s="1"/>
  <c r="E1903" i="15"/>
  <c r="D1903" i="15"/>
  <c r="E1896" i="15"/>
  <c r="C1896" i="15"/>
  <c r="F1896" i="15" s="1"/>
  <c r="C1893" i="15"/>
  <c r="F1893" i="15" s="1"/>
  <c r="E1889" i="15"/>
  <c r="B1889" i="15"/>
  <c r="E1872" i="15"/>
  <c r="C1872" i="15"/>
  <c r="F1872" i="15" s="1"/>
  <c r="E1865" i="15"/>
  <c r="B1865" i="15"/>
  <c r="D1865" i="15"/>
  <c r="E1853" i="15"/>
  <c r="B1853" i="15"/>
  <c r="D1853" i="15"/>
  <c r="E1848" i="15"/>
  <c r="C1848" i="15"/>
  <c r="F1848" i="15" s="1"/>
  <c r="E18" i="24" s="1"/>
  <c r="E1926" i="15"/>
  <c r="C1926" i="15"/>
  <c r="F1926" i="15" s="1"/>
  <c r="E1919" i="15"/>
  <c r="B1919" i="15"/>
  <c r="E1915" i="15"/>
  <c r="D1915" i="15"/>
  <c r="E1908" i="15"/>
  <c r="C1908" i="15"/>
  <c r="F1908" i="15" s="1"/>
  <c r="C1905" i="15"/>
  <c r="F1905" i="15" s="1"/>
  <c r="E1901" i="15"/>
  <c r="B1901" i="15"/>
  <c r="C1898" i="15"/>
  <c r="F1898" i="15" s="1"/>
  <c r="E1897" i="15"/>
  <c r="D1897" i="15"/>
  <c r="E1890" i="15"/>
  <c r="C1890" i="15"/>
  <c r="F1890" i="15" s="1"/>
  <c r="E1884" i="15"/>
  <c r="C1884" i="15"/>
  <c r="F1884" i="15" s="1"/>
  <c r="E1881" i="15"/>
  <c r="B1881" i="15"/>
  <c r="E1863" i="15"/>
  <c r="B1863" i="15"/>
  <c r="C1863" i="15"/>
  <c r="F1863" i="15" s="1"/>
  <c r="E1851" i="15"/>
  <c r="B1851" i="15"/>
  <c r="C1851" i="15"/>
  <c r="F1851" i="15" s="1"/>
  <c r="E1887" i="15"/>
  <c r="B1887" i="15"/>
  <c r="E1873" i="15"/>
  <c r="D1873" i="15"/>
  <c r="E1871" i="15"/>
  <c r="B1871" i="15"/>
  <c r="D1871" i="15"/>
  <c r="E1859" i="15"/>
  <c r="B1859" i="15"/>
  <c r="D1859" i="15"/>
  <c r="E1847" i="15"/>
  <c r="B1847" i="15"/>
  <c r="D1847" i="15"/>
  <c r="E1902" i="15"/>
  <c r="C1902" i="15"/>
  <c r="F1902" i="15" s="1"/>
  <c r="E1895" i="15"/>
  <c r="B1895" i="15"/>
  <c r="E1891" i="15"/>
  <c r="D1891" i="15"/>
  <c r="E1879" i="15"/>
  <c r="D1879" i="15"/>
  <c r="E1877" i="15"/>
  <c r="B1877" i="15"/>
  <c r="D1877" i="15"/>
  <c r="E1866" i="15"/>
  <c r="C1866" i="15"/>
  <c r="F1866" i="15" s="1"/>
  <c r="E1854" i="15"/>
  <c r="C1854" i="15"/>
  <c r="F1854" i="15" s="1"/>
  <c r="C1619" i="15"/>
  <c r="F1619" i="15" s="1"/>
  <c r="D1619" i="15"/>
  <c r="E1619" i="15"/>
  <c r="B1619" i="15"/>
  <c r="C1669" i="15"/>
  <c r="F1669" i="15" s="1"/>
  <c r="E1669" i="15"/>
  <c r="C1661" i="15"/>
  <c r="F1661" i="15" s="1"/>
  <c r="D1661" i="15"/>
  <c r="E1661" i="15"/>
  <c r="B1661" i="15"/>
  <c r="C1656" i="15"/>
  <c r="F1656" i="15" s="1"/>
  <c r="E1656" i="15"/>
  <c r="D1656" i="15"/>
  <c r="C1651" i="15"/>
  <c r="F1651" i="15" s="1"/>
  <c r="E1651" i="15"/>
  <c r="C1643" i="15"/>
  <c r="F1643" i="15" s="1"/>
  <c r="D1643" i="15"/>
  <c r="E1643" i="15"/>
  <c r="B1643" i="15"/>
  <c r="C1638" i="15"/>
  <c r="F1638" i="15" s="1"/>
  <c r="E1638" i="15"/>
  <c r="D1638" i="15"/>
  <c r="C1613" i="15"/>
  <c r="F1613" i="15" s="1"/>
  <c r="D1613" i="15"/>
  <c r="E1613" i="15"/>
  <c r="B1613" i="15"/>
  <c r="C1607" i="15"/>
  <c r="F1607" i="15" s="1"/>
  <c r="D1607" i="15"/>
  <c r="E1607" i="15"/>
  <c r="B1607" i="15"/>
  <c r="D1867" i="15"/>
  <c r="D1861" i="15"/>
  <c r="D1855" i="15"/>
  <c r="D1849" i="15"/>
  <c r="C1668" i="15"/>
  <c r="F1668" i="15" s="1"/>
  <c r="E1668" i="15"/>
  <c r="D1668" i="15"/>
  <c r="C1663" i="15"/>
  <c r="F1663" i="15" s="1"/>
  <c r="E1663" i="15"/>
  <c r="D1657" i="15"/>
  <c r="C1655" i="15"/>
  <c r="F1655" i="15" s="1"/>
  <c r="D1655" i="15"/>
  <c r="E1655" i="15"/>
  <c r="B1655" i="15"/>
  <c r="C1650" i="15"/>
  <c r="F1650" i="15" s="1"/>
  <c r="E1650" i="15"/>
  <c r="D1650" i="15"/>
  <c r="C1645" i="15"/>
  <c r="F1645" i="15" s="1"/>
  <c r="E1645" i="15"/>
  <c r="D1639" i="15"/>
  <c r="C1637" i="15"/>
  <c r="F1637" i="15" s="1"/>
  <c r="D1637" i="15"/>
  <c r="E1637" i="15"/>
  <c r="B1637" i="15"/>
  <c r="C1632" i="15"/>
  <c r="F1632" i="15" s="1"/>
  <c r="E1632" i="15"/>
  <c r="D1632" i="15"/>
  <c r="C1631" i="15"/>
  <c r="F1631" i="15" s="1"/>
  <c r="D1631" i="15"/>
  <c r="E1631" i="15"/>
  <c r="B1631" i="15"/>
  <c r="C1626" i="15"/>
  <c r="F1626" i="15" s="1"/>
  <c r="E1626" i="15"/>
  <c r="D1626" i="15"/>
  <c r="C1667" i="15"/>
  <c r="F1667" i="15" s="1"/>
  <c r="D1667" i="15"/>
  <c r="E1667" i="15"/>
  <c r="B1667" i="15"/>
  <c r="C1662" i="15"/>
  <c r="F1662" i="15" s="1"/>
  <c r="E1662" i="15"/>
  <c r="D1662" i="15"/>
  <c r="C1657" i="15"/>
  <c r="F1657" i="15" s="1"/>
  <c r="E1657" i="15"/>
  <c r="C1649" i="15"/>
  <c r="F1649" i="15" s="1"/>
  <c r="D1649" i="15"/>
  <c r="E1649" i="15"/>
  <c r="B1649" i="15"/>
  <c r="C1644" i="15"/>
  <c r="F1644" i="15" s="1"/>
  <c r="E1644" i="15"/>
  <c r="D1644" i="15"/>
  <c r="C1639" i="15"/>
  <c r="F1639" i="15" s="1"/>
  <c r="E1639" i="15"/>
  <c r="C1625" i="15"/>
  <c r="F1625" i="15" s="1"/>
  <c r="D1625" i="15"/>
  <c r="E1625" i="15"/>
  <c r="B1625" i="15"/>
  <c r="C1620" i="15"/>
  <c r="F1620" i="15" s="1"/>
  <c r="E1620" i="15"/>
  <c r="D1620" i="15"/>
  <c r="E1633" i="15"/>
  <c r="E1627" i="15"/>
  <c r="E1621" i="15"/>
  <c r="E1615" i="15"/>
  <c r="D1614" i="15"/>
  <c r="E1609" i="15"/>
  <c r="D1608" i="15"/>
  <c r="E1603" i="15"/>
  <c r="D1602" i="15"/>
  <c r="B1601" i="15"/>
  <c r="E1597" i="15"/>
  <c r="C1596" i="15"/>
  <c r="F1596" i="15" s="1"/>
  <c r="D1593" i="15"/>
  <c r="B1592" i="15"/>
  <c r="E1590" i="15"/>
  <c r="B1588" i="15"/>
  <c r="E1586" i="15"/>
  <c r="B1585" i="15"/>
  <c r="D1582" i="15"/>
  <c r="B1581" i="15"/>
  <c r="E1579" i="15"/>
  <c r="C1578" i="15"/>
  <c r="F1578" i="15" s="1"/>
  <c r="D1575" i="15"/>
  <c r="B1574" i="15"/>
  <c r="E1572" i="15"/>
  <c r="B1570" i="15"/>
  <c r="E1568" i="15"/>
  <c r="B1567" i="15"/>
  <c r="D1564" i="15"/>
  <c r="C1561" i="15"/>
  <c r="F1561" i="15" s="1"/>
  <c r="E1549" i="15"/>
  <c r="B1548" i="15"/>
  <c r="D1548" i="15"/>
  <c r="D1546" i="15"/>
  <c r="C1543" i="15"/>
  <c r="F1543" i="15" s="1"/>
  <c r="E1531" i="15"/>
  <c r="B1530" i="15"/>
  <c r="D1530" i="15"/>
  <c r="D1528" i="15"/>
  <c r="C1525" i="15"/>
  <c r="F1525" i="15" s="1"/>
  <c r="B1453" i="15"/>
  <c r="C1453" i="15"/>
  <c r="F1453" i="15" s="1"/>
  <c r="E1453" i="15"/>
  <c r="B1447" i="15"/>
  <c r="C1447" i="15"/>
  <c r="F1447" i="15" s="1"/>
  <c r="E1447" i="15"/>
  <c r="B1441" i="15"/>
  <c r="C1441" i="15"/>
  <c r="F1441" i="15" s="1"/>
  <c r="E1441" i="15"/>
  <c r="B1435" i="15"/>
  <c r="C1435" i="15"/>
  <c r="F1435" i="15" s="1"/>
  <c r="E1435" i="15"/>
  <c r="B1429" i="15"/>
  <c r="C1429" i="15"/>
  <c r="F1429" i="15" s="1"/>
  <c r="E1429" i="15"/>
  <c r="B1423" i="15"/>
  <c r="C1423" i="15"/>
  <c r="F1423" i="15" s="1"/>
  <c r="E1423" i="15"/>
  <c r="B1417" i="15"/>
  <c r="C1417" i="15"/>
  <c r="F1417" i="15" s="1"/>
  <c r="E1417" i="15"/>
  <c r="B1411" i="15"/>
  <c r="C1411" i="15"/>
  <c r="F1411" i="15" s="1"/>
  <c r="E1411" i="15"/>
  <c r="B1404" i="15"/>
  <c r="C1404" i="15"/>
  <c r="F1404" i="15" s="1"/>
  <c r="E1404" i="15"/>
  <c r="D1404" i="15"/>
  <c r="B1387" i="15"/>
  <c r="C1387" i="15"/>
  <c r="F1387" i="15" s="1"/>
  <c r="D1387" i="15"/>
  <c r="E1387" i="15"/>
  <c r="B1369" i="15"/>
  <c r="C1369" i="15"/>
  <c r="F1369" i="15" s="1"/>
  <c r="D1369" i="15"/>
  <c r="E1369" i="15"/>
  <c r="B1551" i="15"/>
  <c r="D1551" i="15"/>
  <c r="B1533" i="15"/>
  <c r="D1533" i="15"/>
  <c r="B1452" i="15"/>
  <c r="C1452" i="15"/>
  <c r="F1452" i="15" s="1"/>
  <c r="E1452" i="15"/>
  <c r="D1452" i="15"/>
  <c r="B1446" i="15"/>
  <c r="C1446" i="15"/>
  <c r="F1446" i="15" s="1"/>
  <c r="E1446" i="15"/>
  <c r="D1446" i="15"/>
  <c r="B1440" i="15"/>
  <c r="C1440" i="15"/>
  <c r="F1440" i="15" s="1"/>
  <c r="E1440" i="15"/>
  <c r="D1440" i="15"/>
  <c r="B1434" i="15"/>
  <c r="C1434" i="15"/>
  <c r="F1434" i="15" s="1"/>
  <c r="E1434" i="15"/>
  <c r="D1434" i="15"/>
  <c r="B1428" i="15"/>
  <c r="C1428" i="15"/>
  <c r="F1428" i="15" s="1"/>
  <c r="E1428" i="15"/>
  <c r="D1428" i="15"/>
  <c r="B1422" i="15"/>
  <c r="C1422" i="15"/>
  <c r="F1422" i="15" s="1"/>
  <c r="E1422" i="15"/>
  <c r="D1422" i="15"/>
  <c r="B1416" i="15"/>
  <c r="C1416" i="15"/>
  <c r="F1416" i="15" s="1"/>
  <c r="E1416" i="15"/>
  <c r="D1416" i="15"/>
  <c r="B1397" i="15"/>
  <c r="C1397" i="15"/>
  <c r="F1397" i="15" s="1"/>
  <c r="D1397" i="15"/>
  <c r="B1394" i="15"/>
  <c r="C1394" i="15"/>
  <c r="F1394" i="15" s="1"/>
  <c r="E1394" i="15"/>
  <c r="D1394" i="15"/>
  <c r="B1376" i="15"/>
  <c r="C1376" i="15"/>
  <c r="F1376" i="15" s="1"/>
  <c r="E1376" i="15"/>
  <c r="D1376" i="15"/>
  <c r="B1358" i="15"/>
  <c r="C1358" i="15"/>
  <c r="F1358" i="15" s="1"/>
  <c r="E1358" i="15"/>
  <c r="D1358" i="15"/>
  <c r="B1554" i="15"/>
  <c r="D1554" i="15"/>
  <c r="B1536" i="15"/>
  <c r="D1536" i="15"/>
  <c r="B1400" i="15"/>
  <c r="C1400" i="15"/>
  <c r="F1400" i="15" s="1"/>
  <c r="E1400" i="15"/>
  <c r="D1400" i="15"/>
  <c r="B1393" i="15"/>
  <c r="C1393" i="15"/>
  <c r="F1393" i="15" s="1"/>
  <c r="D1393" i="15"/>
  <c r="E1393" i="15"/>
  <c r="B1375" i="15"/>
  <c r="C1375" i="15"/>
  <c r="F1375" i="15" s="1"/>
  <c r="D1375" i="15"/>
  <c r="E1375" i="15"/>
  <c r="B1357" i="15"/>
  <c r="C1357" i="15"/>
  <c r="F1357" i="15" s="1"/>
  <c r="D1357" i="15"/>
  <c r="E1357" i="15"/>
  <c r="E1588" i="15"/>
  <c r="E1570" i="15"/>
  <c r="E1563" i="15"/>
  <c r="B1557" i="15"/>
  <c r="D1557" i="15"/>
  <c r="E1545" i="15"/>
  <c r="B1539" i="15"/>
  <c r="D1539" i="15"/>
  <c r="D1537" i="15"/>
  <c r="E1527" i="15"/>
  <c r="E1522" i="15"/>
  <c r="E1520" i="15"/>
  <c r="E1518" i="15"/>
  <c r="E1516" i="15"/>
  <c r="E1514" i="15"/>
  <c r="E1512" i="15"/>
  <c r="E1510" i="15"/>
  <c r="E1508" i="15"/>
  <c r="E1506" i="15"/>
  <c r="E1504" i="15"/>
  <c r="E1502" i="15"/>
  <c r="E1500" i="15"/>
  <c r="E1498" i="15"/>
  <c r="E1496" i="15"/>
  <c r="E1494" i="15"/>
  <c r="E1492" i="15"/>
  <c r="B1451" i="15"/>
  <c r="C1451" i="15"/>
  <c r="F1451" i="15" s="1"/>
  <c r="D1451" i="15"/>
  <c r="B1445" i="15"/>
  <c r="C1445" i="15"/>
  <c r="F1445" i="15" s="1"/>
  <c r="D1445" i="15"/>
  <c r="B1439" i="15"/>
  <c r="C1439" i="15"/>
  <c r="F1439" i="15" s="1"/>
  <c r="D1439" i="15"/>
  <c r="B1433" i="15"/>
  <c r="C1433" i="15"/>
  <c r="F1433" i="15" s="1"/>
  <c r="D1433" i="15"/>
  <c r="B1427" i="15"/>
  <c r="C1427" i="15"/>
  <c r="F1427" i="15" s="1"/>
  <c r="D1427" i="15"/>
  <c r="B1421" i="15"/>
  <c r="C1421" i="15"/>
  <c r="F1421" i="15" s="1"/>
  <c r="D1421" i="15"/>
  <c r="B1415" i="15"/>
  <c r="C1415" i="15"/>
  <c r="F1415" i="15" s="1"/>
  <c r="D1415" i="15"/>
  <c r="B1409" i="15"/>
  <c r="C1409" i="15"/>
  <c r="F1409" i="15" s="1"/>
  <c r="D1409" i="15"/>
  <c r="B1382" i="15"/>
  <c r="C1382" i="15"/>
  <c r="F1382" i="15" s="1"/>
  <c r="E1382" i="15"/>
  <c r="D1382" i="15"/>
  <c r="B1364" i="15"/>
  <c r="C1364" i="15"/>
  <c r="F1364" i="15" s="1"/>
  <c r="E1364" i="15"/>
  <c r="D1364" i="15"/>
  <c r="B1665" i="15"/>
  <c r="B1659" i="15"/>
  <c r="B1653" i="15"/>
  <c r="B1647" i="15"/>
  <c r="B1641" i="15"/>
  <c r="B1635" i="15"/>
  <c r="B1629" i="15"/>
  <c r="B1623" i="15"/>
  <c r="B1617" i="15"/>
  <c r="B1611" i="15"/>
  <c r="B1605" i="15"/>
  <c r="E1601" i="15"/>
  <c r="B1599" i="15"/>
  <c r="E1596" i="15"/>
  <c r="E1592" i="15"/>
  <c r="B1591" i="15"/>
  <c r="D1588" i="15"/>
  <c r="B1587" i="15"/>
  <c r="E1585" i="15"/>
  <c r="C1584" i="15"/>
  <c r="F1584" i="15" s="1"/>
  <c r="D1581" i="15"/>
  <c r="B1580" i="15"/>
  <c r="E1578" i="15"/>
  <c r="E1574" i="15"/>
  <c r="B1573" i="15"/>
  <c r="D1570" i="15"/>
  <c r="B1569" i="15"/>
  <c r="E1567" i="15"/>
  <c r="C1566" i="15"/>
  <c r="F1566" i="15" s="1"/>
  <c r="E1561" i="15"/>
  <c r="B1560" i="15"/>
  <c r="D1560" i="15"/>
  <c r="C1555" i="15"/>
  <c r="F1555" i="15" s="1"/>
  <c r="E1543" i="15"/>
  <c r="B1542" i="15"/>
  <c r="D1542" i="15"/>
  <c r="C1537" i="15"/>
  <c r="F1537" i="15" s="1"/>
  <c r="E1525" i="15"/>
  <c r="B1524" i="15"/>
  <c r="D1524" i="15"/>
  <c r="B1454" i="15"/>
  <c r="C1454" i="15"/>
  <c r="F1454" i="15" s="1"/>
  <c r="E1454" i="15"/>
  <c r="B1448" i="15"/>
  <c r="C1448" i="15"/>
  <c r="F1448" i="15" s="1"/>
  <c r="E1448" i="15"/>
  <c r="B1442" i="15"/>
  <c r="C1442" i="15"/>
  <c r="F1442" i="15" s="1"/>
  <c r="E1442" i="15"/>
  <c r="B1436" i="15"/>
  <c r="C1436" i="15"/>
  <c r="F1436" i="15" s="1"/>
  <c r="E1436" i="15"/>
  <c r="B1430" i="15"/>
  <c r="C1430" i="15"/>
  <c r="F1430" i="15" s="1"/>
  <c r="E1430" i="15"/>
  <c r="B1424" i="15"/>
  <c r="C1424" i="15"/>
  <c r="F1424" i="15" s="1"/>
  <c r="E1424" i="15"/>
  <c r="B1418" i="15"/>
  <c r="C1418" i="15"/>
  <c r="F1418" i="15" s="1"/>
  <c r="E1418" i="15"/>
  <c r="B1412" i="15"/>
  <c r="C1412" i="15"/>
  <c r="F1412" i="15" s="1"/>
  <c r="E1412" i="15"/>
  <c r="B1406" i="15"/>
  <c r="C1406" i="15"/>
  <c r="F1406" i="15" s="1"/>
  <c r="E1406" i="15"/>
  <c r="B1399" i="15"/>
  <c r="C1399" i="15"/>
  <c r="F1399" i="15" s="1"/>
  <c r="E1399" i="15"/>
  <c r="B1381" i="15"/>
  <c r="C1381" i="15"/>
  <c r="F1381" i="15" s="1"/>
  <c r="D1381" i="15"/>
  <c r="E1381" i="15"/>
  <c r="B1363" i="15"/>
  <c r="C1363" i="15"/>
  <c r="F1363" i="15" s="1"/>
  <c r="D1363" i="15"/>
  <c r="E1363" i="15"/>
  <c r="B1345" i="15"/>
  <c r="C1345" i="15"/>
  <c r="F1345" i="15" s="1"/>
  <c r="D1345" i="15"/>
  <c r="E1345" i="15"/>
  <c r="E1614" i="15"/>
  <c r="E1608" i="15"/>
  <c r="E1602" i="15"/>
  <c r="D1601" i="15"/>
  <c r="D1596" i="15"/>
  <c r="C1592" i="15"/>
  <c r="F1592" i="15" s="1"/>
  <c r="D1585" i="15"/>
  <c r="C1581" i="15"/>
  <c r="F1581" i="15" s="1"/>
  <c r="D1578" i="15"/>
  <c r="C1574" i="15"/>
  <c r="F1574" i="15" s="1"/>
  <c r="D1567" i="15"/>
  <c r="E1564" i="15"/>
  <c r="B1563" i="15"/>
  <c r="D1563" i="15"/>
  <c r="D1561" i="15"/>
  <c r="E1551" i="15"/>
  <c r="E1546" i="15"/>
  <c r="B1545" i="15"/>
  <c r="D1545" i="15"/>
  <c r="D1543" i="15"/>
  <c r="E1533" i="15"/>
  <c r="E1528" i="15"/>
  <c r="B1527" i="15"/>
  <c r="D1527" i="15"/>
  <c r="D1525" i="15"/>
  <c r="B1522" i="15"/>
  <c r="C1522" i="15"/>
  <c r="F1522" i="15" s="1"/>
  <c r="B1520" i="15"/>
  <c r="C1520" i="15"/>
  <c r="F1520" i="15" s="1"/>
  <c r="B1518" i="15"/>
  <c r="C1518" i="15"/>
  <c r="F1518" i="15" s="1"/>
  <c r="B1516" i="15"/>
  <c r="C1516" i="15"/>
  <c r="F1516" i="15" s="1"/>
  <c r="B1514" i="15"/>
  <c r="C1514" i="15"/>
  <c r="F1514" i="15" s="1"/>
  <c r="B1512" i="15"/>
  <c r="C1512" i="15"/>
  <c r="F1512" i="15" s="1"/>
  <c r="B1510" i="15"/>
  <c r="C1510" i="15"/>
  <c r="F1510" i="15" s="1"/>
  <c r="B1508" i="15"/>
  <c r="C1508" i="15"/>
  <c r="F1508" i="15" s="1"/>
  <c r="B1506" i="15"/>
  <c r="C1506" i="15"/>
  <c r="F1506" i="15" s="1"/>
  <c r="B1504" i="15"/>
  <c r="C1504" i="15"/>
  <c r="F1504" i="15" s="1"/>
  <c r="B1502" i="15"/>
  <c r="C1502" i="15"/>
  <c r="F1502" i="15" s="1"/>
  <c r="B1500" i="15"/>
  <c r="C1500" i="15"/>
  <c r="F1500" i="15" s="1"/>
  <c r="B1498" i="15"/>
  <c r="C1498" i="15"/>
  <c r="F1498" i="15" s="1"/>
  <c r="B1496" i="15"/>
  <c r="C1496" i="15"/>
  <c r="F1496" i="15" s="1"/>
  <c r="B1494" i="15"/>
  <c r="C1494" i="15"/>
  <c r="F1494" i="15" s="1"/>
  <c r="B1492" i="15"/>
  <c r="C1492" i="15"/>
  <c r="F1492" i="15" s="1"/>
  <c r="B1405" i="15"/>
  <c r="C1405" i="15"/>
  <c r="F1405" i="15" s="1"/>
  <c r="D1405" i="15"/>
  <c r="E1405" i="15"/>
  <c r="B1388" i="15"/>
  <c r="C1388" i="15"/>
  <c r="F1388" i="15" s="1"/>
  <c r="E1388" i="15"/>
  <c r="D1388" i="15"/>
  <c r="B1370" i="15"/>
  <c r="C1370" i="15"/>
  <c r="F1370" i="15" s="1"/>
  <c r="E1370" i="15"/>
  <c r="D1370" i="15"/>
  <c r="B1352" i="15"/>
  <c r="C1352" i="15"/>
  <c r="F1352" i="15" s="1"/>
  <c r="E1352" i="15"/>
  <c r="D1352" i="15"/>
  <c r="B1521" i="15"/>
  <c r="C1521" i="15"/>
  <c r="F1521" i="15" s="1"/>
  <c r="B1519" i="15"/>
  <c r="C1519" i="15"/>
  <c r="F1519" i="15" s="1"/>
  <c r="B1517" i="15"/>
  <c r="C1517" i="15"/>
  <c r="F1517" i="15" s="1"/>
  <c r="B1515" i="15"/>
  <c r="C1515" i="15"/>
  <c r="F1515" i="15" s="1"/>
  <c r="B1513" i="15"/>
  <c r="C1513" i="15"/>
  <c r="F1513" i="15" s="1"/>
  <c r="B1511" i="15"/>
  <c r="C1511" i="15"/>
  <c r="F1511" i="15" s="1"/>
  <c r="B1509" i="15"/>
  <c r="C1509" i="15"/>
  <c r="F1509" i="15" s="1"/>
  <c r="B1507" i="15"/>
  <c r="C1507" i="15"/>
  <c r="F1507" i="15" s="1"/>
  <c r="B1505" i="15"/>
  <c r="C1505" i="15"/>
  <c r="F1505" i="15" s="1"/>
  <c r="B1503" i="15"/>
  <c r="C1503" i="15"/>
  <c r="F1503" i="15" s="1"/>
  <c r="B1501" i="15"/>
  <c r="C1501" i="15"/>
  <c r="F1501" i="15" s="1"/>
  <c r="B1499" i="15"/>
  <c r="C1499" i="15"/>
  <c r="F1499" i="15" s="1"/>
  <c r="B1497" i="15"/>
  <c r="C1497" i="15"/>
  <c r="F1497" i="15" s="1"/>
  <c r="B1495" i="15"/>
  <c r="C1495" i="15"/>
  <c r="F1495" i="15" s="1"/>
  <c r="B1493" i="15"/>
  <c r="C1493" i="15"/>
  <c r="F1493" i="15" s="1"/>
  <c r="B1491" i="15"/>
  <c r="C1491" i="15"/>
  <c r="F1491" i="15" s="1"/>
  <c r="B1489" i="15"/>
  <c r="C1489" i="15"/>
  <c r="F1489" i="15" s="1"/>
  <c r="B1487" i="15"/>
  <c r="C1487" i="15"/>
  <c r="F1487" i="15" s="1"/>
  <c r="B1485" i="15"/>
  <c r="C1485" i="15"/>
  <c r="F1485" i="15" s="1"/>
  <c r="B1483" i="15"/>
  <c r="C1483" i="15"/>
  <c r="F1483" i="15" s="1"/>
  <c r="B1481" i="15"/>
  <c r="C1481" i="15"/>
  <c r="F1481" i="15" s="1"/>
  <c r="B1479" i="15"/>
  <c r="C1479" i="15"/>
  <c r="F1479" i="15" s="1"/>
  <c r="B1477" i="15"/>
  <c r="C1477" i="15"/>
  <c r="F1477" i="15" s="1"/>
  <c r="B1475" i="15"/>
  <c r="C1475" i="15"/>
  <c r="F1475" i="15" s="1"/>
  <c r="B1473" i="15"/>
  <c r="C1473" i="15"/>
  <c r="F1473" i="15" s="1"/>
  <c r="B1471" i="15"/>
  <c r="C1471" i="15"/>
  <c r="F1471" i="15" s="1"/>
  <c r="B1469" i="15"/>
  <c r="C1469" i="15"/>
  <c r="F1469" i="15" s="1"/>
  <c r="B1467" i="15"/>
  <c r="C1467" i="15"/>
  <c r="F1467" i="15" s="1"/>
  <c r="B1465" i="15"/>
  <c r="B23" i="26" s="1"/>
  <c r="C1465" i="15"/>
  <c r="F1465" i="15" s="1"/>
  <c r="D23" i="33" s="1"/>
  <c r="B1463" i="15"/>
  <c r="C1463" i="15"/>
  <c r="F1463" i="15" s="1"/>
  <c r="B1461" i="15"/>
  <c r="C1461" i="15"/>
  <c r="F1461" i="15" s="1"/>
  <c r="B1459" i="15"/>
  <c r="C1459" i="15"/>
  <c r="F1459" i="15" s="1"/>
  <c r="B1457" i="15"/>
  <c r="C1457" i="15"/>
  <c r="F1457" i="15" s="1"/>
  <c r="B1455" i="15"/>
  <c r="C1455" i="15"/>
  <c r="F1455" i="15" s="1"/>
  <c r="B1450" i="15"/>
  <c r="C1450" i="15"/>
  <c r="F1450" i="15" s="1"/>
  <c r="E1450" i="15"/>
  <c r="B1443" i="15"/>
  <c r="C1443" i="15"/>
  <c r="F1443" i="15" s="1"/>
  <c r="B1438" i="15"/>
  <c r="C1438" i="15"/>
  <c r="F1438" i="15" s="1"/>
  <c r="E1438" i="15"/>
  <c r="B1431" i="15"/>
  <c r="C1431" i="15"/>
  <c r="F1431" i="15" s="1"/>
  <c r="B1426" i="15"/>
  <c r="C1426" i="15"/>
  <c r="F1426" i="15" s="1"/>
  <c r="E1426" i="15"/>
  <c r="B1419" i="15"/>
  <c r="C1419" i="15"/>
  <c r="F1419" i="15" s="1"/>
  <c r="B1414" i="15"/>
  <c r="C1414" i="15"/>
  <c r="F1414" i="15" s="1"/>
  <c r="E1414" i="15"/>
  <c r="B1407" i="15"/>
  <c r="C1407" i="15"/>
  <c r="F1407" i="15" s="1"/>
  <c r="B1402" i="15"/>
  <c r="C1402" i="15"/>
  <c r="F1402" i="15" s="1"/>
  <c r="E1402" i="15"/>
  <c r="B1395" i="15"/>
  <c r="C1395" i="15"/>
  <c r="F1395" i="15" s="1"/>
  <c r="B1390" i="15"/>
  <c r="C1390" i="15"/>
  <c r="F1390" i="15" s="1"/>
  <c r="E1390" i="15"/>
  <c r="B1383" i="15"/>
  <c r="C1383" i="15"/>
  <c r="F1383" i="15" s="1"/>
  <c r="B1378" i="15"/>
  <c r="C1378" i="15"/>
  <c r="F1378" i="15" s="1"/>
  <c r="E1378" i="15"/>
  <c r="B1371" i="15"/>
  <c r="C1371" i="15"/>
  <c r="F1371" i="15" s="1"/>
  <c r="B1366" i="15"/>
  <c r="C1366" i="15"/>
  <c r="F1366" i="15" s="1"/>
  <c r="E1366" i="15"/>
  <c r="B1359" i="15"/>
  <c r="C1359" i="15"/>
  <c r="F1359" i="15" s="1"/>
  <c r="B1354" i="15"/>
  <c r="C1354" i="15"/>
  <c r="F1354" i="15" s="1"/>
  <c r="E1354" i="15"/>
  <c r="E1351" i="15"/>
  <c r="B1347" i="15"/>
  <c r="C1347" i="15"/>
  <c r="F1347" i="15" s="1"/>
  <c r="B1342" i="15"/>
  <c r="C1342" i="15"/>
  <c r="F1342" i="15" s="1"/>
  <c r="E1342" i="15"/>
  <c r="E1339" i="15"/>
  <c r="B1335" i="15"/>
  <c r="C1335" i="15"/>
  <c r="F1335" i="15" s="1"/>
  <c r="B1330" i="15"/>
  <c r="C1330" i="15"/>
  <c r="F1330" i="15" s="1"/>
  <c r="E1330" i="15"/>
  <c r="E1327" i="15"/>
  <c r="B1323" i="15"/>
  <c r="C1323" i="15"/>
  <c r="F1323" i="15" s="1"/>
  <c r="B1318" i="15"/>
  <c r="C1318" i="15"/>
  <c r="F1318" i="15" s="1"/>
  <c r="E1318" i="15"/>
  <c r="E1315" i="15"/>
  <c r="B1311" i="15"/>
  <c r="C1311" i="15"/>
  <c r="F1311" i="15" s="1"/>
  <c r="B1304" i="15"/>
  <c r="C1304" i="15"/>
  <c r="F1304" i="15" s="1"/>
  <c r="E1304" i="15"/>
  <c r="E1301" i="15"/>
  <c r="B1297" i="15"/>
  <c r="C1297" i="15"/>
  <c r="F1297" i="15" s="1"/>
  <c r="B1292" i="15"/>
  <c r="C1292" i="15"/>
  <c r="F1292" i="15" s="1"/>
  <c r="E1292" i="15"/>
  <c r="E1289" i="15"/>
  <c r="B1392" i="15"/>
  <c r="C1392" i="15"/>
  <c r="F1392" i="15" s="1"/>
  <c r="E1392" i="15"/>
  <c r="B1385" i="15"/>
  <c r="C1385" i="15"/>
  <c r="F1385" i="15" s="1"/>
  <c r="B1380" i="15"/>
  <c r="C1380" i="15"/>
  <c r="F1380" i="15" s="1"/>
  <c r="E1380" i="15"/>
  <c r="B1373" i="15"/>
  <c r="C1373" i="15"/>
  <c r="F1373" i="15" s="1"/>
  <c r="B1368" i="15"/>
  <c r="C1368" i="15"/>
  <c r="F1368" i="15" s="1"/>
  <c r="E1368" i="15"/>
  <c r="B1361" i="15"/>
  <c r="C1361" i="15"/>
  <c r="F1361" i="15" s="1"/>
  <c r="B1356" i="15"/>
  <c r="C1356" i="15"/>
  <c r="F1356" i="15" s="1"/>
  <c r="E1356" i="15"/>
  <c r="B1349" i="15"/>
  <c r="C1349" i="15"/>
  <c r="F1349" i="15" s="1"/>
  <c r="B1344" i="15"/>
  <c r="C1344" i="15"/>
  <c r="F1344" i="15" s="1"/>
  <c r="E1344" i="15"/>
  <c r="B1337" i="15"/>
  <c r="C1337" i="15"/>
  <c r="F1337" i="15" s="1"/>
  <c r="B1332" i="15"/>
  <c r="C1332" i="15"/>
  <c r="F1332" i="15" s="1"/>
  <c r="E1332" i="15"/>
  <c r="B1325" i="15"/>
  <c r="C1325" i="15"/>
  <c r="F1325" i="15" s="1"/>
  <c r="B1320" i="15"/>
  <c r="C1320" i="15"/>
  <c r="F1320" i="15" s="1"/>
  <c r="E1320" i="15"/>
  <c r="B1313" i="15"/>
  <c r="C1313" i="15"/>
  <c r="F1313" i="15" s="1"/>
  <c r="B1308" i="15"/>
  <c r="C1308" i="15"/>
  <c r="F1308" i="15" s="1"/>
  <c r="E1308" i="15"/>
  <c r="B1299" i="15"/>
  <c r="C1299" i="15"/>
  <c r="F1299" i="15" s="1"/>
  <c r="B1294" i="15"/>
  <c r="C1294" i="15"/>
  <c r="F1294" i="15" s="1"/>
  <c r="E1294" i="15"/>
  <c r="B1287" i="15"/>
  <c r="C1287" i="15"/>
  <c r="F1287" i="15" s="1"/>
  <c r="B1281" i="15"/>
  <c r="C1281" i="15"/>
  <c r="F1281" i="15" s="1"/>
  <c r="D1281" i="15"/>
  <c r="E1281" i="15"/>
  <c r="B1351" i="15"/>
  <c r="C1351" i="15"/>
  <c r="F1351" i="15" s="1"/>
  <c r="B1346" i="15"/>
  <c r="C1346" i="15"/>
  <c r="F1346" i="15" s="1"/>
  <c r="E1346" i="15"/>
  <c r="B1339" i="15"/>
  <c r="C1339" i="15"/>
  <c r="F1339" i="15" s="1"/>
  <c r="B1334" i="15"/>
  <c r="C1334" i="15"/>
  <c r="F1334" i="15" s="1"/>
  <c r="E1334" i="15"/>
  <c r="B1327" i="15"/>
  <c r="C1327" i="15"/>
  <c r="F1327" i="15" s="1"/>
  <c r="B1322" i="15"/>
  <c r="C1322" i="15"/>
  <c r="F1322" i="15" s="1"/>
  <c r="E1322" i="15"/>
  <c r="B1315" i="15"/>
  <c r="C1315" i="15"/>
  <c r="F1315" i="15" s="1"/>
  <c r="B1310" i="15"/>
  <c r="C1310" i="15"/>
  <c r="F1310" i="15" s="1"/>
  <c r="E1310" i="15"/>
  <c r="B1301" i="15"/>
  <c r="C1301" i="15"/>
  <c r="F1301" i="15" s="1"/>
  <c r="B1296" i="15"/>
  <c r="C1296" i="15"/>
  <c r="F1296" i="15" s="1"/>
  <c r="E1296" i="15"/>
  <c r="B1289" i="15"/>
  <c r="B41" i="36" s="1"/>
  <c r="C1289" i="15"/>
  <c r="F1289" i="15" s="1"/>
  <c r="D41" i="36" s="1"/>
  <c r="D1283" i="15"/>
  <c r="E1283" i="15"/>
  <c r="B1283" i="15"/>
  <c r="C1283" i="15"/>
  <c r="F1283" i="15" s="1"/>
  <c r="B1490" i="15"/>
  <c r="C1490" i="15"/>
  <c r="F1490" i="15" s="1"/>
  <c r="B1488" i="15"/>
  <c r="C1488" i="15"/>
  <c r="F1488" i="15" s="1"/>
  <c r="B1486" i="15"/>
  <c r="C1486" i="15"/>
  <c r="F1486" i="15" s="1"/>
  <c r="B1484" i="15"/>
  <c r="C1484" i="15"/>
  <c r="F1484" i="15" s="1"/>
  <c r="B1482" i="15"/>
  <c r="C1482" i="15"/>
  <c r="F1482" i="15" s="1"/>
  <c r="B1480" i="15"/>
  <c r="C1480" i="15"/>
  <c r="F1480" i="15" s="1"/>
  <c r="B1478" i="15"/>
  <c r="C1478" i="15"/>
  <c r="F1478" i="15" s="1"/>
  <c r="B1476" i="15"/>
  <c r="C1476" i="15"/>
  <c r="F1476" i="15" s="1"/>
  <c r="B1474" i="15"/>
  <c r="C1474" i="15"/>
  <c r="F1474" i="15" s="1"/>
  <c r="B1472" i="15"/>
  <c r="C1472" i="15"/>
  <c r="F1472" i="15" s="1"/>
  <c r="B1470" i="15"/>
  <c r="C1470" i="15"/>
  <c r="F1470" i="15" s="1"/>
  <c r="B1468" i="15"/>
  <c r="C1468" i="15"/>
  <c r="F1468" i="15" s="1"/>
  <c r="B1466" i="15"/>
  <c r="C1466" i="15"/>
  <c r="F1466" i="15" s="1"/>
  <c r="B1464" i="15"/>
  <c r="C1464" i="15"/>
  <c r="F1464" i="15" s="1"/>
  <c r="B1462" i="15"/>
  <c r="C1462" i="15"/>
  <c r="F1462" i="15" s="1"/>
  <c r="B1460" i="15"/>
  <c r="C1460" i="15"/>
  <c r="F1460" i="15" s="1"/>
  <c r="B1458" i="15"/>
  <c r="C1458" i="15"/>
  <c r="F1458" i="15" s="1"/>
  <c r="B1456" i="15"/>
  <c r="C1456" i="15"/>
  <c r="F1456" i="15" s="1"/>
  <c r="B1449" i="15"/>
  <c r="C1449" i="15"/>
  <c r="F1449" i="15" s="1"/>
  <c r="B1444" i="15"/>
  <c r="C1444" i="15"/>
  <c r="F1444" i="15" s="1"/>
  <c r="E1444" i="15"/>
  <c r="B1437" i="15"/>
  <c r="C1437" i="15"/>
  <c r="F1437" i="15" s="1"/>
  <c r="B1432" i="15"/>
  <c r="C1432" i="15"/>
  <c r="F1432" i="15" s="1"/>
  <c r="E1432" i="15"/>
  <c r="B1425" i="15"/>
  <c r="C1425" i="15"/>
  <c r="F1425" i="15" s="1"/>
  <c r="B1420" i="15"/>
  <c r="C1420" i="15"/>
  <c r="F1420" i="15" s="1"/>
  <c r="E1420" i="15"/>
  <c r="B1413" i="15"/>
  <c r="C1413" i="15"/>
  <c r="F1413" i="15" s="1"/>
  <c r="B1408" i="15"/>
  <c r="C1408" i="15"/>
  <c r="F1408" i="15" s="1"/>
  <c r="E1408" i="15"/>
  <c r="B1401" i="15"/>
  <c r="C1401" i="15"/>
  <c r="F1401" i="15" s="1"/>
  <c r="B1396" i="15"/>
  <c r="C1396" i="15"/>
  <c r="F1396" i="15" s="1"/>
  <c r="E1396" i="15"/>
  <c r="B1389" i="15"/>
  <c r="C1389" i="15"/>
  <c r="F1389" i="15" s="1"/>
  <c r="B1384" i="15"/>
  <c r="C1384" i="15"/>
  <c r="F1384" i="15" s="1"/>
  <c r="E1384" i="15"/>
  <c r="B1377" i="15"/>
  <c r="C1377" i="15"/>
  <c r="F1377" i="15" s="1"/>
  <c r="B1372" i="15"/>
  <c r="C1372" i="15"/>
  <c r="F1372" i="15" s="1"/>
  <c r="E1372" i="15"/>
  <c r="B1365" i="15"/>
  <c r="C1365" i="15"/>
  <c r="F1365" i="15" s="1"/>
  <c r="B1360" i="15"/>
  <c r="C1360" i="15"/>
  <c r="F1360" i="15" s="1"/>
  <c r="E1360" i="15"/>
  <c r="B1353" i="15"/>
  <c r="C1353" i="15"/>
  <c r="F1353" i="15" s="1"/>
  <c r="B1348" i="15"/>
  <c r="C1348" i="15"/>
  <c r="F1348" i="15" s="1"/>
  <c r="E1348" i="15"/>
  <c r="B1341" i="15"/>
  <c r="C1341" i="15"/>
  <c r="F1341" i="15" s="1"/>
  <c r="B1336" i="15"/>
  <c r="C1336" i="15"/>
  <c r="F1336" i="15" s="1"/>
  <c r="E1336" i="15"/>
  <c r="E1333" i="15"/>
  <c r="B1329" i="15"/>
  <c r="C1329" i="15"/>
  <c r="F1329" i="15" s="1"/>
  <c r="B1324" i="15"/>
  <c r="C1324" i="15"/>
  <c r="F1324" i="15" s="1"/>
  <c r="E1324" i="15"/>
  <c r="E1321" i="15"/>
  <c r="B1317" i="15"/>
  <c r="C1317" i="15"/>
  <c r="F1317" i="15" s="1"/>
  <c r="B1312" i="15"/>
  <c r="C1312" i="15"/>
  <c r="F1312" i="15" s="1"/>
  <c r="E1312" i="15"/>
  <c r="E1309" i="15"/>
  <c r="B1303" i="15"/>
  <c r="C1303" i="15"/>
  <c r="F1303" i="15" s="1"/>
  <c r="B1298" i="15"/>
  <c r="C1298" i="15"/>
  <c r="F1298" i="15" s="1"/>
  <c r="E1298" i="15"/>
  <c r="E1295" i="15"/>
  <c r="B1291" i="15"/>
  <c r="C1291" i="15"/>
  <c r="F1291" i="15" s="1"/>
  <c r="B1410" i="15"/>
  <c r="C1410" i="15"/>
  <c r="F1410" i="15" s="1"/>
  <c r="E1410" i="15"/>
  <c r="B1403" i="15"/>
  <c r="C1403" i="15"/>
  <c r="F1403" i="15" s="1"/>
  <c r="B1398" i="15"/>
  <c r="C1398" i="15"/>
  <c r="F1398" i="15" s="1"/>
  <c r="E1398" i="15"/>
  <c r="B1391" i="15"/>
  <c r="C1391" i="15"/>
  <c r="F1391" i="15" s="1"/>
  <c r="B1386" i="15"/>
  <c r="C1386" i="15"/>
  <c r="F1386" i="15" s="1"/>
  <c r="E1386" i="15"/>
  <c r="B1379" i="15"/>
  <c r="C1379" i="15"/>
  <c r="F1379" i="15" s="1"/>
  <c r="B1374" i="15"/>
  <c r="C1374" i="15"/>
  <c r="F1374" i="15" s="1"/>
  <c r="E1374" i="15"/>
  <c r="B1367" i="15"/>
  <c r="C1367" i="15"/>
  <c r="F1367" i="15" s="1"/>
  <c r="B1362" i="15"/>
  <c r="C1362" i="15"/>
  <c r="F1362" i="15" s="1"/>
  <c r="E1362" i="15"/>
  <c r="B1355" i="15"/>
  <c r="C1355" i="15"/>
  <c r="F1355" i="15" s="1"/>
  <c r="B1350" i="15"/>
  <c r="C1350" i="15"/>
  <c r="F1350" i="15" s="1"/>
  <c r="E1350" i="15"/>
  <c r="B1343" i="15"/>
  <c r="C1343" i="15"/>
  <c r="F1343" i="15" s="1"/>
  <c r="B1338" i="15"/>
  <c r="C1338" i="15"/>
  <c r="F1338" i="15" s="1"/>
  <c r="E1338" i="15"/>
  <c r="B1331" i="15"/>
  <c r="C1331" i="15"/>
  <c r="F1331" i="15" s="1"/>
  <c r="B1326" i="15"/>
  <c r="C1326" i="15"/>
  <c r="F1326" i="15" s="1"/>
  <c r="E1326" i="15"/>
  <c r="B1319" i="15"/>
  <c r="C1319" i="15"/>
  <c r="F1319" i="15" s="1"/>
  <c r="B1314" i="15"/>
  <c r="C1314" i="15"/>
  <c r="F1314" i="15" s="1"/>
  <c r="E1314" i="15"/>
  <c r="B1305" i="15"/>
  <c r="C1305" i="15"/>
  <c r="F1305" i="15" s="1"/>
  <c r="B1300" i="15"/>
  <c r="C1300" i="15"/>
  <c r="F1300" i="15" s="1"/>
  <c r="E1300" i="15"/>
  <c r="B1293" i="15"/>
  <c r="C1293" i="15"/>
  <c r="F1293" i="15" s="1"/>
  <c r="B1288" i="15"/>
  <c r="C1288" i="15"/>
  <c r="F1288" i="15" s="1"/>
  <c r="E1288" i="15"/>
  <c r="B1340" i="15"/>
  <c r="C1340" i="15"/>
  <c r="F1340" i="15" s="1"/>
  <c r="E1340" i="15"/>
  <c r="B1333" i="15"/>
  <c r="C1333" i="15"/>
  <c r="F1333" i="15" s="1"/>
  <c r="B1328" i="15"/>
  <c r="C1328" i="15"/>
  <c r="F1328" i="15" s="1"/>
  <c r="E1328" i="15"/>
  <c r="B1321" i="15"/>
  <c r="C1321" i="15"/>
  <c r="F1321" i="15" s="1"/>
  <c r="B1316" i="15"/>
  <c r="C1316" i="15"/>
  <c r="F1316" i="15" s="1"/>
  <c r="E1316" i="15"/>
  <c r="B1309" i="15"/>
  <c r="C1309" i="15"/>
  <c r="F1309" i="15" s="1"/>
  <c r="B1302" i="15"/>
  <c r="C1302" i="15"/>
  <c r="F1302" i="15" s="1"/>
  <c r="E1302" i="15"/>
  <c r="B1295" i="15"/>
  <c r="C1295" i="15"/>
  <c r="F1295" i="15" s="1"/>
  <c r="B1290" i="15"/>
  <c r="C1290" i="15"/>
  <c r="F1290" i="15" s="1"/>
  <c r="E1290" i="15"/>
  <c r="B1170" i="15"/>
  <c r="C1170" i="15"/>
  <c r="F1170" i="15" s="1"/>
  <c r="C1153" i="15"/>
  <c r="F1153" i="15" s="1"/>
  <c r="D1153" i="15"/>
  <c r="D1135" i="15"/>
  <c r="E1135" i="15"/>
  <c r="B1133" i="15"/>
  <c r="C1133" i="15"/>
  <c r="F1133" i="15" s="1"/>
  <c r="C1116" i="15"/>
  <c r="F1116" i="15" s="1"/>
  <c r="D1116" i="15"/>
  <c r="B1109" i="15"/>
  <c r="C1109" i="15"/>
  <c r="F1109" i="15" s="1"/>
  <c r="D1109" i="15"/>
  <c r="B1097" i="15"/>
  <c r="C1097" i="15"/>
  <c r="F1097" i="15" s="1"/>
  <c r="D1097" i="15"/>
  <c r="B1085" i="15"/>
  <c r="C1085" i="15"/>
  <c r="F1085" i="15" s="1"/>
  <c r="D1085" i="15"/>
  <c r="D1076" i="15"/>
  <c r="B1076" i="15"/>
  <c r="C1076" i="15"/>
  <c r="F1076" i="15" s="1"/>
  <c r="E1076" i="15"/>
  <c r="D1067" i="15"/>
  <c r="B1067" i="15"/>
  <c r="C1067" i="15"/>
  <c r="F1067" i="15" s="1"/>
  <c r="E1067" i="15"/>
  <c r="E838" i="15"/>
  <c r="D838" i="15"/>
  <c r="C838" i="15"/>
  <c r="F838" i="15" s="1"/>
  <c r="B838" i="15"/>
  <c r="E807" i="15"/>
  <c r="B807" i="15"/>
  <c r="C807" i="15"/>
  <c r="F807" i="15" s="1"/>
  <c r="D807" i="15"/>
  <c r="E792" i="15"/>
  <c r="B792" i="15"/>
  <c r="C792" i="15"/>
  <c r="F792" i="15" s="1"/>
  <c r="D792" i="15"/>
  <c r="E756" i="15"/>
  <c r="B756" i="15"/>
  <c r="C756" i="15"/>
  <c r="F756" i="15" s="1"/>
  <c r="D756" i="15"/>
  <c r="E750" i="15"/>
  <c r="B750" i="15"/>
  <c r="C750" i="15"/>
  <c r="F750" i="15" s="1"/>
  <c r="D750" i="15"/>
  <c r="E744" i="15"/>
  <c r="B744" i="15"/>
  <c r="C744" i="15"/>
  <c r="F744" i="15" s="1"/>
  <c r="D744" i="15"/>
  <c r="E738" i="15"/>
  <c r="B738" i="15"/>
  <c r="C738" i="15"/>
  <c r="F738" i="15" s="1"/>
  <c r="D738" i="15"/>
  <c r="E732" i="15"/>
  <c r="B732" i="15"/>
  <c r="C732" i="15"/>
  <c r="F732" i="15" s="1"/>
  <c r="D732" i="15"/>
  <c r="E726" i="15"/>
  <c r="B726" i="15"/>
  <c r="C726" i="15"/>
  <c r="F726" i="15" s="1"/>
  <c r="D726" i="15"/>
  <c r="E577" i="15"/>
  <c r="C577" i="15"/>
  <c r="F577" i="15" s="1"/>
  <c r="D510" i="15"/>
  <c r="E510" i="15"/>
  <c r="C1284" i="15"/>
  <c r="F1284" i="15" s="1"/>
  <c r="D1279" i="15"/>
  <c r="C1275" i="15"/>
  <c r="F1275" i="15" s="1"/>
  <c r="D1272" i="15"/>
  <c r="C1268" i="15"/>
  <c r="F1268" i="15" s="1"/>
  <c r="C1264" i="15"/>
  <c r="F1264" i="15" s="1"/>
  <c r="D1261" i="15"/>
  <c r="C1257" i="15"/>
  <c r="F1257" i="15" s="1"/>
  <c r="D1254" i="15"/>
  <c r="C1250" i="15"/>
  <c r="F1250" i="15" s="1"/>
  <c r="C1246" i="15"/>
  <c r="F1246" i="15" s="1"/>
  <c r="D1243" i="15"/>
  <c r="C1239" i="15"/>
  <c r="F1239" i="15" s="1"/>
  <c r="D1236" i="15"/>
  <c r="C1232" i="15"/>
  <c r="F1232" i="15" s="1"/>
  <c r="C1228" i="15"/>
  <c r="F1228" i="15" s="1"/>
  <c r="D1225" i="15"/>
  <c r="C1221" i="15"/>
  <c r="F1221" i="15" s="1"/>
  <c r="D1218" i="15"/>
  <c r="C1214" i="15"/>
  <c r="F1214" i="15" s="1"/>
  <c r="C1210" i="15"/>
  <c r="F1210" i="15" s="1"/>
  <c r="D1207" i="15"/>
  <c r="C1203" i="15"/>
  <c r="F1203" i="15" s="1"/>
  <c r="D1200" i="15"/>
  <c r="C1196" i="15"/>
  <c r="F1196" i="15" s="1"/>
  <c r="C1192" i="15"/>
  <c r="F1192" i="15" s="1"/>
  <c r="D1189" i="15"/>
  <c r="C1185" i="15"/>
  <c r="F1185" i="15" s="1"/>
  <c r="D1182" i="15"/>
  <c r="C1178" i="15"/>
  <c r="F1178" i="15" s="1"/>
  <c r="C1174" i="15"/>
  <c r="F1174" i="15" s="1"/>
  <c r="D1171" i="15"/>
  <c r="B1167" i="15"/>
  <c r="C1159" i="15"/>
  <c r="F1159" i="15" s="1"/>
  <c r="D1159" i="15"/>
  <c r="D1141" i="15"/>
  <c r="E1141" i="15"/>
  <c r="B1139" i="15"/>
  <c r="C1139" i="15"/>
  <c r="F1139" i="15" s="1"/>
  <c r="C1136" i="15"/>
  <c r="F1136" i="15" s="1"/>
  <c r="B1130" i="15"/>
  <c r="C1122" i="15"/>
  <c r="F1122" i="15" s="1"/>
  <c r="D1122" i="15"/>
  <c r="C1104" i="15"/>
  <c r="F1104" i="15" s="1"/>
  <c r="D1104" i="15"/>
  <c r="E1104" i="15"/>
  <c r="C1092" i="15"/>
  <c r="F1092" i="15" s="1"/>
  <c r="D1092" i="15"/>
  <c r="E1092" i="15"/>
  <c r="D1083" i="15"/>
  <c r="E1083" i="15"/>
  <c r="D1074" i="15"/>
  <c r="E1074" i="15"/>
  <c r="D1058" i="15"/>
  <c r="B1058" i="15"/>
  <c r="C1058" i="15"/>
  <c r="F1058" i="15" s="1"/>
  <c r="E1058" i="15"/>
  <c r="D1049" i="15"/>
  <c r="B1049" i="15"/>
  <c r="C1049" i="15"/>
  <c r="F1049" i="15" s="1"/>
  <c r="E1049" i="15"/>
  <c r="C1035" i="15"/>
  <c r="F1035" i="15" s="1"/>
  <c r="B1035" i="15"/>
  <c r="D1035" i="15"/>
  <c r="E1035" i="15"/>
  <c r="C1012" i="15"/>
  <c r="F1012" i="15" s="1"/>
  <c r="D1012" i="15"/>
  <c r="E1012" i="15"/>
  <c r="B1012" i="15"/>
  <c r="C1165" i="15"/>
  <c r="F1165" i="15" s="1"/>
  <c r="D1165" i="15"/>
  <c r="D1148" i="15"/>
  <c r="E1148" i="15"/>
  <c r="B1146" i="15"/>
  <c r="C1146" i="15"/>
  <c r="F1146" i="15" s="1"/>
  <c r="C1128" i="15"/>
  <c r="F1128" i="15" s="1"/>
  <c r="D1128" i="15"/>
  <c r="D1111" i="15"/>
  <c r="E1111" i="15"/>
  <c r="D1099" i="15"/>
  <c r="E1099" i="15"/>
  <c r="D1087" i="15"/>
  <c r="E1087" i="15"/>
  <c r="D1082" i="15"/>
  <c r="B1082" i="15"/>
  <c r="C1082" i="15"/>
  <c r="F1082" i="15" s="1"/>
  <c r="E1082" i="15"/>
  <c r="D1073" i="15"/>
  <c r="B1073" i="15"/>
  <c r="C1073" i="15"/>
  <c r="F1073" i="15" s="1"/>
  <c r="E1073" i="15"/>
  <c r="D1064" i="15"/>
  <c r="B1064" i="15"/>
  <c r="C1064" i="15"/>
  <c r="F1064" i="15" s="1"/>
  <c r="E1064" i="15"/>
  <c r="C1025" i="15"/>
  <c r="F1025" i="15" s="1"/>
  <c r="E1025" i="15"/>
  <c r="B1025" i="15"/>
  <c r="D1025" i="15"/>
  <c r="D1155" i="15"/>
  <c r="D1154" i="15"/>
  <c r="E1154" i="15"/>
  <c r="B1152" i="15"/>
  <c r="C1152" i="15"/>
  <c r="F1152" i="15" s="1"/>
  <c r="C1134" i="15"/>
  <c r="F1134" i="15" s="1"/>
  <c r="D1134" i="15"/>
  <c r="D1118" i="15"/>
  <c r="D1117" i="15"/>
  <c r="E1117" i="15"/>
  <c r="B1115" i="15"/>
  <c r="C1115" i="15"/>
  <c r="F1115" i="15" s="1"/>
  <c r="B1103" i="15"/>
  <c r="C1103" i="15"/>
  <c r="F1103" i="15" s="1"/>
  <c r="D1103" i="15"/>
  <c r="B1091" i="15"/>
  <c r="C1091" i="15"/>
  <c r="F1091" i="15" s="1"/>
  <c r="D1091" i="15"/>
  <c r="D1080" i="15"/>
  <c r="E1080" i="15"/>
  <c r="D1055" i="15"/>
  <c r="B1055" i="15"/>
  <c r="C1055" i="15"/>
  <c r="F1055" i="15" s="1"/>
  <c r="E1055" i="15"/>
  <c r="D1046" i="15"/>
  <c r="B1046" i="15"/>
  <c r="C1046" i="15"/>
  <c r="F1046" i="15" s="1"/>
  <c r="E1046" i="15"/>
  <c r="C1017" i="15"/>
  <c r="F1017" i="15" s="1"/>
  <c r="B1017" i="15"/>
  <c r="D1017" i="15"/>
  <c r="E1017" i="15"/>
  <c r="E1170" i="15"/>
  <c r="D1160" i="15"/>
  <c r="E1160" i="15"/>
  <c r="B1158" i="15"/>
  <c r="C1158" i="15"/>
  <c r="F1158" i="15" s="1"/>
  <c r="C1155" i="15"/>
  <c r="F1155" i="15" s="1"/>
  <c r="E1153" i="15"/>
  <c r="C1140" i="15"/>
  <c r="F1140" i="15" s="1"/>
  <c r="D1140" i="15"/>
  <c r="C1135" i="15"/>
  <c r="F1135" i="15" s="1"/>
  <c r="E1133" i="15"/>
  <c r="D1124" i="15"/>
  <c r="D1123" i="15"/>
  <c r="E1123" i="15"/>
  <c r="B1121" i="15"/>
  <c r="C1121" i="15"/>
  <c r="F1121" i="15" s="1"/>
  <c r="C1118" i="15"/>
  <c r="F1118" i="15" s="1"/>
  <c r="E1116" i="15"/>
  <c r="C1110" i="15"/>
  <c r="F1110" i="15" s="1"/>
  <c r="D1110" i="15"/>
  <c r="E1110" i="15"/>
  <c r="C1098" i="15"/>
  <c r="F1098" i="15" s="1"/>
  <c r="D1098" i="15"/>
  <c r="E1098" i="15"/>
  <c r="C1086" i="15"/>
  <c r="F1086" i="15" s="1"/>
  <c r="D1086" i="15"/>
  <c r="E1086" i="15"/>
  <c r="D1079" i="15"/>
  <c r="B1079" i="15"/>
  <c r="C1079" i="15"/>
  <c r="F1079" i="15" s="1"/>
  <c r="E1079" i="15"/>
  <c r="D1070" i="15"/>
  <c r="B1070" i="15"/>
  <c r="C1070" i="15"/>
  <c r="F1070" i="15" s="1"/>
  <c r="E1070" i="15"/>
  <c r="D1061" i="15"/>
  <c r="B1061" i="15"/>
  <c r="C1061" i="15"/>
  <c r="F1061" i="15" s="1"/>
  <c r="E1061" i="15"/>
  <c r="C1007" i="15"/>
  <c r="F1007" i="15" s="1"/>
  <c r="E1007" i="15"/>
  <c r="B1007" i="15"/>
  <c r="D1007" i="15"/>
  <c r="D1278" i="15"/>
  <c r="C1274" i="15"/>
  <c r="F1274" i="15" s="1"/>
  <c r="D1267" i="15"/>
  <c r="C1263" i="15"/>
  <c r="F1263" i="15" s="1"/>
  <c r="D1260" i="15"/>
  <c r="C1256" i="15"/>
  <c r="F1256" i="15" s="1"/>
  <c r="D1249" i="15"/>
  <c r="C1245" i="15"/>
  <c r="F1245" i="15" s="1"/>
  <c r="D1242" i="15"/>
  <c r="C1238" i="15"/>
  <c r="F1238" i="15" s="1"/>
  <c r="D1231" i="15"/>
  <c r="C1227" i="15"/>
  <c r="F1227" i="15" s="1"/>
  <c r="D1224" i="15"/>
  <c r="C1220" i="15"/>
  <c r="F1220" i="15" s="1"/>
  <c r="D1213" i="15"/>
  <c r="C1209" i="15"/>
  <c r="F1209" i="15" s="1"/>
  <c r="D1206" i="15"/>
  <c r="C1202" i="15"/>
  <c r="F1202" i="15" s="1"/>
  <c r="D1195" i="15"/>
  <c r="C1191" i="15"/>
  <c r="F1191" i="15" s="1"/>
  <c r="D1188" i="15"/>
  <c r="C1184" i="15"/>
  <c r="F1184" i="15" s="1"/>
  <c r="D1177" i="15"/>
  <c r="C1173" i="15"/>
  <c r="F1173" i="15" s="1"/>
  <c r="D1170" i="15"/>
  <c r="D1167" i="15"/>
  <c r="D1166" i="15"/>
  <c r="E1166" i="15"/>
  <c r="B1164" i="15"/>
  <c r="C1164" i="15"/>
  <c r="F1164" i="15" s="1"/>
  <c r="C1161" i="15"/>
  <c r="F1161" i="15" s="1"/>
  <c r="E1159" i="15"/>
  <c r="B1155" i="15"/>
  <c r="B1153" i="15"/>
  <c r="C1147" i="15"/>
  <c r="F1147" i="15" s="1"/>
  <c r="D1147" i="15"/>
  <c r="C1141" i="15"/>
  <c r="F1141" i="15" s="1"/>
  <c r="E1139" i="15"/>
  <c r="B1135" i="15"/>
  <c r="D1133" i="15"/>
  <c r="D1130" i="15"/>
  <c r="D1129" i="15"/>
  <c r="E1129" i="15"/>
  <c r="B1127" i="15"/>
  <c r="C1127" i="15"/>
  <c r="F1127" i="15" s="1"/>
  <c r="C1124" i="15"/>
  <c r="F1124" i="15" s="1"/>
  <c r="E1122" i="15"/>
  <c r="B1118" i="15"/>
  <c r="B1116" i="15"/>
  <c r="E1109" i="15"/>
  <c r="D1105" i="15"/>
  <c r="E1105" i="15"/>
  <c r="E1097" i="15"/>
  <c r="D1093" i="15"/>
  <c r="E1093" i="15"/>
  <c r="E1085" i="15"/>
  <c r="C1083" i="15"/>
  <c r="F1083" i="15" s="1"/>
  <c r="D1077" i="15"/>
  <c r="E1077" i="15"/>
  <c r="C1074" i="15"/>
  <c r="F1074" i="15" s="1"/>
  <c r="D1052" i="15"/>
  <c r="B1052" i="15"/>
  <c r="C1052" i="15"/>
  <c r="F1052" i="15" s="1"/>
  <c r="E1052" i="15"/>
  <c r="D1043" i="15"/>
  <c r="B1043" i="15"/>
  <c r="C1043" i="15"/>
  <c r="F1043" i="15" s="1"/>
  <c r="E1043" i="15"/>
  <c r="C1030" i="15"/>
  <c r="F1030" i="15" s="1"/>
  <c r="D1030" i="15"/>
  <c r="E1030" i="15"/>
  <c r="B1030" i="15"/>
  <c r="C999" i="15"/>
  <c r="F999" i="15" s="1"/>
  <c r="B999" i="15"/>
  <c r="D999" i="15"/>
  <c r="E999" i="15"/>
  <c r="C1057" i="15"/>
  <c r="F1057" i="15" s="1"/>
  <c r="C1054" i="15"/>
  <c r="F1054" i="15" s="1"/>
  <c r="C1051" i="15"/>
  <c r="F1051" i="15" s="1"/>
  <c r="C1048" i="15"/>
  <c r="F1048" i="15" s="1"/>
  <c r="C1045" i="15"/>
  <c r="F1045" i="15" s="1"/>
  <c r="C993" i="15"/>
  <c r="F993" i="15" s="1"/>
  <c r="B993" i="15"/>
  <c r="D993" i="15"/>
  <c r="E993" i="15"/>
  <c r="E951" i="15"/>
  <c r="C951" i="15"/>
  <c r="F951" i="15" s="1"/>
  <c r="B951" i="15"/>
  <c r="D951" i="15"/>
  <c r="E942" i="15"/>
  <c r="C942" i="15"/>
  <c r="F942" i="15" s="1"/>
  <c r="B942" i="15"/>
  <c r="D942" i="15"/>
  <c r="E933" i="15"/>
  <c r="C933" i="15"/>
  <c r="F933" i="15" s="1"/>
  <c r="B933" i="15"/>
  <c r="D933" i="15"/>
  <c r="E924" i="15"/>
  <c r="C924" i="15"/>
  <c r="F924" i="15" s="1"/>
  <c r="B924" i="15"/>
  <c r="D924" i="15"/>
  <c r="E915" i="15"/>
  <c r="C915" i="15"/>
  <c r="F915" i="15" s="1"/>
  <c r="B915" i="15"/>
  <c r="D915" i="15"/>
  <c r="E906" i="15"/>
  <c r="C906" i="15"/>
  <c r="F906" i="15" s="1"/>
  <c r="B906" i="15"/>
  <c r="D906" i="15"/>
  <c r="E897" i="15"/>
  <c r="C897" i="15"/>
  <c r="F897" i="15" s="1"/>
  <c r="B897" i="15"/>
  <c r="D897" i="15"/>
  <c r="E888" i="15"/>
  <c r="C888" i="15"/>
  <c r="F888" i="15" s="1"/>
  <c r="B888" i="15"/>
  <c r="D888" i="15"/>
  <c r="E879" i="15"/>
  <c r="C879" i="15"/>
  <c r="F879" i="15" s="1"/>
  <c r="B879" i="15"/>
  <c r="D879" i="15"/>
  <c r="E870" i="15"/>
  <c r="C870" i="15"/>
  <c r="F870" i="15" s="1"/>
  <c r="B870" i="15"/>
  <c r="D870" i="15"/>
  <c r="E861" i="15"/>
  <c r="C861" i="15"/>
  <c r="F861" i="15" s="1"/>
  <c r="B861" i="15"/>
  <c r="D861" i="15"/>
  <c r="E813" i="15"/>
  <c r="B813" i="15"/>
  <c r="C813" i="15"/>
  <c r="F813" i="15" s="1"/>
  <c r="D813" i="15"/>
  <c r="C1042" i="15"/>
  <c r="F1042" i="15" s="1"/>
  <c r="D1042" i="15"/>
  <c r="C1037" i="15"/>
  <c r="F1037" i="15" s="1"/>
  <c r="E1037" i="15"/>
  <c r="C1029" i="15"/>
  <c r="F1029" i="15" s="1"/>
  <c r="B1029" i="15"/>
  <c r="D1029" i="15"/>
  <c r="E1029" i="15"/>
  <c r="C1024" i="15"/>
  <c r="F1024" i="15" s="1"/>
  <c r="D1024" i="15"/>
  <c r="E1024" i="15"/>
  <c r="C1019" i="15"/>
  <c r="F1019" i="15" s="1"/>
  <c r="E1019" i="15"/>
  <c r="C1011" i="15"/>
  <c r="F1011" i="15" s="1"/>
  <c r="B1011" i="15"/>
  <c r="D1011" i="15"/>
  <c r="E1011" i="15"/>
  <c r="C1006" i="15"/>
  <c r="F1006" i="15" s="1"/>
  <c r="D1006" i="15"/>
  <c r="E1006" i="15"/>
  <c r="C1001" i="15"/>
  <c r="F1001" i="15" s="1"/>
  <c r="E1001" i="15"/>
  <c r="C987" i="15"/>
  <c r="F987" i="15" s="1"/>
  <c r="B987" i="15"/>
  <c r="D987" i="15"/>
  <c r="E987" i="15"/>
  <c r="E819" i="15"/>
  <c r="B819" i="15"/>
  <c r="C819" i="15"/>
  <c r="F819" i="15" s="1"/>
  <c r="D819" i="15"/>
  <c r="C995" i="15"/>
  <c r="F995" i="15" s="1"/>
  <c r="B995" i="15"/>
  <c r="E995" i="15"/>
  <c r="C981" i="15"/>
  <c r="F981" i="15" s="1"/>
  <c r="B981" i="15"/>
  <c r="D981" i="15"/>
  <c r="E981" i="15"/>
  <c r="E825" i="15"/>
  <c r="B825" i="15"/>
  <c r="C825" i="15"/>
  <c r="F825" i="15" s="1"/>
  <c r="D825" i="15"/>
  <c r="E1071" i="15"/>
  <c r="E1068" i="15"/>
  <c r="E1065" i="15"/>
  <c r="E1062" i="15"/>
  <c r="C1041" i="15"/>
  <c r="F1041" i="15" s="1"/>
  <c r="B1041" i="15"/>
  <c r="D1041" i="15"/>
  <c r="E1041" i="15"/>
  <c r="C1036" i="15"/>
  <c r="F1036" i="15" s="1"/>
  <c r="D1036" i="15"/>
  <c r="E1036" i="15"/>
  <c r="C1031" i="15"/>
  <c r="F1031" i="15" s="1"/>
  <c r="E1031" i="15"/>
  <c r="C1023" i="15"/>
  <c r="F1023" i="15" s="1"/>
  <c r="B1023" i="15"/>
  <c r="D1023" i="15"/>
  <c r="E1023" i="15"/>
  <c r="C1018" i="15"/>
  <c r="F1018" i="15" s="1"/>
  <c r="D1018" i="15"/>
  <c r="E1018" i="15"/>
  <c r="C1013" i="15"/>
  <c r="F1013" i="15" s="1"/>
  <c r="E1013" i="15"/>
  <c r="C1005" i="15"/>
  <c r="F1005" i="15" s="1"/>
  <c r="B1005" i="15"/>
  <c r="D1005" i="15"/>
  <c r="E1005" i="15"/>
  <c r="C1000" i="15"/>
  <c r="F1000" i="15" s="1"/>
  <c r="D1000" i="15"/>
  <c r="E1000" i="15"/>
  <c r="C989" i="15"/>
  <c r="F989" i="15" s="1"/>
  <c r="B989" i="15"/>
  <c r="E989" i="15"/>
  <c r="E831" i="15"/>
  <c r="B831" i="15"/>
  <c r="C831" i="15"/>
  <c r="F831" i="15" s="1"/>
  <c r="D831" i="15"/>
  <c r="C983" i="15"/>
  <c r="F983" i="15" s="1"/>
  <c r="B983" i="15"/>
  <c r="E983" i="15"/>
  <c r="C977" i="15"/>
  <c r="F977" i="15" s="1"/>
  <c r="B977" i="15"/>
  <c r="D977" i="15"/>
  <c r="E977" i="15"/>
  <c r="D1040" i="15"/>
  <c r="B1039" i="15"/>
  <c r="D1034" i="15"/>
  <c r="B1033" i="15"/>
  <c r="D1028" i="15"/>
  <c r="B1027" i="15"/>
  <c r="D1022" i="15"/>
  <c r="B1021" i="15"/>
  <c r="D1016" i="15"/>
  <c r="B1015" i="15"/>
  <c r="D1010" i="15"/>
  <c r="B1009" i="15"/>
  <c r="D1004" i="15"/>
  <c r="B1003" i="15"/>
  <c r="D998" i="15"/>
  <c r="B997" i="15"/>
  <c r="D992" i="15"/>
  <c r="B991" i="15"/>
  <c r="D986" i="15"/>
  <c r="B985" i="15"/>
  <c r="D980" i="15"/>
  <c r="B979" i="15"/>
  <c r="E975" i="15"/>
  <c r="D974" i="15"/>
  <c r="B973" i="15"/>
  <c r="D969" i="15"/>
  <c r="C965" i="15"/>
  <c r="F965" i="15" s="1"/>
  <c r="B965" i="15"/>
  <c r="D962" i="15"/>
  <c r="C961" i="15"/>
  <c r="F961" i="15" s="1"/>
  <c r="E961" i="15"/>
  <c r="E958" i="15"/>
  <c r="C958" i="15"/>
  <c r="F958" i="15" s="1"/>
  <c r="E956" i="15"/>
  <c r="C956" i="15"/>
  <c r="F956" i="15" s="1"/>
  <c r="B956" i="15"/>
  <c r="E949" i="15"/>
  <c r="C949" i="15"/>
  <c r="F949" i="15" s="1"/>
  <c r="E947" i="15"/>
  <c r="C947" i="15"/>
  <c r="F947" i="15" s="1"/>
  <c r="B947" i="15"/>
  <c r="E940" i="15"/>
  <c r="C940" i="15"/>
  <c r="F940" i="15" s="1"/>
  <c r="E938" i="15"/>
  <c r="C938" i="15"/>
  <c r="F938" i="15" s="1"/>
  <c r="B938" i="15"/>
  <c r="E931" i="15"/>
  <c r="C931" i="15"/>
  <c r="F931" i="15" s="1"/>
  <c r="E929" i="15"/>
  <c r="C929" i="15"/>
  <c r="F929" i="15" s="1"/>
  <c r="B929" i="15"/>
  <c r="E922" i="15"/>
  <c r="C922" i="15"/>
  <c r="F922" i="15" s="1"/>
  <c r="E920" i="15"/>
  <c r="C920" i="15"/>
  <c r="F920" i="15" s="1"/>
  <c r="B920" i="15"/>
  <c r="E913" i="15"/>
  <c r="C913" i="15"/>
  <c r="F913" i="15" s="1"/>
  <c r="E911" i="15"/>
  <c r="C911" i="15"/>
  <c r="F911" i="15" s="1"/>
  <c r="B911" i="15"/>
  <c r="E904" i="15"/>
  <c r="C904" i="15"/>
  <c r="F904" i="15" s="1"/>
  <c r="E902" i="15"/>
  <c r="C902" i="15"/>
  <c r="F902" i="15" s="1"/>
  <c r="B902" i="15"/>
  <c r="E895" i="15"/>
  <c r="C895" i="15"/>
  <c r="F895" i="15" s="1"/>
  <c r="E893" i="15"/>
  <c r="C893" i="15"/>
  <c r="F893" i="15" s="1"/>
  <c r="B893" i="15"/>
  <c r="E886" i="15"/>
  <c r="C886" i="15"/>
  <c r="F886" i="15" s="1"/>
  <c r="E884" i="15"/>
  <c r="C884" i="15"/>
  <c r="F884" i="15" s="1"/>
  <c r="B884" i="15"/>
  <c r="E877" i="15"/>
  <c r="C877" i="15"/>
  <c r="F877" i="15" s="1"/>
  <c r="E875" i="15"/>
  <c r="C875" i="15"/>
  <c r="F875" i="15" s="1"/>
  <c r="B875" i="15"/>
  <c r="E868" i="15"/>
  <c r="C868" i="15"/>
  <c r="F868" i="15" s="1"/>
  <c r="E866" i="15"/>
  <c r="C866" i="15"/>
  <c r="B866" i="15"/>
  <c r="E852" i="15"/>
  <c r="B852" i="15"/>
  <c r="D852" i="15"/>
  <c r="E848" i="15"/>
  <c r="D848" i="15"/>
  <c r="B848" i="15"/>
  <c r="E994" i="15"/>
  <c r="E988" i="15"/>
  <c r="E982" i="15"/>
  <c r="E976" i="15"/>
  <c r="D975" i="15"/>
  <c r="E963" i="15"/>
  <c r="D957" i="15"/>
  <c r="E954" i="15"/>
  <c r="C954" i="15"/>
  <c r="F954" i="15" s="1"/>
  <c r="D948" i="15"/>
  <c r="E945" i="15"/>
  <c r="C945" i="15"/>
  <c r="F945" i="15" s="1"/>
  <c r="D939" i="15"/>
  <c r="E936" i="15"/>
  <c r="C936" i="15"/>
  <c r="F936" i="15" s="1"/>
  <c r="D930" i="15"/>
  <c r="E927" i="15"/>
  <c r="C927" i="15"/>
  <c r="F927" i="15" s="1"/>
  <c r="D921" i="15"/>
  <c r="E918" i="15"/>
  <c r="C918" i="15"/>
  <c r="F918" i="15" s="1"/>
  <c r="D912" i="15"/>
  <c r="E909" i="15"/>
  <c r="C909" i="15"/>
  <c r="F909" i="15" s="1"/>
  <c r="D903" i="15"/>
  <c r="E900" i="15"/>
  <c r="C900" i="15"/>
  <c r="F900" i="15" s="1"/>
  <c r="D894" i="15"/>
  <c r="E891" i="15"/>
  <c r="C891" i="15"/>
  <c r="F891" i="15" s="1"/>
  <c r="D885" i="15"/>
  <c r="E882" i="15"/>
  <c r="C882" i="15"/>
  <c r="F882" i="15" s="1"/>
  <c r="D876" i="15"/>
  <c r="E873" i="15"/>
  <c r="C873" i="15"/>
  <c r="F873" i="15" s="1"/>
  <c r="D867" i="15"/>
  <c r="E864" i="15"/>
  <c r="C864" i="15"/>
  <c r="F864" i="15" s="1"/>
  <c r="E846" i="15"/>
  <c r="B846" i="15"/>
  <c r="C846" i="15"/>
  <c r="F846" i="15" s="1"/>
  <c r="D846" i="15"/>
  <c r="D994" i="15"/>
  <c r="D988" i="15"/>
  <c r="D982" i="15"/>
  <c r="D976" i="15"/>
  <c r="B975" i="15"/>
  <c r="C966" i="15"/>
  <c r="F966" i="15" s="1"/>
  <c r="D966" i="15"/>
  <c r="D963" i="15"/>
  <c r="C959" i="15"/>
  <c r="F959" i="15" s="1"/>
  <c r="B959" i="15"/>
  <c r="E952" i="15"/>
  <c r="C952" i="15"/>
  <c r="F952" i="15" s="1"/>
  <c r="E950" i="15"/>
  <c r="C950" i="15"/>
  <c r="F950" i="15" s="1"/>
  <c r="B950" i="15"/>
  <c r="E943" i="15"/>
  <c r="C943" i="15"/>
  <c r="F943" i="15" s="1"/>
  <c r="E941" i="15"/>
  <c r="C941" i="15"/>
  <c r="F941" i="15" s="1"/>
  <c r="B941" i="15"/>
  <c r="E934" i="15"/>
  <c r="C934" i="15"/>
  <c r="F934" i="15" s="1"/>
  <c r="E932" i="15"/>
  <c r="C932" i="15"/>
  <c r="F932" i="15" s="1"/>
  <c r="B932" i="15"/>
  <c r="E925" i="15"/>
  <c r="C925" i="15"/>
  <c r="F925" i="15" s="1"/>
  <c r="E923" i="15"/>
  <c r="C923" i="15"/>
  <c r="F923" i="15" s="1"/>
  <c r="B923" i="15"/>
  <c r="E916" i="15"/>
  <c r="C916" i="15"/>
  <c r="F916" i="15" s="1"/>
  <c r="E914" i="15"/>
  <c r="C914" i="15"/>
  <c r="F914" i="15" s="1"/>
  <c r="B914" i="15"/>
  <c r="E907" i="15"/>
  <c r="C907" i="15"/>
  <c r="F907" i="15" s="1"/>
  <c r="E905" i="15"/>
  <c r="C905" i="15"/>
  <c r="F905" i="15" s="1"/>
  <c r="B905" i="15"/>
  <c r="E898" i="15"/>
  <c r="C898" i="15"/>
  <c r="F898" i="15" s="1"/>
  <c r="E896" i="15"/>
  <c r="C896" i="15"/>
  <c r="F896" i="15" s="1"/>
  <c r="B896" i="15"/>
  <c r="E889" i="15"/>
  <c r="C889" i="15"/>
  <c r="F889" i="15" s="1"/>
  <c r="E887" i="15"/>
  <c r="C887" i="15"/>
  <c r="F887" i="15" s="1"/>
  <c r="B887" i="15"/>
  <c r="E880" i="15"/>
  <c r="C880" i="15"/>
  <c r="F880" i="15" s="1"/>
  <c r="E878" i="15"/>
  <c r="C878" i="15"/>
  <c r="F878" i="15" s="1"/>
  <c r="B878" i="15"/>
  <c r="E871" i="15"/>
  <c r="C871" i="15"/>
  <c r="F871" i="15" s="1"/>
  <c r="E869" i="15"/>
  <c r="C869" i="15"/>
  <c r="F869" i="15" s="1"/>
  <c r="B869" i="15"/>
  <c r="E862" i="15"/>
  <c r="C862" i="15"/>
  <c r="F862" i="15" s="1"/>
  <c r="E855" i="15"/>
  <c r="C855" i="15"/>
  <c r="F855" i="15" s="1"/>
  <c r="D855" i="15"/>
  <c r="E850" i="15"/>
  <c r="D850" i="15"/>
  <c r="E844" i="15"/>
  <c r="D844" i="15"/>
  <c r="E842" i="15"/>
  <c r="D842" i="15"/>
  <c r="B842" i="15"/>
  <c r="E957" i="15"/>
  <c r="C957" i="15"/>
  <c r="F957" i="15" s="1"/>
  <c r="E948" i="15"/>
  <c r="C948" i="15"/>
  <c r="F948" i="15" s="1"/>
  <c r="E939" i="15"/>
  <c r="C939" i="15"/>
  <c r="F939" i="15" s="1"/>
  <c r="E930" i="15"/>
  <c r="C930" i="15"/>
  <c r="F930" i="15" s="1"/>
  <c r="E921" i="15"/>
  <c r="C921" i="15"/>
  <c r="F921" i="15" s="1"/>
  <c r="E912" i="15"/>
  <c r="C912" i="15"/>
  <c r="F912" i="15" s="1"/>
  <c r="E903" i="15"/>
  <c r="C903" i="15"/>
  <c r="F903" i="15" s="1"/>
  <c r="E894" i="15"/>
  <c r="C894" i="15"/>
  <c r="F894" i="15" s="1"/>
  <c r="E885" i="15"/>
  <c r="C885" i="15"/>
  <c r="F885" i="15" s="1"/>
  <c r="E876" i="15"/>
  <c r="C876" i="15"/>
  <c r="F876" i="15" s="1"/>
  <c r="E867" i="15"/>
  <c r="C867" i="15"/>
  <c r="F867" i="15" s="1"/>
  <c r="E849" i="15"/>
  <c r="C849" i="15"/>
  <c r="F849" i="15" s="1"/>
  <c r="B849" i="15"/>
  <c r="D849" i="15"/>
  <c r="E780" i="15"/>
  <c r="B780" i="15"/>
  <c r="C780" i="15"/>
  <c r="F780" i="15" s="1"/>
  <c r="D780" i="15"/>
  <c r="C971" i="15"/>
  <c r="F971" i="15" s="1"/>
  <c r="B971" i="15"/>
  <c r="C967" i="15"/>
  <c r="F967" i="15" s="1"/>
  <c r="E967" i="15"/>
  <c r="C960" i="15"/>
  <c r="F960" i="15" s="1"/>
  <c r="D960" i="15"/>
  <c r="E955" i="15"/>
  <c r="C955" i="15"/>
  <c r="F955" i="15" s="1"/>
  <c r="E953" i="15"/>
  <c r="C953" i="15"/>
  <c r="F953" i="15" s="1"/>
  <c r="B953" i="15"/>
  <c r="E946" i="15"/>
  <c r="C946" i="15"/>
  <c r="F946" i="15" s="1"/>
  <c r="E944" i="15"/>
  <c r="C944" i="15"/>
  <c r="F944" i="15" s="1"/>
  <c r="B944" i="15"/>
  <c r="E937" i="15"/>
  <c r="C937" i="15"/>
  <c r="F937" i="15" s="1"/>
  <c r="E935" i="15"/>
  <c r="C935" i="15"/>
  <c r="F935" i="15" s="1"/>
  <c r="B935" i="15"/>
  <c r="E928" i="15"/>
  <c r="C928" i="15"/>
  <c r="F928" i="15" s="1"/>
  <c r="E926" i="15"/>
  <c r="C926" i="15"/>
  <c r="F926" i="15" s="1"/>
  <c r="B926" i="15"/>
  <c r="E919" i="15"/>
  <c r="C919" i="15"/>
  <c r="F919" i="15" s="1"/>
  <c r="E917" i="15"/>
  <c r="C917" i="15"/>
  <c r="F917" i="15" s="1"/>
  <c r="B917" i="15"/>
  <c r="E910" i="15"/>
  <c r="C910" i="15"/>
  <c r="F910" i="15" s="1"/>
  <c r="E908" i="15"/>
  <c r="C908" i="15"/>
  <c r="F908" i="15" s="1"/>
  <c r="B908" i="15"/>
  <c r="E901" i="15"/>
  <c r="C901" i="15"/>
  <c r="F901" i="15" s="1"/>
  <c r="E899" i="15"/>
  <c r="C899" i="15"/>
  <c r="F899" i="15" s="1"/>
  <c r="B899" i="15"/>
  <c r="E892" i="15"/>
  <c r="C892" i="15"/>
  <c r="F892" i="15" s="1"/>
  <c r="E890" i="15"/>
  <c r="C890" i="15"/>
  <c r="F890" i="15" s="1"/>
  <c r="B890" i="15"/>
  <c r="E883" i="15"/>
  <c r="C883" i="15"/>
  <c r="F883" i="15" s="1"/>
  <c r="E881" i="15"/>
  <c r="C881" i="15"/>
  <c r="F881" i="15" s="1"/>
  <c r="B881" i="15"/>
  <c r="E874" i="15"/>
  <c r="C874" i="15"/>
  <c r="F874" i="15" s="1"/>
  <c r="E872" i="15"/>
  <c r="C872" i="15"/>
  <c r="F872" i="15" s="1"/>
  <c r="B872" i="15"/>
  <c r="E865" i="15"/>
  <c r="C865" i="15"/>
  <c r="F865" i="15" s="1"/>
  <c r="E863" i="15"/>
  <c r="C863" i="15"/>
  <c r="F863" i="15" s="1"/>
  <c r="B863" i="15"/>
  <c r="E858" i="15"/>
  <c r="B858" i="15"/>
  <c r="E836" i="15"/>
  <c r="D836" i="15"/>
  <c r="B836" i="15"/>
  <c r="E786" i="15"/>
  <c r="B786" i="15"/>
  <c r="C786" i="15"/>
  <c r="F786" i="15" s="1"/>
  <c r="D786" i="15"/>
  <c r="E798" i="15"/>
  <c r="B798" i="15"/>
  <c r="C798" i="15"/>
  <c r="F798" i="15" s="1"/>
  <c r="D798" i="15"/>
  <c r="E762" i="15"/>
  <c r="B762" i="15"/>
  <c r="C762" i="15"/>
  <c r="F762" i="15" s="1"/>
  <c r="D762" i="15"/>
  <c r="E856" i="15"/>
  <c r="D856" i="15"/>
  <c r="E854" i="15"/>
  <c r="D854" i="15"/>
  <c r="B854" i="15"/>
  <c r="E837" i="15"/>
  <c r="C837" i="15"/>
  <c r="F837" i="15" s="1"/>
  <c r="E834" i="15"/>
  <c r="B834" i="15"/>
  <c r="E804" i="15"/>
  <c r="B804" i="15"/>
  <c r="C804" i="15"/>
  <c r="F804" i="15" s="1"/>
  <c r="D804" i="15"/>
  <c r="E768" i="15"/>
  <c r="B768" i="15"/>
  <c r="C768" i="15"/>
  <c r="F768" i="15" s="1"/>
  <c r="D768" i="15"/>
  <c r="E860" i="15"/>
  <c r="D860" i="15"/>
  <c r="B860" i="15"/>
  <c r="E843" i="15"/>
  <c r="C843" i="15"/>
  <c r="F843" i="15" s="1"/>
  <c r="E840" i="15"/>
  <c r="B840" i="15"/>
  <c r="E828" i="15"/>
  <c r="B828" i="15"/>
  <c r="C828" i="15"/>
  <c r="F828" i="15" s="1"/>
  <c r="E822" i="15"/>
  <c r="B822" i="15"/>
  <c r="C822" i="15"/>
  <c r="F822" i="15" s="1"/>
  <c r="E816" i="15"/>
  <c r="B816" i="15"/>
  <c r="C816" i="15"/>
  <c r="F816" i="15" s="1"/>
  <c r="E810" i="15"/>
  <c r="B810" i="15"/>
  <c r="C810" i="15"/>
  <c r="F810" i="15" s="1"/>
  <c r="E774" i="15"/>
  <c r="B774" i="15"/>
  <c r="C774" i="15"/>
  <c r="F774" i="15" s="1"/>
  <c r="D774" i="15"/>
  <c r="B710" i="15"/>
  <c r="C710" i="15"/>
  <c r="F710" i="15" s="1"/>
  <c r="D710" i="15"/>
  <c r="E710" i="15"/>
  <c r="D832" i="15"/>
  <c r="B830" i="15"/>
  <c r="D826" i="15"/>
  <c r="B824" i="15"/>
  <c r="D820" i="15"/>
  <c r="B818" i="15"/>
  <c r="B36" i="36" s="1"/>
  <c r="D814" i="15"/>
  <c r="B812" i="15"/>
  <c r="D808" i="15"/>
  <c r="B806" i="15"/>
  <c r="D802" i="15"/>
  <c r="C801" i="15"/>
  <c r="F801" i="15" s="1"/>
  <c r="B800" i="15"/>
  <c r="D796" i="15"/>
  <c r="C795" i="15"/>
  <c r="F795" i="15" s="1"/>
  <c r="B794" i="15"/>
  <c r="D790" i="15"/>
  <c r="C789" i="15"/>
  <c r="F789" i="15" s="1"/>
  <c r="B788" i="15"/>
  <c r="D784" i="15"/>
  <c r="C783" i="15"/>
  <c r="F783" i="15" s="1"/>
  <c r="B782" i="15"/>
  <c r="D778" i="15"/>
  <c r="C777" i="15"/>
  <c r="F777" i="15" s="1"/>
  <c r="B776" i="15"/>
  <c r="D772" i="15"/>
  <c r="C771" i="15"/>
  <c r="F771" i="15" s="1"/>
  <c r="B770" i="15"/>
  <c r="D766" i="15"/>
  <c r="C765" i="15"/>
  <c r="F765" i="15" s="1"/>
  <c r="B764" i="15"/>
  <c r="D760" i="15"/>
  <c r="C759" i="15"/>
  <c r="F759" i="15" s="1"/>
  <c r="B758" i="15"/>
  <c r="D754" i="15"/>
  <c r="C753" i="15"/>
  <c r="F753" i="15" s="1"/>
  <c r="B752" i="15"/>
  <c r="D748" i="15"/>
  <c r="C747" i="15"/>
  <c r="F747" i="15" s="1"/>
  <c r="B746" i="15"/>
  <c r="D742" i="15"/>
  <c r="C741" i="15"/>
  <c r="F741" i="15" s="1"/>
  <c r="B740" i="15"/>
  <c r="D736" i="15"/>
  <c r="C735" i="15"/>
  <c r="F735" i="15" s="1"/>
  <c r="B734" i="15"/>
  <c r="D730" i="15"/>
  <c r="C729" i="15"/>
  <c r="F729" i="15" s="1"/>
  <c r="B728" i="15"/>
  <c r="D724" i="15"/>
  <c r="C723" i="15"/>
  <c r="F723" i="15" s="1"/>
  <c r="B722" i="15"/>
  <c r="D719" i="15"/>
  <c r="E716" i="15"/>
  <c r="C715" i="15"/>
  <c r="F715" i="15" s="1"/>
  <c r="D712" i="15"/>
  <c r="B708" i="15"/>
  <c r="B35" i="30" s="1"/>
  <c r="D635" i="15"/>
  <c r="C635" i="15"/>
  <c r="F635" i="15" s="1"/>
  <c r="B801" i="15"/>
  <c r="B795" i="15"/>
  <c r="B789" i="15"/>
  <c r="B783" i="15"/>
  <c r="B777" i="15"/>
  <c r="B771" i="15"/>
  <c r="B765" i="15"/>
  <c r="B759" i="15"/>
  <c r="D706" i="15"/>
  <c r="B706" i="15"/>
  <c r="C716" i="15"/>
  <c r="F716" i="15" s="1"/>
  <c r="C646" i="15"/>
  <c r="F646" i="15" s="1"/>
  <c r="D646" i="15"/>
  <c r="B827" i="15"/>
  <c r="B821" i="15"/>
  <c r="B815" i="15"/>
  <c r="B809" i="15"/>
  <c r="B803" i="15"/>
  <c r="B797" i="15"/>
  <c r="B791" i="15"/>
  <c r="B785" i="15"/>
  <c r="B779" i="15"/>
  <c r="B773" i="15"/>
  <c r="B767" i="15"/>
  <c r="B761" i="15"/>
  <c r="B755" i="15"/>
  <c r="B749" i="15"/>
  <c r="B743" i="15"/>
  <c r="B26" i="36" s="1"/>
  <c r="B737" i="15"/>
  <c r="B731" i="15"/>
  <c r="B725" i="15"/>
  <c r="B720" i="15"/>
  <c r="B713" i="15"/>
  <c r="C704" i="15"/>
  <c r="F704" i="15" s="1"/>
  <c r="E701" i="15"/>
  <c r="C701" i="15"/>
  <c r="F701" i="15" s="1"/>
  <c r="D830" i="15"/>
  <c r="D824" i="15"/>
  <c r="D818" i="15"/>
  <c r="D812" i="15"/>
  <c r="D806" i="15"/>
  <c r="D800" i="15"/>
  <c r="D794" i="15"/>
  <c r="D788" i="15"/>
  <c r="D782" i="15"/>
  <c r="D776" i="15"/>
  <c r="D770" i="15"/>
  <c r="D764" i="15"/>
  <c r="D758" i="15"/>
  <c r="D752" i="15"/>
  <c r="D746" i="15"/>
  <c r="D740" i="15"/>
  <c r="D734" i="15"/>
  <c r="D728" i="15"/>
  <c r="D722" i="15"/>
  <c r="E708" i="15"/>
  <c r="E707" i="15"/>
  <c r="C707" i="15"/>
  <c r="F707" i="15" s="1"/>
  <c r="D698" i="15"/>
  <c r="D695" i="15"/>
  <c r="D692" i="15"/>
  <c r="D689" i="15"/>
  <c r="D686" i="15"/>
  <c r="D683" i="15"/>
  <c r="D680" i="15"/>
  <c r="D677" i="15"/>
  <c r="D674" i="15"/>
  <c r="D671" i="15"/>
  <c r="D668" i="15"/>
  <c r="D665" i="15"/>
  <c r="D662" i="15"/>
  <c r="D659" i="15"/>
  <c r="C650" i="15"/>
  <c r="F650" i="15" s="1"/>
  <c r="B650" i="15"/>
  <c r="C638" i="15"/>
  <c r="F638" i="15" s="1"/>
  <c r="B638" i="15"/>
  <c r="E638" i="15"/>
  <c r="C604" i="15"/>
  <c r="F604" i="15" s="1"/>
  <c r="B604" i="15"/>
  <c r="E572" i="15"/>
  <c r="B572" i="15"/>
  <c r="C572" i="15"/>
  <c r="F572" i="15" s="1"/>
  <c r="D572" i="15"/>
  <c r="C657" i="15"/>
  <c r="F657" i="15" s="1"/>
  <c r="E649" i="15"/>
  <c r="C649" i="15"/>
  <c r="F649" i="15" s="1"/>
  <c r="E644" i="15"/>
  <c r="E631" i="15"/>
  <c r="C631" i="15"/>
  <c r="F631" i="15" s="1"/>
  <c r="D607" i="15"/>
  <c r="E607" i="15"/>
  <c r="B607" i="15"/>
  <c r="B364" i="15"/>
  <c r="C364" i="15"/>
  <c r="F364" i="15" s="1"/>
  <c r="B615" i="15"/>
  <c r="C615" i="15"/>
  <c r="F615" i="15" s="1"/>
  <c r="D541" i="15"/>
  <c r="E541" i="15"/>
  <c r="B480" i="15"/>
  <c r="C480" i="15"/>
  <c r="F480" i="15" s="1"/>
  <c r="D480" i="15"/>
  <c r="E480" i="15"/>
  <c r="D420" i="15"/>
  <c r="E420" i="15"/>
  <c r="D657" i="15"/>
  <c r="E657" i="15"/>
  <c r="D644" i="15"/>
  <c r="B644" i="15"/>
  <c r="C640" i="15"/>
  <c r="F640" i="15" s="1"/>
  <c r="B640" i="15"/>
  <c r="D640" i="15"/>
  <c r="E624" i="15"/>
  <c r="C624" i="15"/>
  <c r="F624" i="15" s="1"/>
  <c r="C553" i="15"/>
  <c r="F553" i="15" s="1"/>
  <c r="E553" i="15"/>
  <c r="B553" i="15"/>
  <c r="D493" i="15"/>
  <c r="C493" i="15"/>
  <c r="F493" i="15" s="1"/>
  <c r="B448" i="15"/>
  <c r="C448" i="15"/>
  <c r="F448" i="15" s="1"/>
  <c r="D448" i="15"/>
  <c r="D647" i="15"/>
  <c r="B647" i="15"/>
  <c r="B639" i="15"/>
  <c r="D639" i="15"/>
  <c r="E602" i="15"/>
  <c r="B602" i="15"/>
  <c r="D602" i="15"/>
  <c r="B567" i="15"/>
  <c r="D567" i="15"/>
  <c r="C628" i="15"/>
  <c r="F628" i="15" s="1"/>
  <c r="D628" i="15"/>
  <c r="D614" i="15"/>
  <c r="E614" i="15"/>
  <c r="B544" i="15"/>
  <c r="D544" i="15"/>
  <c r="C419" i="15"/>
  <c r="F419" i="15" s="1"/>
  <c r="D419" i="15"/>
  <c r="B414" i="15"/>
  <c r="C414" i="15"/>
  <c r="F414" i="15" s="1"/>
  <c r="D414" i="15"/>
  <c r="B377" i="15"/>
  <c r="C377" i="15"/>
  <c r="F377" i="15" s="1"/>
  <c r="D377" i="15"/>
  <c r="E321" i="15"/>
  <c r="D321" i="15"/>
  <c r="B597" i="15"/>
  <c r="D597" i="15"/>
  <c r="C584" i="15"/>
  <c r="F584" i="15" s="1"/>
  <c r="D584" i="15"/>
  <c r="B546" i="15"/>
  <c r="D546" i="15"/>
  <c r="B504" i="15"/>
  <c r="D504" i="15"/>
  <c r="E504" i="15"/>
  <c r="B479" i="15"/>
  <c r="C479" i="15"/>
  <c r="F479" i="15" s="1"/>
  <c r="B455" i="15"/>
  <c r="C455" i="15"/>
  <c r="F455" i="15" s="1"/>
  <c r="B439" i="15"/>
  <c r="C439" i="15"/>
  <c r="F439" i="15" s="1"/>
  <c r="D439" i="15"/>
  <c r="E427" i="15"/>
  <c r="D427" i="15"/>
  <c r="E632" i="15"/>
  <c r="B621" i="15"/>
  <c r="D621" i="15"/>
  <c r="E600" i="15"/>
  <c r="C600" i="15"/>
  <c r="F600" i="15" s="1"/>
  <c r="D593" i="15"/>
  <c r="B593" i="15"/>
  <c r="C593" i="15"/>
  <c r="F593" i="15" s="1"/>
  <c r="D590" i="15"/>
  <c r="E590" i="15"/>
  <c r="C586" i="15"/>
  <c r="F586" i="15" s="1"/>
  <c r="B586" i="15"/>
  <c r="D586" i="15"/>
  <c r="C574" i="15"/>
  <c r="F574" i="15" s="1"/>
  <c r="D574" i="15"/>
  <c r="B561" i="15"/>
  <c r="C561" i="15"/>
  <c r="F561" i="15" s="1"/>
  <c r="B527" i="15"/>
  <c r="C527" i="15"/>
  <c r="F527" i="15" s="1"/>
  <c r="D527" i="15"/>
  <c r="B468" i="15"/>
  <c r="C468" i="15"/>
  <c r="F468" i="15" s="1"/>
  <c r="D468" i="15"/>
  <c r="E384" i="15"/>
  <c r="D384" i="15"/>
  <c r="C284" i="15"/>
  <c r="F284" i="15" s="1"/>
  <c r="B284" i="15"/>
  <c r="E284" i="15"/>
  <c r="B520" i="15"/>
  <c r="C520" i="15"/>
  <c r="F520" i="15" s="1"/>
  <c r="B361" i="15"/>
  <c r="C361" i="15"/>
  <c r="F361" i="15" s="1"/>
  <c r="D361" i="15"/>
  <c r="C324" i="15"/>
  <c r="F324" i="15" s="1"/>
  <c r="B324" i="15"/>
  <c r="E324" i="15"/>
  <c r="D643" i="15"/>
  <c r="B643" i="15"/>
  <c r="B626" i="15"/>
  <c r="C626" i="15"/>
  <c r="F626" i="15" s="1"/>
  <c r="C614" i="15"/>
  <c r="F614" i="15" s="1"/>
  <c r="C611" i="15"/>
  <c r="F611" i="15" s="1"/>
  <c r="B596" i="15"/>
  <c r="C596" i="15"/>
  <c r="F596" i="15" s="1"/>
  <c r="D589" i="15"/>
  <c r="B589" i="15"/>
  <c r="C589" i="15"/>
  <c r="F589" i="15" s="1"/>
  <c r="E570" i="15"/>
  <c r="C570" i="15"/>
  <c r="F570" i="15" s="1"/>
  <c r="E564" i="15"/>
  <c r="B564" i="15"/>
  <c r="C529" i="15"/>
  <c r="F529" i="15" s="1"/>
  <c r="D529" i="15"/>
  <c r="C425" i="15"/>
  <c r="F425" i="15" s="1"/>
  <c r="E425" i="15"/>
  <c r="B390" i="15"/>
  <c r="C390" i="15"/>
  <c r="F390" i="15" s="1"/>
  <c r="D390" i="15"/>
  <c r="B382" i="15"/>
  <c r="C382" i="15"/>
  <c r="F382" i="15" s="1"/>
  <c r="C373" i="15"/>
  <c r="F373" i="15" s="1"/>
  <c r="E373" i="15"/>
  <c r="C360" i="15"/>
  <c r="F360" i="15" s="1"/>
  <c r="D360" i="15"/>
  <c r="B342" i="15"/>
  <c r="C342" i="15"/>
  <c r="F342" i="15" s="1"/>
  <c r="E342" i="15"/>
  <c r="C274" i="15"/>
  <c r="F274" i="15" s="1"/>
  <c r="B274" i="15"/>
  <c r="C617" i="15"/>
  <c r="F617" i="15" s="1"/>
  <c r="B582" i="15"/>
  <c r="C579" i="15"/>
  <c r="F579" i="15" s="1"/>
  <c r="C563" i="15"/>
  <c r="F563" i="15" s="1"/>
  <c r="E560" i="15"/>
  <c r="E533" i="15"/>
  <c r="C516" i="15"/>
  <c r="F516" i="15" s="1"/>
  <c r="C511" i="15"/>
  <c r="F511" i="15" s="1"/>
  <c r="C508" i="15"/>
  <c r="F508" i="15" s="1"/>
  <c r="C503" i="15"/>
  <c r="F503" i="15" s="1"/>
  <c r="C484" i="15"/>
  <c r="F484" i="15" s="1"/>
  <c r="C463" i="15"/>
  <c r="F463" i="15" s="1"/>
  <c r="C456" i="15"/>
  <c r="F456" i="15" s="1"/>
  <c r="C451" i="15"/>
  <c r="F451" i="15" s="1"/>
  <c r="C443" i="15"/>
  <c r="F443" i="15" s="1"/>
  <c r="C433" i="15"/>
  <c r="F433" i="15" s="1"/>
  <c r="C430" i="15"/>
  <c r="F430" i="15" s="1"/>
  <c r="E426" i="15"/>
  <c r="C418" i="15"/>
  <c r="F418" i="15" s="1"/>
  <c r="D403" i="15"/>
  <c r="C401" i="15"/>
  <c r="F401" i="15" s="1"/>
  <c r="C396" i="15"/>
  <c r="F396" i="15" s="1"/>
  <c r="C378" i="15"/>
  <c r="F378" i="15" s="1"/>
  <c r="C349" i="15"/>
  <c r="F349" i="15" s="1"/>
  <c r="C346" i="15"/>
  <c r="F346" i="15" s="1"/>
  <c r="E308" i="15"/>
  <c r="B308" i="15"/>
  <c r="B300" i="15"/>
  <c r="B278" i="15"/>
  <c r="C258" i="15"/>
  <c r="F258" i="15" s="1"/>
  <c r="E258" i="15"/>
  <c r="C252" i="15"/>
  <c r="F252" i="15" s="1"/>
  <c r="E252" i="15"/>
  <c r="C244" i="15"/>
  <c r="F244" i="15" s="1"/>
  <c r="E244" i="15"/>
  <c r="C241" i="15"/>
  <c r="F241" i="15" s="1"/>
  <c r="D241" i="15"/>
  <c r="D217" i="15"/>
  <c r="D189" i="15"/>
  <c r="E130" i="15"/>
  <c r="B119" i="15"/>
  <c r="C119" i="15"/>
  <c r="F119" i="15" s="1"/>
  <c r="D97" i="15"/>
  <c r="E67" i="15"/>
  <c r="C67" i="15"/>
  <c r="F67" i="15" s="1"/>
  <c r="E14" i="15"/>
  <c r="C14" i="15"/>
  <c r="F14" i="15" s="1"/>
  <c r="E539" i="15"/>
  <c r="E491" i="15"/>
  <c r="E444" i="15"/>
  <c r="D426" i="15"/>
  <c r="E397" i="15"/>
  <c r="D314" i="15"/>
  <c r="C264" i="15"/>
  <c r="F264" i="15" s="1"/>
  <c r="E264" i="15"/>
  <c r="D260" i="15"/>
  <c r="C246" i="15"/>
  <c r="F246" i="15" s="1"/>
  <c r="E246" i="15"/>
  <c r="C238" i="15"/>
  <c r="F238" i="15" s="1"/>
  <c r="E238" i="15"/>
  <c r="C235" i="15"/>
  <c r="F235" i="15" s="1"/>
  <c r="D235" i="15"/>
  <c r="B230" i="15"/>
  <c r="C204" i="15"/>
  <c r="F204" i="15" s="1"/>
  <c r="D204" i="15"/>
  <c r="D102" i="15"/>
  <c r="E102" i="15"/>
  <c r="C70" i="15"/>
  <c r="F70" i="15" s="1"/>
  <c r="E56" i="15"/>
  <c r="C56" i="15"/>
  <c r="F56" i="15" s="1"/>
  <c r="B7" i="15"/>
  <c r="C7" i="15"/>
  <c r="F7" i="15" s="1"/>
  <c r="C2" i="15"/>
  <c r="F2" i="15" s="1"/>
  <c r="C254" i="15"/>
  <c r="F254" i="15" s="1"/>
  <c r="E254" i="15"/>
  <c r="C240" i="15"/>
  <c r="F240" i="15" s="1"/>
  <c r="E240" i="15"/>
  <c r="C171" i="15"/>
  <c r="F171" i="15" s="1"/>
  <c r="B171" i="15"/>
  <c r="B122" i="15"/>
  <c r="C122" i="15"/>
  <c r="F122" i="15" s="1"/>
  <c r="C91" i="15"/>
  <c r="F91" i="15" s="1"/>
  <c r="B91" i="15"/>
  <c r="D347" i="15"/>
  <c r="E328" i="15"/>
  <c r="D323" i="15"/>
  <c r="C280" i="15"/>
  <c r="F280" i="15" s="1"/>
  <c r="B280" i="15"/>
  <c r="C248" i="15"/>
  <c r="F248" i="15" s="1"/>
  <c r="D248" i="15"/>
  <c r="E236" i="15"/>
  <c r="C234" i="15"/>
  <c r="F234" i="15" s="1"/>
  <c r="E234" i="15"/>
  <c r="C182" i="15"/>
  <c r="F182" i="15" s="1"/>
  <c r="D182" i="15"/>
  <c r="E177" i="15"/>
  <c r="B121" i="15"/>
  <c r="C121" i="15"/>
  <c r="F121" i="15" s="1"/>
  <c r="D103" i="15"/>
  <c r="E85" i="15"/>
  <c r="C85" i="15"/>
  <c r="F85" i="15" s="1"/>
  <c r="D77" i="15"/>
  <c r="E32" i="15"/>
  <c r="C347" i="15"/>
  <c r="F347" i="15" s="1"/>
  <c r="E332" i="15"/>
  <c r="B313" i="15"/>
  <c r="D297" i="15"/>
  <c r="B282" i="15"/>
  <c r="E262" i="15"/>
  <c r="D259" i="15"/>
  <c r="C253" i="15"/>
  <c r="F253" i="15" s="1"/>
  <c r="D253" i="15"/>
  <c r="C242" i="15"/>
  <c r="F242" i="15" s="1"/>
  <c r="D242" i="15"/>
  <c r="C197" i="15"/>
  <c r="F197" i="15" s="1"/>
  <c r="D197" i="15"/>
  <c r="C164" i="15"/>
  <c r="F164" i="15" s="1"/>
  <c r="D164" i="15"/>
  <c r="C159" i="15"/>
  <c r="F159" i="15" s="1"/>
  <c r="E159" i="15"/>
  <c r="B159" i="15"/>
  <c r="C103" i="15"/>
  <c r="F103" i="15" s="1"/>
  <c r="B84" i="15"/>
  <c r="D80" i="15"/>
  <c r="C58" i="15"/>
  <c r="F58" i="15" s="1"/>
  <c r="E47" i="15"/>
  <c r="C250" i="15"/>
  <c r="F250" i="15" s="1"/>
  <c r="E250" i="15"/>
  <c r="C247" i="15"/>
  <c r="F247" i="15" s="1"/>
  <c r="D247" i="15"/>
  <c r="C236" i="15"/>
  <c r="F236" i="15" s="1"/>
  <c r="D236" i="15"/>
  <c r="C177" i="15"/>
  <c r="F177" i="15" s="1"/>
  <c r="D177" i="15"/>
  <c r="C168" i="15"/>
  <c r="F168" i="15" s="1"/>
  <c r="D168" i="15"/>
  <c r="B141" i="15"/>
  <c r="C141" i="15"/>
  <c r="F141" i="15" s="1"/>
  <c r="B131" i="15"/>
  <c r="E131" i="15"/>
  <c r="C131" i="15"/>
  <c r="F131" i="15" s="1"/>
  <c r="E93" i="15"/>
  <c r="D93" i="15"/>
  <c r="D147" i="15"/>
  <c r="E656" i="15"/>
  <c r="D655" i="15"/>
  <c r="B653" i="15"/>
  <c r="E650" i="15"/>
  <c r="D649" i="15"/>
  <c r="B648" i="15"/>
  <c r="E646" i="15"/>
  <c r="C645" i="15"/>
  <c r="F645" i="15" s="1"/>
  <c r="D642" i="15"/>
  <c r="B641" i="15"/>
  <c r="E639" i="15"/>
  <c r="B637" i="15"/>
  <c r="E635" i="15"/>
  <c r="B634" i="15"/>
  <c r="D631" i="15"/>
  <c r="B630" i="15"/>
  <c r="E628" i="15"/>
  <c r="C627" i="15"/>
  <c r="F627" i="15" s="1"/>
  <c r="D624" i="15"/>
  <c r="B623" i="15"/>
  <c r="E621" i="15"/>
  <c r="B619" i="15"/>
  <c r="E617" i="15"/>
  <c r="B616" i="15"/>
  <c r="D613" i="15"/>
  <c r="B612" i="15"/>
  <c r="E610" i="15"/>
  <c r="C609" i="15"/>
  <c r="F609" i="15" s="1"/>
  <c r="D606" i="15"/>
  <c r="B605" i="15"/>
  <c r="E603" i="15"/>
  <c r="B601" i="15"/>
  <c r="E599" i="15"/>
  <c r="B598" i="15"/>
  <c r="D595" i="15"/>
  <c r="B594" i="15"/>
  <c r="E592" i="15"/>
  <c r="C591" i="15"/>
  <c r="F591" i="15" s="1"/>
  <c r="D588" i="15"/>
  <c r="B587" i="15"/>
  <c r="E585" i="15"/>
  <c r="B583" i="15"/>
  <c r="E581" i="15"/>
  <c r="B580" i="15"/>
  <c r="D577" i="15"/>
  <c r="B576" i="15"/>
  <c r="E574" i="15"/>
  <c r="C573" i="15"/>
  <c r="F573" i="15" s="1"/>
  <c r="D570" i="15"/>
  <c r="B569" i="15"/>
  <c r="E567" i="15"/>
  <c r="B565" i="15"/>
  <c r="E563" i="15"/>
  <c r="B562" i="15"/>
  <c r="D559" i="15"/>
  <c r="B558" i="15"/>
  <c r="E556" i="15"/>
  <c r="C555" i="15"/>
  <c r="F555" i="15" s="1"/>
  <c r="B497" i="15"/>
  <c r="C497" i="15"/>
  <c r="F497" i="15" s="1"/>
  <c r="D497" i="15"/>
  <c r="E497" i="15"/>
  <c r="B655" i="15"/>
  <c r="B649" i="15"/>
  <c r="E647" i="15"/>
  <c r="B646" i="15"/>
  <c r="B642" i="15"/>
  <c r="E640" i="15"/>
  <c r="C639" i="15"/>
  <c r="F639" i="15" s="1"/>
  <c r="D636" i="15"/>
  <c r="B635" i="15"/>
  <c r="E633" i="15"/>
  <c r="B631" i="15"/>
  <c r="E629" i="15"/>
  <c r="B628" i="15"/>
  <c r="B624" i="15"/>
  <c r="E622" i="15"/>
  <c r="C621" i="15"/>
  <c r="F621" i="15" s="1"/>
  <c r="D618" i="15"/>
  <c r="B617" i="15"/>
  <c r="E615" i="15"/>
  <c r="B613" i="15"/>
  <c r="E611" i="15"/>
  <c r="B610" i="15"/>
  <c r="B606" i="15"/>
  <c r="E604" i="15"/>
  <c r="C603" i="15"/>
  <c r="F603" i="15" s="1"/>
  <c r="D600" i="15"/>
  <c r="B599" i="15"/>
  <c r="E597" i="15"/>
  <c r="B595" i="15"/>
  <c r="E593" i="15"/>
  <c r="B592" i="15"/>
  <c r="B588" i="15"/>
  <c r="E586" i="15"/>
  <c r="C585" i="15"/>
  <c r="F585" i="15" s="1"/>
  <c r="D582" i="15"/>
  <c r="B581" i="15"/>
  <c r="E579" i="15"/>
  <c r="B577" i="15"/>
  <c r="E575" i="15"/>
  <c r="B574" i="15"/>
  <c r="B570" i="15"/>
  <c r="E568" i="15"/>
  <c r="C567" i="15"/>
  <c r="F567" i="15" s="1"/>
  <c r="D564" i="15"/>
  <c r="B563" i="15"/>
  <c r="E561" i="15"/>
  <c r="B559" i="15"/>
  <c r="E557" i="15"/>
  <c r="B556" i="15"/>
  <c r="D553" i="15"/>
  <c r="B509" i="15"/>
  <c r="E509" i="15"/>
  <c r="C509" i="15"/>
  <c r="F509" i="15" s="1"/>
  <c r="D509" i="15"/>
  <c r="E653" i="15"/>
  <c r="E637" i="15"/>
  <c r="E619" i="15"/>
  <c r="E601" i="15"/>
  <c r="E583" i="15"/>
  <c r="E565" i="15"/>
  <c r="B535" i="15"/>
  <c r="D535" i="15"/>
  <c r="E535" i="15"/>
  <c r="B533" i="15"/>
  <c r="C533" i="15"/>
  <c r="F533" i="15" s="1"/>
  <c r="D653" i="15"/>
  <c r="D648" i="15"/>
  <c r="E645" i="15"/>
  <c r="E641" i="15"/>
  <c r="D637" i="15"/>
  <c r="E634" i="15"/>
  <c r="D630" i="15"/>
  <c r="E627" i="15"/>
  <c r="E623" i="15"/>
  <c r="D619" i="15"/>
  <c r="E616" i="15"/>
  <c r="D612" i="15"/>
  <c r="E609" i="15"/>
  <c r="E605" i="15"/>
  <c r="D601" i="15"/>
  <c r="E598" i="15"/>
  <c r="D594" i="15"/>
  <c r="E591" i="15"/>
  <c r="E587" i="15"/>
  <c r="D583" i="15"/>
  <c r="E580" i="15"/>
  <c r="D576" i="15"/>
  <c r="E573" i="15"/>
  <c r="E569" i="15"/>
  <c r="D565" i="15"/>
  <c r="E562" i="15"/>
  <c r="D558" i="15"/>
  <c r="E555" i="15"/>
  <c r="B538" i="15"/>
  <c r="C538" i="15"/>
  <c r="F538" i="15" s="1"/>
  <c r="C648" i="15"/>
  <c r="F648" i="15" s="1"/>
  <c r="D645" i="15"/>
  <c r="C641" i="15"/>
  <c r="F641" i="15" s="1"/>
  <c r="D634" i="15"/>
  <c r="C630" i="15"/>
  <c r="F630" i="15" s="1"/>
  <c r="D627" i="15"/>
  <c r="C623" i="15"/>
  <c r="F623" i="15" s="1"/>
  <c r="D616" i="15"/>
  <c r="C612" i="15"/>
  <c r="F612" i="15" s="1"/>
  <c r="D609" i="15"/>
  <c r="C605" i="15"/>
  <c r="F605" i="15" s="1"/>
  <c r="D598" i="15"/>
  <c r="C594" i="15"/>
  <c r="F594" i="15" s="1"/>
  <c r="D591" i="15"/>
  <c r="C587" i="15"/>
  <c r="F587" i="15" s="1"/>
  <c r="D580" i="15"/>
  <c r="C576" i="15"/>
  <c r="F576" i="15" s="1"/>
  <c r="D573" i="15"/>
  <c r="C569" i="15"/>
  <c r="F569" i="15" s="1"/>
  <c r="D562" i="15"/>
  <c r="C558" i="15"/>
  <c r="F558" i="15" s="1"/>
  <c r="D555" i="15"/>
  <c r="B499" i="15"/>
  <c r="D499" i="15"/>
  <c r="C499" i="15"/>
  <c r="F499" i="15" s="1"/>
  <c r="E499" i="15"/>
  <c r="B481" i="15"/>
  <c r="C481" i="15"/>
  <c r="F481" i="15" s="1"/>
  <c r="E481" i="15"/>
  <c r="B474" i="15"/>
  <c r="C474" i="15"/>
  <c r="F474" i="15" s="1"/>
  <c r="E474" i="15"/>
  <c r="B461" i="15"/>
  <c r="C461" i="15"/>
  <c r="F461" i="15" s="1"/>
  <c r="E461" i="15"/>
  <c r="B431" i="15"/>
  <c r="E431" i="15"/>
  <c r="C431" i="15"/>
  <c r="F431" i="15" s="1"/>
  <c r="D431" i="15"/>
  <c r="B407" i="15"/>
  <c r="C407" i="15"/>
  <c r="F407" i="15" s="1"/>
  <c r="D407" i="15"/>
  <c r="E407" i="15"/>
  <c r="B367" i="15"/>
  <c r="E367" i="15"/>
  <c r="C367" i="15"/>
  <c r="F367" i="15" s="1"/>
  <c r="D367" i="15"/>
  <c r="B353" i="15"/>
  <c r="D353" i="15"/>
  <c r="C353" i="15"/>
  <c r="F353" i="15" s="1"/>
  <c r="E353" i="15"/>
  <c r="C330" i="15"/>
  <c r="F330" i="15" s="1"/>
  <c r="B330" i="15"/>
  <c r="D330" i="15"/>
  <c r="E330" i="15"/>
  <c r="C149" i="15"/>
  <c r="F149" i="15" s="1"/>
  <c r="E149" i="15"/>
  <c r="E73" i="15"/>
  <c r="B73" i="15"/>
  <c r="C73" i="15"/>
  <c r="F73" i="15" s="1"/>
  <c r="D73" i="15"/>
  <c r="C66" i="15"/>
  <c r="F66" i="15" s="1"/>
  <c r="E66" i="15"/>
  <c r="D61" i="15"/>
  <c r="B61" i="15"/>
  <c r="C61" i="15"/>
  <c r="F61" i="15" s="1"/>
  <c r="E61" i="15"/>
  <c r="B517" i="15"/>
  <c r="C517" i="15"/>
  <c r="F517" i="15" s="1"/>
  <c r="B502" i="15"/>
  <c r="C502" i="15"/>
  <c r="F502" i="15" s="1"/>
  <c r="B457" i="15"/>
  <c r="C457" i="15"/>
  <c r="F457" i="15" s="1"/>
  <c r="E457" i="15"/>
  <c r="B450" i="15"/>
  <c r="C450" i="15"/>
  <c r="F450" i="15" s="1"/>
  <c r="E450" i="15"/>
  <c r="B541" i="15"/>
  <c r="C541" i="15"/>
  <c r="F541" i="15" s="1"/>
  <c r="D526" i="15"/>
  <c r="B522" i="15"/>
  <c r="E522" i="15"/>
  <c r="B515" i="15"/>
  <c r="D515" i="15"/>
  <c r="B505" i="15"/>
  <c r="E505" i="15"/>
  <c r="C505" i="15"/>
  <c r="F505" i="15" s="1"/>
  <c r="B496" i="15"/>
  <c r="D496" i="15"/>
  <c r="B493" i="15"/>
  <c r="E493" i="15"/>
  <c r="B486" i="15"/>
  <c r="C486" i="15"/>
  <c r="F486" i="15" s="1"/>
  <c r="E486" i="15"/>
  <c r="B473" i="15"/>
  <c r="C473" i="15"/>
  <c r="F473" i="15" s="1"/>
  <c r="E473" i="15"/>
  <c r="B466" i="15"/>
  <c r="C466" i="15"/>
  <c r="F466" i="15" s="1"/>
  <c r="B442" i="15"/>
  <c r="C442" i="15"/>
  <c r="F442" i="15" s="1"/>
  <c r="B415" i="15"/>
  <c r="E415" i="15"/>
  <c r="C415" i="15"/>
  <c r="F415" i="15" s="1"/>
  <c r="D415" i="15"/>
  <c r="B383" i="15"/>
  <c r="E383" i="15"/>
  <c r="C383" i="15"/>
  <c r="F383" i="15" s="1"/>
  <c r="D383" i="15"/>
  <c r="E312" i="15"/>
  <c r="B312" i="15"/>
  <c r="B528" i="15"/>
  <c r="D528" i="15"/>
  <c r="B510" i="15"/>
  <c r="C510" i="15"/>
  <c r="F510" i="15" s="1"/>
  <c r="B498" i="15"/>
  <c r="E498" i="15"/>
  <c r="C498" i="15"/>
  <c r="F498" i="15" s="1"/>
  <c r="B478" i="15"/>
  <c r="C478" i="15"/>
  <c r="F478" i="15" s="1"/>
  <c r="B449" i="15"/>
  <c r="E449" i="15"/>
  <c r="C449" i="15"/>
  <c r="F449" i="15" s="1"/>
  <c r="B436" i="15"/>
  <c r="C436" i="15"/>
  <c r="F436" i="15" s="1"/>
  <c r="B424" i="15"/>
  <c r="C424" i="15"/>
  <c r="F424" i="15" s="1"/>
  <c r="D424" i="15"/>
  <c r="B409" i="15"/>
  <c r="D409" i="15"/>
  <c r="C409" i="15"/>
  <c r="F409" i="15" s="1"/>
  <c r="E409" i="15"/>
  <c r="B370" i="15"/>
  <c r="D370" i="15"/>
  <c r="C370" i="15"/>
  <c r="F370" i="15" s="1"/>
  <c r="D295" i="15"/>
  <c r="B295" i="15"/>
  <c r="B521" i="15"/>
  <c r="E521" i="15"/>
  <c r="C521" i="15"/>
  <c r="F521" i="15" s="1"/>
  <c r="B514" i="15"/>
  <c r="C514" i="15"/>
  <c r="F514" i="15" s="1"/>
  <c r="B485" i="15"/>
  <c r="E485" i="15"/>
  <c r="C485" i="15"/>
  <c r="F485" i="15" s="1"/>
  <c r="B469" i="15"/>
  <c r="E469" i="15"/>
  <c r="C469" i="15"/>
  <c r="F469" i="15" s="1"/>
  <c r="B462" i="15"/>
  <c r="E462" i="15"/>
  <c r="C462" i="15"/>
  <c r="F462" i="15" s="1"/>
  <c r="B454" i="15"/>
  <c r="C454" i="15"/>
  <c r="F454" i="15" s="1"/>
  <c r="C325" i="15"/>
  <c r="F325" i="15" s="1"/>
  <c r="B325" i="15"/>
  <c r="E552" i="15"/>
  <c r="B551" i="15"/>
  <c r="D551" i="15"/>
  <c r="E546" i="15"/>
  <c r="B545" i="15"/>
  <c r="E545" i="15"/>
  <c r="B534" i="15"/>
  <c r="C534" i="15"/>
  <c r="F534" i="15" s="1"/>
  <c r="B532" i="15"/>
  <c r="D532" i="15"/>
  <c r="B529" i="15"/>
  <c r="E529" i="15"/>
  <c r="E517" i="15"/>
  <c r="B490" i="15"/>
  <c r="C490" i="15"/>
  <c r="F490" i="15" s="1"/>
  <c r="D481" i="15"/>
  <c r="D474" i="15"/>
  <c r="D461" i="15"/>
  <c r="B445" i="15"/>
  <c r="C445" i="15"/>
  <c r="F445" i="15" s="1"/>
  <c r="E445" i="15"/>
  <c r="B438" i="15"/>
  <c r="C438" i="15"/>
  <c r="F438" i="15" s="1"/>
  <c r="E438" i="15"/>
  <c r="B432" i="15"/>
  <c r="E432" i="15"/>
  <c r="C432" i="15"/>
  <c r="F432" i="15" s="1"/>
  <c r="B336" i="15"/>
  <c r="E336" i="15"/>
  <c r="C336" i="15"/>
  <c r="F336" i="15" s="1"/>
  <c r="D336" i="15"/>
  <c r="D327" i="15"/>
  <c r="E327" i="15"/>
  <c r="D492" i="15"/>
  <c r="D479" i="15"/>
  <c r="D463" i="15"/>
  <c r="D460" i="15"/>
  <c r="D456" i="15"/>
  <c r="D443" i="15"/>
  <c r="B419" i="15"/>
  <c r="E419" i="15"/>
  <c r="B412" i="15"/>
  <c r="C412" i="15"/>
  <c r="F412" i="15" s="1"/>
  <c r="B379" i="15"/>
  <c r="E379" i="15"/>
  <c r="C379" i="15"/>
  <c r="F379" i="15" s="1"/>
  <c r="B372" i="15"/>
  <c r="E372" i="15"/>
  <c r="C372" i="15"/>
  <c r="F372" i="15" s="1"/>
  <c r="D364" i="15"/>
  <c r="B360" i="15"/>
  <c r="E360" i="15"/>
  <c r="B352" i="15"/>
  <c r="C352" i="15"/>
  <c r="F352" i="15" s="1"/>
  <c r="D352" i="15"/>
  <c r="B343" i="15"/>
  <c r="E343" i="15"/>
  <c r="C343" i="15"/>
  <c r="F343" i="15" s="1"/>
  <c r="D329" i="15"/>
  <c r="B329" i="15"/>
  <c r="E322" i="15"/>
  <c r="B322" i="15"/>
  <c r="C319" i="15"/>
  <c r="F319" i="15" s="1"/>
  <c r="B319" i="15"/>
  <c r="D319" i="15"/>
  <c r="B294" i="15"/>
  <c r="C292" i="15"/>
  <c r="F292" i="15" s="1"/>
  <c r="E292" i="15"/>
  <c r="C286" i="15"/>
  <c r="F286" i="15" s="1"/>
  <c r="B286" i="15"/>
  <c r="C283" i="15"/>
  <c r="F283" i="15" s="1"/>
  <c r="D283" i="15"/>
  <c r="C277" i="15"/>
  <c r="F277" i="15" s="1"/>
  <c r="D277" i="15"/>
  <c r="C271" i="15"/>
  <c r="F271" i="15" s="1"/>
  <c r="D271" i="15"/>
  <c r="C232" i="15"/>
  <c r="F232" i="15" s="1"/>
  <c r="B232" i="15"/>
  <c r="E232" i="15"/>
  <c r="B96" i="15"/>
  <c r="E96" i="15"/>
  <c r="C96" i="15"/>
  <c r="F96" i="15" s="1"/>
  <c r="D96" i="15"/>
  <c r="B406" i="15"/>
  <c r="D406" i="15"/>
  <c r="B403" i="15"/>
  <c r="E403" i="15"/>
  <c r="B391" i="15"/>
  <c r="C391" i="15"/>
  <c r="F391" i="15" s="1"/>
  <c r="E337" i="15"/>
  <c r="B335" i="15"/>
  <c r="C335" i="15"/>
  <c r="F335" i="15" s="1"/>
  <c r="D335" i="15"/>
  <c r="C332" i="15"/>
  <c r="F332" i="15" s="1"/>
  <c r="D332" i="15"/>
  <c r="C318" i="15"/>
  <c r="F318" i="15" s="1"/>
  <c r="B318" i="15"/>
  <c r="C316" i="15"/>
  <c r="F316" i="15" s="1"/>
  <c r="E316" i="15"/>
  <c r="E302" i="15"/>
  <c r="D291" i="15"/>
  <c r="E291" i="15"/>
  <c r="C210" i="15"/>
  <c r="F210" i="15" s="1"/>
  <c r="B210" i="15"/>
  <c r="E210" i="15"/>
  <c r="B106" i="15"/>
  <c r="C106" i="15"/>
  <c r="F106" i="15" s="1"/>
  <c r="B437" i="15"/>
  <c r="D437" i="15"/>
  <c r="B427" i="15"/>
  <c r="C427" i="15"/>
  <c r="F427" i="15" s="1"/>
  <c r="B408" i="15"/>
  <c r="E408" i="15"/>
  <c r="C408" i="15"/>
  <c r="F408" i="15" s="1"/>
  <c r="B396" i="15"/>
  <c r="E396" i="15"/>
  <c r="B389" i="15"/>
  <c r="D389" i="15"/>
  <c r="B384" i="15"/>
  <c r="C384" i="15"/>
  <c r="F384" i="15" s="1"/>
  <c r="B366" i="15"/>
  <c r="D366" i="15"/>
  <c r="B359" i="15"/>
  <c r="E359" i="15"/>
  <c r="C359" i="15"/>
  <c r="F359" i="15" s="1"/>
  <c r="C308" i="15"/>
  <c r="F308" i="15" s="1"/>
  <c r="D308" i="15"/>
  <c r="C191" i="15"/>
  <c r="F191" i="15" s="1"/>
  <c r="D4" i="36" s="1"/>
  <c r="D191" i="15"/>
  <c r="B425" i="15"/>
  <c r="D425" i="15"/>
  <c r="B420" i="15"/>
  <c r="C420" i="15"/>
  <c r="F420" i="15" s="1"/>
  <c r="B373" i="15"/>
  <c r="D373" i="15"/>
  <c r="B371" i="15"/>
  <c r="C371" i="15"/>
  <c r="F371" i="15" s="1"/>
  <c r="B348" i="15"/>
  <c r="C348" i="15"/>
  <c r="F348" i="15" s="1"/>
  <c r="D348" i="15"/>
  <c r="B337" i="15"/>
  <c r="D337" i="15"/>
  <c r="B334" i="15"/>
  <c r="D334" i="15"/>
  <c r="C331" i="15"/>
  <c r="F331" i="15" s="1"/>
  <c r="E331" i="15"/>
  <c r="B331" i="15"/>
  <c r="B307" i="15"/>
  <c r="D307" i="15"/>
  <c r="C302" i="15"/>
  <c r="F302" i="15" s="1"/>
  <c r="D302" i="15"/>
  <c r="C298" i="15"/>
  <c r="F298" i="15" s="1"/>
  <c r="B298" i="15"/>
  <c r="B402" i="15"/>
  <c r="D402" i="15"/>
  <c r="B395" i="15"/>
  <c r="E395" i="15"/>
  <c r="C395" i="15"/>
  <c r="F395" i="15" s="1"/>
  <c r="B388" i="15"/>
  <c r="C388" i="15"/>
  <c r="F388" i="15" s="1"/>
  <c r="B376" i="15"/>
  <c r="C376" i="15"/>
  <c r="F376" i="15" s="1"/>
  <c r="B355" i="15"/>
  <c r="C355" i="15"/>
  <c r="F355" i="15" s="1"/>
  <c r="D355" i="15"/>
  <c r="B340" i="15"/>
  <c r="C340" i="15"/>
  <c r="F340" i="15" s="1"/>
  <c r="C320" i="15"/>
  <c r="F320" i="15" s="1"/>
  <c r="E320" i="15"/>
  <c r="B320" i="15"/>
  <c r="C310" i="15"/>
  <c r="F310" i="15" s="1"/>
  <c r="E310" i="15"/>
  <c r="B301" i="15"/>
  <c r="D301" i="15"/>
  <c r="C195" i="15"/>
  <c r="F195" i="15" s="1"/>
  <c r="D195" i="15"/>
  <c r="E347" i="15"/>
  <c r="E314" i="15"/>
  <c r="E296" i="15"/>
  <c r="E288" i="15"/>
  <c r="D284" i="15"/>
  <c r="E282" i="15"/>
  <c r="E280" i="15"/>
  <c r="D278" i="15"/>
  <c r="E276" i="15"/>
  <c r="E274" i="15"/>
  <c r="D272" i="15"/>
  <c r="E270" i="15"/>
  <c r="B268" i="15"/>
  <c r="B266" i="15"/>
  <c r="B264" i="15"/>
  <c r="B262" i="15"/>
  <c r="B260" i="15"/>
  <c r="B258" i="15"/>
  <c r="D229" i="15"/>
  <c r="C222" i="15"/>
  <c r="F222" i="15" s="1"/>
  <c r="E222" i="15"/>
  <c r="C212" i="15"/>
  <c r="F212" i="15" s="1"/>
  <c r="B212" i="15"/>
  <c r="D201" i="15"/>
  <c r="D194" i="15"/>
  <c r="D186" i="15"/>
  <c r="B135" i="15"/>
  <c r="C135" i="15"/>
  <c r="F135" i="15" s="1"/>
  <c r="D135" i="15"/>
  <c r="B113" i="15"/>
  <c r="C113" i="15"/>
  <c r="F113" i="15" s="1"/>
  <c r="D113" i="15"/>
  <c r="E113" i="15"/>
  <c r="C57" i="15"/>
  <c r="F57" i="15" s="1"/>
  <c r="B57" i="15"/>
  <c r="D57" i="15"/>
  <c r="E57" i="15"/>
  <c r="C224" i="15"/>
  <c r="F224" i="15" s="1"/>
  <c r="D224" i="15"/>
  <c r="C214" i="15"/>
  <c r="F214" i="15" s="1"/>
  <c r="B214" i="15"/>
  <c r="C167" i="15"/>
  <c r="D167" i="15"/>
  <c r="J28" i="21" s="1"/>
  <c r="C156" i="15"/>
  <c r="F156" i="15" s="1"/>
  <c r="E156" i="15"/>
  <c r="B156" i="15"/>
  <c r="C152" i="15"/>
  <c r="F152" i="15" s="1"/>
  <c r="D152" i="15"/>
  <c r="E152" i="15"/>
  <c r="B142" i="15"/>
  <c r="D142" i="15"/>
  <c r="E142" i="15"/>
  <c r="B117" i="15"/>
  <c r="D117" i="15"/>
  <c r="B112" i="15"/>
  <c r="E112" i="15"/>
  <c r="D86" i="15"/>
  <c r="E86" i="15"/>
  <c r="E79" i="15"/>
  <c r="D79" i="15"/>
  <c r="B79" i="15"/>
  <c r="E41" i="15"/>
  <c r="C41" i="15"/>
  <c r="F41" i="15" s="1"/>
  <c r="C226" i="15"/>
  <c r="F226" i="15" s="1"/>
  <c r="E226" i="15"/>
  <c r="C216" i="15"/>
  <c r="F216" i="15" s="1"/>
  <c r="B216" i="15"/>
  <c r="C185" i="15"/>
  <c r="F185" i="15" s="1"/>
  <c r="D185" i="15"/>
  <c r="C162" i="15"/>
  <c r="F162" i="15" s="1"/>
  <c r="B162" i="15"/>
  <c r="D162" i="15"/>
  <c r="E162" i="15"/>
  <c r="C228" i="15"/>
  <c r="F228" i="15" s="1"/>
  <c r="E228" i="15"/>
  <c r="C218" i="15"/>
  <c r="F218" i="15" s="1"/>
  <c r="B218" i="15"/>
  <c r="C192" i="15"/>
  <c r="F192" i="15" s="1"/>
  <c r="D192" i="15"/>
  <c r="C180" i="15"/>
  <c r="F180" i="15" s="1"/>
  <c r="D180" i="15"/>
  <c r="E180" i="15"/>
  <c r="C174" i="15"/>
  <c r="F174" i="15" s="1"/>
  <c r="B174" i="15"/>
  <c r="C161" i="15"/>
  <c r="F161" i="15" s="1"/>
  <c r="D161" i="15"/>
  <c r="B137" i="15"/>
  <c r="E137" i="15"/>
  <c r="B129" i="15"/>
  <c r="D129" i="15"/>
  <c r="E129" i="15"/>
  <c r="C89" i="15"/>
  <c r="F89" i="15" s="1"/>
  <c r="D89" i="15"/>
  <c r="C81" i="15"/>
  <c r="F81" i="15" s="1"/>
  <c r="B81" i="15"/>
  <c r="D81" i="15"/>
  <c r="E81" i="15"/>
  <c r="C75" i="15"/>
  <c r="F75" i="15" s="1"/>
  <c r="E75" i="15"/>
  <c r="B75" i="15"/>
  <c r="D75" i="15"/>
  <c r="C63" i="15"/>
  <c r="F63" i="15" s="1"/>
  <c r="D63" i="15"/>
  <c r="B63" i="15"/>
  <c r="E63" i="15"/>
  <c r="D421" i="15"/>
  <c r="D418" i="15"/>
  <c r="D401" i="15"/>
  <c r="D385" i="15"/>
  <c r="D382" i="15"/>
  <c r="D378" i="15"/>
  <c r="D365" i="15"/>
  <c r="D349" i="15"/>
  <c r="D346" i="15"/>
  <c r="D342" i="15"/>
  <c r="D326" i="15"/>
  <c r="D324" i="15"/>
  <c r="E304" i="15"/>
  <c r="E266" i="15"/>
  <c r="E260" i="15"/>
  <c r="E256" i="15"/>
  <c r="D254" i="15"/>
  <c r="C230" i="15"/>
  <c r="F230" i="15" s="1"/>
  <c r="D230" i="15"/>
  <c r="C220" i="15"/>
  <c r="F220" i="15" s="1"/>
  <c r="B220" i="15"/>
  <c r="C203" i="15"/>
  <c r="F203" i="15" s="1"/>
  <c r="D203" i="15"/>
  <c r="C183" i="15"/>
  <c r="F183" i="15" s="1"/>
  <c r="D183" i="15"/>
  <c r="C179" i="15"/>
  <c r="F179" i="15" s="1"/>
  <c r="D179" i="15"/>
  <c r="B150" i="15"/>
  <c r="C150" i="15"/>
  <c r="F150" i="15" s="1"/>
  <c r="D150" i="15"/>
  <c r="E150" i="15"/>
  <c r="B144" i="15"/>
  <c r="C144" i="15"/>
  <c r="F144" i="15" s="1"/>
  <c r="D144" i="15"/>
  <c r="E144" i="15"/>
  <c r="D171" i="15"/>
  <c r="E168" i="15"/>
  <c r="D153" i="15"/>
  <c r="D141" i="15"/>
  <c r="E138" i="15"/>
  <c r="E136" i="15"/>
  <c r="D128" i="15"/>
  <c r="D119" i="15"/>
  <c r="E97" i="15"/>
  <c r="D91" i="15"/>
  <c r="D85" i="15"/>
  <c r="E80" i="15"/>
  <c r="D67" i="15"/>
  <c r="D62" i="15"/>
  <c r="C23" i="15"/>
  <c r="F23" i="15" s="1"/>
  <c r="D173" i="15"/>
  <c r="B168" i="15"/>
  <c r="D165" i="15"/>
  <c r="D155" i="15"/>
  <c r="C138" i="15"/>
  <c r="F138" i="15" s="1"/>
  <c r="D125" i="15"/>
  <c r="D123" i="15"/>
  <c r="D116" i="15"/>
  <c r="C97" i="15"/>
  <c r="F97" i="15" s="1"/>
  <c r="B95" i="15"/>
  <c r="D92" i="15"/>
  <c r="B85" i="15"/>
  <c r="C80" i="15"/>
  <c r="F80" i="15" s="1"/>
  <c r="D72" i="15"/>
  <c r="C72" i="15"/>
  <c r="F72" i="15" s="1"/>
  <c r="D69" i="15"/>
  <c r="B67" i="15"/>
  <c r="D60" i="15"/>
  <c r="B60" i="15"/>
  <c r="B56" i="15"/>
  <c r="D56" i="15"/>
  <c r="E50" i="15"/>
  <c r="B34" i="15"/>
  <c r="C34" i="15"/>
  <c r="F34" i="15" s="1"/>
  <c r="D170" i="15"/>
  <c r="B165" i="15"/>
  <c r="C125" i="15"/>
  <c r="F125" i="15" s="1"/>
  <c r="D30" i="36" s="1"/>
  <c r="E118" i="15"/>
  <c r="C116" i="15"/>
  <c r="F116" i="15" s="1"/>
  <c r="B69" i="15"/>
  <c r="C38" i="15"/>
  <c r="F38" i="15" s="1"/>
  <c r="E29" i="15"/>
  <c r="C25" i="15"/>
  <c r="F25" i="15" s="1"/>
  <c r="C16" i="15"/>
  <c r="F16" i="15" s="1"/>
  <c r="E104" i="15"/>
  <c r="D104" i="15"/>
  <c r="E11" i="15"/>
  <c r="C11" i="15"/>
  <c r="F11" i="15" s="1"/>
  <c r="E550" i="15"/>
  <c r="D549" i="15"/>
  <c r="C548" i="15"/>
  <c r="F548" i="15" s="1"/>
  <c r="E544" i="15"/>
  <c r="D543" i="15"/>
  <c r="C542" i="15"/>
  <c r="F542" i="15" s="1"/>
  <c r="E538" i="15"/>
  <c r="D537" i="15"/>
  <c r="C536" i="15"/>
  <c r="F536" i="15" s="1"/>
  <c r="E532" i="15"/>
  <c r="D531" i="15"/>
  <c r="C530" i="15"/>
  <c r="F530" i="15" s="1"/>
  <c r="E526" i="15"/>
  <c r="D525" i="15"/>
  <c r="C524" i="15"/>
  <c r="F524" i="15" s="1"/>
  <c r="E520" i="15"/>
  <c r="D519" i="15"/>
  <c r="C518" i="15"/>
  <c r="F518" i="15" s="1"/>
  <c r="E514" i="15"/>
  <c r="D513" i="15"/>
  <c r="C512" i="15"/>
  <c r="F512" i="15" s="1"/>
  <c r="E508" i="15"/>
  <c r="D507" i="15"/>
  <c r="C506" i="15"/>
  <c r="F506" i="15" s="1"/>
  <c r="E502" i="15"/>
  <c r="D501" i="15"/>
  <c r="C500" i="15"/>
  <c r="F500" i="15" s="1"/>
  <c r="E496" i="15"/>
  <c r="D495" i="15"/>
  <c r="C494" i="15"/>
  <c r="F494" i="15" s="1"/>
  <c r="E490" i="15"/>
  <c r="D489" i="15"/>
  <c r="C488" i="15"/>
  <c r="F488" i="15" s="1"/>
  <c r="E484" i="15"/>
  <c r="D483" i="15"/>
  <c r="C482" i="15"/>
  <c r="F482" i="15" s="1"/>
  <c r="E478" i="15"/>
  <c r="D477" i="15"/>
  <c r="C476" i="15"/>
  <c r="F476" i="15" s="1"/>
  <c r="E472" i="15"/>
  <c r="D471" i="15"/>
  <c r="C470" i="15"/>
  <c r="F470" i="15" s="1"/>
  <c r="E466" i="15"/>
  <c r="D465" i="15"/>
  <c r="C464" i="15"/>
  <c r="F464" i="15" s="1"/>
  <c r="E460" i="15"/>
  <c r="D459" i="15"/>
  <c r="C458" i="15"/>
  <c r="F458" i="15" s="1"/>
  <c r="E454" i="15"/>
  <c r="D453" i="15"/>
  <c r="C452" i="15"/>
  <c r="F452" i="15" s="1"/>
  <c r="E448" i="15"/>
  <c r="D447" i="15"/>
  <c r="C446" i="15"/>
  <c r="F446" i="15" s="1"/>
  <c r="E442" i="15"/>
  <c r="D441" i="15"/>
  <c r="C440" i="15"/>
  <c r="F440" i="15" s="1"/>
  <c r="E436" i="15"/>
  <c r="D435" i="15"/>
  <c r="C434" i="15"/>
  <c r="F434" i="15" s="1"/>
  <c r="E430" i="15"/>
  <c r="D429" i="15"/>
  <c r="C428" i="15"/>
  <c r="F428" i="15" s="1"/>
  <c r="E424" i="15"/>
  <c r="D423" i="15"/>
  <c r="C422" i="15"/>
  <c r="F422" i="15" s="1"/>
  <c r="E418" i="15"/>
  <c r="D417" i="15"/>
  <c r="C416" i="15"/>
  <c r="F416" i="15" s="1"/>
  <c r="E412" i="15"/>
  <c r="D411" i="15"/>
  <c r="C410" i="15"/>
  <c r="F410" i="15" s="1"/>
  <c r="E406" i="15"/>
  <c r="D405" i="15"/>
  <c r="C404" i="15"/>
  <c r="F404" i="15" s="1"/>
  <c r="E400" i="15"/>
  <c r="D399" i="15"/>
  <c r="C398" i="15"/>
  <c r="F398" i="15" s="1"/>
  <c r="E394" i="15"/>
  <c r="D393" i="15"/>
  <c r="C392" i="15"/>
  <c r="F392" i="15" s="1"/>
  <c r="E388" i="15"/>
  <c r="D387" i="15"/>
  <c r="C386" i="15"/>
  <c r="F386" i="15" s="1"/>
  <c r="E382" i="15"/>
  <c r="D381" i="15"/>
  <c r="C380" i="15"/>
  <c r="F380" i="15" s="1"/>
  <c r="E376" i="15"/>
  <c r="D375" i="15"/>
  <c r="C374" i="15"/>
  <c r="F374" i="15" s="1"/>
  <c r="E370" i="15"/>
  <c r="D369" i="15"/>
  <c r="C368" i="15"/>
  <c r="F368" i="15" s="1"/>
  <c r="E364" i="15"/>
  <c r="D363" i="15"/>
  <c r="C362" i="15"/>
  <c r="F362" i="15" s="1"/>
  <c r="E358" i="15"/>
  <c r="D357" i="15"/>
  <c r="C356" i="15"/>
  <c r="F356" i="15" s="1"/>
  <c r="E352" i="15"/>
  <c r="D351" i="15"/>
  <c r="C350" i="15"/>
  <c r="F350" i="15" s="1"/>
  <c r="E346" i="15"/>
  <c r="D345" i="15"/>
  <c r="C344" i="15"/>
  <c r="F344" i="15" s="1"/>
  <c r="E340" i="15"/>
  <c r="D339" i="15"/>
  <c r="C338" i="15"/>
  <c r="F338" i="15" s="1"/>
  <c r="E334" i="15"/>
  <c r="D333" i="15"/>
  <c r="C328" i="15"/>
  <c r="F328" i="15" s="1"/>
  <c r="D328" i="15"/>
  <c r="D325" i="15"/>
  <c r="C321" i="15"/>
  <c r="F321" i="15" s="1"/>
  <c r="B321" i="15"/>
  <c r="D318" i="15"/>
  <c r="C317" i="15"/>
  <c r="F317" i="15" s="1"/>
  <c r="E317" i="15"/>
  <c r="C303" i="15"/>
  <c r="F303" i="15" s="1"/>
  <c r="B303" i="15"/>
  <c r="C300" i="15"/>
  <c r="F300" i="15" s="1"/>
  <c r="D300" i="15"/>
  <c r="C263" i="15"/>
  <c r="F263" i="15" s="1"/>
  <c r="B263" i="15"/>
  <c r="E263" i="15"/>
  <c r="C261" i="15"/>
  <c r="F261" i="15" s="1"/>
  <c r="E261" i="15"/>
  <c r="B261" i="15"/>
  <c r="D261" i="15"/>
  <c r="C227" i="15"/>
  <c r="F227" i="15" s="1"/>
  <c r="B227" i="15"/>
  <c r="E227" i="15"/>
  <c r="C225" i="15"/>
  <c r="F225" i="15" s="1"/>
  <c r="E225" i="15"/>
  <c r="B225" i="15"/>
  <c r="D225" i="15"/>
  <c r="C549" i="15"/>
  <c r="F549" i="15" s="1"/>
  <c r="C543" i="15"/>
  <c r="F543" i="15" s="1"/>
  <c r="C537" i="15"/>
  <c r="F537" i="15" s="1"/>
  <c r="C531" i="15"/>
  <c r="F531" i="15" s="1"/>
  <c r="C525" i="15"/>
  <c r="F525" i="15" s="1"/>
  <c r="C519" i="15"/>
  <c r="F519" i="15" s="1"/>
  <c r="C513" i="15"/>
  <c r="F513" i="15" s="1"/>
  <c r="C507" i="15"/>
  <c r="F507" i="15" s="1"/>
  <c r="C501" i="15"/>
  <c r="F501" i="15" s="1"/>
  <c r="C495" i="15"/>
  <c r="F495" i="15" s="1"/>
  <c r="C489" i="15"/>
  <c r="F489" i="15" s="1"/>
  <c r="C483" i="15"/>
  <c r="F483" i="15" s="1"/>
  <c r="C477" i="15"/>
  <c r="F477" i="15" s="1"/>
  <c r="C471" i="15"/>
  <c r="F471" i="15" s="1"/>
  <c r="C465" i="15"/>
  <c r="F465" i="15" s="1"/>
  <c r="C459" i="15"/>
  <c r="F459" i="15" s="1"/>
  <c r="C453" i="15"/>
  <c r="F453" i="15" s="1"/>
  <c r="C447" i="15"/>
  <c r="F447" i="15" s="1"/>
  <c r="C441" i="15"/>
  <c r="F441" i="15" s="1"/>
  <c r="C435" i="15"/>
  <c r="F435" i="15" s="1"/>
  <c r="C429" i="15"/>
  <c r="F429" i="15" s="1"/>
  <c r="C423" i="15"/>
  <c r="F423" i="15" s="1"/>
  <c r="C417" i="15"/>
  <c r="F417" i="15" s="1"/>
  <c r="C411" i="15"/>
  <c r="F411" i="15" s="1"/>
  <c r="C405" i="15"/>
  <c r="F405" i="15" s="1"/>
  <c r="C399" i="15"/>
  <c r="F399" i="15" s="1"/>
  <c r="C393" i="15"/>
  <c r="F393" i="15" s="1"/>
  <c r="C387" i="15"/>
  <c r="F387" i="15" s="1"/>
  <c r="C381" i="15"/>
  <c r="F381" i="15" s="1"/>
  <c r="C375" i="15"/>
  <c r="F375" i="15" s="1"/>
  <c r="C369" i="15"/>
  <c r="F369" i="15" s="1"/>
  <c r="C363" i="15"/>
  <c r="F363" i="15" s="1"/>
  <c r="C357" i="15"/>
  <c r="F357" i="15" s="1"/>
  <c r="C351" i="15"/>
  <c r="F351" i="15" s="1"/>
  <c r="C345" i="15"/>
  <c r="F345" i="15" s="1"/>
  <c r="C339" i="15"/>
  <c r="F339" i="15" s="1"/>
  <c r="C333" i="15"/>
  <c r="F333" i="15" s="1"/>
  <c r="C309" i="15"/>
  <c r="F309" i="15" s="1"/>
  <c r="B309" i="15"/>
  <c r="C306" i="15"/>
  <c r="F306" i="15" s="1"/>
  <c r="D306" i="15"/>
  <c r="C289" i="15"/>
  <c r="F289" i="15" s="1"/>
  <c r="E289" i="15"/>
  <c r="C287" i="15"/>
  <c r="F287" i="15" s="1"/>
  <c r="B287" i="15"/>
  <c r="E287" i="15"/>
  <c r="C257" i="15"/>
  <c r="F257" i="15" s="1"/>
  <c r="B257" i="15"/>
  <c r="E257" i="15"/>
  <c r="C255" i="15"/>
  <c r="F255" i="15" s="1"/>
  <c r="E255" i="15"/>
  <c r="B255" i="15"/>
  <c r="D255" i="15"/>
  <c r="C221" i="15"/>
  <c r="F221" i="15" s="1"/>
  <c r="B221" i="15"/>
  <c r="E221" i="15"/>
  <c r="C219" i="15"/>
  <c r="F219" i="15" s="1"/>
  <c r="E219" i="15"/>
  <c r="B219" i="15"/>
  <c r="D219" i="15"/>
  <c r="C329" i="15"/>
  <c r="F329" i="15" s="1"/>
  <c r="E329" i="15"/>
  <c r="C322" i="15"/>
  <c r="F322" i="15" s="1"/>
  <c r="D322" i="15"/>
  <c r="C315" i="15"/>
  <c r="F315" i="15" s="1"/>
  <c r="B315" i="15"/>
  <c r="C312" i="15"/>
  <c r="F312" i="15" s="1"/>
  <c r="D312" i="15"/>
  <c r="C295" i="15"/>
  <c r="F295" i="15" s="1"/>
  <c r="E295" i="15"/>
  <c r="C293" i="15"/>
  <c r="F293" i="15" s="1"/>
  <c r="B293" i="15"/>
  <c r="E293" i="15"/>
  <c r="C285" i="15"/>
  <c r="F285" i="15" s="1"/>
  <c r="E285" i="15"/>
  <c r="B285" i="15"/>
  <c r="C251" i="15"/>
  <c r="B251" i="15"/>
  <c r="E251" i="15"/>
  <c r="C249" i="15"/>
  <c r="F249" i="15" s="1"/>
  <c r="E249" i="15"/>
  <c r="B249" i="15"/>
  <c r="D249" i="15"/>
  <c r="C215" i="15"/>
  <c r="F215" i="15" s="1"/>
  <c r="B215" i="15"/>
  <c r="E215" i="15"/>
  <c r="C213" i="15"/>
  <c r="F213" i="15" s="1"/>
  <c r="E213" i="15"/>
  <c r="B213" i="15"/>
  <c r="D213" i="15"/>
  <c r="C301" i="15"/>
  <c r="F301" i="15" s="1"/>
  <c r="E301" i="15"/>
  <c r="C299" i="15"/>
  <c r="F299" i="15" s="1"/>
  <c r="B299" i="15"/>
  <c r="E299" i="15"/>
  <c r="C281" i="15"/>
  <c r="F281" i="15" s="1"/>
  <c r="B281" i="15"/>
  <c r="E281" i="15"/>
  <c r="C279" i="15"/>
  <c r="F279" i="15" s="1"/>
  <c r="E279" i="15"/>
  <c r="B279" i="15"/>
  <c r="D279" i="15"/>
  <c r="C245" i="15"/>
  <c r="F245" i="15" s="1"/>
  <c r="B245" i="15"/>
  <c r="E245" i="15"/>
  <c r="C243" i="15"/>
  <c r="F243" i="15" s="1"/>
  <c r="E243" i="15"/>
  <c r="B243" i="15"/>
  <c r="D243" i="15"/>
  <c r="C209" i="15"/>
  <c r="F209" i="15" s="1"/>
  <c r="B209" i="15"/>
  <c r="E209" i="15"/>
  <c r="E548" i="15"/>
  <c r="E542" i="15"/>
  <c r="E536" i="15"/>
  <c r="E530" i="15"/>
  <c r="E524" i="15"/>
  <c r="E518" i="15"/>
  <c r="E512" i="15"/>
  <c r="E506" i="15"/>
  <c r="E500" i="15"/>
  <c r="E494" i="15"/>
  <c r="E488" i="15"/>
  <c r="E482" i="15"/>
  <c r="E476" i="15"/>
  <c r="E470" i="15"/>
  <c r="E464" i="15"/>
  <c r="E458" i="15"/>
  <c r="E452" i="15"/>
  <c r="E446" i="15"/>
  <c r="E440" i="15"/>
  <c r="E434" i="15"/>
  <c r="E428" i="15"/>
  <c r="E422" i="15"/>
  <c r="E416" i="15"/>
  <c r="E410" i="15"/>
  <c r="E404" i="15"/>
  <c r="E398" i="15"/>
  <c r="E392" i="15"/>
  <c r="E386" i="15"/>
  <c r="E380" i="15"/>
  <c r="E374" i="15"/>
  <c r="E368" i="15"/>
  <c r="E362" i="15"/>
  <c r="E356" i="15"/>
  <c r="E350" i="15"/>
  <c r="E344" i="15"/>
  <c r="E338" i="15"/>
  <c r="C327" i="15"/>
  <c r="F327" i="15" s="1"/>
  <c r="B327" i="15"/>
  <c r="C323" i="15"/>
  <c r="F323" i="15" s="1"/>
  <c r="E323" i="15"/>
  <c r="C307" i="15"/>
  <c r="F307" i="15" s="1"/>
  <c r="E307" i="15"/>
  <c r="C305" i="15"/>
  <c r="F305" i="15" s="1"/>
  <c r="B305" i="15"/>
  <c r="E305" i="15"/>
  <c r="C291" i="15"/>
  <c r="F291" i="15" s="1"/>
  <c r="B291" i="15"/>
  <c r="C275" i="15"/>
  <c r="F275" i="15" s="1"/>
  <c r="B275" i="15"/>
  <c r="E275" i="15"/>
  <c r="C273" i="15"/>
  <c r="F273" i="15" s="1"/>
  <c r="E273" i="15"/>
  <c r="B273" i="15"/>
  <c r="D273" i="15"/>
  <c r="C239" i="15"/>
  <c r="F239" i="15" s="1"/>
  <c r="B239" i="15"/>
  <c r="E239" i="15"/>
  <c r="C237" i="15"/>
  <c r="F237" i="15" s="1"/>
  <c r="E237" i="15"/>
  <c r="B237" i="15"/>
  <c r="D237" i="15"/>
  <c r="C208" i="15"/>
  <c r="F208" i="15" s="1"/>
  <c r="E208" i="15"/>
  <c r="B208" i="15"/>
  <c r="D208" i="15"/>
  <c r="E549" i="15"/>
  <c r="D548" i="15"/>
  <c r="E543" i="15"/>
  <c r="D542" i="15"/>
  <c r="E537" i="15"/>
  <c r="D536" i="15"/>
  <c r="E531" i="15"/>
  <c r="D530" i="15"/>
  <c r="E525" i="15"/>
  <c r="D524" i="15"/>
  <c r="E519" i="15"/>
  <c r="D518" i="15"/>
  <c r="E513" i="15"/>
  <c r="D512" i="15"/>
  <c r="E507" i="15"/>
  <c r="D506" i="15"/>
  <c r="E501" i="15"/>
  <c r="D500" i="15"/>
  <c r="E495" i="15"/>
  <c r="D494" i="15"/>
  <c r="E489" i="15"/>
  <c r="D488" i="15"/>
  <c r="E483" i="15"/>
  <c r="D482" i="15"/>
  <c r="E477" i="15"/>
  <c r="D476" i="15"/>
  <c r="E471" i="15"/>
  <c r="D470" i="15"/>
  <c r="E465" i="15"/>
  <c r="D464" i="15"/>
  <c r="E459" i="15"/>
  <c r="D458" i="15"/>
  <c r="E453" i="15"/>
  <c r="D452" i="15"/>
  <c r="E447" i="15"/>
  <c r="D446" i="15"/>
  <c r="E441" i="15"/>
  <c r="D440" i="15"/>
  <c r="E435" i="15"/>
  <c r="D434" i="15"/>
  <c r="E429" i="15"/>
  <c r="D428" i="15"/>
  <c r="E423" i="15"/>
  <c r="D422" i="15"/>
  <c r="E417" i="15"/>
  <c r="D416" i="15"/>
  <c r="E411" i="15"/>
  <c r="D410" i="15"/>
  <c r="E405" i="15"/>
  <c r="D404" i="15"/>
  <c r="E399" i="15"/>
  <c r="D398" i="15"/>
  <c r="E393" i="15"/>
  <c r="D392" i="15"/>
  <c r="E387" i="15"/>
  <c r="D386" i="15"/>
  <c r="E381" i="15"/>
  <c r="D380" i="15"/>
  <c r="E375" i="15"/>
  <c r="D374" i="15"/>
  <c r="E369" i="15"/>
  <c r="D368" i="15"/>
  <c r="E363" i="15"/>
  <c r="D362" i="15"/>
  <c r="E357" i="15"/>
  <c r="D356" i="15"/>
  <c r="E351" i="15"/>
  <c r="D350" i="15"/>
  <c r="E345" i="15"/>
  <c r="D344" i="15"/>
  <c r="E339" i="15"/>
  <c r="D338" i="15"/>
  <c r="E333" i="15"/>
  <c r="E325" i="15"/>
  <c r="E318" i="15"/>
  <c r="C313" i="15"/>
  <c r="F313" i="15" s="1"/>
  <c r="E313" i="15"/>
  <c r="C311" i="15"/>
  <c r="F311" i="15" s="1"/>
  <c r="B311" i="15"/>
  <c r="E311" i="15"/>
  <c r="E309" i="15"/>
  <c r="E306" i="15"/>
  <c r="C297" i="15"/>
  <c r="F297" i="15" s="1"/>
  <c r="B297" i="15"/>
  <c r="C294" i="15"/>
  <c r="F294" i="15" s="1"/>
  <c r="D294" i="15"/>
  <c r="D289" i="15"/>
  <c r="C269" i="15"/>
  <c r="F269" i="15" s="1"/>
  <c r="B269" i="15"/>
  <c r="E269" i="15"/>
  <c r="C267" i="15"/>
  <c r="F267" i="15" s="1"/>
  <c r="E267" i="15"/>
  <c r="B267" i="15"/>
  <c r="D267" i="15"/>
  <c r="C233" i="15"/>
  <c r="F233" i="15" s="1"/>
  <c r="B233" i="15"/>
  <c r="E233" i="15"/>
  <c r="C231" i="15"/>
  <c r="F231" i="15" s="1"/>
  <c r="E231" i="15"/>
  <c r="B231" i="15"/>
  <c r="D231" i="15"/>
  <c r="D205" i="15"/>
  <c r="D202" i="15"/>
  <c r="D199" i="15"/>
  <c r="D196" i="15"/>
  <c r="D193" i="15"/>
  <c r="D190" i="15"/>
  <c r="D187" i="15"/>
  <c r="D184" i="15"/>
  <c r="D181" i="15"/>
  <c r="D178" i="15"/>
  <c r="D175" i="15"/>
  <c r="D172" i="15"/>
  <c r="D169" i="15"/>
  <c r="D166" i="15"/>
  <c r="D163" i="15"/>
  <c r="D160" i="15"/>
  <c r="D157" i="15"/>
  <c r="D154" i="15"/>
  <c r="B145" i="15"/>
  <c r="C145" i="15"/>
  <c r="F145" i="15" s="1"/>
  <c r="B139" i="15"/>
  <c r="D139" i="15"/>
  <c r="E139" i="15"/>
  <c r="C139" i="15"/>
  <c r="F139" i="15" s="1"/>
  <c r="D316" i="15"/>
  <c r="D310" i="15"/>
  <c r="D304" i="15"/>
  <c r="D298" i="15"/>
  <c r="D292" i="15"/>
  <c r="D286" i="15"/>
  <c r="D280" i="15"/>
  <c r="D274" i="15"/>
  <c r="D268" i="15"/>
  <c r="D262" i="15"/>
  <c r="D256" i="15"/>
  <c r="D250" i="15"/>
  <c r="D244" i="15"/>
  <c r="D238" i="15"/>
  <c r="D232" i="15"/>
  <c r="D226" i="15"/>
  <c r="D220" i="15"/>
  <c r="D214" i="15"/>
  <c r="E206" i="15"/>
  <c r="B205" i="15"/>
  <c r="E203" i="15"/>
  <c r="B202" i="15"/>
  <c r="E200" i="15"/>
  <c r="B199" i="15"/>
  <c r="E197" i="15"/>
  <c r="B196" i="15"/>
  <c r="E194" i="15"/>
  <c r="B193" i="15"/>
  <c r="E191" i="15"/>
  <c r="B190" i="15"/>
  <c r="E188" i="15"/>
  <c r="B187" i="15"/>
  <c r="E185" i="15"/>
  <c r="B184" i="15"/>
  <c r="E182" i="15"/>
  <c r="B181" i="15"/>
  <c r="E179" i="15"/>
  <c r="B178" i="15"/>
  <c r="E176" i="15"/>
  <c r="B175" i="15"/>
  <c r="E173" i="15"/>
  <c r="B172" i="15"/>
  <c r="E170" i="15"/>
  <c r="B169" i="15"/>
  <c r="E167" i="15"/>
  <c r="B166" i="15"/>
  <c r="E164" i="15"/>
  <c r="B163" i="15"/>
  <c r="E161" i="15"/>
  <c r="B160" i="15"/>
  <c r="E158" i="15"/>
  <c r="B157" i="15"/>
  <c r="E155" i="15"/>
  <c r="B154" i="15"/>
  <c r="B151" i="15"/>
  <c r="C151" i="15"/>
  <c r="F151" i="15" s="1"/>
  <c r="B148" i="15"/>
  <c r="C148" i="15"/>
  <c r="F148" i="15" s="1"/>
  <c r="D288" i="15"/>
  <c r="E283" i="15"/>
  <c r="D282" i="15"/>
  <c r="E277" i="15"/>
  <c r="D276" i="15"/>
  <c r="E271" i="15"/>
  <c r="D270" i="15"/>
  <c r="E265" i="15"/>
  <c r="D264" i="15"/>
  <c r="E259" i="15"/>
  <c r="D258" i="15"/>
  <c r="E253" i="15"/>
  <c r="D252" i="15"/>
  <c r="E247" i="15"/>
  <c r="D246" i="15"/>
  <c r="E241" i="15"/>
  <c r="D240" i="15"/>
  <c r="E235" i="15"/>
  <c r="D234" i="15"/>
  <c r="E229" i="15"/>
  <c r="D228" i="15"/>
  <c r="E223" i="15"/>
  <c r="D222" i="15"/>
  <c r="E217" i="15"/>
  <c r="D216" i="15"/>
  <c r="E211" i="15"/>
  <c r="D210" i="15"/>
  <c r="E207" i="15"/>
  <c r="B206" i="15"/>
  <c r="E204" i="15"/>
  <c r="B203" i="15"/>
  <c r="E201" i="15"/>
  <c r="B200" i="15"/>
  <c r="E198" i="15"/>
  <c r="B197" i="15"/>
  <c r="E195" i="15"/>
  <c r="B194" i="15"/>
  <c r="E192" i="15"/>
  <c r="B191" i="15"/>
  <c r="B4" i="36" s="1"/>
  <c r="E189" i="15"/>
  <c r="B188" i="15"/>
  <c r="E186" i="15"/>
  <c r="B185" i="15"/>
  <c r="E183" i="15"/>
  <c r="B182" i="15"/>
  <c r="B179" i="15"/>
  <c r="B176" i="15"/>
  <c r="B173" i="15"/>
  <c r="B170" i="15"/>
  <c r="B167" i="15"/>
  <c r="B40" i="36" s="1"/>
  <c r="B164" i="15"/>
  <c r="B161" i="15"/>
  <c r="B158" i="15"/>
  <c r="B155" i="15"/>
  <c r="B152" i="15"/>
  <c r="B146" i="15"/>
  <c r="D146" i="15"/>
  <c r="B143" i="15"/>
  <c r="D143" i="15"/>
  <c r="B127" i="15"/>
  <c r="E127" i="15"/>
  <c r="D127" i="15"/>
  <c r="B149" i="15"/>
  <c r="D149" i="15"/>
  <c r="B134" i="15"/>
  <c r="E134" i="15"/>
  <c r="D134" i="15"/>
  <c r="B126" i="15"/>
  <c r="D126" i="15"/>
  <c r="E126" i="15"/>
  <c r="C126" i="15"/>
  <c r="F126" i="15" s="1"/>
  <c r="B283" i="15"/>
  <c r="B277" i="15"/>
  <c r="B271" i="15"/>
  <c r="B265" i="15"/>
  <c r="B259" i="15"/>
  <c r="B253" i="15"/>
  <c r="B247" i="15"/>
  <c r="B241" i="15"/>
  <c r="B235" i="15"/>
  <c r="B229" i="15"/>
  <c r="B223" i="15"/>
  <c r="B217" i="15"/>
  <c r="B211" i="15"/>
  <c r="B207" i="15"/>
  <c r="E205" i="15"/>
  <c r="B204" i="15"/>
  <c r="E202" i="15"/>
  <c r="B201" i="15"/>
  <c r="E199" i="15"/>
  <c r="B198" i="15"/>
  <c r="E196" i="15"/>
  <c r="B195" i="15"/>
  <c r="E193" i="15"/>
  <c r="B192" i="15"/>
  <c r="E190" i="15"/>
  <c r="B189" i="15"/>
  <c r="E187" i="15"/>
  <c r="B186" i="15"/>
  <c r="E184" i="15"/>
  <c r="B183" i="15"/>
  <c r="E181" i="15"/>
  <c r="E178" i="15"/>
  <c r="E175" i="15"/>
  <c r="E172" i="15"/>
  <c r="E169" i="15"/>
  <c r="E166" i="15"/>
  <c r="E163" i="15"/>
  <c r="E160" i="15"/>
  <c r="E157" i="15"/>
  <c r="E154" i="15"/>
  <c r="E151" i="15"/>
  <c r="E148" i="15"/>
  <c r="B140" i="15"/>
  <c r="E140" i="15"/>
  <c r="D140" i="15"/>
  <c r="B132" i="15"/>
  <c r="D132" i="15"/>
  <c r="E132" i="15"/>
  <c r="C132" i="15"/>
  <c r="F132" i="15" s="1"/>
  <c r="E147" i="15"/>
  <c r="E141" i="15"/>
  <c r="E135" i="15"/>
  <c r="E128" i="15"/>
  <c r="E122" i="15"/>
  <c r="D121" i="15"/>
  <c r="C120" i="15"/>
  <c r="F120" i="15" s="1"/>
  <c r="E116" i="15"/>
  <c r="D115" i="15"/>
  <c r="C114" i="15"/>
  <c r="F114" i="15" s="1"/>
  <c r="E111" i="15"/>
  <c r="E107" i="15"/>
  <c r="B107" i="15"/>
  <c r="B86" i="15"/>
  <c r="C86" i="15"/>
  <c r="F86" i="15" s="1"/>
  <c r="D82" i="15"/>
  <c r="B82" i="15"/>
  <c r="E82" i="15"/>
  <c r="D66" i="15"/>
  <c r="B66" i="15"/>
  <c r="D52" i="15"/>
  <c r="E52" i="15"/>
  <c r="B52" i="15"/>
  <c r="D19" i="15"/>
  <c r="E19" i="15"/>
  <c r="B19" i="15"/>
  <c r="C19" i="15"/>
  <c r="F19" i="15" s="1"/>
  <c r="B110" i="15"/>
  <c r="E110" i="15"/>
  <c r="E101" i="15"/>
  <c r="B101" i="15"/>
  <c r="D101" i="15"/>
  <c r="C99" i="15"/>
  <c r="F99" i="15" s="1"/>
  <c r="E99" i="15"/>
  <c r="B90" i="15"/>
  <c r="D90" i="15"/>
  <c r="D88" i="15"/>
  <c r="E88" i="15"/>
  <c r="E71" i="15"/>
  <c r="C71" i="15"/>
  <c r="F71" i="15" s="1"/>
  <c r="D71" i="15"/>
  <c r="E65" i="15"/>
  <c r="C65" i="15"/>
  <c r="F65" i="15" s="1"/>
  <c r="D65" i="15"/>
  <c r="B65" i="15"/>
  <c r="D48" i="15"/>
  <c r="E48" i="15"/>
  <c r="B48" i="15"/>
  <c r="C48" i="15"/>
  <c r="F48" i="15" s="1"/>
  <c r="D30" i="15"/>
  <c r="E30" i="15"/>
  <c r="B30" i="15"/>
  <c r="C30" i="15"/>
  <c r="F30" i="15" s="1"/>
  <c r="B104" i="15"/>
  <c r="C104" i="15"/>
  <c r="F104" i="15" s="1"/>
  <c r="E100" i="15"/>
  <c r="C93" i="15"/>
  <c r="F93" i="15" s="1"/>
  <c r="B93" i="15"/>
  <c r="D84" i="15"/>
  <c r="C84" i="15"/>
  <c r="F84" i="15" s="1"/>
  <c r="B74" i="15"/>
  <c r="E74" i="15"/>
  <c r="D74" i="15"/>
  <c r="D55" i="15"/>
  <c r="E55" i="15"/>
  <c r="B55" i="15"/>
  <c r="C55" i="15"/>
  <c r="F55" i="15" s="1"/>
  <c r="D37" i="15"/>
  <c r="E37" i="15"/>
  <c r="B37" i="15"/>
  <c r="C37" i="15"/>
  <c r="F37" i="15" s="1"/>
  <c r="C142" i="15"/>
  <c r="F142" i="15" s="1"/>
  <c r="D137" i="15"/>
  <c r="C136" i="15"/>
  <c r="F136" i="15" s="1"/>
  <c r="D130" i="15"/>
  <c r="C129" i="15"/>
  <c r="F129" i="15" s="1"/>
  <c r="D124" i="15"/>
  <c r="C123" i="15"/>
  <c r="F123" i="15" s="1"/>
  <c r="D118" i="15"/>
  <c r="C117" i="15"/>
  <c r="F117" i="15" s="1"/>
  <c r="D112" i="15"/>
  <c r="B108" i="15"/>
  <c r="D108" i="15"/>
  <c r="D106" i="15"/>
  <c r="E106" i="15"/>
  <c r="C102" i="15"/>
  <c r="F102" i="15" s="1"/>
  <c r="B98" i="15"/>
  <c r="C98" i="15"/>
  <c r="F98" i="15" s="1"/>
  <c r="E98" i="15"/>
  <c r="E95" i="15"/>
  <c r="D95" i="15"/>
  <c r="C87" i="15"/>
  <c r="F87" i="15" s="1"/>
  <c r="B87" i="15"/>
  <c r="E87" i="15"/>
  <c r="D64" i="15"/>
  <c r="B64" i="15"/>
  <c r="C64" i="15"/>
  <c r="F64" i="15" s="1"/>
  <c r="D54" i="15"/>
  <c r="E54" i="15"/>
  <c r="B54" i="15"/>
  <c r="C54" i="15"/>
  <c r="F54" i="15" s="1"/>
  <c r="D21" i="15"/>
  <c r="E21" i="15"/>
  <c r="B21" i="15"/>
  <c r="C21" i="15"/>
  <c r="F21" i="15" s="1"/>
  <c r="C137" i="15"/>
  <c r="F137" i="15" s="1"/>
  <c r="C130" i="15"/>
  <c r="F130" i="15" s="1"/>
  <c r="D35" i="36" s="1"/>
  <c r="C124" i="15"/>
  <c r="F124" i="15" s="1"/>
  <c r="E120" i="15"/>
  <c r="C118" i="15"/>
  <c r="F118" i="15" s="1"/>
  <c r="E114" i="15"/>
  <c r="C112" i="15"/>
  <c r="F112" i="15" s="1"/>
  <c r="D100" i="15"/>
  <c r="B100" i="15"/>
  <c r="E89" i="15"/>
  <c r="B89" i="15"/>
  <c r="E83" i="15"/>
  <c r="C83" i="15"/>
  <c r="F83" i="15" s="1"/>
  <c r="B83" i="15"/>
  <c r="B68" i="15"/>
  <c r="D68" i="15"/>
  <c r="C68" i="15"/>
  <c r="F68" i="15" s="1"/>
  <c r="D39" i="15"/>
  <c r="E39" i="15"/>
  <c r="B39" i="15"/>
  <c r="C39" i="15"/>
  <c r="F39" i="15" s="1"/>
  <c r="E121" i="15"/>
  <c r="D120" i="15"/>
  <c r="E115" i="15"/>
  <c r="D114" i="15"/>
  <c r="D110" i="15"/>
  <c r="C105" i="15"/>
  <c r="F105" i="15" s="1"/>
  <c r="B105" i="15"/>
  <c r="E105" i="15"/>
  <c r="D99" i="15"/>
  <c r="D94" i="15"/>
  <c r="B94" i="15"/>
  <c r="E94" i="15"/>
  <c r="B92" i="15"/>
  <c r="E92" i="15"/>
  <c r="E90" i="15"/>
  <c r="C88" i="15"/>
  <c r="F88" i="15" s="1"/>
  <c r="D46" i="15"/>
  <c r="E46" i="15"/>
  <c r="B46" i="15"/>
  <c r="C46" i="15"/>
  <c r="F46" i="15" s="1"/>
  <c r="D28" i="15"/>
  <c r="E28" i="15"/>
  <c r="B28" i="15"/>
  <c r="C28" i="15"/>
  <c r="F28" i="15" s="1"/>
  <c r="D76" i="15"/>
  <c r="B76" i="15"/>
  <c r="E59" i="15"/>
  <c r="C59" i="15"/>
  <c r="F59" i="15" s="1"/>
  <c r="D51" i="15"/>
  <c r="E51" i="15"/>
  <c r="B51" i="15"/>
  <c r="D49" i="15"/>
  <c r="E49" i="15"/>
  <c r="D42" i="15"/>
  <c r="E42" i="15"/>
  <c r="B42" i="15"/>
  <c r="D40" i="15"/>
  <c r="E40" i="15"/>
  <c r="D33" i="15"/>
  <c r="E33" i="15"/>
  <c r="B33" i="15"/>
  <c r="D31" i="15"/>
  <c r="E31" i="15"/>
  <c r="D24" i="15"/>
  <c r="E24" i="15"/>
  <c r="B24" i="15"/>
  <c r="D22" i="15"/>
  <c r="E22" i="15"/>
  <c r="D15" i="15"/>
  <c r="E15" i="15"/>
  <c r="B15" i="15"/>
  <c r="D13" i="15"/>
  <c r="E13" i="15"/>
  <c r="C10" i="15"/>
  <c r="F10" i="15" s="1"/>
  <c r="D6" i="15"/>
  <c r="E6" i="15"/>
  <c r="B6" i="15"/>
  <c r="D4" i="15"/>
  <c r="E4" i="15"/>
  <c r="D53" i="15"/>
  <c r="B53" i="15"/>
  <c r="D44" i="15"/>
  <c r="B44" i="15"/>
  <c r="D35" i="15"/>
  <c r="B35" i="15"/>
  <c r="D26" i="15"/>
  <c r="B26" i="15"/>
  <c r="D17" i="15"/>
  <c r="B17" i="15"/>
  <c r="D8" i="15"/>
  <c r="B8" i="15"/>
  <c r="D12" i="15"/>
  <c r="E12" i="15"/>
  <c r="B12" i="15"/>
  <c r="D10" i="15"/>
  <c r="E10" i="15"/>
  <c r="D3" i="15"/>
  <c r="E3" i="15"/>
  <c r="B3" i="15"/>
  <c r="E78" i="15"/>
  <c r="E77" i="15"/>
  <c r="C77" i="15"/>
  <c r="F77" i="15" s="1"/>
  <c r="E62" i="15"/>
  <c r="D58" i="15"/>
  <c r="B58" i="15"/>
  <c r="D50" i="15"/>
  <c r="B50" i="15"/>
  <c r="D41" i="15"/>
  <c r="B41" i="15"/>
  <c r="D32" i="15"/>
  <c r="B32" i="15"/>
  <c r="D23" i="15"/>
  <c r="B23" i="15"/>
  <c r="D14" i="15"/>
  <c r="B14" i="15"/>
  <c r="D5" i="15"/>
  <c r="B5" i="15"/>
  <c r="D45" i="15"/>
  <c r="E45" i="15"/>
  <c r="B45" i="15"/>
  <c r="D43" i="15"/>
  <c r="E43" i="15"/>
  <c r="D36" i="15"/>
  <c r="E36" i="15"/>
  <c r="B36" i="15"/>
  <c r="D34" i="15"/>
  <c r="E34" i="15"/>
  <c r="D27" i="15"/>
  <c r="E27" i="15"/>
  <c r="B27" i="15"/>
  <c r="D25" i="15"/>
  <c r="E25" i="15"/>
  <c r="C22" i="15"/>
  <c r="F22" i="15" s="1"/>
  <c r="D18" i="15"/>
  <c r="E18" i="15"/>
  <c r="B18" i="15"/>
  <c r="D16" i="15"/>
  <c r="E16" i="15"/>
  <c r="C13" i="15"/>
  <c r="F13" i="15" s="1"/>
  <c r="D9" i="15"/>
  <c r="E9" i="15"/>
  <c r="B9" i="15"/>
  <c r="D7" i="15"/>
  <c r="E7" i="15"/>
  <c r="C4" i="15"/>
  <c r="F4" i="15" s="1"/>
  <c r="B78" i="15"/>
  <c r="C76" i="15"/>
  <c r="F76" i="15" s="1"/>
  <c r="D70" i="15"/>
  <c r="B70" i="15"/>
  <c r="C62" i="15"/>
  <c r="F62" i="15" s="1"/>
  <c r="B59" i="15"/>
  <c r="E53" i="15"/>
  <c r="C51" i="15"/>
  <c r="F51" i="15" s="1"/>
  <c r="B49" i="15"/>
  <c r="D47" i="15"/>
  <c r="B47" i="15"/>
  <c r="E44" i="15"/>
  <c r="C42" i="15"/>
  <c r="F42" i="15" s="1"/>
  <c r="B40" i="15"/>
  <c r="D38" i="15"/>
  <c r="B38" i="15"/>
  <c r="E35" i="15"/>
  <c r="C33" i="15"/>
  <c r="F33" i="15" s="1"/>
  <c r="B31" i="15"/>
  <c r="D29" i="15"/>
  <c r="B29" i="15"/>
  <c r="E26" i="15"/>
  <c r="C24" i="15"/>
  <c r="F24" i="15" s="1"/>
  <c r="B22" i="15"/>
  <c r="D20" i="15"/>
  <c r="B20" i="15"/>
  <c r="E17" i="15"/>
  <c r="C15" i="15"/>
  <c r="F15" i="15" s="1"/>
  <c r="B13" i="15"/>
  <c r="D11" i="15"/>
  <c r="B11" i="15"/>
  <c r="E8" i="15"/>
  <c r="C6" i="15"/>
  <c r="F6" i="15" s="1"/>
  <c r="B4" i="15"/>
  <c r="D2" i="15"/>
  <c r="B2" i="15"/>
  <c r="H4" i="21"/>
  <c r="H15" i="27"/>
  <c r="H18" i="27"/>
  <c r="H16" i="27"/>
  <c r="H14" i="27"/>
  <c r="H13" i="27"/>
  <c r="H12" i="27"/>
  <c r="H11" i="27"/>
  <c r="H10" i="27"/>
  <c r="H9" i="27"/>
  <c r="H8" i="27"/>
  <c r="H6" i="27"/>
  <c r="H20" i="27"/>
  <c r="H4" i="27"/>
  <c r="B2" i="27"/>
  <c r="H21" i="26"/>
  <c r="H17" i="26"/>
  <c r="H24" i="26"/>
  <c r="H15" i="26"/>
  <c r="H26" i="26"/>
  <c r="H16" i="26"/>
  <c r="H14" i="26"/>
  <c r="H13" i="26"/>
  <c r="H12" i="26"/>
  <c r="H20" i="26"/>
  <c r="H11" i="26"/>
  <c r="H10" i="26"/>
  <c r="H9" i="26"/>
  <c r="H8" i="26"/>
  <c r="H6" i="26"/>
  <c r="H19" i="26"/>
  <c r="H28" i="26"/>
  <c r="H4" i="26"/>
  <c r="B2" i="26"/>
  <c r="B2" i="25"/>
  <c r="B2" i="24"/>
  <c r="B2" i="23"/>
  <c r="B2" i="22"/>
  <c r="H8" i="21"/>
  <c r="H6" i="21"/>
  <c r="H20" i="21"/>
  <c r="H26" i="21"/>
  <c r="H11" i="21"/>
  <c r="H5" i="21"/>
  <c r="H15" i="21"/>
  <c r="H13" i="21"/>
  <c r="H23" i="21"/>
  <c r="H17" i="21"/>
  <c r="H18" i="21"/>
  <c r="B2" i="21"/>
  <c r="B2" i="20"/>
  <c r="E30" i="34" l="1"/>
  <c r="K30" i="34"/>
  <c r="B37" i="36"/>
  <c r="D14" i="36"/>
  <c r="J30" i="34"/>
  <c r="D39" i="36"/>
  <c r="B15" i="36"/>
  <c r="B38" i="36"/>
  <c r="B17" i="36"/>
  <c r="B11" i="36"/>
  <c r="D19" i="36"/>
  <c r="B18" i="36"/>
  <c r="D37" i="36"/>
  <c r="D38" i="36"/>
  <c r="D27" i="36"/>
  <c r="G9" i="34"/>
  <c r="B24" i="30"/>
  <c r="E9" i="34"/>
  <c r="B20" i="30"/>
  <c r="H9" i="34"/>
  <c r="I9" i="34"/>
  <c r="G22" i="34"/>
  <c r="E22" i="34"/>
  <c r="F22" i="34"/>
  <c r="H22" i="34"/>
  <c r="I22" i="34"/>
  <c r="E30" i="22"/>
  <c r="D5" i="34"/>
  <c r="D5" i="33"/>
  <c r="E5" i="26"/>
  <c r="D28" i="34"/>
  <c r="E29" i="25"/>
  <c r="D28" i="33"/>
  <c r="E27" i="26"/>
  <c r="F3134" i="15"/>
  <c r="D34" i="30"/>
  <c r="F3658" i="15"/>
  <c r="B8" i="30"/>
  <c r="J18" i="26"/>
  <c r="B20" i="34"/>
  <c r="D11" i="33"/>
  <c r="D8" i="33"/>
  <c r="B23" i="34"/>
  <c r="I39" i="24"/>
  <c r="D25" i="34"/>
  <c r="D8" i="34"/>
  <c r="D16" i="34"/>
  <c r="D11" i="34"/>
  <c r="H36" i="34"/>
  <c r="F36" i="34"/>
  <c r="E36" i="34"/>
  <c r="I36" i="34"/>
  <c r="L36" i="34"/>
  <c r="G36" i="34"/>
  <c r="K36" i="34"/>
  <c r="J36" i="34"/>
  <c r="I20" i="34"/>
  <c r="H20" i="34"/>
  <c r="E20" i="34"/>
  <c r="G20" i="34"/>
  <c r="F20" i="34"/>
  <c r="B5" i="33"/>
  <c r="B5" i="26"/>
  <c r="B5" i="34"/>
  <c r="B28" i="34"/>
  <c r="B28" i="33"/>
  <c r="B27" i="26"/>
  <c r="D26" i="28"/>
  <c r="J23" i="26"/>
  <c r="D25" i="33"/>
  <c r="B11" i="34"/>
  <c r="E17" i="23"/>
  <c r="E28" i="20"/>
  <c r="E14" i="34"/>
  <c r="I14" i="34"/>
  <c r="F14" i="34"/>
  <c r="G14" i="34"/>
  <c r="H14" i="34"/>
  <c r="G15" i="34"/>
  <c r="H15" i="34"/>
  <c r="E15" i="34"/>
  <c r="I15" i="34"/>
  <c r="F15" i="34"/>
  <c r="D24" i="34"/>
  <c r="E23" i="26"/>
  <c r="D21" i="33"/>
  <c r="D23" i="30"/>
  <c r="F251" i="15"/>
  <c r="D29" i="30"/>
  <c r="F678" i="15"/>
  <c r="D28" i="36" s="1"/>
  <c r="E6" i="22"/>
  <c r="B7" i="33"/>
  <c r="D16" i="33"/>
  <c r="B24" i="33"/>
  <c r="B23" i="33"/>
  <c r="B19" i="34"/>
  <c r="E14" i="20"/>
  <c r="L33" i="34"/>
  <c r="K33" i="34"/>
  <c r="J33" i="34"/>
  <c r="I33" i="34"/>
  <c r="H33" i="34"/>
  <c r="G33" i="34"/>
  <c r="F33" i="34"/>
  <c r="E33" i="34"/>
  <c r="F32" i="34"/>
  <c r="G32" i="34"/>
  <c r="E32" i="34"/>
  <c r="L32" i="34"/>
  <c r="K32" i="34"/>
  <c r="J32" i="34"/>
  <c r="I32" i="34"/>
  <c r="H32" i="34"/>
  <c r="I40" i="25"/>
  <c r="D21" i="30"/>
  <c r="F3605" i="15"/>
  <c r="D8" i="28" s="1"/>
  <c r="J7" i="26"/>
  <c r="J7" i="27"/>
  <c r="I7" i="26"/>
  <c r="F194" i="15"/>
  <c r="D5" i="28"/>
  <c r="B8" i="33"/>
  <c r="B8" i="34"/>
  <c r="B27" i="24"/>
  <c r="J10" i="21"/>
  <c r="D13" i="34"/>
  <c r="J38" i="34"/>
  <c r="L38" i="34"/>
  <c r="I38" i="34"/>
  <c r="K38" i="34"/>
  <c r="H38" i="34"/>
  <c r="G38" i="34"/>
  <c r="F38" i="34"/>
  <c r="E38" i="34"/>
  <c r="D6" i="34"/>
  <c r="D6" i="33"/>
  <c r="E7" i="26"/>
  <c r="E14" i="22"/>
  <c r="B14" i="20"/>
  <c r="B11" i="23"/>
  <c r="E24" i="22"/>
  <c r="D21" i="34"/>
  <c r="E25" i="26"/>
  <c r="B27" i="33"/>
  <c r="B27" i="34"/>
  <c r="B6" i="33"/>
  <c r="B6" i="34"/>
  <c r="B7" i="26"/>
  <c r="D24" i="30"/>
  <c r="F1144" i="15"/>
  <c r="D4" i="33" s="1"/>
  <c r="E33" i="22"/>
  <c r="D13" i="33"/>
  <c r="B9" i="34"/>
  <c r="B9" i="33"/>
  <c r="E31" i="22"/>
  <c r="F167" i="15"/>
  <c r="D15" i="30"/>
  <c r="F866" i="15"/>
  <c r="B17" i="34"/>
  <c r="B17" i="33"/>
  <c r="E10" i="22"/>
  <c r="B7" i="34"/>
  <c r="H29" i="34"/>
  <c r="I29" i="34"/>
  <c r="J29" i="34"/>
  <c r="G29" i="34"/>
  <c r="F29" i="34"/>
  <c r="E29" i="34"/>
  <c r="H37" i="34"/>
  <c r="K37" i="34"/>
  <c r="G37" i="34"/>
  <c r="L37" i="34"/>
  <c r="F37" i="34"/>
  <c r="J37" i="34"/>
  <c r="I37" i="34"/>
  <c r="E37" i="34"/>
  <c r="D23" i="34"/>
  <c r="J25" i="26"/>
  <c r="E34" i="34"/>
  <c r="H34" i="34"/>
  <c r="F34" i="34"/>
  <c r="G34" i="34"/>
  <c r="L34" i="34"/>
  <c r="K34" i="34"/>
  <c r="J34" i="34"/>
  <c r="I34" i="34"/>
  <c r="H18" i="34"/>
  <c r="I18" i="34"/>
  <c r="E18" i="34"/>
  <c r="F18" i="34"/>
  <c r="G18" i="34"/>
  <c r="I25" i="26"/>
  <c r="G26" i="34"/>
  <c r="E26" i="34"/>
  <c r="I26" i="34"/>
  <c r="H26" i="34"/>
  <c r="F26" i="34"/>
  <c r="J5" i="26"/>
  <c r="I5" i="26"/>
  <c r="J5" i="27"/>
  <c r="D35" i="30"/>
  <c r="F708" i="15"/>
  <c r="F4011" i="15"/>
  <c r="J22" i="21"/>
  <c r="E31" i="34"/>
  <c r="F31" i="34"/>
  <c r="L31" i="34"/>
  <c r="K31" i="34"/>
  <c r="H31" i="34"/>
  <c r="I31" i="34"/>
  <c r="G31" i="34"/>
  <c r="J31" i="34"/>
  <c r="E35" i="34"/>
  <c r="K35" i="34"/>
  <c r="I35" i="34"/>
  <c r="J35" i="34"/>
  <c r="G35" i="34"/>
  <c r="H35" i="34"/>
  <c r="L35" i="34"/>
  <c r="F35" i="34"/>
  <c r="F30" i="34"/>
  <c r="H30" i="34"/>
  <c r="I30" i="34"/>
  <c r="G30" i="34"/>
  <c r="J21" i="21"/>
  <c r="J14" i="21"/>
  <c r="D7" i="30"/>
  <c r="B23" i="30"/>
  <c r="D20" i="30"/>
  <c r="D11" i="30"/>
  <c r="D36" i="30"/>
  <c r="B33" i="30"/>
  <c r="D23" i="28"/>
  <c r="B27" i="30"/>
  <c r="B16" i="30"/>
  <c r="B19" i="30"/>
  <c r="D22" i="30"/>
  <c r="B37" i="30"/>
  <c r="B36" i="30"/>
  <c r="B22" i="30"/>
  <c r="B30" i="30"/>
  <c r="D30" i="30"/>
  <c r="D8" i="30"/>
  <c r="B34" i="30"/>
  <c r="B7" i="30"/>
  <c r="D5" i="30"/>
  <c r="B6" i="30"/>
  <c r="D6" i="30"/>
  <c r="B11" i="30"/>
  <c r="D31" i="30"/>
  <c r="D32" i="30"/>
  <c r="D13" i="30"/>
  <c r="B4" i="30"/>
  <c r="D16" i="30"/>
  <c r="B13" i="30"/>
  <c r="B29" i="30"/>
  <c r="B18" i="30"/>
  <c r="B5" i="22"/>
  <c r="B5" i="28"/>
  <c r="B25" i="21"/>
  <c r="B17" i="30"/>
  <c r="B32" i="30"/>
  <c r="B26" i="28"/>
  <c r="B15" i="30"/>
  <c r="B19" i="21"/>
  <c r="C1692" i="15"/>
  <c r="F1692" i="15" s="1"/>
  <c r="C1059" i="15"/>
  <c r="F1059" i="15" s="1"/>
  <c r="C1077" i="15"/>
  <c r="F1077" i="15" s="1"/>
  <c r="C1306" i="15"/>
  <c r="F1306" i="15" s="1"/>
  <c r="C4411" i="15"/>
  <c r="F4411" i="15" s="1"/>
  <c r="C4429" i="15"/>
  <c r="F4429" i="15" s="1"/>
  <c r="C4051" i="15"/>
  <c r="F4051" i="15" s="1"/>
  <c r="C4195" i="15"/>
  <c r="D28" i="28"/>
  <c r="C4105" i="15"/>
  <c r="F4105" i="15" s="1"/>
  <c r="C4069" i="15"/>
  <c r="F4069" i="15" s="1"/>
  <c r="C1307" i="15"/>
  <c r="F1307" i="15" s="1"/>
  <c r="D35" i="28"/>
  <c r="C4087" i="15"/>
  <c r="F4087" i="15" s="1"/>
  <c r="C4231" i="15"/>
  <c r="F4231" i="15" s="1"/>
  <c r="C1150" i="15"/>
  <c r="F1150" i="15" s="1"/>
  <c r="C2665" i="15"/>
  <c r="F2665" i="15" s="1"/>
  <c r="C2719" i="15"/>
  <c r="F2719" i="15" s="1"/>
  <c r="C1168" i="15"/>
  <c r="F1168" i="15" s="1"/>
  <c r="C3277" i="15"/>
  <c r="F3277" i="15" s="1"/>
  <c r="C1728" i="15"/>
  <c r="F1728" i="15" s="1"/>
  <c r="C2773" i="15"/>
  <c r="F2773" i="15" s="1"/>
  <c r="C2791" i="15"/>
  <c r="F2791" i="15" s="1"/>
  <c r="C3313" i="15"/>
  <c r="F3313" i="15" s="1"/>
  <c r="C4141" i="15"/>
  <c r="F4141" i="15" s="1"/>
  <c r="C3493" i="15"/>
  <c r="F3493" i="15" s="1"/>
  <c r="C3601" i="15"/>
  <c r="F3601" i="15" s="1"/>
  <c r="C3367" i="15"/>
  <c r="F3367" i="15" s="1"/>
  <c r="C2953" i="15"/>
  <c r="F2953" i="15" s="1"/>
  <c r="C4321" i="15"/>
  <c r="F4321" i="15" s="1"/>
  <c r="C4357" i="15"/>
  <c r="F4357" i="15" s="1"/>
  <c r="C32" i="15"/>
  <c r="F32" i="15" s="1"/>
  <c r="B357" i="15"/>
  <c r="B393" i="15"/>
  <c r="D303" i="15"/>
  <c r="D1150" i="15"/>
  <c r="D1276" i="15"/>
  <c r="D2665" i="15"/>
  <c r="D2683" i="15"/>
  <c r="D2827" i="15"/>
  <c r="D2881" i="15"/>
  <c r="D2899" i="15"/>
  <c r="D2611" i="15"/>
  <c r="D2845" i="15"/>
  <c r="D2917" i="15"/>
  <c r="D2935" i="15"/>
  <c r="D2809" i="15"/>
  <c r="D3817" i="15"/>
  <c r="D3889" i="15"/>
  <c r="D4087" i="15"/>
  <c r="D3835" i="15"/>
  <c r="D4105" i="15"/>
  <c r="D3799" i="15"/>
  <c r="D2230" i="15"/>
  <c r="D4159" i="15"/>
  <c r="D1306" i="15"/>
  <c r="D1307" i="15"/>
  <c r="B375" i="15"/>
  <c r="C717" i="15"/>
  <c r="F717" i="15" s="1"/>
  <c r="B2016" i="15"/>
  <c r="D1854" i="15"/>
  <c r="C1258" i="15"/>
  <c r="F1258" i="15" s="1"/>
  <c r="D1314" i="15"/>
  <c r="C1113" i="15"/>
  <c r="F1113" i="15" s="1"/>
  <c r="B2178" i="15"/>
  <c r="D2449" i="15"/>
  <c r="E2214" i="15"/>
  <c r="C2881" i="15"/>
  <c r="F2881" i="15" s="1"/>
  <c r="C3295" i="15"/>
  <c r="F3295" i="15" s="1"/>
  <c r="B1728" i="15"/>
  <c r="D2052" i="15"/>
  <c r="D2485" i="15"/>
  <c r="C2863" i="15"/>
  <c r="F2863" i="15" s="1"/>
  <c r="E2377" i="15"/>
  <c r="B2323" i="15"/>
  <c r="C3349" i="15"/>
  <c r="F3349" i="15" s="1"/>
  <c r="C3691" i="15"/>
  <c r="F3691" i="15" s="1"/>
  <c r="B4411" i="15"/>
  <c r="B4303" i="15"/>
  <c r="B2683" i="15"/>
  <c r="C3403" i="15"/>
  <c r="F3403" i="15" s="1"/>
  <c r="B4429" i="15"/>
  <c r="D3241" i="15"/>
  <c r="C3511" i="15"/>
  <c r="F3511" i="15" s="1"/>
  <c r="C3619" i="15"/>
  <c r="F3619" i="15" s="1"/>
  <c r="B4069" i="15"/>
  <c r="C2539" i="15"/>
  <c r="F2539" i="15" s="1"/>
  <c r="B2413" i="15"/>
  <c r="D3061" i="15"/>
  <c r="E3529" i="15"/>
  <c r="E3637" i="15"/>
  <c r="C4123" i="15"/>
  <c r="F4123" i="15" s="1"/>
  <c r="B4357" i="15"/>
  <c r="C3889" i="15"/>
  <c r="F3889" i="15" s="1"/>
  <c r="C4267" i="15"/>
  <c r="F4267" i="15" s="1"/>
  <c r="B447" i="15"/>
  <c r="B429" i="15"/>
  <c r="E699" i="15"/>
  <c r="E1113" i="15"/>
  <c r="E1476" i="15"/>
  <c r="E1258" i="15"/>
  <c r="E2124" i="15"/>
  <c r="E2230" i="15"/>
  <c r="E1306" i="15"/>
  <c r="E3763" i="15"/>
  <c r="E4411" i="15"/>
  <c r="E3673" i="15"/>
  <c r="E3745" i="15"/>
  <c r="E3439" i="15"/>
  <c r="E3457" i="15"/>
  <c r="E3475" i="15"/>
  <c r="E3655" i="15"/>
  <c r="E3727" i="15"/>
  <c r="E133" i="15"/>
  <c r="E4303" i="15"/>
  <c r="B501" i="15"/>
  <c r="B1204" i="15"/>
  <c r="E1168" i="15"/>
  <c r="D1222" i="15"/>
  <c r="D1908" i="15"/>
  <c r="D1332" i="15"/>
  <c r="B735" i="15"/>
  <c r="B1620" i="15"/>
  <c r="C1204" i="15"/>
  <c r="F1204" i="15" s="1"/>
  <c r="C2070" i="15"/>
  <c r="F2070" i="15" s="1"/>
  <c r="B2196" i="15"/>
  <c r="E2251" i="15"/>
  <c r="E2575" i="15"/>
  <c r="E2593" i="15"/>
  <c r="C2683" i="15"/>
  <c r="F2683" i="15" s="1"/>
  <c r="C2088" i="15"/>
  <c r="F2088" i="15" s="1"/>
  <c r="E2305" i="15"/>
  <c r="C2827" i="15"/>
  <c r="F2827" i="15" s="1"/>
  <c r="C1746" i="15"/>
  <c r="F1746" i="15" s="1"/>
  <c r="E2269" i="15"/>
  <c r="C2845" i="15"/>
  <c r="F2845" i="15" s="1"/>
  <c r="C2521" i="15"/>
  <c r="F2521" i="15" s="1"/>
  <c r="B1222" i="15"/>
  <c r="D2070" i="15"/>
  <c r="C2809" i="15"/>
  <c r="F2809" i="15" s="1"/>
  <c r="C2575" i="15"/>
  <c r="F2575" i="15" s="1"/>
  <c r="E2647" i="15"/>
  <c r="C3385" i="15"/>
  <c r="F3385" i="15" s="1"/>
  <c r="E3709" i="15"/>
  <c r="B4105" i="15"/>
  <c r="B4195" i="15"/>
  <c r="B13" i="28" s="1"/>
  <c r="B4321" i="15"/>
  <c r="D2773" i="15"/>
  <c r="B4285" i="15"/>
  <c r="D3259" i="15"/>
  <c r="C3529" i="15"/>
  <c r="F3529" i="15" s="1"/>
  <c r="C3637" i="15"/>
  <c r="F3637" i="15" s="1"/>
  <c r="D2629" i="15"/>
  <c r="C2503" i="15"/>
  <c r="F2503" i="15" s="1"/>
  <c r="E3907" i="15"/>
  <c r="E4015" i="15"/>
  <c r="C2449" i="15"/>
  <c r="E3547" i="15"/>
  <c r="E4249" i="15"/>
  <c r="D4069" i="15"/>
  <c r="C4177" i="15"/>
  <c r="F4177" i="15" s="1"/>
  <c r="C4285" i="15"/>
  <c r="F4285" i="15" s="1"/>
  <c r="C4339" i="15"/>
  <c r="F4339" i="15" s="1"/>
  <c r="C4393" i="15"/>
  <c r="F4393" i="15" s="1"/>
  <c r="B519" i="15"/>
  <c r="B537" i="15"/>
  <c r="E1150" i="15"/>
  <c r="E1059" i="15"/>
  <c r="E1548" i="15"/>
  <c r="C1674" i="15"/>
  <c r="F1674" i="15" s="1"/>
  <c r="B1584" i="15"/>
  <c r="E735" i="15"/>
  <c r="B1656" i="15"/>
  <c r="D1240" i="15"/>
  <c r="C2647" i="15"/>
  <c r="F2647" i="15" s="1"/>
  <c r="D2701" i="15"/>
  <c r="D2737" i="15"/>
  <c r="C2899" i="15"/>
  <c r="F2899" i="15" s="1"/>
  <c r="E3223" i="15"/>
  <c r="C1800" i="15"/>
  <c r="F1800" i="15" s="1"/>
  <c r="D1926" i="15"/>
  <c r="E2341" i="15"/>
  <c r="C2917" i="15"/>
  <c r="F2917" i="15" s="1"/>
  <c r="C1764" i="15"/>
  <c r="F1764" i="15" s="1"/>
  <c r="C2737" i="15"/>
  <c r="F2737" i="15" s="1"/>
  <c r="D3025" i="15"/>
  <c r="C2593" i="15"/>
  <c r="F2593" i="15" s="1"/>
  <c r="D2971" i="15"/>
  <c r="E3925" i="15"/>
  <c r="E4033" i="15"/>
  <c r="B4231" i="15"/>
  <c r="C3673" i="15"/>
  <c r="F3673" i="15" s="1"/>
  <c r="B4087" i="15"/>
  <c r="C2485" i="15"/>
  <c r="F2485" i="15" s="1"/>
  <c r="C3439" i="15"/>
  <c r="F3439" i="15" s="1"/>
  <c r="C3547" i="15"/>
  <c r="F3547" i="15" s="1"/>
  <c r="B3799" i="15"/>
  <c r="B2665" i="15"/>
  <c r="E3565" i="15"/>
  <c r="B4249" i="15"/>
  <c r="E3781" i="15"/>
  <c r="C4159" i="15"/>
  <c r="F4159" i="15" s="1"/>
  <c r="B4177" i="15"/>
  <c r="C4249" i="15"/>
  <c r="F4249" i="15" s="1"/>
  <c r="C3835" i="15"/>
  <c r="F3835" i="15" s="1"/>
  <c r="B573" i="15"/>
  <c r="B609" i="15"/>
  <c r="B627" i="15"/>
  <c r="B1240" i="15"/>
  <c r="D1059" i="15"/>
  <c r="D1368" i="15"/>
  <c r="D1113" i="15"/>
  <c r="D1350" i="15"/>
  <c r="D843" i="15"/>
  <c r="D1294" i="15"/>
  <c r="C1710" i="15"/>
  <c r="F1710" i="15" s="1"/>
  <c r="E2359" i="15"/>
  <c r="C2611" i="15"/>
  <c r="F2611" i="15" s="1"/>
  <c r="C2935" i="15"/>
  <c r="F2935" i="15" s="1"/>
  <c r="D3097" i="15"/>
  <c r="E2323" i="15"/>
  <c r="C2629" i="15"/>
  <c r="F2629" i="15" s="1"/>
  <c r="C2701" i="15"/>
  <c r="F2701" i="15" s="1"/>
  <c r="B1150" i="15"/>
  <c r="E2178" i="15"/>
  <c r="C2971" i="15"/>
  <c r="F2971" i="15" s="1"/>
  <c r="C3421" i="15"/>
  <c r="F3421" i="15" s="1"/>
  <c r="B4339" i="15"/>
  <c r="B4393" i="15"/>
  <c r="C3709" i="15"/>
  <c r="F3709" i="15" s="1"/>
  <c r="C3331" i="15"/>
  <c r="F3331" i="15" s="1"/>
  <c r="C3745" i="15"/>
  <c r="F3745" i="15" s="1"/>
  <c r="C3457" i="15"/>
  <c r="F3457" i="15" s="1"/>
  <c r="C3565" i="15"/>
  <c r="F3565" i="15" s="1"/>
  <c r="E3943" i="15"/>
  <c r="B1782" i="15"/>
  <c r="C3655" i="15"/>
  <c r="F3655" i="15" s="1"/>
  <c r="E2719" i="15"/>
  <c r="E3583" i="15"/>
  <c r="C4375" i="15"/>
  <c r="F4375" i="15" s="1"/>
  <c r="C4303" i="15"/>
  <c r="F4303" i="15" s="1"/>
  <c r="E4195" i="15"/>
  <c r="C50" i="15"/>
  <c r="F50" i="15" s="1"/>
  <c r="B1059" i="15"/>
  <c r="B1077" i="15"/>
  <c r="B1836" i="15"/>
  <c r="B23" i="28" s="1"/>
  <c r="B1258" i="15"/>
  <c r="B843" i="15"/>
  <c r="B2214" i="15"/>
  <c r="B2287" i="15"/>
  <c r="B2305" i="15"/>
  <c r="B1746" i="15"/>
  <c r="B1800" i="15"/>
  <c r="B1908" i="15"/>
  <c r="B2269" i="15"/>
  <c r="B2341" i="15"/>
  <c r="B2359" i="15"/>
  <c r="B2395" i="15"/>
  <c r="B1764" i="15"/>
  <c r="B2070" i="15"/>
  <c r="B26" i="30" s="1"/>
  <c r="B2377" i="15"/>
  <c r="B2701" i="15"/>
  <c r="B2737" i="15"/>
  <c r="B4434" i="15"/>
  <c r="B2230" i="15"/>
  <c r="B1307" i="15"/>
  <c r="B1113" i="15"/>
  <c r="E1692" i="15"/>
  <c r="C969" i="15"/>
  <c r="F969" i="15" s="1"/>
  <c r="C1131" i="15"/>
  <c r="F1131" i="15" s="1"/>
  <c r="C1222" i="15"/>
  <c r="F1222" i="15" s="1"/>
  <c r="C1240" i="15"/>
  <c r="F1240" i="15" s="1"/>
  <c r="E1818" i="15"/>
  <c r="D1476" i="15"/>
  <c r="D1512" i="15"/>
  <c r="C1782" i="15"/>
  <c r="F1782" i="15" s="1"/>
  <c r="C2431" i="15"/>
  <c r="F2431" i="15" s="1"/>
  <c r="D3079" i="15"/>
  <c r="E2070" i="15"/>
  <c r="E2701" i="15"/>
  <c r="B1710" i="15"/>
  <c r="E2160" i="15"/>
  <c r="C2989" i="15"/>
  <c r="F2989" i="15" s="1"/>
  <c r="E2395" i="15"/>
  <c r="C1548" i="15"/>
  <c r="F1548" i="15" s="1"/>
  <c r="E2196" i="15"/>
  <c r="D3007" i="15"/>
  <c r="C3763" i="15"/>
  <c r="F3763" i="15" s="1"/>
  <c r="D3871" i="15"/>
  <c r="C3475" i="15"/>
  <c r="F3475" i="15" s="1"/>
  <c r="C3583" i="15"/>
  <c r="F3583" i="15" s="1"/>
  <c r="E3997" i="15"/>
  <c r="E2142" i="15"/>
  <c r="C3781" i="15"/>
  <c r="F3781" i="15" s="1"/>
  <c r="C3727" i="15"/>
  <c r="F3727" i="15" s="1"/>
  <c r="E3961" i="15"/>
  <c r="D2953" i="15"/>
  <c r="E3493" i="15"/>
  <c r="E3601" i="15"/>
  <c r="B4375" i="15"/>
  <c r="D4051" i="15"/>
  <c r="E4357" i="15"/>
  <c r="E3691" i="15"/>
  <c r="B8" i="28"/>
  <c r="B31" i="28"/>
  <c r="B22" i="28"/>
  <c r="B7" i="28"/>
  <c r="B25" i="28"/>
  <c r="D34" i="28"/>
  <c r="D31" i="28"/>
  <c r="D22" i="28"/>
  <c r="D7" i="28"/>
  <c r="D25" i="28"/>
  <c r="B34" i="28"/>
  <c r="B19" i="28"/>
  <c r="J19" i="21"/>
  <c r="B9" i="28"/>
  <c r="B24" i="28"/>
  <c r="B17" i="28"/>
  <c r="B36" i="28"/>
  <c r="B10" i="28"/>
  <c r="D18" i="28"/>
  <c r="D16" i="28"/>
  <c r="D9" i="28"/>
  <c r="D24" i="28"/>
  <c r="D36" i="28"/>
  <c r="D30" i="28"/>
  <c r="D10" i="28"/>
  <c r="B18" i="28"/>
  <c r="B16" i="28"/>
  <c r="J25" i="21"/>
  <c r="B6" i="28"/>
  <c r="B21" i="28"/>
  <c r="B27" i="28"/>
  <c r="B32" i="28"/>
  <c r="B33" i="28"/>
  <c r="B15" i="28"/>
  <c r="D37" i="28"/>
  <c r="D6" i="28"/>
  <c r="D21" i="28"/>
  <c r="D27" i="28"/>
  <c r="D32" i="28"/>
  <c r="D33" i="28"/>
  <c r="D15" i="28"/>
  <c r="B37" i="28"/>
  <c r="D4" i="28"/>
  <c r="D4" i="30" l="1"/>
  <c r="D17" i="28"/>
  <c r="D10" i="30"/>
  <c r="D22" i="36"/>
  <c r="B14" i="30"/>
  <c r="B33" i="36"/>
  <c r="D17" i="30"/>
  <c r="D27" i="30"/>
  <c r="D40" i="36"/>
  <c r="B10" i="30"/>
  <c r="B22" i="36"/>
  <c r="B21" i="30"/>
  <c r="B19" i="36"/>
  <c r="J17" i="27"/>
  <c r="J16" i="21"/>
  <c r="E6" i="34"/>
  <c r="I6" i="34"/>
  <c r="H6" i="34"/>
  <c r="G6" i="34"/>
  <c r="F6" i="34"/>
  <c r="D37" i="30"/>
  <c r="F2449" i="15"/>
  <c r="F21" i="34"/>
  <c r="G21" i="34"/>
  <c r="H21" i="34"/>
  <c r="I21" i="34"/>
  <c r="E21" i="34"/>
  <c r="H13" i="34"/>
  <c r="G13" i="34"/>
  <c r="E13" i="34"/>
  <c r="F13" i="34"/>
  <c r="I13" i="34"/>
  <c r="I11" i="34"/>
  <c r="E11" i="34"/>
  <c r="G11" i="34"/>
  <c r="H11" i="34"/>
  <c r="F11" i="34"/>
  <c r="D10" i="34"/>
  <c r="D10" i="33"/>
  <c r="H16" i="34"/>
  <c r="E16" i="34"/>
  <c r="I16" i="34"/>
  <c r="F16" i="34"/>
  <c r="G16" i="34"/>
  <c r="D27" i="34"/>
  <c r="D27" i="33"/>
  <c r="E32" i="22"/>
  <c r="I8" i="34"/>
  <c r="F8" i="34"/>
  <c r="E8" i="34"/>
  <c r="G8" i="34"/>
  <c r="H8" i="34"/>
  <c r="H28" i="34"/>
  <c r="I28" i="34"/>
  <c r="G28" i="34"/>
  <c r="F28" i="34"/>
  <c r="E28" i="34"/>
  <c r="L28" i="34"/>
  <c r="J28" i="34"/>
  <c r="K28" i="34"/>
  <c r="D7" i="34"/>
  <c r="E9" i="20"/>
  <c r="D7" i="33"/>
  <c r="H25" i="34"/>
  <c r="I25" i="34"/>
  <c r="E25" i="34"/>
  <c r="G25" i="34"/>
  <c r="F25" i="34"/>
  <c r="B10" i="34"/>
  <c r="B10" i="33"/>
  <c r="B28" i="30"/>
  <c r="B12" i="34"/>
  <c r="B12" i="33"/>
  <c r="I24" i="34"/>
  <c r="H24" i="34"/>
  <c r="E24" i="34"/>
  <c r="G24" i="34"/>
  <c r="F24" i="34"/>
  <c r="B21" i="33"/>
  <c r="B26" i="23"/>
  <c r="B21" i="34"/>
  <c r="B28" i="20"/>
  <c r="B24" i="22"/>
  <c r="D28" i="30"/>
  <c r="F4195" i="15"/>
  <c r="E16" i="26" s="1"/>
  <c r="B12" i="30"/>
  <c r="I23" i="34"/>
  <c r="G23" i="34"/>
  <c r="H23" i="34"/>
  <c r="F23" i="34"/>
  <c r="E23" i="34"/>
  <c r="D17" i="34"/>
  <c r="D17" i="33"/>
  <c r="F5" i="34"/>
  <c r="H5" i="34"/>
  <c r="I5" i="34"/>
  <c r="J5" i="34"/>
  <c r="L5" i="34"/>
  <c r="K5" i="34"/>
  <c r="E5" i="34"/>
  <c r="G5" i="34"/>
  <c r="B14" i="28"/>
  <c r="D14" i="28"/>
  <c r="B12" i="28"/>
  <c r="D11" i="28"/>
  <c r="B28" i="28"/>
  <c r="B9" i="30"/>
  <c r="B22" i="21"/>
  <c r="B20" i="28"/>
  <c r="D14" i="30"/>
  <c r="D9" i="30"/>
  <c r="B31" i="30"/>
  <c r="J24" i="21"/>
  <c r="B11" i="28"/>
  <c r="B35" i="28"/>
  <c r="B23" i="21"/>
  <c r="B5" i="30"/>
  <c r="D12" i="28"/>
  <c r="D26" i="30"/>
  <c r="B26" i="20"/>
  <c r="B27" i="21"/>
  <c r="B31" i="22"/>
  <c r="B33" i="20"/>
  <c r="B9" i="21"/>
  <c r="B16" i="21"/>
  <c r="B10" i="22"/>
  <c r="B35" i="20"/>
  <c r="B24" i="21"/>
  <c r="B28" i="21"/>
  <c r="B20" i="22"/>
  <c r="B37" i="20"/>
  <c r="B31" i="21"/>
  <c r="B32" i="22"/>
  <c r="B20" i="20"/>
  <c r="B21" i="21"/>
  <c r="B12" i="21"/>
  <c r="B30" i="22"/>
  <c r="B21" i="20"/>
  <c r="B15" i="20"/>
  <c r="B14" i="21"/>
  <c r="B29" i="21"/>
  <c r="B6" i="22"/>
  <c r="B33" i="22"/>
  <c r="B30" i="28"/>
  <c r="E21" i="27"/>
  <c r="B21" i="22"/>
  <c r="E5" i="24"/>
  <c r="B17" i="22"/>
  <c r="J10" i="26"/>
  <c r="B28" i="26"/>
  <c r="J8" i="26"/>
  <c r="I21" i="21"/>
  <c r="E15" i="21"/>
  <c r="E4" i="20"/>
  <c r="J20" i="21"/>
  <c r="E6" i="25"/>
  <c r="E22" i="24"/>
  <c r="B17" i="20"/>
  <c r="B8" i="20"/>
  <c r="E18" i="20"/>
  <c r="B16" i="20"/>
  <c r="B15" i="21"/>
  <c r="J4" i="26"/>
  <c r="E16" i="20"/>
  <c r="B11" i="20"/>
  <c r="E11" i="21"/>
  <c r="E17" i="22"/>
  <c r="B9" i="22"/>
  <c r="E13" i="23"/>
  <c r="B31" i="23"/>
  <c r="B8" i="24"/>
  <c r="B19" i="24"/>
  <c r="I9" i="26"/>
  <c r="E21" i="23"/>
  <c r="B19" i="23"/>
  <c r="E26" i="24"/>
  <c r="E16" i="25"/>
  <c r="E23" i="20"/>
  <c r="E20" i="23"/>
  <c r="B28" i="23"/>
  <c r="B15" i="26"/>
  <c r="E13" i="21"/>
  <c r="E6" i="20"/>
  <c r="B26" i="21"/>
  <c r="B14" i="23"/>
  <c r="E27" i="23"/>
  <c r="B5" i="24"/>
  <c r="B23" i="25"/>
  <c r="J9" i="26"/>
  <c r="B10" i="27"/>
  <c r="E6" i="24"/>
  <c r="I12" i="26"/>
  <c r="B16" i="27"/>
  <c r="J12" i="26"/>
  <c r="B14" i="27"/>
  <c r="B24" i="24"/>
  <c r="E26" i="25"/>
  <c r="J4" i="27"/>
  <c r="E10" i="24"/>
  <c r="I16" i="26"/>
  <c r="E7" i="27"/>
  <c r="I29" i="21"/>
  <c r="I7" i="21"/>
  <c r="B34" i="20"/>
  <c r="E4" i="22"/>
  <c r="J17" i="21"/>
  <c r="J13" i="21"/>
  <c r="E14" i="24"/>
  <c r="B29" i="23"/>
  <c r="B18" i="23"/>
  <c r="E9" i="27"/>
  <c r="E19" i="24"/>
  <c r="E8" i="21"/>
  <c r="B24" i="23"/>
  <c r="E13" i="20"/>
  <c r="B11" i="22"/>
  <c r="B24" i="20"/>
  <c r="E17" i="20"/>
  <c r="I17" i="21"/>
  <c r="B7" i="22"/>
  <c r="E34" i="20"/>
  <c r="E22" i="20"/>
  <c r="B11" i="21"/>
  <c r="E20" i="24"/>
  <c r="B20" i="26"/>
  <c r="I20" i="21"/>
  <c r="E7" i="22"/>
  <c r="E20" i="27"/>
  <c r="B25" i="22"/>
  <c r="E30" i="23"/>
  <c r="E12" i="26"/>
  <c r="B6" i="24"/>
  <c r="B30" i="25"/>
  <c r="J18" i="21"/>
  <c r="B18" i="22"/>
  <c r="I21" i="26"/>
  <c r="B22" i="20"/>
  <c r="E20" i="21"/>
  <c r="E29" i="23"/>
  <c r="B11" i="24"/>
  <c r="E12" i="27"/>
  <c r="E20" i="26"/>
  <c r="I13" i="27"/>
  <c r="E30" i="25"/>
  <c r="B16" i="26"/>
  <c r="I15" i="27"/>
  <c r="E11" i="24"/>
  <c r="E8" i="27"/>
  <c r="B26" i="24"/>
  <c r="I9" i="27"/>
  <c r="B17" i="25"/>
  <c r="E27" i="25"/>
  <c r="I28" i="21"/>
  <c r="B34" i="23"/>
  <c r="E7" i="20"/>
  <c r="J8" i="21"/>
  <c r="B5" i="20"/>
  <c r="B30" i="23"/>
  <c r="B15" i="22"/>
  <c r="E12" i="20"/>
  <c r="B13" i="25"/>
  <c r="E28" i="23"/>
  <c r="B27" i="23"/>
  <c r="B32" i="20"/>
  <c r="E19" i="22"/>
  <c r="B22" i="22"/>
  <c r="E17" i="21"/>
  <c r="E27" i="20"/>
  <c r="B31" i="20"/>
  <c r="I13" i="21"/>
  <c r="E24" i="20"/>
  <c r="E31" i="20"/>
  <c r="B23" i="20"/>
  <c r="J26" i="21"/>
  <c r="E9" i="25"/>
  <c r="I14" i="26"/>
  <c r="B7" i="20"/>
  <c r="J6" i="21"/>
  <c r="B23" i="23"/>
  <c r="E5" i="23"/>
  <c r="J9" i="27"/>
  <c r="E9" i="22"/>
  <c r="B25" i="24"/>
  <c r="B26" i="25"/>
  <c r="J16" i="26"/>
  <c r="B20" i="23"/>
  <c r="E7" i="24"/>
  <c r="B11" i="27"/>
  <c r="E27" i="22"/>
  <c r="B8" i="23"/>
  <c r="E22" i="22"/>
  <c r="E36" i="20"/>
  <c r="I8" i="21"/>
  <c r="B19" i="22"/>
  <c r="B13" i="24"/>
  <c r="J16" i="27"/>
  <c r="I13" i="26"/>
  <c r="J14" i="27"/>
  <c r="B28" i="24"/>
  <c r="E26" i="26"/>
  <c r="I15" i="26"/>
  <c r="J4" i="21"/>
  <c r="I28" i="26"/>
  <c r="E14" i="27"/>
  <c r="B27" i="20"/>
  <c r="B17" i="27"/>
  <c r="B28" i="22"/>
  <c r="E13" i="24"/>
  <c r="E30" i="24"/>
  <c r="E28" i="24"/>
  <c r="E8" i="20"/>
  <c r="B24" i="25"/>
  <c r="B23" i="22"/>
  <c r="B19" i="26"/>
  <c r="B14" i="25"/>
  <c r="J5" i="21"/>
  <c r="B15" i="25"/>
  <c r="B9" i="26"/>
  <c r="B6" i="26"/>
  <c r="E35" i="23"/>
  <c r="I19" i="21"/>
  <c r="I16" i="21"/>
  <c r="I23" i="27"/>
  <c r="E32" i="23"/>
  <c r="B7" i="27"/>
  <c r="E16" i="21"/>
  <c r="E17" i="27"/>
  <c r="E33" i="24"/>
  <c r="E5" i="27"/>
  <c r="B22" i="25"/>
  <c r="E25" i="21"/>
  <c r="E33" i="20"/>
  <c r="E22" i="27"/>
  <c r="E28" i="22"/>
  <c r="B27" i="25"/>
  <c r="J18" i="27"/>
  <c r="E6" i="27"/>
  <c r="E13" i="26"/>
  <c r="J28" i="26"/>
  <c r="E11" i="25"/>
  <c r="E24" i="24"/>
  <c r="B9" i="24"/>
  <c r="I18" i="27"/>
  <c r="B6" i="27"/>
  <c r="E14" i="26"/>
  <c r="J19" i="26"/>
  <c r="B11" i="25"/>
  <c r="E25" i="24"/>
  <c r="B10" i="24"/>
  <c r="J20" i="27"/>
  <c r="B14" i="26"/>
  <c r="I19" i="26"/>
  <c r="E18" i="27"/>
  <c r="J6" i="27"/>
  <c r="J13" i="26"/>
  <c r="E28" i="26"/>
  <c r="B28" i="25"/>
  <c r="B20" i="24"/>
  <c r="E4" i="24"/>
  <c r="E11" i="27"/>
  <c r="I17" i="26"/>
  <c r="B11" i="26"/>
  <c r="I8" i="27"/>
  <c r="B31" i="25"/>
  <c r="E12" i="21"/>
  <c r="E19" i="27"/>
  <c r="I5" i="27"/>
  <c r="B35" i="23"/>
  <c r="E24" i="21"/>
  <c r="I12" i="21"/>
  <c r="E22" i="21"/>
  <c r="E20" i="20"/>
  <c r="I21" i="27"/>
  <c r="B18" i="25"/>
  <c r="B32" i="23"/>
  <c r="E4" i="23"/>
  <c r="B25" i="25"/>
  <c r="B33" i="24"/>
  <c r="I16" i="27"/>
  <c r="B20" i="27"/>
  <c r="B12" i="26"/>
  <c r="I4" i="26"/>
  <c r="B10" i="25"/>
  <c r="B7" i="24"/>
  <c r="E14" i="21"/>
  <c r="E26" i="20"/>
  <c r="E18" i="25"/>
  <c r="I25" i="21"/>
  <c r="I27" i="21"/>
  <c r="I22" i="27"/>
  <c r="B7" i="23"/>
  <c r="E19" i="21"/>
  <c r="E35" i="20"/>
  <c r="E23" i="27"/>
  <c r="I31" i="21"/>
  <c r="B23" i="27"/>
  <c r="B22" i="27"/>
  <c r="I14" i="21"/>
  <c r="E7" i="21"/>
  <c r="E22" i="25"/>
  <c r="B5" i="27"/>
  <c r="B29" i="22"/>
  <c r="I22" i="21"/>
  <c r="E13" i="27"/>
  <c r="E17" i="26"/>
  <c r="J11" i="26"/>
  <c r="E19" i="25"/>
  <c r="E6" i="23"/>
  <c r="E5" i="22"/>
  <c r="B13" i="27"/>
  <c r="E21" i="26"/>
  <c r="J20" i="26"/>
  <c r="B19" i="25"/>
  <c r="E16" i="24"/>
  <c r="E22" i="23"/>
  <c r="J12" i="27"/>
  <c r="B21" i="26"/>
  <c r="I20" i="26"/>
  <c r="E5" i="25"/>
  <c r="J13" i="27"/>
  <c r="J17" i="26"/>
  <c r="E11" i="26"/>
  <c r="B5" i="25"/>
  <c r="B6" i="25"/>
  <c r="B30" i="24"/>
  <c r="B33" i="23"/>
  <c r="E15" i="27"/>
  <c r="J8" i="27"/>
  <c r="B26" i="26"/>
  <c r="I8" i="26"/>
  <c r="E23" i="25"/>
  <c r="B9" i="23"/>
  <c r="B8" i="22"/>
  <c r="I15" i="21"/>
  <c r="E25" i="20"/>
  <c r="B16" i="22"/>
  <c r="B20" i="21"/>
  <c r="I9" i="21"/>
  <c r="I17" i="27"/>
  <c r="B29" i="25"/>
  <c r="E34" i="23"/>
  <c r="I24" i="21"/>
  <c r="I19" i="27"/>
  <c r="E31" i="21"/>
  <c r="B21" i="27"/>
  <c r="B25" i="23"/>
  <c r="B12" i="27"/>
  <c r="B24" i="26"/>
  <c r="I10" i="26"/>
  <c r="B16" i="25"/>
  <c r="B14" i="24"/>
  <c r="I4" i="21"/>
  <c r="J11" i="27"/>
  <c r="B17" i="26"/>
  <c r="I11" i="26"/>
  <c r="E24" i="25"/>
  <c r="E4" i="25"/>
  <c r="B15" i="24"/>
  <c r="B12" i="23"/>
  <c r="I11" i="27"/>
  <c r="J24" i="26"/>
  <c r="E10" i="26"/>
  <c r="I12" i="27"/>
  <c r="I24" i="26"/>
  <c r="B10" i="26"/>
  <c r="E14" i="25"/>
  <c r="B12" i="24"/>
  <c r="B18" i="27"/>
  <c r="I6" i="27"/>
  <c r="J14" i="26"/>
  <c r="E19" i="26"/>
  <c r="B12" i="20"/>
  <c r="B22" i="24"/>
  <c r="E25" i="23"/>
  <c r="E18" i="22"/>
  <c r="E23" i="21"/>
  <c r="B18" i="20"/>
  <c r="J11" i="21"/>
  <c r="B6" i="20"/>
  <c r="I5" i="21"/>
  <c r="E10" i="25"/>
  <c r="B21" i="24"/>
  <c r="B12" i="25"/>
  <c r="E23" i="23"/>
  <c r="E26" i="22"/>
  <c r="E24" i="23"/>
  <c r="E21" i="22"/>
  <c r="B5" i="21"/>
  <c r="E30" i="20"/>
  <c r="E24" i="26"/>
  <c r="B19" i="27"/>
  <c r="E21" i="21"/>
  <c r="E31" i="25"/>
  <c r="E9" i="21"/>
  <c r="E25" i="25"/>
  <c r="E37" i="20"/>
  <c r="B31" i="24"/>
  <c r="E27" i="21"/>
  <c r="E7" i="23"/>
  <c r="E31" i="24"/>
  <c r="E29" i="24"/>
  <c r="I7" i="27"/>
  <c r="J10" i="27"/>
  <c r="J26" i="26"/>
  <c r="E8" i="26"/>
  <c r="E20" i="25"/>
  <c r="E23" i="24"/>
  <c r="E32" i="24"/>
  <c r="E36" i="23"/>
  <c r="I10" i="27"/>
  <c r="J15" i="26"/>
  <c r="E9" i="26"/>
  <c r="B20" i="25"/>
  <c r="E9" i="23"/>
  <c r="B25" i="20"/>
  <c r="I18" i="21"/>
  <c r="B30" i="20"/>
  <c r="E11" i="20"/>
  <c r="E26" i="21"/>
  <c r="E8" i="22"/>
  <c r="I26" i="21"/>
  <c r="B13" i="23"/>
  <c r="J15" i="21"/>
  <c r="E5" i="21"/>
  <c r="B8" i="21"/>
  <c r="E13" i="25"/>
  <c r="E12" i="23"/>
  <c r="E32" i="20"/>
  <c r="E18" i="21"/>
  <c r="B26" i="22"/>
  <c r="B10" i="23"/>
  <c r="B15" i="27"/>
  <c r="B21" i="23"/>
  <c r="B22" i="23"/>
  <c r="B16" i="24"/>
  <c r="E17" i="24"/>
  <c r="E21" i="20"/>
  <c r="B27" i="22"/>
  <c r="E31" i="23"/>
  <c r="E8" i="24"/>
  <c r="I14" i="27"/>
  <c r="E6" i="21"/>
  <c r="E19" i="23"/>
  <c r="B36" i="20"/>
  <c r="E15" i="22"/>
  <c r="E16" i="22"/>
  <c r="E8" i="23"/>
  <c r="B9" i="25"/>
  <c r="E15" i="26"/>
  <c r="E8" i="25"/>
  <c r="E7" i="25"/>
  <c r="I20" i="27"/>
  <c r="E4" i="26"/>
  <c r="I4" i="27"/>
  <c r="B8" i="26"/>
  <c r="J15" i="27"/>
  <c r="E17" i="25"/>
  <c r="I11" i="21"/>
  <c r="B13" i="20"/>
  <c r="E33" i="23"/>
  <c r="B29" i="20"/>
  <c r="E4" i="27"/>
  <c r="E10" i="27"/>
  <c r="I26" i="26"/>
  <c r="B5" i="23"/>
  <c r="J23" i="21"/>
  <c r="E9" i="24"/>
  <c r="B13" i="21"/>
  <c r="E14" i="23"/>
  <c r="B6" i="21"/>
  <c r="I6" i="21"/>
  <c r="E23" i="22"/>
  <c r="E29" i="20"/>
  <c r="B18" i="21"/>
  <c r="E28" i="25"/>
  <c r="I23" i="21"/>
  <c r="B17" i="24"/>
  <c r="E4" i="21"/>
  <c r="E10" i="23"/>
  <c r="E21" i="25"/>
  <c r="E25" i="22"/>
  <c r="E12" i="24"/>
  <c r="B8" i="25"/>
  <c r="E5" i="20"/>
  <c r="E6" i="26"/>
  <c r="B17" i="21"/>
  <c r="B7" i="25"/>
  <c r="J21" i="26"/>
  <c r="E18" i="23"/>
  <c r="E21" i="24"/>
  <c r="I6" i="26"/>
  <c r="B9" i="27"/>
  <c r="J6" i="26"/>
  <c r="B8" i="27"/>
  <c r="B36" i="23"/>
  <c r="B32" i="24"/>
  <c r="E12" i="25"/>
  <c r="B13" i="26"/>
  <c r="B6" i="23"/>
  <c r="B21" i="25"/>
  <c r="E29" i="22"/>
  <c r="E28" i="21"/>
  <c r="E27" i="24"/>
  <c r="E29" i="21"/>
  <c r="D19" i="28" l="1"/>
  <c r="D17" i="36"/>
  <c r="E15" i="20"/>
  <c r="Q5" i="20" s="1"/>
  <c r="E15" i="25"/>
  <c r="P16" i="25" s="1"/>
  <c r="E16" i="27"/>
  <c r="H54" i="27" s="1"/>
  <c r="I54" i="27" s="1"/>
  <c r="E15" i="24"/>
  <c r="P16" i="24" s="1"/>
  <c r="D12" i="34"/>
  <c r="D12" i="33"/>
  <c r="D13" i="28"/>
  <c r="D12" i="30"/>
  <c r="I7" i="34"/>
  <c r="E7" i="34"/>
  <c r="G7" i="34"/>
  <c r="H7" i="34"/>
  <c r="F7" i="34"/>
  <c r="F27" i="34"/>
  <c r="E27" i="34"/>
  <c r="G27" i="34"/>
  <c r="I27" i="34"/>
  <c r="H27" i="34"/>
  <c r="K27" i="34"/>
  <c r="L27" i="34"/>
  <c r="J27" i="34"/>
  <c r="H17" i="34"/>
  <c r="I17" i="34"/>
  <c r="E17" i="34"/>
  <c r="F17" i="34"/>
  <c r="G17" i="34"/>
  <c r="F10" i="34"/>
  <c r="G10" i="34"/>
  <c r="E10" i="34"/>
  <c r="H10" i="34"/>
  <c r="I10" i="34"/>
  <c r="D19" i="34"/>
  <c r="D19" i="33"/>
  <c r="D19" i="30"/>
  <c r="O7" i="23"/>
  <c r="O15" i="23"/>
  <c r="P7" i="23"/>
  <c r="R9" i="23"/>
  <c r="P15" i="23"/>
  <c r="P10" i="23"/>
  <c r="P18" i="23"/>
  <c r="P17" i="23"/>
  <c r="O8" i="23"/>
  <c r="O16" i="23"/>
  <c r="Q7" i="23"/>
  <c r="Q15" i="23"/>
  <c r="O4" i="23"/>
  <c r="O9" i="23"/>
  <c r="O17" i="23"/>
  <c r="P5" i="23"/>
  <c r="R7" i="23"/>
  <c r="Q10" i="23"/>
  <c r="P13" i="23"/>
  <c r="Q18" i="23"/>
  <c r="O10" i="23"/>
  <c r="O18" i="23"/>
  <c r="Q5" i="23"/>
  <c r="P8" i="23"/>
  <c r="R10" i="23"/>
  <c r="Q13" i="23"/>
  <c r="P16" i="23"/>
  <c r="R18" i="23"/>
  <c r="O11" i="23"/>
  <c r="O19" i="23"/>
  <c r="R5" i="23"/>
  <c r="Q8" i="23"/>
  <c r="P11" i="23"/>
  <c r="R13" i="23"/>
  <c r="Q16" i="23"/>
  <c r="P19" i="23"/>
  <c r="R8" i="23"/>
  <c r="P14" i="23"/>
  <c r="Q19" i="23"/>
  <c r="P4" i="23"/>
  <c r="O12" i="23"/>
  <c r="P6" i="23"/>
  <c r="Q11" i="23"/>
  <c r="R16" i="23"/>
  <c r="O5" i="23"/>
  <c r="O13" i="23"/>
  <c r="Q6" i="23"/>
  <c r="P9" i="23"/>
  <c r="R11" i="23"/>
  <c r="Q14" i="23"/>
  <c r="O6" i="23"/>
  <c r="O14" i="23"/>
  <c r="R6" i="23"/>
  <c r="Q9" i="23"/>
  <c r="P12" i="23"/>
  <c r="R14" i="23"/>
  <c r="Q17" i="23"/>
  <c r="Q4" i="23"/>
  <c r="Q12" i="23"/>
  <c r="R17" i="23"/>
  <c r="R4" i="23"/>
  <c r="R12" i="23"/>
  <c r="R15" i="23"/>
  <c r="R19" i="23"/>
  <c r="O5" i="22"/>
  <c r="O13" i="22"/>
  <c r="Q5" i="22"/>
  <c r="P8" i="22"/>
  <c r="R10" i="22"/>
  <c r="Q13" i="22"/>
  <c r="P16" i="22"/>
  <c r="Q4" i="22"/>
  <c r="O6" i="22"/>
  <c r="O14" i="22"/>
  <c r="O7" i="22"/>
  <c r="O15" i="22"/>
  <c r="P6" i="22"/>
  <c r="R8" i="22"/>
  <c r="Q11" i="22"/>
  <c r="P14" i="22"/>
  <c r="R16" i="22"/>
  <c r="Q19" i="22"/>
  <c r="R4" i="22"/>
  <c r="P11" i="22"/>
  <c r="O4" i="22"/>
  <c r="O8" i="22"/>
  <c r="O16" i="22"/>
  <c r="Q6" i="22"/>
  <c r="P9" i="22"/>
  <c r="R11" i="22"/>
  <c r="Q14" i="22"/>
  <c r="P17" i="22"/>
  <c r="R19" i="22"/>
  <c r="Q17" i="22"/>
  <c r="R18" i="22"/>
  <c r="O9" i="22"/>
  <c r="O17" i="22"/>
  <c r="R6" i="22"/>
  <c r="Q9" i="22"/>
  <c r="P12" i="22"/>
  <c r="R14" i="22"/>
  <c r="P4" i="22"/>
  <c r="R5" i="22"/>
  <c r="Q16" i="22"/>
  <c r="O10" i="22"/>
  <c r="O18" i="22"/>
  <c r="P7" i="22"/>
  <c r="R9" i="22"/>
  <c r="Q12" i="22"/>
  <c r="P15" i="22"/>
  <c r="R17" i="22"/>
  <c r="R13" i="22"/>
  <c r="O11" i="22"/>
  <c r="O19" i="22"/>
  <c r="Q7" i="22"/>
  <c r="P10" i="22"/>
  <c r="R12" i="22"/>
  <c r="Q15" i="22"/>
  <c r="P18" i="22"/>
  <c r="Q18" i="22"/>
  <c r="Q8" i="22"/>
  <c r="P19" i="22"/>
  <c r="O12" i="22"/>
  <c r="P5" i="22"/>
  <c r="R7" i="22"/>
  <c r="Q10" i="22"/>
  <c r="P13" i="22"/>
  <c r="R15" i="22"/>
  <c r="G46" i="22"/>
  <c r="G55" i="22"/>
  <c r="H54" i="22"/>
  <c r="I54" i="22" s="1"/>
  <c r="H48" i="22"/>
  <c r="I48" i="22" s="1"/>
  <c r="H42" i="22"/>
  <c r="G47" i="22"/>
  <c r="G57" i="22"/>
  <c r="G58" i="22" s="1"/>
  <c r="H62" i="22"/>
  <c r="H55" i="22"/>
  <c r="I55" i="22" s="1"/>
  <c r="G48" i="22"/>
  <c r="G59" i="22"/>
  <c r="G60" i="22" s="1"/>
  <c r="H61" i="22"/>
  <c r="H50" i="22"/>
  <c r="G50" i="22"/>
  <c r="G61" i="22"/>
  <c r="H59" i="22"/>
  <c r="H60" i="22" s="1"/>
  <c r="H43" i="22"/>
  <c r="I43" i="22" s="1"/>
  <c r="G51" i="22"/>
  <c r="G62" i="22"/>
  <c r="H57" i="22"/>
  <c r="H58" i="22" s="1"/>
  <c r="H44" i="22"/>
  <c r="I44" i="22" s="1"/>
  <c r="G43" i="22"/>
  <c r="G52" i="22"/>
  <c r="H51" i="22"/>
  <c r="I51" i="22" s="1"/>
  <c r="H45" i="22"/>
  <c r="I45" i="22" s="1"/>
  <c r="G44" i="22"/>
  <c r="G53" i="22"/>
  <c r="G42" i="22"/>
  <c r="H52" i="22"/>
  <c r="I52" i="22" s="1"/>
  <c r="H46" i="22"/>
  <c r="I46" i="22" s="1"/>
  <c r="G45" i="22"/>
  <c r="G54" i="22"/>
  <c r="H53" i="22"/>
  <c r="I53" i="22" s="1"/>
  <c r="H47" i="22"/>
  <c r="I47" i="22" s="1"/>
  <c r="G57" i="26"/>
  <c r="H59" i="26"/>
  <c r="G62" i="26"/>
  <c r="G42" i="26"/>
  <c r="H44" i="26"/>
  <c r="I44" i="26" s="1"/>
  <c r="G50" i="26"/>
  <c r="H55" i="26"/>
  <c r="I55" i="26" s="1"/>
  <c r="G53" i="26"/>
  <c r="H52" i="26"/>
  <c r="I52" i="26" s="1"/>
  <c r="G54" i="26"/>
  <c r="H53" i="26"/>
  <c r="G51" i="26"/>
  <c r="H61" i="26"/>
  <c r="I61" i="26" s="1"/>
  <c r="H48" i="26"/>
  <c r="I48" i="26" s="1"/>
  <c r="G46" i="26"/>
  <c r="H45" i="26"/>
  <c r="I45" i="26" s="1"/>
  <c r="G43" i="26"/>
  <c r="H46" i="26"/>
  <c r="I46" i="26" s="1"/>
  <c r="G44" i="26"/>
  <c r="H43" i="26"/>
  <c r="I43" i="26" s="1"/>
  <c r="G55" i="26"/>
  <c r="H54" i="26"/>
  <c r="I54" i="26" s="1"/>
  <c r="G61" i="26"/>
  <c r="H62" i="26"/>
  <c r="H42" i="26"/>
  <c r="G47" i="26"/>
  <c r="G48" i="26"/>
  <c r="H47" i="26"/>
  <c r="I47" i="26" s="1"/>
  <c r="G45" i="26"/>
  <c r="H50" i="26"/>
  <c r="G52" i="26"/>
  <c r="H51" i="26"/>
  <c r="I51" i="26" s="1"/>
  <c r="G59" i="26"/>
  <c r="H57" i="26"/>
  <c r="G46" i="23"/>
  <c r="H57" i="23"/>
  <c r="G50" i="23"/>
  <c r="G43" i="23"/>
  <c r="H62" i="23"/>
  <c r="G54" i="23"/>
  <c r="G48" i="23"/>
  <c r="H61" i="23"/>
  <c r="G45" i="23"/>
  <c r="G51" i="23"/>
  <c r="H54" i="23"/>
  <c r="G61" i="23"/>
  <c r="G47" i="23"/>
  <c r="H51" i="23"/>
  <c r="H59" i="23"/>
  <c r="G53" i="23"/>
  <c r="H52" i="23"/>
  <c r="H42" i="23"/>
  <c r="G55" i="23"/>
  <c r="H44" i="23"/>
  <c r="H53" i="23"/>
  <c r="G52" i="23"/>
  <c r="H55" i="23"/>
  <c r="H47" i="23"/>
  <c r="G59" i="23"/>
  <c r="G60" i="23" s="1"/>
  <c r="H50" i="23"/>
  <c r="G62" i="23"/>
  <c r="H48" i="23"/>
  <c r="H43" i="23"/>
  <c r="G57" i="23"/>
  <c r="G58" i="23" s="1"/>
  <c r="H45" i="23"/>
  <c r="G44" i="23"/>
  <c r="G42" i="23"/>
  <c r="H46" i="23"/>
  <c r="G44" i="21"/>
  <c r="H61" i="21"/>
  <c r="H48" i="21"/>
  <c r="I48" i="21" s="1"/>
  <c r="H47" i="21"/>
  <c r="I47" i="21" s="1"/>
  <c r="G61" i="21"/>
  <c r="H45" i="21"/>
  <c r="I45" i="21" s="1"/>
  <c r="G46" i="21"/>
  <c r="H57" i="21"/>
  <c r="H58" i="21" s="1"/>
  <c r="G57" i="21"/>
  <c r="G58" i="21" s="1"/>
  <c r="G48" i="21"/>
  <c r="H54" i="21"/>
  <c r="I54" i="21" s="1"/>
  <c r="G43" i="21"/>
  <c r="G45" i="21"/>
  <c r="H62" i="21"/>
  <c r="H42" i="21"/>
  <c r="G51" i="21"/>
  <c r="H52" i="21"/>
  <c r="I52" i="21" s="1"/>
  <c r="H53" i="21"/>
  <c r="I53" i="21" s="1"/>
  <c r="G53" i="21"/>
  <c r="H50" i="21"/>
  <c r="G52" i="21"/>
  <c r="G50" i="21"/>
  <c r="H51" i="21"/>
  <c r="I51" i="21" s="1"/>
  <c r="G42" i="21"/>
  <c r="G55" i="21"/>
  <c r="H46" i="21"/>
  <c r="I46" i="21" s="1"/>
  <c r="G59" i="21"/>
  <c r="G60" i="21" s="1"/>
  <c r="H44" i="21"/>
  <c r="I44" i="21" s="1"/>
  <c r="H59" i="21"/>
  <c r="H60" i="21" s="1"/>
  <c r="G54" i="21"/>
  <c r="H55" i="21"/>
  <c r="I55" i="21" s="1"/>
  <c r="H43" i="21"/>
  <c r="I43" i="21" s="1"/>
  <c r="G62" i="21"/>
  <c r="G47" i="21"/>
  <c r="J39" i="26"/>
  <c r="I39" i="27"/>
  <c r="I39" i="26"/>
  <c r="F62" i="26"/>
  <c r="I53" i="26"/>
  <c r="F57" i="26"/>
  <c r="F52" i="22"/>
  <c r="F46" i="22"/>
  <c r="F43" i="22"/>
  <c r="F47" i="22"/>
  <c r="F54" i="22"/>
  <c r="F44" i="22"/>
  <c r="F48" i="22"/>
  <c r="F45" i="22"/>
  <c r="F51" i="22"/>
  <c r="F57" i="20"/>
  <c r="F48" i="20"/>
  <c r="F62" i="20"/>
  <c r="F55" i="20"/>
  <c r="F54" i="20"/>
  <c r="F47" i="20"/>
  <c r="F46" i="20"/>
  <c r="F45" i="20"/>
  <c r="F44" i="20"/>
  <c r="F53" i="20"/>
  <c r="F52" i="20"/>
  <c r="F43" i="20"/>
  <c r="F50" i="20"/>
  <c r="F63" i="25"/>
  <c r="F58" i="25"/>
  <c r="F55" i="25"/>
  <c r="F54" i="25"/>
  <c r="F55" i="24"/>
  <c r="F54" i="24"/>
  <c r="F53" i="24"/>
  <c r="F52" i="24"/>
  <c r="F51" i="24"/>
  <c r="F48" i="24"/>
  <c r="F47" i="24"/>
  <c r="F46" i="24"/>
  <c r="F45" i="24"/>
  <c r="F44" i="24"/>
  <c r="F43" i="24"/>
  <c r="F62" i="27"/>
  <c r="L24" i="34"/>
  <c r="F55" i="22"/>
  <c r="F53" i="22"/>
  <c r="F55" i="21"/>
  <c r="F53" i="21"/>
  <c r="F51" i="21"/>
  <c r="F48" i="21"/>
  <c r="F52" i="21"/>
  <c r="F43" i="21"/>
  <c r="J39" i="27"/>
  <c r="J39" i="21"/>
  <c r="B24" i="31"/>
  <c r="D63" i="21" s="1"/>
  <c r="I39" i="21"/>
  <c r="G63" i="22" l="1"/>
  <c r="G59" i="27"/>
  <c r="G60" i="27" s="1"/>
  <c r="H42" i="27"/>
  <c r="G57" i="27"/>
  <c r="G58" i="27" s="1"/>
  <c r="G62" i="27"/>
  <c r="G63" i="27" s="1"/>
  <c r="G48" i="27"/>
  <c r="G47" i="27"/>
  <c r="H61" i="27"/>
  <c r="I61" i="27" s="1"/>
  <c r="G50" i="27"/>
  <c r="H44" i="27"/>
  <c r="I44" i="27" s="1"/>
  <c r="H62" i="27"/>
  <c r="H46" i="27"/>
  <c r="I46" i="27" s="1"/>
  <c r="G53" i="27"/>
  <c r="H47" i="27"/>
  <c r="I47" i="27" s="1"/>
  <c r="G52" i="27"/>
  <c r="G55" i="27"/>
  <c r="H43" i="27"/>
  <c r="I43" i="27" s="1"/>
  <c r="G51" i="27"/>
  <c r="H53" i="27"/>
  <c r="I53" i="27" s="1"/>
  <c r="G44" i="27"/>
  <c r="H55" i="27"/>
  <c r="I55" i="27" s="1"/>
  <c r="G43" i="27"/>
  <c r="G46" i="27"/>
  <c r="G54" i="27"/>
  <c r="H50" i="27"/>
  <c r="I50" i="27" s="1"/>
  <c r="H51" i="27"/>
  <c r="I51" i="27" s="1"/>
  <c r="H57" i="27"/>
  <c r="H45" i="27"/>
  <c r="I45" i="27" s="1"/>
  <c r="H48" i="27"/>
  <c r="I48" i="27" s="1"/>
  <c r="H59" i="27"/>
  <c r="I59" i="27" s="1"/>
  <c r="G61" i="27"/>
  <c r="H52" i="27"/>
  <c r="I52" i="27" s="1"/>
  <c r="G45" i="27"/>
  <c r="G42" i="27"/>
  <c r="H60" i="25"/>
  <c r="H61" i="25" s="1"/>
  <c r="I61" i="25" s="1"/>
  <c r="P13" i="25"/>
  <c r="G53" i="25"/>
  <c r="H55" i="25"/>
  <c r="I55" i="25" s="1"/>
  <c r="G56" i="25"/>
  <c r="G55" i="25"/>
  <c r="Q15" i="25"/>
  <c r="P14" i="25"/>
  <c r="H54" i="25"/>
  <c r="I54" i="25" s="1"/>
  <c r="H44" i="25"/>
  <c r="I44" i="25" s="1"/>
  <c r="H63" i="25"/>
  <c r="H62" i="25"/>
  <c r="I62" i="25" s="1"/>
  <c r="P10" i="25"/>
  <c r="R8" i="25"/>
  <c r="H48" i="25"/>
  <c r="I48" i="25" s="1"/>
  <c r="G60" i="25"/>
  <c r="G61" i="25" s="1"/>
  <c r="G47" i="25"/>
  <c r="H51" i="25"/>
  <c r="H52" i="25"/>
  <c r="I52" i="25" s="1"/>
  <c r="G54" i="25"/>
  <c r="G52" i="25"/>
  <c r="P15" i="25"/>
  <c r="P19" i="25"/>
  <c r="G49" i="25"/>
  <c r="G63" i="25"/>
  <c r="G44" i="25"/>
  <c r="G46" i="25"/>
  <c r="H56" i="25"/>
  <c r="I56" i="25" s="1"/>
  <c r="R9" i="25"/>
  <c r="R13" i="25"/>
  <c r="G58" i="25"/>
  <c r="G59" i="25" s="1"/>
  <c r="G43" i="25"/>
  <c r="H43" i="25"/>
  <c r="G48" i="25"/>
  <c r="Q9" i="25"/>
  <c r="R18" i="25"/>
  <c r="G45" i="25"/>
  <c r="H47" i="25"/>
  <c r="I47" i="25" s="1"/>
  <c r="H58" i="25"/>
  <c r="H59" i="25" s="1"/>
  <c r="I59" i="25" s="1"/>
  <c r="O17" i="25"/>
  <c r="Q13" i="25"/>
  <c r="H49" i="25"/>
  <c r="I49" i="25" s="1"/>
  <c r="P9" i="25"/>
  <c r="H46" i="25"/>
  <c r="I46" i="25" s="1"/>
  <c r="G51" i="25"/>
  <c r="G62" i="25"/>
  <c r="H45" i="25"/>
  <c r="I45" i="25" s="1"/>
  <c r="H53" i="25"/>
  <c r="I53" i="25" s="1"/>
  <c r="R7" i="25"/>
  <c r="O16" i="25"/>
  <c r="G51" i="24"/>
  <c r="R17" i="24"/>
  <c r="H46" i="24"/>
  <c r="I46" i="24" s="1"/>
  <c r="H54" i="24"/>
  <c r="I54" i="24" s="1"/>
  <c r="H48" i="24"/>
  <c r="I48" i="24" s="1"/>
  <c r="G53" i="24"/>
  <c r="P11" i="24"/>
  <c r="O11" i="24"/>
  <c r="O10" i="24"/>
  <c r="Q9" i="24"/>
  <c r="R19" i="24"/>
  <c r="Q4" i="24"/>
  <c r="O6" i="24"/>
  <c r="Q13" i="24"/>
  <c r="H53" i="24"/>
  <c r="I53" i="24" s="1"/>
  <c r="G52" i="24"/>
  <c r="Q18" i="24"/>
  <c r="O4" i="24"/>
  <c r="P15" i="24"/>
  <c r="R6" i="24"/>
  <c r="P17" i="24"/>
  <c r="Q19" i="24"/>
  <c r="P19" i="24"/>
  <c r="R10" i="24"/>
  <c r="H52" i="24"/>
  <c r="I52" i="24" s="1"/>
  <c r="O9" i="24"/>
  <c r="G47" i="24"/>
  <c r="G54" i="24"/>
  <c r="G61" i="24"/>
  <c r="G50" i="24"/>
  <c r="G43" i="24"/>
  <c r="G57" i="24"/>
  <c r="G58" i="24" s="1"/>
  <c r="R15" i="24"/>
  <c r="P18" i="24"/>
  <c r="R9" i="24"/>
  <c r="O16" i="24"/>
  <c r="Q14" i="24"/>
  <c r="R16" i="24"/>
  <c r="R13" i="24"/>
  <c r="P8" i="24"/>
  <c r="H47" i="24"/>
  <c r="I47" i="24" s="1"/>
  <c r="O13" i="24"/>
  <c r="G42" i="24"/>
  <c r="G62" i="24"/>
  <c r="G63" i="24" s="1"/>
  <c r="G55" i="24"/>
  <c r="H45" i="24"/>
  <c r="I45" i="24" s="1"/>
  <c r="H44" i="24"/>
  <c r="I44" i="24" s="1"/>
  <c r="P13" i="24"/>
  <c r="Q15" i="24"/>
  <c r="O17" i="24"/>
  <c r="O8" i="24"/>
  <c r="R11" i="24"/>
  <c r="P14" i="24"/>
  <c r="Q8" i="24"/>
  <c r="Q5" i="24"/>
  <c r="H42" i="24"/>
  <c r="I42" i="24" s="1"/>
  <c r="R12" i="24"/>
  <c r="Q11" i="24"/>
  <c r="H51" i="24"/>
  <c r="I51" i="24" s="1"/>
  <c r="H43" i="24"/>
  <c r="I43" i="24" s="1"/>
  <c r="G45" i="24"/>
  <c r="G46" i="24"/>
  <c r="R7" i="24"/>
  <c r="P10" i="24"/>
  <c r="Q17" i="24"/>
  <c r="Q12" i="24"/>
  <c r="Q6" i="24"/>
  <c r="R8" i="24"/>
  <c r="O5" i="24"/>
  <c r="R5" i="24"/>
  <c r="O12" i="24"/>
  <c r="H61" i="24"/>
  <c r="I61" i="24" s="1"/>
  <c r="H62" i="24"/>
  <c r="H63" i="24" s="1"/>
  <c r="I63" i="24" s="1"/>
  <c r="H57" i="24"/>
  <c r="H58" i="24" s="1"/>
  <c r="H50" i="24"/>
  <c r="I50" i="24" s="1"/>
  <c r="P4" i="24"/>
  <c r="P5" i="24"/>
  <c r="Q7" i="24"/>
  <c r="R14" i="24"/>
  <c r="P7" i="24"/>
  <c r="O15" i="24"/>
  <c r="P6" i="24"/>
  <c r="R18" i="24"/>
  <c r="Q10" i="24"/>
  <c r="P9" i="24"/>
  <c r="H55" i="24"/>
  <c r="I55" i="24" s="1"/>
  <c r="G48" i="24"/>
  <c r="G44" i="24"/>
  <c r="G59" i="24"/>
  <c r="G60" i="24" s="1"/>
  <c r="H59" i="24"/>
  <c r="I59" i="24" s="1"/>
  <c r="Q16" i="24"/>
  <c r="O19" i="24"/>
  <c r="O18" i="24"/>
  <c r="P12" i="24"/>
  <c r="R4" i="24"/>
  <c r="O7" i="24"/>
  <c r="O14" i="24"/>
  <c r="O16" i="20"/>
  <c r="G52" i="20"/>
  <c r="H42" i="20"/>
  <c r="I42" i="20" s="1"/>
  <c r="H48" i="20"/>
  <c r="I48" i="20" s="1"/>
  <c r="G54" i="20"/>
  <c r="R12" i="20"/>
  <c r="O10" i="20"/>
  <c r="Q9" i="20"/>
  <c r="O8" i="20"/>
  <c r="O7" i="20"/>
  <c r="O6" i="20"/>
  <c r="R4" i="20"/>
  <c r="O5" i="20"/>
  <c r="H59" i="20"/>
  <c r="I59" i="20" s="1"/>
  <c r="P12" i="20"/>
  <c r="R5" i="20"/>
  <c r="H45" i="20"/>
  <c r="I45" i="20" s="1"/>
  <c r="O11" i="20"/>
  <c r="R7" i="20"/>
  <c r="R6" i="20"/>
  <c r="Q19" i="20"/>
  <c r="R15" i="20"/>
  <c r="O4" i="20"/>
  <c r="R18" i="20"/>
  <c r="Q10" i="20"/>
  <c r="G50" i="20"/>
  <c r="P18" i="20"/>
  <c r="G59" i="20"/>
  <c r="G60" i="20" s="1"/>
  <c r="G53" i="20"/>
  <c r="H53" i="20"/>
  <c r="I53" i="20" s="1"/>
  <c r="G43" i="20"/>
  <c r="H47" i="20"/>
  <c r="I47" i="20" s="1"/>
  <c r="H50" i="20"/>
  <c r="I50" i="20" s="1"/>
  <c r="G48" i="20"/>
  <c r="H54" i="20"/>
  <c r="I54" i="20" s="1"/>
  <c r="R17" i="20"/>
  <c r="Q15" i="20"/>
  <c r="O17" i="20"/>
  <c r="R16" i="20"/>
  <c r="P17" i="20"/>
  <c r="Q4" i="20"/>
  <c r="P16" i="20"/>
  <c r="P5" i="20"/>
  <c r="O15" i="20"/>
  <c r="O13" i="20"/>
  <c r="G55" i="20"/>
  <c r="H43" i="20"/>
  <c r="I43" i="20" s="1"/>
  <c r="H57" i="20"/>
  <c r="I57" i="20" s="1"/>
  <c r="G44" i="20"/>
  <c r="P15" i="20"/>
  <c r="P10" i="20"/>
  <c r="O9" i="20"/>
  <c r="P14" i="20"/>
  <c r="P9" i="20"/>
  <c r="Q14" i="20"/>
  <c r="Q13" i="20"/>
  <c r="O12" i="20"/>
  <c r="G45" i="20"/>
  <c r="O18" i="20"/>
  <c r="O14" i="20"/>
  <c r="G62" i="20"/>
  <c r="H44" i="20"/>
  <c r="I44" i="20" s="1"/>
  <c r="H61" i="20"/>
  <c r="I61" i="20" s="1"/>
  <c r="G51" i="20"/>
  <c r="H52" i="20"/>
  <c r="I52" i="20" s="1"/>
  <c r="Q12" i="20"/>
  <c r="O19" i="20"/>
  <c r="Q18" i="20"/>
  <c r="Q11" i="20"/>
  <c r="P19" i="20"/>
  <c r="Q6" i="20"/>
  <c r="R10" i="20"/>
  <c r="P4" i="20"/>
  <c r="H46" i="20"/>
  <c r="I46" i="20" s="1"/>
  <c r="H55" i="20"/>
  <c r="I55" i="20" s="1"/>
  <c r="G46" i="20"/>
  <c r="R9" i="20"/>
  <c r="Q17" i="20"/>
  <c r="R19" i="20"/>
  <c r="R8" i="20"/>
  <c r="R13" i="20"/>
  <c r="Q16" i="20"/>
  <c r="P8" i="20"/>
  <c r="Q7" i="20"/>
  <c r="G61" i="20"/>
  <c r="G63" i="20" s="1"/>
  <c r="G57" i="20"/>
  <c r="G58" i="20" s="1"/>
  <c r="H62" i="20"/>
  <c r="I62" i="20" s="1"/>
  <c r="G42" i="20"/>
  <c r="H51" i="20"/>
  <c r="I51" i="20" s="1"/>
  <c r="G47" i="20"/>
  <c r="P13" i="20"/>
  <c r="P7" i="20"/>
  <c r="R14" i="20"/>
  <c r="R11" i="20"/>
  <c r="P6" i="20"/>
  <c r="Q8" i="20"/>
  <c r="P11" i="20"/>
  <c r="P5" i="25"/>
  <c r="Q7" i="25"/>
  <c r="P7" i="25"/>
  <c r="O9" i="25"/>
  <c r="O8" i="25"/>
  <c r="P6" i="25"/>
  <c r="P11" i="25"/>
  <c r="R10" i="25"/>
  <c r="O12" i="25"/>
  <c r="O19" i="25"/>
  <c r="O18" i="25"/>
  <c r="R19" i="25"/>
  <c r="R15" i="25"/>
  <c r="O15" i="25"/>
  <c r="Q8" i="25"/>
  <c r="P8" i="25"/>
  <c r="O4" i="25"/>
  <c r="O11" i="25"/>
  <c r="O10" i="25"/>
  <c r="P17" i="25"/>
  <c r="R14" i="25"/>
  <c r="O7" i="25"/>
  <c r="R5" i="25"/>
  <c r="Q5" i="25"/>
  <c r="R4" i="25"/>
  <c r="Q4" i="25"/>
  <c r="P4" i="25"/>
  <c r="Q14" i="25"/>
  <c r="Q19" i="25"/>
  <c r="Q18" i="25"/>
  <c r="O14" i="25"/>
  <c r="O13" i="25"/>
  <c r="P18" i="25"/>
  <c r="R17" i="25"/>
  <c r="P12" i="25"/>
  <c r="R11" i="25"/>
  <c r="R16" i="25"/>
  <c r="Q17" i="25"/>
  <c r="O6" i="25"/>
  <c r="O5" i="25"/>
  <c r="Q10" i="25"/>
  <c r="R12" i="25"/>
  <c r="Q12" i="25"/>
  <c r="R6" i="25"/>
  <c r="Q6" i="25"/>
  <c r="Q11" i="25"/>
  <c r="Q16" i="25"/>
  <c r="I19" i="34"/>
  <c r="H19" i="34"/>
  <c r="F19" i="34"/>
  <c r="E19" i="34"/>
  <c r="G19" i="34"/>
  <c r="P24" i="22"/>
  <c r="P24" i="23"/>
  <c r="Q24" i="22"/>
  <c r="I12" i="34"/>
  <c r="F12" i="34"/>
  <c r="H12" i="34"/>
  <c r="E12" i="34"/>
  <c r="G12" i="34"/>
  <c r="G39" i="34" s="1"/>
  <c r="Q24" i="23"/>
  <c r="O23" i="23"/>
  <c r="O24" i="23"/>
  <c r="P23" i="23"/>
  <c r="R23" i="23"/>
  <c r="Q23" i="23"/>
  <c r="R24" i="23"/>
  <c r="H63" i="23"/>
  <c r="I63" i="23" s="1"/>
  <c r="G56" i="22"/>
  <c r="Q23" i="22"/>
  <c r="R23" i="22"/>
  <c r="G49" i="22"/>
  <c r="H63" i="22"/>
  <c r="I63" i="22" s="1"/>
  <c r="P23" i="22"/>
  <c r="R24" i="22"/>
  <c r="O24" i="22"/>
  <c r="O23" i="22"/>
  <c r="H64" i="25"/>
  <c r="I64" i="25" s="1"/>
  <c r="G63" i="23"/>
  <c r="G56" i="23"/>
  <c r="G49" i="23"/>
  <c r="G49" i="21"/>
  <c r="G56" i="21"/>
  <c r="G63" i="21"/>
  <c r="F45" i="27"/>
  <c r="F51" i="27"/>
  <c r="L25" i="34"/>
  <c r="L8" i="34"/>
  <c r="L6" i="34"/>
  <c r="L7" i="34"/>
  <c r="L9" i="34"/>
  <c r="F52" i="27"/>
  <c r="F46" i="27"/>
  <c r="F53" i="27"/>
  <c r="F43" i="27"/>
  <c r="F54" i="27"/>
  <c r="L29" i="34"/>
  <c r="F47" i="27"/>
  <c r="L23" i="34"/>
  <c r="F48" i="27"/>
  <c r="F44" i="27"/>
  <c r="L13" i="34"/>
  <c r="F55" i="27"/>
  <c r="F57" i="27"/>
  <c r="F51" i="26"/>
  <c r="K25" i="34"/>
  <c r="F48" i="26"/>
  <c r="F55" i="26"/>
  <c r="F45" i="26"/>
  <c r="F52" i="26"/>
  <c r="K26" i="34"/>
  <c r="K8" i="34"/>
  <c r="K9" i="34"/>
  <c r="K7" i="34"/>
  <c r="K6" i="34"/>
  <c r="F44" i="26"/>
  <c r="K13" i="34"/>
  <c r="F46" i="26"/>
  <c r="F53" i="26"/>
  <c r="F43" i="26"/>
  <c r="K24" i="34"/>
  <c r="F47" i="26"/>
  <c r="K23" i="34"/>
  <c r="F54" i="26"/>
  <c r="K29" i="34"/>
  <c r="F49" i="25"/>
  <c r="F53" i="25"/>
  <c r="J26" i="34"/>
  <c r="J24" i="34"/>
  <c r="F45" i="25"/>
  <c r="J13" i="34"/>
  <c r="F46" i="25"/>
  <c r="F52" i="25"/>
  <c r="J25" i="34"/>
  <c r="F56" i="25"/>
  <c r="J7" i="34"/>
  <c r="J8" i="34"/>
  <c r="J9" i="34"/>
  <c r="J6" i="34"/>
  <c r="F48" i="25"/>
  <c r="J23" i="34"/>
  <c r="F44" i="25"/>
  <c r="F47" i="25"/>
  <c r="F62" i="24"/>
  <c r="F57" i="24"/>
  <c r="H49" i="21"/>
  <c r="H56" i="22"/>
  <c r="I56" i="22" s="1"/>
  <c r="F42" i="27"/>
  <c r="F59" i="27"/>
  <c r="F51" i="25"/>
  <c r="F57" i="25"/>
  <c r="I51" i="25"/>
  <c r="H58" i="23"/>
  <c r="F59" i="20"/>
  <c r="I50" i="26"/>
  <c r="H56" i="26"/>
  <c r="I56" i="26" s="1"/>
  <c r="I59" i="26"/>
  <c r="H60" i="26"/>
  <c r="B62" i="22"/>
  <c r="C62" i="22"/>
  <c r="H58" i="27"/>
  <c r="I57" i="27"/>
  <c r="F42" i="24"/>
  <c r="H60" i="24"/>
  <c r="H56" i="23"/>
  <c r="H58" i="20"/>
  <c r="F56" i="20"/>
  <c r="F51" i="20"/>
  <c r="F61" i="20"/>
  <c r="F63" i="20"/>
  <c r="I42" i="26"/>
  <c r="H49" i="26"/>
  <c r="H58" i="26"/>
  <c r="I57" i="26"/>
  <c r="F59" i="26"/>
  <c r="F59" i="22"/>
  <c r="H60" i="27"/>
  <c r="F50" i="24"/>
  <c r="F56" i="24"/>
  <c r="F60" i="25"/>
  <c r="F43" i="25"/>
  <c r="I60" i="25"/>
  <c r="I63" i="25"/>
  <c r="F42" i="20"/>
  <c r="F61" i="26"/>
  <c r="E63" i="26"/>
  <c r="F63" i="26" s="1"/>
  <c r="F57" i="22"/>
  <c r="I42" i="27"/>
  <c r="F50" i="27"/>
  <c r="F56" i="27"/>
  <c r="F61" i="27"/>
  <c r="F63" i="27"/>
  <c r="I62" i="27"/>
  <c r="H63" i="27"/>
  <c r="I63" i="27" s="1"/>
  <c r="F59" i="24"/>
  <c r="F61" i="24"/>
  <c r="F63" i="24"/>
  <c r="I43" i="25"/>
  <c r="F62" i="25"/>
  <c r="F64" i="25"/>
  <c r="H49" i="23"/>
  <c r="H60" i="23"/>
  <c r="F56" i="26"/>
  <c r="F50" i="26"/>
  <c r="I62" i="26"/>
  <c r="H63" i="26"/>
  <c r="I63" i="26" s="1"/>
  <c r="F59" i="21"/>
  <c r="H63" i="21"/>
  <c r="H56" i="21"/>
  <c r="B62" i="21"/>
  <c r="C62" i="21"/>
  <c r="F57" i="21"/>
  <c r="H49" i="22"/>
  <c r="I50" i="22"/>
  <c r="I57" i="22"/>
  <c r="F62" i="22"/>
  <c r="F61" i="22"/>
  <c r="I59" i="22"/>
  <c r="F56" i="22"/>
  <c r="F50" i="22"/>
  <c r="I62" i="22"/>
  <c r="I61" i="22"/>
  <c r="I59" i="21"/>
  <c r="I61" i="21"/>
  <c r="I57" i="21"/>
  <c r="I50" i="21"/>
  <c r="I62" i="21"/>
  <c r="F62" i="21"/>
  <c r="F44" i="21"/>
  <c r="F45" i="21"/>
  <c r="F47" i="21"/>
  <c r="F50" i="21"/>
  <c r="F46" i="21"/>
  <c r="E63" i="21"/>
  <c r="F61" i="21"/>
  <c r="F54" i="21"/>
  <c r="H60" i="20" l="1"/>
  <c r="G64" i="25"/>
  <c r="G57" i="25"/>
  <c r="G50" i="25"/>
  <c r="G65" i="25" s="1"/>
  <c r="H57" i="25"/>
  <c r="I57" i="25" s="1"/>
  <c r="I62" i="24"/>
  <c r="I57" i="24"/>
  <c r="Q23" i="24"/>
  <c r="Q24" i="24"/>
  <c r="G56" i="24"/>
  <c r="R23" i="24"/>
  <c r="R24" i="24"/>
  <c r="H56" i="24"/>
  <c r="I56" i="24" s="1"/>
  <c r="G56" i="27"/>
  <c r="G49" i="24"/>
  <c r="P24" i="24"/>
  <c r="G49" i="27"/>
  <c r="P23" i="20"/>
  <c r="R24" i="20"/>
  <c r="R23" i="20"/>
  <c r="H49" i="27"/>
  <c r="I49" i="27" s="1"/>
  <c r="H56" i="27"/>
  <c r="I56" i="27" s="1"/>
  <c r="I58" i="25"/>
  <c r="H50" i="25"/>
  <c r="I50" i="25" s="1"/>
  <c r="R24" i="25"/>
  <c r="H49" i="24"/>
  <c r="I49" i="24" s="1"/>
  <c r="H56" i="20"/>
  <c r="I56" i="20" s="1"/>
  <c r="Q23" i="20"/>
  <c r="G49" i="20"/>
  <c r="G56" i="20"/>
  <c r="Q24" i="25"/>
  <c r="P24" i="20"/>
  <c r="P23" i="24"/>
  <c r="H49" i="20"/>
  <c r="I49" i="20" s="1"/>
  <c r="R23" i="25"/>
  <c r="Q24" i="20"/>
  <c r="O24" i="20"/>
  <c r="O23" i="24"/>
  <c r="O24" i="24"/>
  <c r="P24" i="25"/>
  <c r="O23" i="20"/>
  <c r="H63" i="20"/>
  <c r="I63" i="20" s="1"/>
  <c r="F39" i="34"/>
  <c r="Q23" i="25"/>
  <c r="O23" i="25"/>
  <c r="O24" i="25"/>
  <c r="H39" i="34"/>
  <c r="E39" i="34"/>
  <c r="P23" i="25"/>
  <c r="G64" i="23"/>
  <c r="Q25" i="31"/>
  <c r="L26" i="34"/>
  <c r="L14" i="34"/>
  <c r="L15" i="34"/>
  <c r="L16" i="34"/>
  <c r="L17" i="34"/>
  <c r="L18" i="34"/>
  <c r="L11" i="34"/>
  <c r="L10" i="34"/>
  <c r="L12" i="34"/>
  <c r="L21" i="34"/>
  <c r="L19" i="34"/>
  <c r="L20" i="34"/>
  <c r="L22" i="34"/>
  <c r="K14" i="34"/>
  <c r="K18" i="34"/>
  <c r="K17" i="34"/>
  <c r="K15" i="34"/>
  <c r="K16" i="34"/>
  <c r="K11" i="34"/>
  <c r="K10" i="34"/>
  <c r="K12" i="34"/>
  <c r="K22" i="34"/>
  <c r="K19" i="34"/>
  <c r="K20" i="34"/>
  <c r="K21" i="34"/>
  <c r="J10" i="34"/>
  <c r="J11" i="34"/>
  <c r="J12" i="34"/>
  <c r="J14" i="34"/>
  <c r="J16" i="34"/>
  <c r="J18" i="34"/>
  <c r="J15" i="34"/>
  <c r="J17" i="34"/>
  <c r="J19" i="34"/>
  <c r="J21" i="34"/>
  <c r="J20" i="34"/>
  <c r="J22" i="34"/>
  <c r="I39" i="34"/>
  <c r="F63" i="22"/>
  <c r="E64" i="20"/>
  <c r="F49" i="20"/>
  <c r="H64" i="26"/>
  <c r="I49" i="26"/>
  <c r="E64" i="24"/>
  <c r="F49" i="24"/>
  <c r="H64" i="23"/>
  <c r="F49" i="27"/>
  <c r="E64" i="27"/>
  <c r="F50" i="25"/>
  <c r="E65" i="25"/>
  <c r="E64" i="23"/>
  <c r="E64" i="22"/>
  <c r="H64" i="22"/>
  <c r="H64" i="21"/>
  <c r="F63" i="21"/>
  <c r="I63" i="21"/>
  <c r="G64" i="20" l="1"/>
  <c r="G64" i="24"/>
  <c r="H64" i="27"/>
  <c r="H64" i="24"/>
  <c r="H65" i="25"/>
  <c r="H64" i="20"/>
  <c r="O25" i="31"/>
  <c r="E49" i="26"/>
  <c r="L39" i="34"/>
  <c r="K39" i="34"/>
  <c r="J39" i="34"/>
  <c r="F49" i="26" l="1"/>
  <c r="E64" i="26"/>
  <c r="E64" i="21"/>
  <c r="D42" i="21" l="1"/>
  <c r="F42" i="21" s="1"/>
  <c r="I42" i="21" l="1"/>
  <c r="C42" i="21"/>
  <c r="B42" i="21"/>
  <c r="D49" i="21"/>
  <c r="I49" i="21" s="1"/>
  <c r="F49" i="21" l="1"/>
  <c r="B49" i="21"/>
  <c r="C49" i="21"/>
  <c r="D56" i="21"/>
  <c r="I56" i="21" s="1"/>
  <c r="C56" i="21" l="1"/>
  <c r="F56" i="21"/>
  <c r="B56" i="21"/>
  <c r="D58" i="21"/>
  <c r="F58" i="21" s="1"/>
  <c r="B58" i="21" l="1"/>
  <c r="C58" i="21"/>
  <c r="B25" i="31"/>
  <c r="D60" i="21"/>
  <c r="B60" i="21" l="1"/>
  <c r="F60" i="21"/>
  <c r="D64" i="21"/>
  <c r="C60" i="21"/>
  <c r="D42" i="22"/>
  <c r="I49" i="22" l="1"/>
  <c r="C49" i="22"/>
  <c r="F49" i="22"/>
  <c r="D64" i="22"/>
  <c r="B49" i="22"/>
  <c r="I42" i="22"/>
  <c r="C42" i="22"/>
  <c r="F42" i="22"/>
  <c r="B42" i="22"/>
  <c r="D59" i="23"/>
  <c r="B59" i="23" s="1"/>
  <c r="B60" i="23" s="1"/>
  <c r="F21" i="31"/>
  <c r="D60" i="23" s="1"/>
  <c r="I60" i="23" s="1"/>
  <c r="C59" i="23" l="1"/>
  <c r="C60" i="23" s="1"/>
  <c r="F59" i="23"/>
  <c r="I59" i="23"/>
  <c r="D42" i="23"/>
  <c r="C42" i="23" s="1"/>
  <c r="F42" i="23" l="1"/>
  <c r="I42" i="23"/>
  <c r="B42" i="23"/>
  <c r="D47" i="23"/>
  <c r="B47" i="23" s="1"/>
  <c r="D45" i="23"/>
  <c r="B45" i="23" s="1"/>
  <c r="D44" i="23"/>
  <c r="F44" i="23" s="1"/>
  <c r="D48" i="23"/>
  <c r="F48" i="23" s="1"/>
  <c r="D46" i="23"/>
  <c r="I46" i="23" s="1"/>
  <c r="D43" i="23"/>
  <c r="C43" i="23" s="1"/>
  <c r="F10" i="31"/>
  <c r="D49" i="23" s="1"/>
  <c r="I45" i="23" l="1"/>
  <c r="C44" i="23"/>
  <c r="B43" i="23"/>
  <c r="C46" i="23"/>
  <c r="I48" i="23"/>
  <c r="I44" i="23"/>
  <c r="F45" i="23"/>
  <c r="B46" i="23"/>
  <c r="C48" i="23"/>
  <c r="F46" i="23"/>
  <c r="B48" i="23"/>
  <c r="B44" i="23"/>
  <c r="I49" i="23"/>
  <c r="B49" i="23"/>
  <c r="F49" i="23"/>
  <c r="C49" i="23"/>
  <c r="I47" i="23"/>
  <c r="C45" i="23"/>
  <c r="F47" i="23"/>
  <c r="F43" i="23"/>
  <c r="I43" i="23"/>
  <c r="C47" i="23"/>
  <c r="D53" i="23"/>
  <c r="C53" i="23" s="1"/>
  <c r="D55" i="23"/>
  <c r="C55" i="23" s="1"/>
  <c r="F17" i="31"/>
  <c r="D56" i="23"/>
  <c r="C56" i="23" s="1"/>
  <c r="D51" i="23"/>
  <c r="B51" i="23" s="1"/>
  <c r="D52" i="23"/>
  <c r="B52" i="23" s="1"/>
  <c r="D54" i="23"/>
  <c r="B54" i="23" s="1"/>
  <c r="D50" i="23"/>
  <c r="C50" i="23" s="1"/>
  <c r="I52" i="23" l="1"/>
  <c r="F52" i="23"/>
  <c r="F54" i="23"/>
  <c r="C54" i="23"/>
  <c r="C52" i="23"/>
  <c r="B55" i="23"/>
  <c r="C51" i="23"/>
  <c r="I55" i="23"/>
  <c r="F50" i="23"/>
  <c r="I50" i="23"/>
  <c r="I54" i="23"/>
  <c r="B56" i="23"/>
  <c r="I56" i="23"/>
  <c r="B53" i="23"/>
  <c r="I53" i="23"/>
  <c r="F56" i="23"/>
  <c r="I51" i="23"/>
  <c r="F53" i="23"/>
  <c r="B50" i="23"/>
  <c r="F51" i="23"/>
  <c r="F55" i="23"/>
  <c r="D58" i="23"/>
  <c r="I58" i="23" s="1"/>
  <c r="F19" i="31"/>
  <c r="D57" i="23"/>
  <c r="F57" i="23" s="1"/>
  <c r="I57" i="23" l="1"/>
  <c r="C57" i="23"/>
  <c r="C58" i="23" s="1"/>
  <c r="B57" i="23"/>
  <c r="B58" i="23" s="1"/>
  <c r="D62" i="23"/>
  <c r="F62" i="23" s="1"/>
  <c r="F24" i="31"/>
  <c r="D63" i="23" s="1"/>
  <c r="F25" i="31"/>
  <c r="D61" i="23"/>
  <c r="C61" i="23" s="1"/>
  <c r="C62" i="23" l="1"/>
  <c r="I62" i="23"/>
  <c r="C63" i="23"/>
  <c r="F63" i="23"/>
  <c r="D64" i="23"/>
  <c r="B61" i="23"/>
  <c r="B63" i="23" s="1"/>
  <c r="F61" i="23"/>
  <c r="I61" i="23"/>
  <c r="B62" i="23"/>
  <c r="AX4" i="36" l="1"/>
  <c r="AZ4" i="36" s="1"/>
  <c r="O4" i="36" l="1"/>
  <c r="K4" i="36"/>
  <c r="S4" i="36"/>
  <c r="G4" i="36"/>
  <c r="K67" i="36"/>
  <c r="G49" i="36"/>
  <c r="S67" i="36" l="1"/>
  <c r="S49" i="36"/>
  <c r="T4" i="36"/>
  <c r="O49" i="36"/>
  <c r="P4" i="36"/>
  <c r="O67" i="36"/>
  <c r="K49" i="36"/>
  <c r="L4" i="36"/>
  <c r="H4" i="36"/>
  <c r="I4" i="36" s="1"/>
  <c r="G67" i="36"/>
  <c r="H45" i="36" l="1"/>
  <c r="Q4" i="36"/>
  <c r="P49" i="36"/>
  <c r="P61" i="36" s="1"/>
  <c r="H49" i="36"/>
  <c r="H61" i="36" s="1"/>
  <c r="U4" i="36"/>
  <c r="T49" i="36"/>
  <c r="T61" i="36" s="1"/>
  <c r="L49" i="36"/>
  <c r="L61" i="36" s="1"/>
  <c r="M4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1C8F3-FFA8-45F7-961A-FB1EDE6EA792}" keepAlive="1" name="Query - https://www feanalytics com/Table aspx?SavedResultsID=a1ead056-7d98-eb11-9142-00" description="Connection to the 'https://www feanalytics com/Table aspx?SavedResultsID=a1ead056-7d98-eb11-9142-00' query in the workbook." type="5" refreshedVersion="6" background="1" saveData="1">
    <dbPr connection="Provider=Microsoft.Mashup.OleDb.1;Data Source=$Workbook$;Location=&quot;https://www feanalytics com/Table aspx?SavedResultsID=a1ead056-7d98-eb11-9142-00&quot;;Extended Properties=&quot;&quot;" command="SELECT * FROM [https://www feanalytics com/Table aspx?SavedResultsID=a1ead056-7d98-eb11-9142-00]"/>
  </connection>
</connections>
</file>

<file path=xl/sharedStrings.xml><?xml version="1.0" encoding="utf-8"?>
<sst xmlns="http://schemas.openxmlformats.org/spreadsheetml/2006/main" count="23601" uniqueCount="9592">
  <si>
    <t>Date</t>
  </si>
  <si>
    <t>Defender (DT3)</t>
  </si>
  <si>
    <t>Date:</t>
  </si>
  <si>
    <t>ISIN Code</t>
  </si>
  <si>
    <t>Fund Name</t>
  </si>
  <si>
    <t>Sector</t>
  </si>
  <si>
    <t>Old Split</t>
  </si>
  <si>
    <t>New Split</t>
  </si>
  <si>
    <t>Change</t>
  </si>
  <si>
    <t>Old OCF</t>
  </si>
  <si>
    <t>New OCF</t>
  </si>
  <si>
    <t>Cash</t>
  </si>
  <si>
    <t>GB00BJXPPK95</t>
  </si>
  <si>
    <t>GB00B772RM82</t>
  </si>
  <si>
    <t>GB00BDCG0G22</t>
  </si>
  <si>
    <t>GB00BKGR3H21</t>
  </si>
  <si>
    <t>GB00BKLJX955</t>
  </si>
  <si>
    <t>IE00B9M1BB17</t>
  </si>
  <si>
    <t>GB00B568S201</t>
  </si>
  <si>
    <t>GB00BD6PG563</t>
  </si>
  <si>
    <t>IE00BYVJRH94</t>
  </si>
  <si>
    <t>GB00B410CR74</t>
  </si>
  <si>
    <t>GB00B7T0G907</t>
  </si>
  <si>
    <t>GB00BMH6XK58</t>
  </si>
  <si>
    <t>GB00B2PLJJ36</t>
  </si>
  <si>
    <t>GB00B7DRD638</t>
  </si>
  <si>
    <t>Minimum Allocation</t>
  </si>
  <si>
    <t>Maximum Allocation</t>
  </si>
  <si>
    <t>Neutral Allocation</t>
  </si>
  <si>
    <t>Actual Allocation</t>
  </si>
  <si>
    <t>Difference</t>
  </si>
  <si>
    <t>Proposed allocation</t>
  </si>
  <si>
    <t>UK Equities</t>
  </si>
  <si>
    <t>USA Equities</t>
  </si>
  <si>
    <t>European Equities</t>
  </si>
  <si>
    <t>Asia Pacific</t>
  </si>
  <si>
    <t>Emerging Markets</t>
  </si>
  <si>
    <t>Japanese Equities</t>
  </si>
  <si>
    <t>Other Equities</t>
  </si>
  <si>
    <t>Overall Equity</t>
  </si>
  <si>
    <t>Gilts</t>
  </si>
  <si>
    <t>Investment Grade</t>
  </si>
  <si>
    <t>High Yield</t>
  </si>
  <si>
    <t>Index Linked</t>
  </si>
  <si>
    <t>Global Bonds</t>
  </si>
  <si>
    <t>Other Bonds</t>
  </si>
  <si>
    <t>Overall Bonds</t>
  </si>
  <si>
    <t>Specialist</t>
  </si>
  <si>
    <t>Absolute Return</t>
  </si>
  <si>
    <t>Property</t>
  </si>
  <si>
    <t>Notes</t>
  </si>
  <si>
    <t>Prudence (DT4)</t>
  </si>
  <si>
    <t>GB0033874768</t>
  </si>
  <si>
    <t>IE00B3DJ5K90</t>
  </si>
  <si>
    <t>GB00B4VY9893</t>
  </si>
  <si>
    <t>GB00B1W0GF10</t>
  </si>
  <si>
    <t>GB0006011133</t>
  </si>
  <si>
    <t>Navigator (DT5)</t>
  </si>
  <si>
    <t>GB00B6Y7NF43</t>
  </si>
  <si>
    <t>GB00B8B02G41</t>
  </si>
  <si>
    <t>GB00B5B71Q71</t>
  </si>
  <si>
    <t>Meridian (DT6)</t>
  </si>
  <si>
    <t>GB00BMMV5766</t>
  </si>
  <si>
    <t>Explorer (DT7)</t>
  </si>
  <si>
    <t>GB00B5BJ7M17</t>
  </si>
  <si>
    <t>GB0007646747</t>
  </si>
  <si>
    <t>GB00B5M5KY18</t>
  </si>
  <si>
    <t>GB00B7L34154</t>
  </si>
  <si>
    <t>GB00B9Z1HQ52</t>
  </si>
  <si>
    <t>GB00BQ1JYV63</t>
  </si>
  <si>
    <t>Voyager (DT8)</t>
  </si>
  <si>
    <t>GB00B0XWNG99</t>
  </si>
  <si>
    <t>Adventurer (DT9)</t>
  </si>
  <si>
    <t>GB00B8BYHK55</t>
  </si>
  <si>
    <t>Pioneer (DT10)</t>
  </si>
  <si>
    <t>All Portfolios - Old Position</t>
  </si>
  <si>
    <t>Date of inclusion</t>
  </si>
  <si>
    <t>Defender</t>
  </si>
  <si>
    <t>Prudence</t>
  </si>
  <si>
    <t>Navigator</t>
  </si>
  <si>
    <t>Meridian</t>
  </si>
  <si>
    <t>Explorer</t>
  </si>
  <si>
    <t>Voyager</t>
  </si>
  <si>
    <t>Adventurer</t>
  </si>
  <si>
    <t>Pioneer</t>
  </si>
  <si>
    <t>GB00B39R2Q25</t>
  </si>
  <si>
    <t>GB00B0117C28</t>
  </si>
  <si>
    <t>All Portfolios - New Position</t>
  </si>
  <si>
    <t>OCF</t>
  </si>
  <si>
    <t>OCF Date</t>
  </si>
  <si>
    <t>GB00B2PB2507</t>
  </si>
  <si>
    <t>7IM AAP Adventurous A Acc in GB</t>
  </si>
  <si>
    <t>UT Flexible Investment</t>
  </si>
  <si>
    <t>1.17</t>
  </si>
  <si>
    <t>31/05/2020</t>
  </si>
  <si>
    <t>GB00B2PB2382</t>
  </si>
  <si>
    <t>7IM AAP Adventurous A Inc TR in GB</t>
  </si>
  <si>
    <t>GB00B2PB2C75</t>
  </si>
  <si>
    <t>7IM AAP Adventurous C Acc in GB</t>
  </si>
  <si>
    <t>0.67</t>
  </si>
  <si>
    <t>GB00B2PB2B68</t>
  </si>
  <si>
    <t>7IM AAP Adventurous C Inc TR in GB</t>
  </si>
  <si>
    <t>GB00B2PB2R29</t>
  </si>
  <si>
    <t>7IM AAP Balanced A Acc in GB</t>
  </si>
  <si>
    <t>UT Mixed Investment 20-60% Shares</t>
  </si>
  <si>
    <t>1.16</t>
  </si>
  <si>
    <t>GB00B2PB2N80</t>
  </si>
  <si>
    <t>7IM AAP Balanced A Inc TR in GB</t>
  </si>
  <si>
    <t>GB00B2PB3794</t>
  </si>
  <si>
    <t>7IM AAP Balanced C Acc in GB</t>
  </si>
  <si>
    <t>0.66</t>
  </si>
  <si>
    <t>GB00B2PB2V64</t>
  </si>
  <si>
    <t>7IM AAP Balanced C Inc TR in GB</t>
  </si>
  <si>
    <t>GB00B39L9C92</t>
  </si>
  <si>
    <t>7IM AAP Balanced D Acc in GB</t>
  </si>
  <si>
    <t>1.56</t>
  </si>
  <si>
    <t>GB00B39L9J61</t>
  </si>
  <si>
    <t>7IM AAP Balanced D Inc TR in GB</t>
  </si>
  <si>
    <t>GB0033953729</t>
  </si>
  <si>
    <t>7IM AAP Income A Acc in GB</t>
  </si>
  <si>
    <t>UT Mixed Investment 0-35% Shares</t>
  </si>
  <si>
    <t>1.93</t>
  </si>
  <si>
    <t>GB0033953612</t>
  </si>
  <si>
    <t>7IM AAP Income A Inc TR in GB</t>
  </si>
  <si>
    <t>GB0033954024</t>
  </si>
  <si>
    <t>7IM AAP Income C Acc in GB</t>
  </si>
  <si>
    <t>0.93</t>
  </si>
  <si>
    <t>GB0033953943</t>
  </si>
  <si>
    <t>7IM AAP Income C Inc TR in GB</t>
  </si>
  <si>
    <t>GB00B2PB2J45</t>
  </si>
  <si>
    <t>7IM AAP Moderately Adventurous A Acc in GB</t>
  </si>
  <si>
    <t>UT Mixed Investment 40-85% Shares</t>
  </si>
  <si>
    <t>GB00B2PB2F07</t>
  </si>
  <si>
    <t>7IM AAP Moderately Adventurous A Inc TR in GB</t>
  </si>
  <si>
    <t>GB00B2PB2M73</t>
  </si>
  <si>
    <t>7IM AAP Moderately Adventurous C Acc in GB</t>
  </si>
  <si>
    <t>GB00B2PB2K59</t>
  </si>
  <si>
    <t>7IM AAP Moderately Adventurous C Inc TR in GB</t>
  </si>
  <si>
    <t>GB00B2PB1X14</t>
  </si>
  <si>
    <t>7IM AAP Moderately Cautious A Acc in GB</t>
  </si>
  <si>
    <t>1.19</t>
  </si>
  <si>
    <t>GB00B2PB1T77</t>
  </si>
  <si>
    <t>7IM AAP Moderately Cautious A Inc TR in GB</t>
  </si>
  <si>
    <t>GB00B2PB2168</t>
  </si>
  <si>
    <t>7IM AAP Moderately Cautious C Acc in GB</t>
  </si>
  <si>
    <t>0.69</t>
  </si>
  <si>
    <t>GB00B2PB2051</t>
  </si>
  <si>
    <t>7IM AAP Moderately Cautious C Inc TR in GB</t>
  </si>
  <si>
    <t>GB00B39LMP35</t>
  </si>
  <si>
    <t>7IM AAP Moderately Cautious D Acc in GB</t>
  </si>
  <si>
    <t>1.59</t>
  </si>
  <si>
    <t>GB0033957142</t>
  </si>
  <si>
    <t>7IM Adventurous A Acc in GB</t>
  </si>
  <si>
    <t>1.98</t>
  </si>
  <si>
    <t>GB0033958009</t>
  </si>
  <si>
    <t>7IM Adventurous C Acc in GB</t>
  </si>
  <si>
    <t>1.48</t>
  </si>
  <si>
    <t>GB0033957704</t>
  </si>
  <si>
    <t>7IM Adventurous C Inc TR in GB</t>
  </si>
  <si>
    <t>GB00B0438440</t>
  </si>
  <si>
    <t>7IM Adventurous D Acc in GB</t>
  </si>
  <si>
    <t>GB0033958884</t>
  </si>
  <si>
    <t>7IM Balanced A Acc in GB</t>
  </si>
  <si>
    <t>1.91</t>
  </si>
  <si>
    <t>GB0033959742</t>
  </si>
  <si>
    <t>7IM Balanced C Acc in GB</t>
  </si>
  <si>
    <t>1.41</t>
  </si>
  <si>
    <t>GB0033959296</t>
  </si>
  <si>
    <t>7IM Balanced C Inc TR in GB</t>
  </si>
  <si>
    <t>GB00BVYPGT82</t>
  </si>
  <si>
    <t>7IM Cautious C Acc in GB</t>
  </si>
  <si>
    <t>0.92</t>
  </si>
  <si>
    <t>GB00BVYPGS75</t>
  </si>
  <si>
    <t>7IM Cautious C Inc TR in GB</t>
  </si>
  <si>
    <t>GB0033955435</t>
  </si>
  <si>
    <t>7IM Moderately Adventurous A Acc in GB</t>
  </si>
  <si>
    <t>GB0033955328</t>
  </si>
  <si>
    <t>7IM Moderately Adventurous A Inc TR in GB</t>
  </si>
  <si>
    <t>GB0033956516</t>
  </si>
  <si>
    <t>7IM Moderately Adventurous C Acc in GB</t>
  </si>
  <si>
    <t>1.43</t>
  </si>
  <si>
    <t>GB0033956391</t>
  </si>
  <si>
    <t>7IM Moderately Adventurous C Inc TR in GB</t>
  </si>
  <si>
    <t>GB0033952978</t>
  </si>
  <si>
    <t>7IM Moderately Cautious A Acc in GB</t>
  </si>
  <si>
    <t>GB0033952648</t>
  </si>
  <si>
    <t>7IM Moderately Cautious A Inc TR in GB</t>
  </si>
  <si>
    <t>GB0033953497</t>
  </si>
  <si>
    <t>7IM Moderately Cautious C Acc in GB</t>
  </si>
  <si>
    <t>GB0033953273</t>
  </si>
  <si>
    <t>7IM Moderately Cautious C Inc TR in GB</t>
  </si>
  <si>
    <t>GB00B570T445</t>
  </si>
  <si>
    <t>7IM Personal Injury C Acc in GB</t>
  </si>
  <si>
    <t>0.71</t>
  </si>
  <si>
    <t>30/11/2020</t>
  </si>
  <si>
    <t>GB00B55W5449</t>
  </si>
  <si>
    <t>7IM Personal Injury C Inc TR in GB</t>
  </si>
  <si>
    <t>GB00B75MS619</t>
  </si>
  <si>
    <t>7IM Real Return C Acc in GB</t>
  </si>
  <si>
    <t>UT Targeted Absolute Return</t>
  </si>
  <si>
    <t>1.02</t>
  </si>
  <si>
    <t>GB00B1LBFW55</t>
  </si>
  <si>
    <t>7IM Sustainable Balance A Acc in GB</t>
  </si>
  <si>
    <t>GB00B1LBFV49</t>
  </si>
  <si>
    <t>7IM Sustainable Balance A Inc TR in GB</t>
  </si>
  <si>
    <t>GB00B1LBFZ86</t>
  </si>
  <si>
    <t>7IM Sustainable Balance C Acc in GB</t>
  </si>
  <si>
    <t>1.27</t>
  </si>
  <si>
    <t>GB00B1LBG003</t>
  </si>
  <si>
    <t>7IM Sustainable Balance C Inc TR in GB</t>
  </si>
  <si>
    <t>GB00BD9X6D51</t>
  </si>
  <si>
    <t>Aberdeen LF ASI Income Focus C Acc GBP in GB</t>
  </si>
  <si>
    <t>UT UK Equity Income</t>
  </si>
  <si>
    <t>0.75</t>
  </si>
  <si>
    <t>30/06/2019</t>
  </si>
  <si>
    <t>GB00BD9X6V34</t>
  </si>
  <si>
    <t>Aberdeen LF ASI Income Focus C Inc GBP TR in GB</t>
  </si>
  <si>
    <t>GB00BNY7ZG88</t>
  </si>
  <si>
    <t>Aberdeen Standard Capital Falcon M Acc in GB</t>
  </si>
  <si>
    <t>UT Global</t>
  </si>
  <si>
    <t>0.68</t>
  </si>
  <si>
    <t>18/02/2021</t>
  </si>
  <si>
    <t>UT UK Direct Property</t>
  </si>
  <si>
    <t>1.35</t>
  </si>
  <si>
    <t>0.90</t>
  </si>
  <si>
    <t>GB0000072727</t>
  </si>
  <si>
    <t>Aberforth UK Small Companies in GB</t>
  </si>
  <si>
    <t>UT UK Smaller Companies</t>
  </si>
  <si>
    <t/>
  </si>
  <si>
    <t>GB00B2N9GS70</t>
  </si>
  <si>
    <t>Aberforth UK Small Companies Inc TR in GB**</t>
  </si>
  <si>
    <t>GB00BJFLQY60</t>
  </si>
  <si>
    <t>Aegon Diversified Monthly Income B Acc in GB</t>
  </si>
  <si>
    <t>0.58</t>
  </si>
  <si>
    <t>31/12/2020</t>
  </si>
  <si>
    <t>GB00BJFLR106</t>
  </si>
  <si>
    <t>Aegon Diversified Monthly Income B Inc TR in GB</t>
  </si>
  <si>
    <t>1.28</t>
  </si>
  <si>
    <t>1.29</t>
  </si>
  <si>
    <t>GB00B7V2CD05</t>
  </si>
  <si>
    <t>Aegon Ethical Cautious Managed B Acc in GB</t>
  </si>
  <si>
    <t>0.78</t>
  </si>
  <si>
    <t>GB00B7TCPG66</t>
  </si>
  <si>
    <t>Aegon Ethical Cautious Managed B Inc TR in GB**</t>
  </si>
  <si>
    <t>UT Sterling Corporate Bond</t>
  </si>
  <si>
    <t>1.03</t>
  </si>
  <si>
    <t>GB00B018K352</t>
  </si>
  <si>
    <t>Aegon Ethical Corporate Bond B Acc in GB</t>
  </si>
  <si>
    <t>0.48</t>
  </si>
  <si>
    <t>GB00B0C4RP31</t>
  </si>
  <si>
    <t>Aegon Ethical Corporate Bond B Inc TR in GB**</t>
  </si>
  <si>
    <t>UT UK All Companies</t>
  </si>
  <si>
    <t>1.53</t>
  </si>
  <si>
    <t>GB0007450884</t>
  </si>
  <si>
    <t>0.77</t>
  </si>
  <si>
    <t>GB00B8FZHY88</t>
  </si>
  <si>
    <t>Aegon Ethical Equity B Inc TR in GB**</t>
  </si>
  <si>
    <t>GB0007274516</t>
  </si>
  <si>
    <t>0.81</t>
  </si>
  <si>
    <t>GB00B625LX43</t>
  </si>
  <si>
    <t>0.53</t>
  </si>
  <si>
    <t>UT Sterling High Yield</t>
  </si>
  <si>
    <t>1.30</t>
  </si>
  <si>
    <t>1.31</t>
  </si>
  <si>
    <t>GB0031425563</t>
  </si>
  <si>
    <t>Aegon High Yield Bond B Acc in GB</t>
  </si>
  <si>
    <t>0.60</t>
  </si>
  <si>
    <t>GB00B1N9DY51</t>
  </si>
  <si>
    <t>Aegon High Yield Bond B Inc TR in GB**</t>
  </si>
  <si>
    <t>GB00B141C763</t>
  </si>
  <si>
    <t>Aegon Investment Grade Bond B Acc in GB</t>
  </si>
  <si>
    <t>GB00B142F707</t>
  </si>
  <si>
    <t>Aegon Investment Grade Bond B Inc TR in GB</t>
  </si>
  <si>
    <t>GB00BF0W2M61</t>
  </si>
  <si>
    <t>Aegon Investment Grade Bond S Acc GBP in GB**</t>
  </si>
  <si>
    <t>0.43</t>
  </si>
  <si>
    <t>GB00BF0W2N78</t>
  </si>
  <si>
    <t>Aegon Investment Grade Bond S Inc GBP TR in GB**</t>
  </si>
  <si>
    <t>GB00BK6MJG80</t>
  </si>
  <si>
    <t>Aegon Property Income Feeder Acc B in GB</t>
  </si>
  <si>
    <t>GB00BK6MJH97</t>
  </si>
  <si>
    <t>Aegon Property Income Feeder B Inc TR in GB</t>
  </si>
  <si>
    <t>1.05</t>
  </si>
  <si>
    <t>GB0007451635</t>
  </si>
  <si>
    <t>0.40</t>
  </si>
  <si>
    <t>GB0031599870</t>
  </si>
  <si>
    <t>Aegon Sterling Corporate Bond B Inc TR in GB**</t>
  </si>
  <si>
    <t>UT Sterling Strategic Bond</t>
  </si>
  <si>
    <t>GB00B3ZLQW29</t>
  </si>
  <si>
    <t>Aegon Strategic Bond B Acc in GB</t>
  </si>
  <si>
    <t>0.59</t>
  </si>
  <si>
    <t>GB00B00MY367</t>
  </si>
  <si>
    <t>Aegon Strategic Bond B Inc TR in GB**</t>
  </si>
  <si>
    <t>GB00BFY6P813</t>
  </si>
  <si>
    <t>Aegon Strategic Bond S Acc in GB**</t>
  </si>
  <si>
    <t>0.49</t>
  </si>
  <si>
    <t>1.64</t>
  </si>
  <si>
    <t>GB00B4XS8040</t>
  </si>
  <si>
    <t>Aegon UK Equity Absolute Return B Acc in GB</t>
  </si>
  <si>
    <t>0.89</t>
  </si>
  <si>
    <t>GB0007451411</t>
  </si>
  <si>
    <t>0.65</t>
  </si>
  <si>
    <t>GB0030522683</t>
  </si>
  <si>
    <t>Aegon UK Equity B Inc GBP TR in GB**</t>
  </si>
  <si>
    <t>GB00B4ZMYG27</t>
  </si>
  <si>
    <t>Aegon UK Equity Income B Inc TR in GB</t>
  </si>
  <si>
    <t>1.54</t>
  </si>
  <si>
    <t>GB00B1N9DS91</t>
  </si>
  <si>
    <t>Aegon UK Opportunities B Acc in GB</t>
  </si>
  <si>
    <t>0.79</t>
  </si>
  <si>
    <t>GB00B142FS18</t>
  </si>
  <si>
    <t>Aegon UK Smaller Companies B Acc in GB</t>
  </si>
  <si>
    <t>GB00BYQ91X80</t>
  </si>
  <si>
    <t>Allianz Best Styles Global AC Equity C Acc in GB</t>
  </si>
  <si>
    <t>0.30</t>
  </si>
  <si>
    <t>30/04/2020</t>
  </si>
  <si>
    <t>GB00BMG9ZZ41</t>
  </si>
  <si>
    <t>Allianz China A-Shares Equity W Acc GBP in GB</t>
  </si>
  <si>
    <t>UT China/Greater China</t>
  </si>
  <si>
    <t>16/07/2020</t>
  </si>
  <si>
    <t>GB0031382988</t>
  </si>
  <si>
    <t>Allianz Continental European A in GB</t>
  </si>
  <si>
    <t>UT Europe Excluding UK</t>
  </si>
  <si>
    <t>1.57</t>
  </si>
  <si>
    <t>31/08/2020</t>
  </si>
  <si>
    <t>GB00B3Q8YX99</t>
  </si>
  <si>
    <t>Allianz Continental European C in GB</t>
  </si>
  <si>
    <t>GB00BYQ02F07</t>
  </si>
  <si>
    <t>Allianz Continental European S in GB**</t>
  </si>
  <si>
    <t>GB00B0WDH725</t>
  </si>
  <si>
    <t>Allianz Emerging Markets Equity A Acc in GB</t>
  </si>
  <si>
    <t>UT Global Emerging Markets</t>
  </si>
  <si>
    <t>1.83</t>
  </si>
  <si>
    <t>GB00B0WDH832</t>
  </si>
  <si>
    <t>Allianz Emerging Markets Equity C Acc in GB</t>
  </si>
  <si>
    <t>0.96</t>
  </si>
  <si>
    <t>1.84</t>
  </si>
  <si>
    <t>01/02/2020</t>
  </si>
  <si>
    <t>1.37</t>
  </si>
  <si>
    <t>GB00BG43NG36</t>
  </si>
  <si>
    <t>Allianz Fixed Income Macro E Acc GBP in GB</t>
  </si>
  <si>
    <t>0.35</t>
  </si>
  <si>
    <t>23/07/2020</t>
  </si>
  <si>
    <t>GB0031383390</t>
  </si>
  <si>
    <t>Allianz Gilt Yield I Inc TR in GB</t>
  </si>
  <si>
    <t>UT UK Gilts</t>
  </si>
  <si>
    <t>0.32</t>
  </si>
  <si>
    <t>GB00BDD4M929</t>
  </si>
  <si>
    <t>Allianz Index-Linked Gilt E Inc TR in GB</t>
  </si>
  <si>
    <t>UT UK Index Linked Gilts</t>
  </si>
  <si>
    <t>0.20</t>
  </si>
  <si>
    <t>GB00BDD4M697</t>
  </si>
  <si>
    <t>Allianz Index-Linked Gilt W Acc in GB</t>
  </si>
  <si>
    <t>GB00BDD4M705</t>
  </si>
  <si>
    <t>Allianz Index-Linked Gilt W Inc TR in GB</t>
  </si>
  <si>
    <t>GB00B7V78Q03</t>
  </si>
  <si>
    <t>Allianz RiskMaster Conservative Multi Asset C in GB</t>
  </si>
  <si>
    <t>UT Volatility Managed</t>
  </si>
  <si>
    <t>0.99</t>
  </si>
  <si>
    <t>GB00B7V79R84</t>
  </si>
  <si>
    <t>Allianz RiskMaster Growth Multi Asset C in GB</t>
  </si>
  <si>
    <t>GB00B7V78Y86</t>
  </si>
  <si>
    <t>Allianz RiskMaster Moderate Multi Asset C in GB</t>
  </si>
  <si>
    <t>0.98</t>
  </si>
  <si>
    <t>GB0031383408</t>
  </si>
  <si>
    <t>Allianz Strategic Bond A TR in GB</t>
  </si>
  <si>
    <t>GB00B06T9362</t>
  </si>
  <si>
    <t>Allianz Strategic Bond C TR in GB</t>
  </si>
  <si>
    <t>0.63</t>
  </si>
  <si>
    <t>GB00BJ1DZT42</t>
  </si>
  <si>
    <t>Allianz Strategic Bond I Acc TR in GB**</t>
  </si>
  <si>
    <t>0.42</t>
  </si>
  <si>
    <t>GB00BYT2QW81</t>
  </si>
  <si>
    <t>Allianz Strategic Bond I Inc TR in GB**</t>
  </si>
  <si>
    <t>GB0031384257</t>
  </si>
  <si>
    <t>Allianz Total Return Asian Equity A in GB</t>
  </si>
  <si>
    <t>UT Asia Pacific Excluding Japan</t>
  </si>
  <si>
    <t>1.73</t>
  </si>
  <si>
    <t>GB00BVYJ2G95</t>
  </si>
  <si>
    <t>Allianz Total Return Asian Equity C Acc TR in GB**</t>
  </si>
  <si>
    <t>1.06</t>
  </si>
  <si>
    <t>GB00B1FRQV53</t>
  </si>
  <si>
    <t>Allianz Total Return Asian Equity C TR in GB</t>
  </si>
  <si>
    <t>1.01</t>
  </si>
  <si>
    <t>GB0031383952</t>
  </si>
  <si>
    <t>GB00B82ZGC20</t>
  </si>
  <si>
    <t>0.80</t>
  </si>
  <si>
    <t>GB0031383622</t>
  </si>
  <si>
    <t>Allianz UK Mid Cap A in GB</t>
  </si>
  <si>
    <t>1.63</t>
  </si>
  <si>
    <t>GB00B83YTF22</t>
  </si>
  <si>
    <t>Allianz UK Mid Cap C in GB</t>
  </si>
  <si>
    <t>GB0031383515</t>
  </si>
  <si>
    <t>GB00B8BB9445</t>
  </si>
  <si>
    <t>0.84</t>
  </si>
  <si>
    <t>GB00BF13KT15</t>
  </si>
  <si>
    <t>0.54</t>
  </si>
  <si>
    <t>GB00B4N1GS74</t>
  </si>
  <si>
    <t>Allianz US Equity C Acc in GB</t>
  </si>
  <si>
    <t>UT North America</t>
  </si>
  <si>
    <t>0.85</t>
  </si>
  <si>
    <t>GB00BFZ91X66</t>
  </si>
  <si>
    <t>Artemis Corporate Bond F Acc GBP in GB</t>
  </si>
  <si>
    <t>31/07/2020</t>
  </si>
  <si>
    <t>GB00BKPWGW41</t>
  </si>
  <si>
    <t>Artemis Corporate Bond F Inc GBP TR in GB</t>
  </si>
  <si>
    <t>GB00BFZ91W59</t>
  </si>
  <si>
    <t>Artemis Corporate Bond I Acc GBP in GB</t>
  </si>
  <si>
    <t>GB00BKPWGV34</t>
  </si>
  <si>
    <t>Artemis Corporate Bond I Inc GBP TR in GB</t>
  </si>
  <si>
    <t>GB00B6WFCR53</t>
  </si>
  <si>
    <t>Artemis European Opportunities I Acc in GB</t>
  </si>
  <si>
    <t>0.86</t>
  </si>
  <si>
    <t>GB00B6WFCS60</t>
  </si>
  <si>
    <t>Artemis European Opportunities I Hedged Acc in GB</t>
  </si>
  <si>
    <t>GB00B6WFCV99</t>
  </si>
  <si>
    <t>Artemis European Opportunities I Hedged Inc TR in GB</t>
  </si>
  <si>
    <t>GB00B6WFCT77</t>
  </si>
  <si>
    <t>Artemis European Opportunities I Inc TR in GB</t>
  </si>
  <si>
    <t>GB00B5ZX1M70</t>
  </si>
  <si>
    <t>Artemis Global Income I Acc in GB</t>
  </si>
  <si>
    <t>UT Global Equity Income</t>
  </si>
  <si>
    <t>0.83</t>
  </si>
  <si>
    <t>GB00B5N99561</t>
  </si>
  <si>
    <t>Artemis Global Income I Inc TR in GB</t>
  </si>
  <si>
    <t>GB00B5V2MP86</t>
  </si>
  <si>
    <t>Artemis Global Income R Acc in GB</t>
  </si>
  <si>
    <t>1.58</t>
  </si>
  <si>
    <t>GB00B5VLFH80</t>
  </si>
  <si>
    <t>Artemis Global Income R Inc TR in GB</t>
  </si>
  <si>
    <t>Artemis Global Select I Acc in GB</t>
  </si>
  <si>
    <t>GB00B5QKCK29</t>
  </si>
  <si>
    <t>Artemis Global Select R Acc in GB</t>
  </si>
  <si>
    <t>1.65</t>
  </si>
  <si>
    <t>GB00B2PLJN71</t>
  </si>
  <si>
    <t>Artemis High Income I Inc TR in GB</t>
  </si>
  <si>
    <t>0.72</t>
  </si>
  <si>
    <t>GB00BJT0KR04</t>
  </si>
  <si>
    <t>Artemis High Income I Monthly Inc TR in GB</t>
  </si>
  <si>
    <t>GB0006838097</t>
  </si>
  <si>
    <t>Artemis High Income R Inc TR in GB</t>
  </si>
  <si>
    <t>1.34</t>
  </si>
  <si>
    <t>GB00B2PLJH12</t>
  </si>
  <si>
    <t>Artemis Income I Acc TR in GB</t>
  </si>
  <si>
    <t>0.82</t>
  </si>
  <si>
    <t>Artemis Income I Inc TR in GB</t>
  </si>
  <si>
    <t>GB0032567926</t>
  </si>
  <si>
    <t>Artemis Income R Acc in GB</t>
  </si>
  <si>
    <t>GB0006572464</t>
  </si>
  <si>
    <t>Artemis Income R Inc TR in GB</t>
  </si>
  <si>
    <t>GB00B75F9Z67</t>
  </si>
  <si>
    <t>Artemis Monthly Distribution I Acc in GB</t>
  </si>
  <si>
    <t>GB00B6TK3R06</t>
  </si>
  <si>
    <t>Artemis Monthly Distribution I Inc TR in GB</t>
  </si>
  <si>
    <t>GB00B2PLJD73</t>
  </si>
  <si>
    <t>Artemis SmartGARP European Equity I Acc in GB</t>
  </si>
  <si>
    <t>0.87</t>
  </si>
  <si>
    <t>GB0006600844</t>
  </si>
  <si>
    <t>Artemis SmartGARP European Equity R Acc in GB</t>
  </si>
  <si>
    <t>1.62</t>
  </si>
  <si>
    <t>GB00BW9HL132</t>
  </si>
  <si>
    <t>Artemis SmartGARP Global Emerging Markets Equity I Acc GBP in GB</t>
  </si>
  <si>
    <t>0.94</t>
  </si>
  <si>
    <t>GB00BW9HL249</t>
  </si>
  <si>
    <t>Artemis SmartGARP Global Emerging Markets Equity I Inc GBP TR in GB</t>
  </si>
  <si>
    <t>GB00B2PLJP95</t>
  </si>
  <si>
    <t>Artemis SmartGARP Global Equity I Acc in GB</t>
  </si>
  <si>
    <t>GB0006795743</t>
  </si>
  <si>
    <t>Artemis SmartGARP Global Equity R Acc in GB</t>
  </si>
  <si>
    <t>GB00B2PLJM64</t>
  </si>
  <si>
    <t>Artemis SmartGARP UK Equity I Acc in GB</t>
  </si>
  <si>
    <t>GB0006795529</t>
  </si>
  <si>
    <t>Artemis SmartGARP UK Equity R Acc in GB</t>
  </si>
  <si>
    <t>1.61</t>
  </si>
  <si>
    <t>GB00B3VDD431</t>
  </si>
  <si>
    <t>Artemis Strategic Assets I Acc in GB</t>
  </si>
  <si>
    <t>GB00B3VDDQ59</t>
  </si>
  <si>
    <t>Artemis Strategic Assets R Acc in GB</t>
  </si>
  <si>
    <t>GB00BJT0KV40</t>
  </si>
  <si>
    <t>Artemis Strategic Bond I Monthly Acc in GB</t>
  </si>
  <si>
    <t>0.57</t>
  </si>
  <si>
    <t>GB00B2PLJS27</t>
  </si>
  <si>
    <t>Artemis Strategic Bond I Monthly Inc TR in GB</t>
  </si>
  <si>
    <t>GB00B2PLJR10</t>
  </si>
  <si>
    <t>Artemis Strategic Bond I Quarterly Acc in GB</t>
  </si>
  <si>
    <t>GB00BJT0KT28</t>
  </si>
  <si>
    <t>Artemis Strategic Bond I Quarterly Inc TR in GB</t>
  </si>
  <si>
    <t>GB00B09DML43</t>
  </si>
  <si>
    <t>Artemis Strategic Bond R Monthly Acc in GB</t>
  </si>
  <si>
    <t>1.07</t>
  </si>
  <si>
    <t>GB00B09DMM59</t>
  </si>
  <si>
    <t>Artemis Strategic Bond R Monthly Inc TR in GB</t>
  </si>
  <si>
    <t>GB00B09DMJ21</t>
  </si>
  <si>
    <t>Artemis Strategic Bond R Quarterly Acc in GB</t>
  </si>
  <si>
    <t>GB00B09DMK36</t>
  </si>
  <si>
    <t>Artemis Strategic Bond R Quarterly Inc TR in GB</t>
  </si>
  <si>
    <t>GB00B2PLJG05</t>
  </si>
  <si>
    <t>Artemis UK Select I Acc in GB</t>
  </si>
  <si>
    <t>GB0002583267</t>
  </si>
  <si>
    <t>Artemis UK Select R Acc in GB</t>
  </si>
  <si>
    <t>1.69</t>
  </si>
  <si>
    <t>GB00B2PLJL57</t>
  </si>
  <si>
    <t>Artemis UK Smaller Companies I Acc in GB</t>
  </si>
  <si>
    <t>GB0002583598</t>
  </si>
  <si>
    <t>Artemis UK Smaller Companies R Acc in GB</t>
  </si>
  <si>
    <t>GB00B2PLJQ03</t>
  </si>
  <si>
    <t>Artemis UK Special Situations I Acc in GB</t>
  </si>
  <si>
    <t>GB0002192267</t>
  </si>
  <si>
    <t>Artemis UK Special Situations R Acc in GB</t>
  </si>
  <si>
    <t>GB00BMMV5N27</t>
  </si>
  <si>
    <t>Artemis US Absolute Return I Hedged Acc GBP in GB</t>
  </si>
  <si>
    <t>GB00BMMV5G59</t>
  </si>
  <si>
    <t>Artemis US Extended Alpha I Acc GBP in GB</t>
  </si>
  <si>
    <t>GB00BYSZ0151</t>
  </si>
  <si>
    <t>Artemis US Extended Alpha I Hedged Acc GBP in GB</t>
  </si>
  <si>
    <t>GB00BMMV5105</t>
  </si>
  <si>
    <t>Artemis US Select I Acc GBP in GB</t>
  </si>
  <si>
    <t>GB00BYSYZX95</t>
  </si>
  <si>
    <t>Artemis US Select I Hedged Acc GBP in GB</t>
  </si>
  <si>
    <t>GB00BWWZ2D39</t>
  </si>
  <si>
    <t>Artemis US Select I Inc GBP TR in GB**</t>
  </si>
  <si>
    <t>Artemis US Smaller Companies I Acc GBP in GB</t>
  </si>
  <si>
    <t>UT North American Smaller Companies</t>
  </si>
  <si>
    <t>GB00BWK26S93</t>
  </si>
  <si>
    <t>ASI (AAM) Sterling Government Bond I Acc in GB</t>
  </si>
  <si>
    <t>0.50</t>
  </si>
  <si>
    <t>GB00BWK26T01</t>
  </si>
  <si>
    <t>ASI (AAM) Sterling Government Bond I Inc TR in GB</t>
  </si>
  <si>
    <t>GB00B07T4636</t>
  </si>
  <si>
    <t>ASI (AAM) UK Smaller Companies A Acc TR in GB</t>
  </si>
  <si>
    <t>GB00B07T4859</t>
  </si>
  <si>
    <t>ASI (AAM) UK Smaller Companies I Acc TR in GB</t>
  </si>
  <si>
    <t>GB00BYYR0Y84</t>
  </si>
  <si>
    <t>GB00BYYR0Z91</t>
  </si>
  <si>
    <t>GB00B7ZMKJ84</t>
  </si>
  <si>
    <t>0.95</t>
  </si>
  <si>
    <t>GB00B7MWXH01</t>
  </si>
  <si>
    <t>GB00B6W21135</t>
  </si>
  <si>
    <t>GB00B3D8LV94</t>
  </si>
  <si>
    <t>1.10</t>
  </si>
  <si>
    <t>GB00B3D8LS65</t>
  </si>
  <si>
    <t>GB0006161516</t>
  </si>
  <si>
    <t>GB0006573108</t>
  </si>
  <si>
    <t>GB00B3W48X95</t>
  </si>
  <si>
    <t>GB00B4LQY248</t>
  </si>
  <si>
    <t>GB00B0XWN143</t>
  </si>
  <si>
    <t>ASI American Equity A Acc in GB</t>
  </si>
  <si>
    <t>1.32</t>
  </si>
  <si>
    <t>GB00BRJL8192</t>
  </si>
  <si>
    <t>ASI American Equity Enhanced Index B in GB</t>
  </si>
  <si>
    <t>0.23</t>
  </si>
  <si>
    <t>GB00B0XWN259</t>
  </si>
  <si>
    <t>ASI American Equity I Acc in GB</t>
  </si>
  <si>
    <t>GB0004483326</t>
  </si>
  <si>
    <t>GB00B7JCD629</t>
  </si>
  <si>
    <t>GB00B0XWNJ21</t>
  </si>
  <si>
    <t>ASI Asia Pacific &amp; Japan Equity A Acc TR in GB</t>
  </si>
  <si>
    <t>UT Asia Pacific Including Japan</t>
  </si>
  <si>
    <t>GB00B0XWNK36</t>
  </si>
  <si>
    <t>ASI Asia Pacific &amp; Japan Equity I Acc TR in GB</t>
  </si>
  <si>
    <t>1.13</t>
  </si>
  <si>
    <t>GB00B0XWNF82</t>
  </si>
  <si>
    <t>ASI Asia Pacific Equity A Acc TR in GB</t>
  </si>
  <si>
    <t>31/01/2021</t>
  </si>
  <si>
    <t>GB00BRJL7V21</t>
  </si>
  <si>
    <t>ASI Asia Pacific Equity Enhanced Index B Acc in GB</t>
  </si>
  <si>
    <t>0.29</t>
  </si>
  <si>
    <t>ASI Asia Pacific Equity I Acc TR in GB</t>
  </si>
  <si>
    <t>1.18</t>
  </si>
  <si>
    <t>GB00B88N7058</t>
  </si>
  <si>
    <t>ASI Asia Pacific Equity I Inc TR in GB**</t>
  </si>
  <si>
    <t>GB0004483433</t>
  </si>
  <si>
    <t>1.44</t>
  </si>
  <si>
    <t>GB00B7MZSJ60</t>
  </si>
  <si>
    <t>GB00BJR5NM39</t>
  </si>
  <si>
    <t>ASI China A Share Equity I Acc in GB</t>
  </si>
  <si>
    <t>GB00BWK26D41</t>
  </si>
  <si>
    <t>ASI Corporate Bond A Acc in GB</t>
  </si>
  <si>
    <t>31/10/2020</t>
  </si>
  <si>
    <t>GB00BWK26F64</t>
  </si>
  <si>
    <t>ASI Corporate Bond A Inc TR in GB</t>
  </si>
  <si>
    <t>GB00BWK26G71</t>
  </si>
  <si>
    <t>ASI Corporate Bond I Acc in GB</t>
  </si>
  <si>
    <t>0.62</t>
  </si>
  <si>
    <t>GB00BWK26J03</t>
  </si>
  <si>
    <t>ASI Corporate Bond I Gr Acc in GB</t>
  </si>
  <si>
    <t>GB00BWK26H88</t>
  </si>
  <si>
    <t>ASI Corporate Bond I Inc TR in GB</t>
  </si>
  <si>
    <t>0.45</t>
  </si>
  <si>
    <t>GB00B5MNDD51</t>
  </si>
  <si>
    <t>ASI Diversified Growth I Acc in GB**</t>
  </si>
  <si>
    <t>UT Specialist</t>
  </si>
  <si>
    <t>GB00B6VCMV18</t>
  </si>
  <si>
    <t>ASI Diversified Growth I Inc TR in GB**</t>
  </si>
  <si>
    <t>GB00B1BW3K23</t>
  </si>
  <si>
    <t>ASI Diversified Income A Acc in GB</t>
  </si>
  <si>
    <t>1.22</t>
  </si>
  <si>
    <t>GB00B1BW3J18</t>
  </si>
  <si>
    <t>ASI Diversified Income A Inc TR in GB</t>
  </si>
  <si>
    <t>GB00B1C42779</t>
  </si>
  <si>
    <t>ASI Diversified Income I Acc in GB</t>
  </si>
  <si>
    <t>GB00B1C42886</t>
  </si>
  <si>
    <t>ASI Diversified Income I Inc TR in GB**</t>
  </si>
  <si>
    <t>GB00B7CMQ047</t>
  </si>
  <si>
    <t>0.88</t>
  </si>
  <si>
    <t>GB00B7JNXM18</t>
  </si>
  <si>
    <t>GB00B0WS5Y05</t>
  </si>
  <si>
    <t>GB00B0WS6Q95</t>
  </si>
  <si>
    <t>GB00BFNWYG14</t>
  </si>
  <si>
    <t>GB00B3MPT513</t>
  </si>
  <si>
    <t>ASI Eastern European Equity A Acc in GB</t>
  </si>
  <si>
    <t>1.39</t>
  </si>
  <si>
    <t>GB00B3NC3D74</t>
  </si>
  <si>
    <t>ASI Eastern European Equity I Acc in GB**</t>
  </si>
  <si>
    <t>GB00B5BV9P41</t>
  </si>
  <si>
    <t>ASI Emerging Markets Bond A Acc in GB</t>
  </si>
  <si>
    <t>UT Global EM Bonds - Blended</t>
  </si>
  <si>
    <t>1.36</t>
  </si>
  <si>
    <t>GB00B59TZP29</t>
  </si>
  <si>
    <t>ASI Emerging Markets Bond A Inc TR in GB</t>
  </si>
  <si>
    <t>GB00B5L9HN22</t>
  </si>
  <si>
    <t>ASI Emerging Markets Bond I Acc in GB</t>
  </si>
  <si>
    <t>0.91</t>
  </si>
  <si>
    <t>GB00B5V8SG93</t>
  </si>
  <si>
    <t>ASI Emerging Markets Bond I Inc TR in GB**</t>
  </si>
  <si>
    <t>GB0033228197</t>
  </si>
  <si>
    <t>ASI Emerging Markets Equity A Acc TR in GB</t>
  </si>
  <si>
    <t>GB0033309310</t>
  </si>
  <si>
    <t>ASI Emerging Markets Equity Enhanced Index A GBP in GB</t>
  </si>
  <si>
    <t>GB0033309757</t>
  </si>
  <si>
    <t>ASI Emerging Markets Equity Enhanced Index B GBP in GB**</t>
  </si>
  <si>
    <t>GB0033227561</t>
  </si>
  <si>
    <t>ASI Emerging Markets Equity I Acc TR in GB</t>
  </si>
  <si>
    <t>GB00B8N1FM23</t>
  </si>
  <si>
    <t>GB00B0LNNK80</t>
  </si>
  <si>
    <t>0.61</t>
  </si>
  <si>
    <t>GB00B0LNNL97</t>
  </si>
  <si>
    <t>GB00B0LNNH51</t>
  </si>
  <si>
    <t>GB00B0LNNJ75</t>
  </si>
  <si>
    <t>GB00B708KW45</t>
  </si>
  <si>
    <t>GB00B4LQ8T99</t>
  </si>
  <si>
    <t>GB00B0LG6N13</t>
  </si>
  <si>
    <t>ASI Europe ex UK Equity A Acc in GB</t>
  </si>
  <si>
    <t>GB00B0LG6P37</t>
  </si>
  <si>
    <t>ASI Europe ex UK Equity I Acc in GB</t>
  </si>
  <si>
    <t>GB00B1ZB0P99</t>
  </si>
  <si>
    <t>GB00B1ZB0M68</t>
  </si>
  <si>
    <t>GB00B3N24788</t>
  </si>
  <si>
    <t>GB0004483102</t>
  </si>
  <si>
    <t>GB0004483870</t>
  </si>
  <si>
    <t>GB00B72RVY84</t>
  </si>
  <si>
    <t>GB00B3L7SB79</t>
  </si>
  <si>
    <t>GB00B3L7S958</t>
  </si>
  <si>
    <t>GB00B3L7S842</t>
  </si>
  <si>
    <t>1.33</t>
  </si>
  <si>
    <t>GB00B3L7S735</t>
  </si>
  <si>
    <t>GB00B7LG0W70</t>
  </si>
  <si>
    <t>GB00B71L0M27</t>
  </si>
  <si>
    <t>GB00BYMMJ932</t>
  </si>
  <si>
    <t>UT European Smaller Companies</t>
  </si>
  <si>
    <t>GB00BRJL7X45</t>
  </si>
  <si>
    <t>ASI European Equity Enhanced Index B in GB</t>
  </si>
  <si>
    <t>0.26</t>
  </si>
  <si>
    <t>GB00B5VSSV49</t>
  </si>
  <si>
    <t>ASI European High Yield Bond I Acc in GB</t>
  </si>
  <si>
    <t>GB00B5MFPK25</t>
  </si>
  <si>
    <t>ASI European High Yield Bond I Inc TR in GB**</t>
  </si>
  <si>
    <t>GB00BWK26907</t>
  </si>
  <si>
    <t>ASI European Real Estate Share I Acc in GB</t>
  </si>
  <si>
    <t>UT Property Other</t>
  </si>
  <si>
    <t>GB00BWK26899</t>
  </si>
  <si>
    <t>ASI European Real Estate Share I Inc TR in GB</t>
  </si>
  <si>
    <t>GB00B0XWN473</t>
  </si>
  <si>
    <t>ASI European Smaller Companies A Acc in GB</t>
  </si>
  <si>
    <t>GB00B0XWN580</t>
  </si>
  <si>
    <t>ASI European Smaller Companies I Acc in GB</t>
  </si>
  <si>
    <t>GB00B28S0218</t>
  </si>
  <si>
    <t>GB00B7K3T226</t>
  </si>
  <si>
    <t>GB00B28S0093</t>
  </si>
  <si>
    <t>GB0004330261</t>
  </si>
  <si>
    <t>GB0006135270</t>
  </si>
  <si>
    <t>1.00</t>
  </si>
  <si>
    <t>GB00B5VBS792</t>
  </si>
  <si>
    <t>GB00B7CQ5768</t>
  </si>
  <si>
    <t>GB0031682403</t>
  </si>
  <si>
    <t>ASI Global Equity A Acc in GB</t>
  </si>
  <si>
    <t>GB0031682627</t>
  </si>
  <si>
    <t>ASI Global Equity A Inc TR in GB</t>
  </si>
  <si>
    <t>GB0031682734</t>
  </si>
  <si>
    <t>ASI Global Equity I Acc in GB</t>
  </si>
  <si>
    <t>1.12</t>
  </si>
  <si>
    <t>GB00B83WC467</t>
  </si>
  <si>
    <t>ASI Global Equity I Inc TR in GB**</t>
  </si>
  <si>
    <t>GB0006833718</t>
  </si>
  <si>
    <t>GB0006833601</t>
  </si>
  <si>
    <t>GB0006833932</t>
  </si>
  <si>
    <t>GB0006833825</t>
  </si>
  <si>
    <t>GB0004483540</t>
  </si>
  <si>
    <t>1.38</t>
  </si>
  <si>
    <t>GB00B6915J97</t>
  </si>
  <si>
    <t>GB0004330600</t>
  </si>
  <si>
    <t>1.04</t>
  </si>
  <si>
    <t>GB00B7FVHF03</t>
  </si>
  <si>
    <t>GB00B76FLF97</t>
  </si>
  <si>
    <t>GB00B00ZJP21</t>
  </si>
  <si>
    <t>UT Global Bonds</t>
  </si>
  <si>
    <t>GB00B00ZJX05</t>
  </si>
  <si>
    <t>GB00B00ZJK75</t>
  </si>
  <si>
    <t>GB00B00ZJM99</t>
  </si>
  <si>
    <t>GB00B7C0H946</t>
  </si>
  <si>
    <t>0.55</t>
  </si>
  <si>
    <t>GB00B4PPHB71</t>
  </si>
  <si>
    <t>GB00BG08N175</t>
  </si>
  <si>
    <t>ASI Global Inflation-Linked Bond Tracker B Acc in GB</t>
  </si>
  <si>
    <t>0.13</t>
  </si>
  <si>
    <t>GB00B0LD3X11</t>
  </si>
  <si>
    <t>GB00B0LD3Y28</t>
  </si>
  <si>
    <t>GB00B774LD38</t>
  </si>
  <si>
    <t>1.23</t>
  </si>
  <si>
    <t>GB00B700D764</t>
  </si>
  <si>
    <t>GB00B0LD3V96</t>
  </si>
  <si>
    <t>GB00B0LD3W04</t>
  </si>
  <si>
    <t>GB00B1LBR414</t>
  </si>
  <si>
    <t>GB00B1LBR182</t>
  </si>
  <si>
    <t>GB00B1LBR299</t>
  </si>
  <si>
    <t>GB00B7MR5W47</t>
  </si>
  <si>
    <t>GB00B6TQN017</t>
  </si>
  <si>
    <t>GB00B4KHN986</t>
  </si>
  <si>
    <t>1.47</t>
  </si>
  <si>
    <t>GB00B7KVX245</t>
  </si>
  <si>
    <t>GB0000936244</t>
  </si>
  <si>
    <t>GB0000938844</t>
  </si>
  <si>
    <t>GB0000937093</t>
  </si>
  <si>
    <t>GB00B79RR984</t>
  </si>
  <si>
    <t>0.76</t>
  </si>
  <si>
    <t>GB00B7G7DD75</t>
  </si>
  <si>
    <t>GB0004330048</t>
  </si>
  <si>
    <t>GB0004329826</t>
  </si>
  <si>
    <t>GB00B6TRYW36</t>
  </si>
  <si>
    <t>GB00B76CD438</t>
  </si>
  <si>
    <t>GB00BRJL8317</t>
  </si>
  <si>
    <t>ASI Japan Equity Enhanced Index B in GB</t>
  </si>
  <si>
    <t>UT Japan</t>
  </si>
  <si>
    <t>0.24</t>
  </si>
  <si>
    <t>GB0004521620</t>
  </si>
  <si>
    <t>ASI Japanese Equity A Acc in GB</t>
  </si>
  <si>
    <t>GB0004521737</t>
  </si>
  <si>
    <t>ASI Japanese Equity I Acc in GB**</t>
  </si>
  <si>
    <t>GB00B41QSW23</t>
  </si>
  <si>
    <t>ASI Latin American Equity A Acc in GB</t>
  </si>
  <si>
    <t>GB00B4R0SD95</t>
  </si>
  <si>
    <t>ASI Latin American Equity I Acc in GB</t>
  </si>
  <si>
    <t>GB0031682171</t>
  </si>
  <si>
    <t>ASI Multi Asset A Acc in GB</t>
  </si>
  <si>
    <t>GB0031682288</t>
  </si>
  <si>
    <t>ASI Multi Asset A Inc TR in GB</t>
  </si>
  <si>
    <t>GB0031682395</t>
  </si>
  <si>
    <t>ASI Multi Asset I Acc in GB</t>
  </si>
  <si>
    <t>GB00B1GCQ869</t>
  </si>
  <si>
    <t>ASI Multi Asset I Inc TR in GB**</t>
  </si>
  <si>
    <t>GB00B843VR45</t>
  </si>
  <si>
    <t>ASI Multi Manager Balanced Managed Portfolio I Acc in GB</t>
  </si>
  <si>
    <t>GB00B83W7300</t>
  </si>
  <si>
    <t>ASI Multi Manager Balanced Managed Portfolio I Inc TR in GB**</t>
  </si>
  <si>
    <t>GB00B0LNTV16</t>
  </si>
  <si>
    <t>ASI Multi Manager Balanced Managed Portfolio R Acc in GB</t>
  </si>
  <si>
    <t>1.74</t>
  </si>
  <si>
    <t>GB00B8GLGR18</t>
  </si>
  <si>
    <t>ASI Multi Manager Cautious Managed Portfolio I Acc in GB</t>
  </si>
  <si>
    <t>GB00B6Z4Y178</t>
  </si>
  <si>
    <t>ASI Multi Manager Cautious Managed Portfolio I Inc TR in GB**</t>
  </si>
  <si>
    <t>GB0030672512</t>
  </si>
  <si>
    <t>ASI Multi Manager Cautious Managed Portfolio R Acc in GB</t>
  </si>
  <si>
    <t>1.68</t>
  </si>
  <si>
    <t>GB0030672405</t>
  </si>
  <si>
    <t>ASI Multi Manager Cautious Managed Portfolio R Inc TR in GB</t>
  </si>
  <si>
    <t>GB00B7GQCS25</t>
  </si>
  <si>
    <t>ASI Multi Manager Equity Managed Portfolio I Acc in GB</t>
  </si>
  <si>
    <t>1.26</t>
  </si>
  <si>
    <t>GB00B83VDH39</t>
  </si>
  <si>
    <t>ASI Multi Manager Equity Managed Portfolio I Inc TR in GB**</t>
  </si>
  <si>
    <t>GB0030670912</t>
  </si>
  <si>
    <t>ASI Multi Manager Equity Managed Portfolio R Acc in GB</t>
  </si>
  <si>
    <t>1.71</t>
  </si>
  <si>
    <t>GB0030670805</t>
  </si>
  <si>
    <t>ASI Multi Manager Equity Managed Portfolio R Inc TR in GB</t>
  </si>
  <si>
    <t>GB00B87TVT17</t>
  </si>
  <si>
    <t>ASI Multi Manager Ethical Portfolio I Acc in GB</t>
  </si>
  <si>
    <t>GB00B8868L21</t>
  </si>
  <si>
    <t>ASI Multi Manager Ethical Portfolio I Inc TR in GB**</t>
  </si>
  <si>
    <t>GB00B0LNTT93</t>
  </si>
  <si>
    <t>ASI Multi Manager Ethical Portfolio R Acc in GB</t>
  </si>
  <si>
    <t>GB00B8340374</t>
  </si>
  <si>
    <t>ASI Multi Manager Multi Asset Distribution Portfolio I Acc in GB</t>
  </si>
  <si>
    <t>GB00B8HP4451</t>
  </si>
  <si>
    <t>ASI Multi Manager Multi Asset Distribution Portfolio I Inc TR in GB**</t>
  </si>
  <si>
    <t>GB00B0LNTS86</t>
  </si>
  <si>
    <t>ASI Multi Manager Multi Asset Distribution Portfolio R Acc in GB</t>
  </si>
  <si>
    <t>GB00B0LNRJ55</t>
  </si>
  <si>
    <t>ASI Multi Manager Multi Asset Distribution Portfolio R Inc TR in GB</t>
  </si>
  <si>
    <t>GB00B2941F80</t>
  </si>
  <si>
    <t>ASI Multi-Manager Diversity A in GB</t>
  </si>
  <si>
    <t>GB00B7DZK008</t>
  </si>
  <si>
    <t>ASI Multi-Manager Diversity D Acc GBP in GB</t>
  </si>
  <si>
    <t>GB00B62FNJ48</t>
  </si>
  <si>
    <t>0.74</t>
  </si>
  <si>
    <t>28/02/2021</t>
  </si>
  <si>
    <t>GB00BHZCR750</t>
  </si>
  <si>
    <t>GB00B4ZDNP79</t>
  </si>
  <si>
    <t>1.14</t>
  </si>
  <si>
    <t>GB00B3RHFQ59</t>
  </si>
  <si>
    <t>GB00BHZCRD14</t>
  </si>
  <si>
    <t>GB00B55QXL97</t>
  </si>
  <si>
    <t>1.20</t>
  </si>
  <si>
    <t>GB00B53X7B00</t>
  </si>
  <si>
    <t>GB00B701F734</t>
  </si>
  <si>
    <t>GB00BHZCRJ75</t>
  </si>
  <si>
    <t>GB00B5333L24</t>
  </si>
  <si>
    <t>1.24</t>
  </si>
  <si>
    <t>GB00B759VC93</t>
  </si>
  <si>
    <t>GB00BHZCRN12</t>
  </si>
  <si>
    <t>GB00B4SD6F58</t>
  </si>
  <si>
    <t>1.25</t>
  </si>
  <si>
    <t>GB00B7LL4310</t>
  </si>
  <si>
    <t>GB00B7KSN259</t>
  </si>
  <si>
    <t>0.33</t>
  </si>
  <si>
    <t>GB00B5335D89</t>
  </si>
  <si>
    <t>GB00B41R9999</t>
  </si>
  <si>
    <t>GB00B55ZKX71</t>
  </si>
  <si>
    <t>GB00B758J660</t>
  </si>
  <si>
    <t>0.37</t>
  </si>
  <si>
    <t>GB00B585DT13</t>
  </si>
  <si>
    <t>GB00B77CW014</t>
  </si>
  <si>
    <t>GB00B55VSY27</t>
  </si>
  <si>
    <t>GB00B3T5XZ20</t>
  </si>
  <si>
    <t>GB00B74TWC77</t>
  </si>
  <si>
    <t>GB00B6S7NM79</t>
  </si>
  <si>
    <t>GB00B7680C87</t>
  </si>
  <si>
    <t>GB00B4L19681</t>
  </si>
  <si>
    <t>GB00B787JZ98</t>
  </si>
  <si>
    <t>1.42</t>
  </si>
  <si>
    <t>GB00B4X43N09</t>
  </si>
  <si>
    <t>1.15</t>
  </si>
  <si>
    <t>GB00B7F2PP90</t>
  </si>
  <si>
    <t>GB00B7FMDY47</t>
  </si>
  <si>
    <t>1.08</t>
  </si>
  <si>
    <t>GB00B5119S76</t>
  </si>
  <si>
    <t>GB00B7FH4R99</t>
  </si>
  <si>
    <t>GB00B55PLK10</t>
  </si>
  <si>
    <t>GB00B7G6TF84</t>
  </si>
  <si>
    <t>GB00B4ZWVK55</t>
  </si>
  <si>
    <t>GB00B6XW0B53</t>
  </si>
  <si>
    <t>GB00B55QRR32</t>
  </si>
  <si>
    <t>1.70</t>
  </si>
  <si>
    <t>GB00B7MMLL01</t>
  </si>
  <si>
    <t>GB00BHZCS162</t>
  </si>
  <si>
    <t>GB00BN4R5Z73</t>
  </si>
  <si>
    <t>GB00BN4R6103</t>
  </si>
  <si>
    <t>GB00BN4R6327</t>
  </si>
  <si>
    <t>GB00BN4R6541</t>
  </si>
  <si>
    <t>GB00BN4R6764</t>
  </si>
  <si>
    <t>GB00BZCGBT64</t>
  </si>
  <si>
    <t>GB0032785031</t>
  </si>
  <si>
    <t>GB0032784737</t>
  </si>
  <si>
    <t>GB0032784620</t>
  </si>
  <si>
    <t>GB00B7F7XT42</t>
  </si>
  <si>
    <t>GB00B63SCK67</t>
  </si>
  <si>
    <t>GB00BP25R734</t>
  </si>
  <si>
    <t>0.31</t>
  </si>
  <si>
    <t>GB00BP25R841</t>
  </si>
  <si>
    <t>GB00BP25RB79</t>
  </si>
  <si>
    <t>0.46</t>
  </si>
  <si>
    <t>GB00BP25RC86</t>
  </si>
  <si>
    <t>GB00BWK27087</t>
  </si>
  <si>
    <t>ASI Sterling Bond I Acc in GB</t>
  </si>
  <si>
    <t>GB00BWK27194</t>
  </si>
  <si>
    <t>ASI Sterling Bond I Inc TR in GB</t>
  </si>
  <si>
    <t>GB00BWK27319</t>
  </si>
  <si>
    <t>ASI Sterling Inflation-Linked Bond A Acc in GB</t>
  </si>
  <si>
    <t>GB00BWK27533</t>
  </si>
  <si>
    <t>ASI Sterling Inflation-Linked Bond I Acc in GB</t>
  </si>
  <si>
    <t>GB00BWK27640</t>
  </si>
  <si>
    <t>ASI Sterling Inflation-Linked Bond I Inc TR in GB</t>
  </si>
  <si>
    <t>GB00BZ4BR353</t>
  </si>
  <si>
    <t>ASI Sterling Long Dated Government Bond I Acc in GB</t>
  </si>
  <si>
    <t>GB00B1BW3H93</t>
  </si>
  <si>
    <t>ASI Sterling Money Market A Acc TR in GB</t>
  </si>
  <si>
    <t>UT Standard Money Market</t>
  </si>
  <si>
    <t>0.25</t>
  </si>
  <si>
    <t>GB00B1BW3G86</t>
  </si>
  <si>
    <t>ASI Sterling Money Market A Inc TR in GB</t>
  </si>
  <si>
    <t>GB00B1C42332</t>
  </si>
  <si>
    <t>ASI Sterling Money Market I Acc TR in GB</t>
  </si>
  <si>
    <t>0.15</t>
  </si>
  <si>
    <t>GB00B1C42449</t>
  </si>
  <si>
    <t>ASI Sterling Money Market I Inc TR in GB**</t>
  </si>
  <si>
    <t>GB00BWK25H14</t>
  </si>
  <si>
    <t>ASI Sterling Short Term Government Bond A Acc in GB</t>
  </si>
  <si>
    <t>GB00BWK25J38</t>
  </si>
  <si>
    <t>ASI Sterling Short Term Government Bond A Inc TR in GB</t>
  </si>
  <si>
    <t>GB00BWK25K43</t>
  </si>
  <si>
    <t>ASI Sterling Short Term Government Bond I Acc in GB</t>
  </si>
  <si>
    <t>GB00BWK25L59</t>
  </si>
  <si>
    <t>ASI Sterling Short Term Government Bond I Inc TR in GB</t>
  </si>
  <si>
    <t>GB00BWK27Z36</t>
  </si>
  <si>
    <t>ASI Strategic Bond I Acc in GB</t>
  </si>
  <si>
    <t>GB00BWK28168</t>
  </si>
  <si>
    <t>ASI Strategic Bond I Gr Acc in GB</t>
  </si>
  <si>
    <t>GB00BWK28275</t>
  </si>
  <si>
    <t>ASI Strategic Bond I Gr Inc TR in GB</t>
  </si>
  <si>
    <t>GB00BWK28051</t>
  </si>
  <si>
    <t>ASI Strategic Bond I Inc TR in GB</t>
  </si>
  <si>
    <t>GB00B1YXMW71</t>
  </si>
  <si>
    <t>ASI Strategic Investment Allocation in GB</t>
  </si>
  <si>
    <t>31/01/2020</t>
  </si>
  <si>
    <t>GB00B0LG6H52</t>
  </si>
  <si>
    <t>ASI UK Equity A Acc in GB</t>
  </si>
  <si>
    <t>GB00B0LG6G46</t>
  </si>
  <si>
    <t>ASI UK Equity A Inc TR in GB</t>
  </si>
  <si>
    <t>GB00B0LG6K81</t>
  </si>
  <si>
    <t>ASI UK Equity I Acc TR in GB**</t>
  </si>
  <si>
    <t>GB00B0LG6J76</t>
  </si>
  <si>
    <t>ASI UK Equity I Inc TR in GB**</t>
  </si>
  <si>
    <t>GB00BDZRCQ62</t>
  </si>
  <si>
    <t>ASI UK Equity Index Managed B Inc TR in GB**</t>
  </si>
  <si>
    <t>GB0004333059</t>
  </si>
  <si>
    <t>GB0004331012</t>
  </si>
  <si>
    <t>GB00B6Y80X40</t>
  </si>
  <si>
    <t>GB00BVFNS394</t>
  </si>
  <si>
    <t>GB0004328745</t>
  </si>
  <si>
    <t>GB0004331129</t>
  </si>
  <si>
    <t>GB00B6WZXS38</t>
  </si>
  <si>
    <t>GB00B5MP5686</t>
  </si>
  <si>
    <t>GB0004330717</t>
  </si>
  <si>
    <t>GB00B7J4W502</t>
  </si>
  <si>
    <t>GB0004330485</t>
  </si>
  <si>
    <t>GB0004330378</t>
  </si>
  <si>
    <t>GB00B76G2B50</t>
  </si>
  <si>
    <t>GB00B7D6MV88</t>
  </si>
  <si>
    <t>GB0004332531</t>
  </si>
  <si>
    <t>GB0004330931</t>
  </si>
  <si>
    <t>GB0004330824</t>
  </si>
  <si>
    <t>GB00B7FTRJ84</t>
  </si>
  <si>
    <t>GB00B558NM60</t>
  </si>
  <si>
    <t>GB00B0XWN705</t>
  </si>
  <si>
    <t>ASI UK Income Equity A Acc in GB</t>
  </si>
  <si>
    <t>GB00B0XWN812</t>
  </si>
  <si>
    <t>ASI UK Income Equity A Inc TR in GB</t>
  </si>
  <si>
    <t>GB00B0XWN929</t>
  </si>
  <si>
    <t>ASI UK Income Equity I Acc in GB</t>
  </si>
  <si>
    <t>GB00B0XWNB45</t>
  </si>
  <si>
    <t>ASI UK Income Equity I Inc TR in GB**</t>
  </si>
  <si>
    <t>GB00B1LBST30</t>
  </si>
  <si>
    <t>GB00B1LBSV51</t>
  </si>
  <si>
    <t>GB00B1LBSR16</t>
  </si>
  <si>
    <t>1.52</t>
  </si>
  <si>
    <t>GB00B1LBSS23</t>
  </si>
  <si>
    <t>GB00B79X9673</t>
  </si>
  <si>
    <t>GB00B7G8Q193</t>
  </si>
  <si>
    <t>GB00B0XWNR05</t>
  </si>
  <si>
    <t>ASI UK Mid Cap Equity A Acc in GB</t>
  </si>
  <si>
    <t>GB00B0XWNQ97</t>
  </si>
  <si>
    <t>ASI UK Mid Cap Equity A Inc TR in GB</t>
  </si>
  <si>
    <t>GB00B0XWNT29</t>
  </si>
  <si>
    <t>ASI UK Mid Cap Equity I Acc in GB</t>
  </si>
  <si>
    <t>GB00B0XWNS12</t>
  </si>
  <si>
    <t>ASI UK Mid Cap Equity I Inc TR in GB**</t>
  </si>
  <si>
    <t>GB0032094392</t>
  </si>
  <si>
    <t>GB00B7LZCR36</t>
  </si>
  <si>
    <t>GB00B7C4BJ40</t>
  </si>
  <si>
    <t>GB00B0XWNM59</t>
  </si>
  <si>
    <t>ASI UK Real Estate Share A Acc TR in GB</t>
  </si>
  <si>
    <t>GB00B0XWNN66</t>
  </si>
  <si>
    <t>ASI UK Real Estate Share I Acc TR in GB</t>
  </si>
  <si>
    <t>GB00B131GB92</t>
  </si>
  <si>
    <t>GB00B131GC00</t>
  </si>
  <si>
    <t>GB00B131GD17</t>
  </si>
  <si>
    <t>GB00B131GH54</t>
  </si>
  <si>
    <t>GB0004333497</t>
  </si>
  <si>
    <t>GB0004331236</t>
  </si>
  <si>
    <t>GB00B7FBH943</t>
  </si>
  <si>
    <t>GB00B0LD3C08</t>
  </si>
  <si>
    <t>GB00B0LD3B90</t>
  </si>
  <si>
    <t>GB00B7LK2232</t>
  </si>
  <si>
    <t>GB00B3N9CY25</t>
  </si>
  <si>
    <t>ASI World Income Equity A Inc TR in GB</t>
  </si>
  <si>
    <t>GB00B8MYXW82</t>
  </si>
  <si>
    <t>ASI World Income Equity I Acc in GB</t>
  </si>
  <si>
    <t>GB00B3NG6H45</t>
  </si>
  <si>
    <t>ASI World Income Equity I Inc TR in GB</t>
  </si>
  <si>
    <t>GB00BJ34P394</t>
  </si>
  <si>
    <t>1.09</t>
  </si>
  <si>
    <t>02/02/2021</t>
  </si>
  <si>
    <t>GB0004457973</t>
  </si>
  <si>
    <t>Aviva Inv Continental European Equity 1 in GB</t>
  </si>
  <si>
    <t>16/11/2020</t>
  </si>
  <si>
    <t>GB0004461322</t>
  </si>
  <si>
    <t>Aviva Inv Continental European Equity 2 in GB</t>
  </si>
  <si>
    <t>GB0004462957</t>
  </si>
  <si>
    <t>Aviva Inv Corporate Bond 2 TR in GB</t>
  </si>
  <si>
    <t>GB0033606590</t>
  </si>
  <si>
    <t>Aviva Inv Distribution 1 Acc in GB</t>
  </si>
  <si>
    <t>GB0030442213</t>
  </si>
  <si>
    <t>Aviva Inv Distribution 1 Inc TR in GB</t>
  </si>
  <si>
    <t>GB00BYZC2W42</t>
  </si>
  <si>
    <t>Aviva Inv Distribution 2 Acc in GB</t>
  </si>
  <si>
    <t>0.73</t>
  </si>
  <si>
    <t>GB0030442320</t>
  </si>
  <si>
    <t>Aviva Inv Distribution 2 TR in GB</t>
  </si>
  <si>
    <t>GB00B4RFKY95</t>
  </si>
  <si>
    <t>Aviva Inv European Property I Inc GBP TR in GB</t>
  </si>
  <si>
    <t>1.89</t>
  </si>
  <si>
    <t>04/06/2018</t>
  </si>
  <si>
    <t>GB00BYXHPJ99</t>
  </si>
  <si>
    <t>Aviva Inv Global Equity Endurance 2 in GB</t>
  </si>
  <si>
    <t>GB0030441918</t>
  </si>
  <si>
    <t>Aviva Inv Global Equity Income 1 in GB</t>
  </si>
  <si>
    <t>GB0030442098</t>
  </si>
  <si>
    <t>Aviva Inv Global Equity Income 2 Acc in GB</t>
  </si>
  <si>
    <t>GB00B9LCNW07</t>
  </si>
  <si>
    <t>Aviva Inv Global Equity Income 2 Inc TR in GB</t>
  </si>
  <si>
    <t>GB00B3CGJ878</t>
  </si>
  <si>
    <t>Aviva Inv High Yield Bond 1 Inc TR in GB</t>
  </si>
  <si>
    <t>GB00B3CGJJ86</t>
  </si>
  <si>
    <t>Aviva Inv High Yield Bond 2 Inc TR in GB</t>
  </si>
  <si>
    <t>0.64</t>
  </si>
  <si>
    <t>GB0008531187</t>
  </si>
  <si>
    <t>Aviva Inv Higher Income Plus 1 TR in GB</t>
  </si>
  <si>
    <t>GB0008531302</t>
  </si>
  <si>
    <t>Aviva Inv Higher Income Plus 2 TR in GB</t>
  </si>
  <si>
    <t>GB00B2NRNX53</t>
  </si>
  <si>
    <t>Aviva Inv International Index Tracking 2 Acc in GB</t>
  </si>
  <si>
    <t>GB0004459573</t>
  </si>
  <si>
    <t>Aviva Inv Managed High Income 1 TR in GB</t>
  </si>
  <si>
    <t>GB0004463039</t>
  </si>
  <si>
    <t>Aviva Inv Managed High Income 2 TR in GB</t>
  </si>
  <si>
    <t>GB0030443286</t>
  </si>
  <si>
    <t>Aviva Inv Monthly Income Plus 1 Acc in GB</t>
  </si>
  <si>
    <t>GB0030443518</t>
  </si>
  <si>
    <t>Aviva Inv Monthly Income Plus 1 Inc TR in GB</t>
  </si>
  <si>
    <t>GB00B7RBPT80</t>
  </si>
  <si>
    <t>Aviva Inv Monthly Income Plus 2 Acc in GB</t>
  </si>
  <si>
    <t>GB00B7RBPR66</t>
  </si>
  <si>
    <t>Aviva Inv Monthly Income Plus 2 Inc TR in GB</t>
  </si>
  <si>
    <t>GB00BMJ6DT26</t>
  </si>
  <si>
    <t>Aviva Inv Multi Strategy Target Return 2 in GB</t>
  </si>
  <si>
    <t>GB00B3Z57P41</t>
  </si>
  <si>
    <t>GB00B70FJQ29</t>
  </si>
  <si>
    <t>GB00B4XCWJ38</t>
  </si>
  <si>
    <t>GB00B7JRQQ84</t>
  </si>
  <si>
    <t>GB00B6X8K808</t>
  </si>
  <si>
    <t>GB00B581Z480</t>
  </si>
  <si>
    <t>GB00B4TVCM71</t>
  </si>
  <si>
    <t>GB00B72W9168</t>
  </si>
  <si>
    <t>GB00B4Y26M34</t>
  </si>
  <si>
    <t>GB00B7FM5934</t>
  </si>
  <si>
    <t>GB00B1N94V93</t>
  </si>
  <si>
    <t>Aviva Inv Multimanager 20-60% Shares 1 TR in GB</t>
  </si>
  <si>
    <t>1.60</t>
  </si>
  <si>
    <t>GB00B1N94W01</t>
  </si>
  <si>
    <t>Aviva Inv Multimanager 20-60% Shares 2 in GB</t>
  </si>
  <si>
    <t>GB00B7ZZR410</t>
  </si>
  <si>
    <t>Aviva Inv Multimanager 20-60% Shares 2 Inc TR in GB</t>
  </si>
  <si>
    <t>1.40</t>
  </si>
  <si>
    <t>GB00B1N94P34</t>
  </si>
  <si>
    <t>Aviva Inv Multimanager 40-85% Shares 1 TR in GB</t>
  </si>
  <si>
    <t>GB00B1N94Q41</t>
  </si>
  <si>
    <t>Aviva Inv Multimanager 40-85% Shares 2 in GB</t>
  </si>
  <si>
    <t>GB00B8FV3N77</t>
  </si>
  <si>
    <t>Aviva Inv Multimanager 40-85% Shares 2 Inc TR in GB</t>
  </si>
  <si>
    <t>1.50</t>
  </si>
  <si>
    <t>GB00B1N95162</t>
  </si>
  <si>
    <t>Aviva Inv Multi-Manager Flexible 1 in GB</t>
  </si>
  <si>
    <t>GB00B1N95279</t>
  </si>
  <si>
    <t>Aviva Inv Multi-Manager Flexible 2 in GB</t>
  </si>
  <si>
    <t>GB00B3CGG643</t>
  </si>
  <si>
    <t>Aviva Inv Strategic Bond 1 Inc TR in GB</t>
  </si>
  <si>
    <t>GB00B3CGHN82</t>
  </si>
  <si>
    <t>Aviva Inv Strategic Bond 2 Inc TR in GB</t>
  </si>
  <si>
    <t>GB0004459797</t>
  </si>
  <si>
    <t>Aviva Inv UK Index Tracking 1 TR in GB</t>
  </si>
  <si>
    <t>0.41</t>
  </si>
  <si>
    <t>GB00B8XCGM21</t>
  </si>
  <si>
    <t>Aviva Inv UK Index Tracking 2 Inc TR in GB</t>
  </si>
  <si>
    <t>GB0030943236</t>
  </si>
  <si>
    <t>Aviva Inv UK Listed Equity High Alpha 1 in GB</t>
  </si>
  <si>
    <t>GB0030944648</t>
  </si>
  <si>
    <t>Aviva Inv UK Listed Equity High Alpha 2 in GB</t>
  </si>
  <si>
    <t>GB0004457197</t>
  </si>
  <si>
    <t>Aviva Inv UK Listed Equity Income 1 TR in GB</t>
  </si>
  <si>
    <t>GB00B6R51K64</t>
  </si>
  <si>
    <t>Aviva Inv UK Listed Equity Income 2 Acc in GB</t>
  </si>
  <si>
    <t>GB0004460803</t>
  </si>
  <si>
    <t>Aviva Inv UK Listed Equity Income 2 TR in GB</t>
  </si>
  <si>
    <t>GB0004456892</t>
  </si>
  <si>
    <t>Aviva Inv UK Listed Equity Unconstrained 1 TR in GB</t>
  </si>
  <si>
    <t>GB0004460357</t>
  </si>
  <si>
    <t>Aviva Inv UK Listed Equity Unconstrained 2 Acc in GB</t>
  </si>
  <si>
    <t>GB00B7RBQX91</t>
  </si>
  <si>
    <t>Aviva Inv UK Listed Equity Unconstrained 2 Inc TR in GB</t>
  </si>
  <si>
    <t>GB0004456900</t>
  </si>
  <si>
    <t>Aviva Inv UK Listed Small and Mid-Cap 1 in GB</t>
  </si>
  <si>
    <t>GB0004460571</t>
  </si>
  <si>
    <t>Aviva Inv UK Listed Small and Mid-Cap 2 in GB</t>
  </si>
  <si>
    <t>GB00BYYZ0S69</t>
  </si>
  <si>
    <t>Aviva Inv UK Property Feeder Acc 1 in GB</t>
  </si>
  <si>
    <t>GB00BYYZ0W06</t>
  </si>
  <si>
    <t>Aviva Inv UK Property Feeder Acc 2 in GB</t>
  </si>
  <si>
    <t>GB00BYYZ1N89</t>
  </si>
  <si>
    <t>Aviva Inv UK Property Feeder Inc 1 TR in GB</t>
  </si>
  <si>
    <t>GB00BYYZ2464</t>
  </si>
  <si>
    <t>Aviva Inv UK Property Feeder Inc 2 TR in GB</t>
  </si>
  <si>
    <t>GB0004457312</t>
  </si>
  <si>
    <t>Aviva Inv UK Smaller Companies 1 in GB</t>
  </si>
  <si>
    <t>GB0004462171</t>
  </si>
  <si>
    <t>Aviva Inv UK Smaller Companies 2 in GB</t>
  </si>
  <si>
    <t>GB00B44GRT93</t>
  </si>
  <si>
    <t>Aviva Inv US Equity Income 1 Acc in GB</t>
  </si>
  <si>
    <t>GB00B451FS88</t>
  </si>
  <si>
    <t>Aviva Inv US Equity Income 1 Inc TR in GB</t>
  </si>
  <si>
    <t>GB00B3W62X39</t>
  </si>
  <si>
    <t>Aviva Inv US Equity Income 2 Inc TR in GB</t>
  </si>
  <si>
    <t>GB00BCGD4Q00</t>
  </si>
  <si>
    <t>Aviva Inv US Equity Income II 2 Acc GBP in GB</t>
  </si>
  <si>
    <t>GB00BCGD4P92</t>
  </si>
  <si>
    <t>Aviva Inv US Equity Income II 2 Inc GBP TR in GB</t>
  </si>
  <si>
    <t>GB00B03KM006</t>
  </si>
  <si>
    <t>AXA Defensive Distribution Z Gr Acc in GB</t>
  </si>
  <si>
    <t>GB00B03KM113</t>
  </si>
  <si>
    <t>AXA Defensive Distribution Z Gr Inc TR in GB</t>
  </si>
  <si>
    <t>GB0006160328</t>
  </si>
  <si>
    <t>AXA Distribution R Acc in GB</t>
  </si>
  <si>
    <t>GB0006160765</t>
  </si>
  <si>
    <t>AXA Distribution R Inc TR in GB</t>
  </si>
  <si>
    <t>GB0006160104</t>
  </si>
  <si>
    <t>AXA Distribution Z Acc in GB**</t>
  </si>
  <si>
    <t>GB0006160542</t>
  </si>
  <si>
    <t>AXA Distribution Z Inc TR in GB**</t>
  </si>
  <si>
    <t>GB0005297980</t>
  </si>
  <si>
    <t>AXA Ethical Distribution R Acc in GB</t>
  </si>
  <si>
    <t>GB00B3FKJZ38</t>
  </si>
  <si>
    <t>AXA Ethical Distribution R Inc TR in GB</t>
  </si>
  <si>
    <t>GB0005409262</t>
  </si>
  <si>
    <t>AXA Ethical Distribution Z Acc in GB</t>
  </si>
  <si>
    <t>GB00B3FKKK57</t>
  </si>
  <si>
    <t>AXA Ethical Distribution Z Inc TR in GB</t>
  </si>
  <si>
    <t>GB0003509212</t>
  </si>
  <si>
    <t>AXA Framlington American Growth R Acc in GB</t>
  </si>
  <si>
    <t>GB0003509105</t>
  </si>
  <si>
    <t>AXA Framlington American Growth R Inc in GB</t>
  </si>
  <si>
    <t>GB00B5LXGG05</t>
  </si>
  <si>
    <t>AXA Framlington American Growth Z Acc in GB</t>
  </si>
  <si>
    <t>GB00B4152K59</t>
  </si>
  <si>
    <t>AXA Framlington American Growth Z Inc in GB</t>
  </si>
  <si>
    <t>GB0031007254</t>
  </si>
  <si>
    <t>AXA Framlington Biotech R Acc GBP in GB</t>
  </si>
  <si>
    <t>1.82</t>
  </si>
  <si>
    <t>GB0031007148</t>
  </si>
  <si>
    <t>AXA Framlington Biotech R Inc GBP in GB</t>
  </si>
  <si>
    <t>GB00B784NS11</t>
  </si>
  <si>
    <t>AXA Framlington Biotech Z Acc GBP in GB</t>
  </si>
  <si>
    <t>GB00BRJZVL27</t>
  </si>
  <si>
    <t>AXA Framlington Biotech Z Inc in GB</t>
  </si>
  <si>
    <t>GB0003509436</t>
  </si>
  <si>
    <t>AXA Framlington Emerging Markets R Acc in GB</t>
  </si>
  <si>
    <t>GB0003509329</t>
  </si>
  <si>
    <t>AXA Framlington Emerging Markets R Inc TR in GB</t>
  </si>
  <si>
    <t>GB00B4490M25</t>
  </si>
  <si>
    <t>AXA Framlington Emerging Markets Z Acc in GB</t>
  </si>
  <si>
    <t>GB00B403RF05</t>
  </si>
  <si>
    <t>AXA Framlington Emerging Markets Z Inc TR in GB</t>
  </si>
  <si>
    <t>GB0003499851</t>
  </si>
  <si>
    <t>GB00B7G8XW93</t>
  </si>
  <si>
    <t>GB0003499414</t>
  </si>
  <si>
    <t>AXA Framlington Fintech R Acc in GB</t>
  </si>
  <si>
    <t>GB0003499521</t>
  </si>
  <si>
    <t>AXA Framlington Fintech R Inc TR in GB</t>
  </si>
  <si>
    <t>GB00B5BHKC62</t>
  </si>
  <si>
    <t>AXA Framlington Fintech Z Acc in GB</t>
  </si>
  <si>
    <t>GB00BRJZVN41</t>
  </si>
  <si>
    <t>AXA Framlington Fintech Z Inc TR in GB</t>
  </si>
  <si>
    <t>GB0006598998</t>
  </si>
  <si>
    <t>AXA Framlington Global Technology R Acc in GB</t>
  </si>
  <si>
    <t>UT Technology &amp; Telecommunications</t>
  </si>
  <si>
    <t>GB0006745243</t>
  </si>
  <si>
    <t>AXA Framlington Global Technology R Inc in GB</t>
  </si>
  <si>
    <t>GB00B4W52V57</t>
  </si>
  <si>
    <t>AXA Framlington Global Technology Z Acc in GB</t>
  </si>
  <si>
    <t>GB00B5MQXC30</t>
  </si>
  <si>
    <t>AXA Framlington Global Technology Z Inc in GB</t>
  </si>
  <si>
    <t>GB0003502225</t>
  </si>
  <si>
    <t>AXA Framlington Global Thematics R Acc in GB</t>
  </si>
  <si>
    <t>GB0003501920</t>
  </si>
  <si>
    <t>AXA Framlington Global Thematics R Inc TR in GB</t>
  </si>
  <si>
    <t>GB00B7MMKJ14</t>
  </si>
  <si>
    <t>AXA Framlington Global Thematics Z Acc in GB</t>
  </si>
  <si>
    <t>GB00BRJZVP64</t>
  </si>
  <si>
    <t>AXA Framlington Global Thematics Z Inc TR in GB</t>
  </si>
  <si>
    <t>GB0003506424</t>
  </si>
  <si>
    <t>AXA Framlington Health R Acc in GB</t>
  </si>
  <si>
    <t>GB0005753719</t>
  </si>
  <si>
    <t>AXA Framlington Health R Inc in GB</t>
  </si>
  <si>
    <t>GB00B6WZJX05</t>
  </si>
  <si>
    <t>AXA Framlington Health Z Acc in GB</t>
  </si>
  <si>
    <t>GB00BRJZVQ71</t>
  </si>
  <si>
    <t>AXA Framlington Health Z Inc TR in GB</t>
  </si>
  <si>
    <t>GB0003500179</t>
  </si>
  <si>
    <t>AXA Framlington Japan R Acc in GB</t>
  </si>
  <si>
    <t>GB0003500062</t>
  </si>
  <si>
    <t>AXA Framlington Japan R Inc TR in GB</t>
  </si>
  <si>
    <t>GB00B7FSWP64</t>
  </si>
  <si>
    <t>AXA Framlington Japan Z Acc in GB</t>
  </si>
  <si>
    <t>GB00BRJZVR88</t>
  </si>
  <si>
    <t>AXA Framlington Japan Z Inc TR in GB</t>
  </si>
  <si>
    <t>GB0003509659</t>
  </si>
  <si>
    <t>AXA Framlington Managed Balanced R Acc in GB</t>
  </si>
  <si>
    <t>GB0003509543</t>
  </si>
  <si>
    <t>AXA Framlington Managed Balanced R Inc TR in GB</t>
  </si>
  <si>
    <t>GB00B7MMHK16</t>
  </si>
  <si>
    <t>AXA Framlington Managed Balanced Z Acc in GB</t>
  </si>
  <si>
    <t>GB00B7MQY793</t>
  </si>
  <si>
    <t>AXA Framlington Managed Balanced Z Inc TR in GB</t>
  </si>
  <si>
    <t>GB00B7H1PG56</t>
  </si>
  <si>
    <t>AXA Framlington Managed Income Z Gross Acc in GB</t>
  </si>
  <si>
    <t>GB00B71DB365</t>
  </si>
  <si>
    <t>AXA Framlington Managed Income Z Gross Inc TR in GB</t>
  </si>
  <si>
    <t>GB0003490595</t>
  </si>
  <si>
    <t>AXA Framlington Monthly Income R Acc in GB</t>
  </si>
  <si>
    <t>GB0003500286</t>
  </si>
  <si>
    <t>AXA Framlington Monthly Income R Inc TR in GB</t>
  </si>
  <si>
    <t>GB00B7MMK809</t>
  </si>
  <si>
    <t>AXA Framlington Monthly Income Z Acc in GB</t>
  </si>
  <si>
    <t>GB00B7MMK577</t>
  </si>
  <si>
    <t>AXA Framlington Monthly Income Z Inc TR in GB</t>
  </si>
  <si>
    <t>GB00B523ZL77</t>
  </si>
  <si>
    <t>AXA Framlington UK Equity Income R Acc in GB</t>
  </si>
  <si>
    <t>GB00B523ZM84</t>
  </si>
  <si>
    <t>AXA Framlington UK Equity Income R Inc TR in GB</t>
  </si>
  <si>
    <t>GB00B7KBNV36</t>
  </si>
  <si>
    <t>AXA Framlington UK Equity Income Z Acc in GB</t>
  </si>
  <si>
    <t>GB00B8HHY295</t>
  </si>
  <si>
    <t>AXA Framlington UK Equity Income Z Inc TR in GB</t>
  </si>
  <si>
    <t>GB0003509873</t>
  </si>
  <si>
    <t>GB0003509766</t>
  </si>
  <si>
    <t>GB00B51R1233</t>
  </si>
  <si>
    <t>GB00B55S4R83</t>
  </si>
  <si>
    <t>GB00B5032Q31</t>
  </si>
  <si>
    <t>AXA Framlington UK Mid Cap R Acc in GB</t>
  </si>
  <si>
    <t>GB00B64W4Q70</t>
  </si>
  <si>
    <t>AXA Framlington UK Mid Cap Z Acc in GB</t>
  </si>
  <si>
    <t>GB00B3SYV567</t>
  </si>
  <si>
    <t>AXA Framlington UK Mid Cap Z Inc TR in GB</t>
  </si>
  <si>
    <t>GB0003501581</t>
  </si>
  <si>
    <t>AXA Framlington UK Select Opportunities R Acc in GB</t>
  </si>
  <si>
    <t>GB0003501698</t>
  </si>
  <si>
    <t>AXA Framlington UK Select Opportunities R Inc TR in GB</t>
  </si>
  <si>
    <t>GB00B7FD4C20</t>
  </si>
  <si>
    <t>AXA Framlington UK Select Opportunities ZI Acc in GB</t>
  </si>
  <si>
    <t>GB00B703ZS07</t>
  </si>
  <si>
    <t>AXA Framlington UK Select Opportunities ZI Inc TR in GB</t>
  </si>
  <si>
    <t>GB0030310857</t>
  </si>
  <si>
    <t>GB00B7MMLM18</t>
  </si>
  <si>
    <t>GB00BRJZVS95</t>
  </si>
  <si>
    <t>GB0008309287</t>
  </si>
  <si>
    <t>AXA Global Distribution R Acc in GB</t>
  </si>
  <si>
    <t>GB0008309063</t>
  </si>
  <si>
    <t>AXA Global Distribution Z Acc in GB</t>
  </si>
  <si>
    <t>GB0008308982</t>
  </si>
  <si>
    <t>AXA Global Distribution Z Inc TR in GB</t>
  </si>
  <si>
    <t>GB00B29NGF01</t>
  </si>
  <si>
    <t>AXA Global High Income Z Gr Acc in GB</t>
  </si>
  <si>
    <t>GB00B29NG940</t>
  </si>
  <si>
    <t>AXA Global High Income Z Gr Inc TR in GB**</t>
  </si>
  <si>
    <t>GB00BDFZQX53</t>
  </si>
  <si>
    <t>AXA Global Short Duration Bonds S Acc in GB</t>
  </si>
  <si>
    <t>GB00BDFZQV30</t>
  </si>
  <si>
    <t>AXA Global Short Duration Bonds Z Acc in GB</t>
  </si>
  <si>
    <t>GB00BDFZQW47</t>
  </si>
  <si>
    <t>AXA Global Short Duration Bonds Z Inc TR in GB</t>
  </si>
  <si>
    <t>GB0007460586</t>
  </si>
  <si>
    <t>AXA Rosenberg American R Acc in GB</t>
  </si>
  <si>
    <t>GB0007460149</t>
  </si>
  <si>
    <t>AXA Rosenberg American Z Acc in GB</t>
  </si>
  <si>
    <t>GB0007704330</t>
  </si>
  <si>
    <t>AXA Rosenberg Asia Pacific Ex Japan Z Acc in GB</t>
  </si>
  <si>
    <t>GB0007717159</t>
  </si>
  <si>
    <t>AXA Rosenberg Global Z Acc in GB**</t>
  </si>
  <si>
    <t>GB0007371593</t>
  </si>
  <si>
    <t>AXA Rosenberg Japan Z Acc in GB</t>
  </si>
  <si>
    <t>GB00B7VXY261</t>
  </si>
  <si>
    <t>AXA Sterling Buy And Maintain Credit Z Gross in GB</t>
  </si>
  <si>
    <t>0.16</t>
  </si>
  <si>
    <t>GB00B1Z48Z43</t>
  </si>
  <si>
    <t>AXA Sterling Corporate Bond Z Gr Acc in GB</t>
  </si>
  <si>
    <t>GB00B1Z48X29</t>
  </si>
  <si>
    <t>AXA Sterling Corporate Bond Z Gr Inc TR in GB**</t>
  </si>
  <si>
    <t>GB00B5L2N222</t>
  </si>
  <si>
    <t>AXA Sterling Credit Short Duration Bond Z Gr Acc in GB</t>
  </si>
  <si>
    <t>GB00B5VL0B78</t>
  </si>
  <si>
    <t>AXA Sterling Credit Short Duration Bond Z Gr Inc TR in GB</t>
  </si>
  <si>
    <t>GB00BF6NPG81</t>
  </si>
  <si>
    <t>AXA Sterling Credit Short Duration Bond ZI Acc in GB**</t>
  </si>
  <si>
    <t>0.27</t>
  </si>
  <si>
    <t>GB00BF6NPH98</t>
  </si>
  <si>
    <t>AXA Sterling Credit Short Duration Bond ZI Inc TR in GB**</t>
  </si>
  <si>
    <t>GB00B02Y6B22</t>
  </si>
  <si>
    <t>AXA Sterling Index Linked Bond Z Gr Acc in GB</t>
  </si>
  <si>
    <t>GB00B02Y6L20</t>
  </si>
  <si>
    <t>AXA Sterling Strategic Bond Z Gr Acc in GB</t>
  </si>
  <si>
    <t>GB00B59VLT43</t>
  </si>
  <si>
    <t>AXA US Short Duration High Yield Bond Z Gr Acc in GB</t>
  </si>
  <si>
    <t>GB00B5TX5Q59</t>
  </si>
  <si>
    <t>AXA US Short Duration High Yield Bond Z Gr Inc TR in GB</t>
  </si>
  <si>
    <t>GB00B5WM6Y48</t>
  </si>
  <si>
    <t>AXA US Short Duration High Yield Bond ZI Gr Acc in GB</t>
  </si>
  <si>
    <t>GB00B5T0SW38</t>
  </si>
  <si>
    <t>AXA US Short Duration High Yield Bond ZI Gr Inc TR in GB</t>
  </si>
  <si>
    <t>GB0006061740</t>
  </si>
  <si>
    <t>Baillie Gifford American A Acc in GB</t>
  </si>
  <si>
    <t>1.51</t>
  </si>
  <si>
    <t>GB0006061963</t>
  </si>
  <si>
    <t>Baillie Gifford American B Acc TR in GB**</t>
  </si>
  <si>
    <t>0.51</t>
  </si>
  <si>
    <t>GB0006061856</t>
  </si>
  <si>
    <t>Baillie Gifford American B Inc TR in GB</t>
  </si>
  <si>
    <t>GB00BD9MNT73</t>
  </si>
  <si>
    <t>01/03/2021</t>
  </si>
  <si>
    <t>GB0005924773</t>
  </si>
  <si>
    <t>Baillie Gifford British Smaller Companies A Acc in GB</t>
  </si>
  <si>
    <t>GB0005931356</t>
  </si>
  <si>
    <t>Baillie Gifford British Smaller Companies B Acc in GB</t>
  </si>
  <si>
    <t>GB0005930382</t>
  </si>
  <si>
    <t>Baillie Gifford British Smaller Companies B Inc TR in GB</t>
  </si>
  <si>
    <t>GB00B39RMM81</t>
  </si>
  <si>
    <t>Baillie Gifford China B Acc in GB</t>
  </si>
  <si>
    <t>GB00B3K73F73</t>
  </si>
  <si>
    <t>Baillie Gifford China B Inc TR in GB**</t>
  </si>
  <si>
    <t>GB0030491418</t>
  </si>
  <si>
    <t>Baillie Gifford Developed Asia Pacific A Acc in GB</t>
  </si>
  <si>
    <t>GB0030492044</t>
  </si>
  <si>
    <t>Baillie Gifford Developed Asia Pacific B Acc in GB**</t>
  </si>
  <si>
    <t>GB0030491632</t>
  </si>
  <si>
    <t>Baillie Gifford Developed Asia Pacific B Inc TR in GB**</t>
  </si>
  <si>
    <t>GB00B3FD0X77</t>
  </si>
  <si>
    <t>Baillie Gifford Diversified Growth A Acc in GB</t>
  </si>
  <si>
    <t>GB00B39RMP13</t>
  </si>
  <si>
    <t>Baillie Gifford Emerging Markets Bond A Inc TR in GB</t>
  </si>
  <si>
    <t>UT Global EM Bonds - Local Currency</t>
  </si>
  <si>
    <t>30/09/2020</t>
  </si>
  <si>
    <t>GB00B7MCJT41</t>
  </si>
  <si>
    <t>Baillie Gifford Emerging Markets Bond B Acc TR in GB**</t>
  </si>
  <si>
    <t>0.52</t>
  </si>
  <si>
    <t>GB00B39RMQ20</t>
  </si>
  <si>
    <t>Baillie Gifford Emerging Markets Bond B Inc TR in GB</t>
  </si>
  <si>
    <t>GB0006017825</t>
  </si>
  <si>
    <t>Baillie Gifford Emerging Markets Growth A Acc in GB</t>
  </si>
  <si>
    <t>GB0006020647</t>
  </si>
  <si>
    <t>Baillie Gifford Emerging Markets Growth B Acc TR in GB**</t>
  </si>
  <si>
    <t>GB0006020530</t>
  </si>
  <si>
    <t>Baillie Gifford Emerging Markets Growth B Inc TR in GB</t>
  </si>
  <si>
    <t>GB00B06HZM12</t>
  </si>
  <si>
    <t>Baillie Gifford Emerging Markets Leading Companies A Acc in GB</t>
  </si>
  <si>
    <t>GB00B06HZN29</t>
  </si>
  <si>
    <t>Baillie Gifford Emerging Markets Leading Companies B Acc in GB**</t>
  </si>
  <si>
    <t>GB00B06HZP43</t>
  </si>
  <si>
    <t>Baillie Gifford Emerging Markets Leading Companies B Inc TR in GB**</t>
  </si>
  <si>
    <t>GB0006057284</t>
  </si>
  <si>
    <t>Baillie Gifford European A Acc in GB</t>
  </si>
  <si>
    <t>GB0006058258</t>
  </si>
  <si>
    <t>Baillie Gifford European B Acc TR in GB**</t>
  </si>
  <si>
    <t>GB0006057391</t>
  </si>
  <si>
    <t>Baillie Gifford European B Inc TR in GB**</t>
  </si>
  <si>
    <t>GB00B61GGM26</t>
  </si>
  <si>
    <t>Baillie Gifford Global Alpha Growth A Acc in GB</t>
  </si>
  <si>
    <t>1.45</t>
  </si>
  <si>
    <t>GB00B61DJ021</t>
  </si>
  <si>
    <t>Baillie Gifford Global Alpha Growth B Acc in GB</t>
  </si>
  <si>
    <t>GB00B3PPZ729</t>
  </si>
  <si>
    <t>Baillie Gifford Global Alpha Growth B Inc TR in GB</t>
  </si>
  <si>
    <t>GB0006059116</t>
  </si>
  <si>
    <t>Baillie Gifford Global Discovery A Acc in GB</t>
  </si>
  <si>
    <t>GB0006059330</t>
  </si>
  <si>
    <t>Baillie Gifford Global Discovery B Acc TR in GB**</t>
  </si>
  <si>
    <t>GB0006059223</t>
  </si>
  <si>
    <t>Baillie Gifford Global Discovery B Inc TR in GB</t>
  </si>
  <si>
    <t>GB0005772362</t>
  </si>
  <si>
    <t>Baillie Gifford Global Income Growth A Acc in GB</t>
  </si>
  <si>
    <t>01/10/2020</t>
  </si>
  <si>
    <t>GB0005771950</t>
  </si>
  <si>
    <t>Baillie Gifford Global Income Growth A Inc TR in GB</t>
  </si>
  <si>
    <t>GB0005772479</t>
  </si>
  <si>
    <t>Baillie Gifford Global Income Growth B Acc TR in GB**</t>
  </si>
  <si>
    <t>GB0005772586</t>
  </si>
  <si>
    <t>Baillie Gifford Global Income Growth B Inc TR in GB</t>
  </si>
  <si>
    <t>GB00BYNK7G95</t>
  </si>
  <si>
    <t>Baillie Gifford Global Stewardship B Acc in GB</t>
  </si>
  <si>
    <t>GB00BMVLY038</t>
  </si>
  <si>
    <t>Baillie Gifford Health Innovation B Acc in GB</t>
  </si>
  <si>
    <t>05/03/2021</t>
  </si>
  <si>
    <t>GB00BMVLY145</t>
  </si>
  <si>
    <t>Baillie Gifford Health Innovation B Inc in GB</t>
  </si>
  <si>
    <t>GB00BMVLY475</t>
  </si>
  <si>
    <t>Baillie Gifford Health Innovation Y Acc in GB</t>
  </si>
  <si>
    <t>GB00BMVLY582</t>
  </si>
  <si>
    <t>Baillie Gifford Health Innovation Y Inc in GB</t>
  </si>
  <si>
    <t>GB0030816606</t>
  </si>
  <si>
    <t>Baillie Gifford High Yield Bond A Inc TR in GB</t>
  </si>
  <si>
    <t>Baillie Gifford High Yield Bond B Acc TR in GB**</t>
  </si>
  <si>
    <t>GB0030816713</t>
  </si>
  <si>
    <t>Baillie Gifford High Yield Bond B Inc TR in GB</t>
  </si>
  <si>
    <t>GB0005937932</t>
  </si>
  <si>
    <t>Baillie Gifford International A Acc in GB</t>
  </si>
  <si>
    <t>GB0005941272</t>
  </si>
  <si>
    <t>Baillie Gifford International B Acc in GB</t>
  </si>
  <si>
    <t>GB0005940316</t>
  </si>
  <si>
    <t>Baillie Gifford International B Inc TR in GB**</t>
  </si>
  <si>
    <t>GB0030816374</t>
  </si>
  <si>
    <t>Baillie Gifford Investment Grade Bond A Inc TR in GB</t>
  </si>
  <si>
    <t>GB00BYQCYS34</t>
  </si>
  <si>
    <t>Baillie Gifford Investment Grade Bond B Acc TR in GB**</t>
  </si>
  <si>
    <t>0.28</t>
  </si>
  <si>
    <t>GB0030816481</t>
  </si>
  <si>
    <t>Baillie Gifford Investment Grade Bond B Inc TR in GB**</t>
  </si>
  <si>
    <t>GB00BYQCYT41</t>
  </si>
  <si>
    <t>Baillie Gifford Investment Grade Long Bond B Acc TR in GB**</t>
  </si>
  <si>
    <t>GB0032501818</t>
  </si>
  <si>
    <t>Baillie Gifford Investment Grade Long Bond B Inc TR in GB**</t>
  </si>
  <si>
    <t>GB0006010838</t>
  </si>
  <si>
    <t>Baillie Gifford Japanese A Acc in GB</t>
  </si>
  <si>
    <t>Baillie Gifford Japanese B Acc in GB**</t>
  </si>
  <si>
    <t>GB0006010945</t>
  </si>
  <si>
    <t>Baillie Gifford Japanese B Inc TR in GB</t>
  </si>
  <si>
    <t>GB00BYZJQH88</t>
  </si>
  <si>
    <t>Baillie Gifford Japanese Income Growth B Acc in GB</t>
  </si>
  <si>
    <t>GB00BYZJQG71</t>
  </si>
  <si>
    <t>Baillie Gifford Japanese Income Growth B Inc TR in GB</t>
  </si>
  <si>
    <t>GB0006014475</t>
  </si>
  <si>
    <t>Baillie Gifford Japanese Smaller Companies A Acc in GB</t>
  </si>
  <si>
    <t>UT Japanese Smaller Companies</t>
  </si>
  <si>
    <t>GB0006014921</t>
  </si>
  <si>
    <t>Baillie Gifford Japanese Smaller Companies B Acc TR in GB**</t>
  </si>
  <si>
    <t>GB0006014582</t>
  </si>
  <si>
    <t>Baillie Gifford Japanese Smaller Companies B Inc TR in GB</t>
  </si>
  <si>
    <t>GB00BK6H5218</t>
  </si>
  <si>
    <t>02/12/2020</t>
  </si>
  <si>
    <t>GB00BD5Z0Z54</t>
  </si>
  <si>
    <t>Baillie Gifford Long Term Global Growth Investment B Acc in GB</t>
  </si>
  <si>
    <t>GB0006007891</t>
  </si>
  <si>
    <t>Baillie Gifford Managed A Acc in GB</t>
  </si>
  <si>
    <t>GB0006002397</t>
  </si>
  <si>
    <t>Baillie Gifford Managed A Inc TR in GB</t>
  </si>
  <si>
    <t>GB0006010168</t>
  </si>
  <si>
    <t>GB0006007909</t>
  </si>
  <si>
    <t>Baillie Gifford Managed B Inc TR in GB</t>
  </si>
  <si>
    <t>GB00BY9C5Y31</t>
  </si>
  <si>
    <t>Baillie Gifford Multi Asset Growth B1 Acc in GB</t>
  </si>
  <si>
    <t>GB00BFXY2857</t>
  </si>
  <si>
    <t>Baillie Gifford Multi Asset Income B Inc TR in GB</t>
  </si>
  <si>
    <t>0.56</t>
  </si>
  <si>
    <t>GB0006063126</t>
  </si>
  <si>
    <t>Baillie Gifford Pacific A Acc in GB</t>
  </si>
  <si>
    <t>GB0006063233</t>
  </si>
  <si>
    <t>Baillie Gifford Pacific B Acc TR in GB</t>
  </si>
  <si>
    <t>GB0006063340</t>
  </si>
  <si>
    <t>Baillie Gifford Pacific B Inc TR in GB</t>
  </si>
  <si>
    <t>GB00BYVGKV59</t>
  </si>
  <si>
    <t>Baillie Gifford Positive Change B Acc in GB</t>
  </si>
  <si>
    <t>GB00BYVGKX73</t>
  </si>
  <si>
    <t>Baillie Gifford Positive Change B Inc TR in GB</t>
  </si>
  <si>
    <t>GB00BFM4CT76</t>
  </si>
  <si>
    <t>Baillie Gifford Responsible Global Equity Income B Acc in GB</t>
  </si>
  <si>
    <t>GB00BFM4N494</t>
  </si>
  <si>
    <t>Baillie Gifford Responsible Global Equity Income B Inc TR in GB</t>
  </si>
  <si>
    <t>GB0005946776</t>
  </si>
  <si>
    <t>Baillie Gifford Strategic Bond A Acc in GB</t>
  </si>
  <si>
    <t>GB0005946669</t>
  </si>
  <si>
    <t>Baillie Gifford Strategic Bond A Inc TR in GB</t>
  </si>
  <si>
    <t>GB0005947857</t>
  </si>
  <si>
    <t>Baillie Gifford Strategic Bond B Acc TR in GB**</t>
  </si>
  <si>
    <t>GB0005947741</t>
  </si>
  <si>
    <t>Baillie Gifford Strategic Bond B Inc TR in GB</t>
  </si>
  <si>
    <t>GB0005857783</t>
  </si>
  <si>
    <t>Baillie Gifford UK Equity Alpha A Acc in GB</t>
  </si>
  <si>
    <t>GB0005857569</t>
  </si>
  <si>
    <t>Baillie Gifford UK Equity Alpha A Inc TR in GB</t>
  </si>
  <si>
    <t>GB0005858195</t>
  </si>
  <si>
    <t>Baillie Gifford UK Equity Alpha B Acc in GB</t>
  </si>
  <si>
    <t>GB0005857908</t>
  </si>
  <si>
    <t>Baillie Gifford UK Equity Alpha B Inc TR in GB</t>
  </si>
  <si>
    <t>31/12/2019</t>
  </si>
  <si>
    <t>1.55</t>
  </si>
  <si>
    <t>GB0000799923</t>
  </si>
  <si>
    <t>Barings Eastern Trust A Acc GBP in GB</t>
  </si>
  <si>
    <t>1.66</t>
  </si>
  <si>
    <t>31/08/2019</t>
  </si>
  <si>
    <t>GB00B2PSLG53</t>
  </si>
  <si>
    <t>Barings Eastern Trust A Inc GBP TR in GB</t>
  </si>
  <si>
    <t>GB00B8N7P312</t>
  </si>
  <si>
    <t>Barings Eastern Trust D Inc GBP TR in GB**</t>
  </si>
  <si>
    <t>09/10/2019</t>
  </si>
  <si>
    <t>GB00B9M3QP66</t>
  </si>
  <si>
    <t>Barings Eastern Trust I Acc GBP TR in GB**</t>
  </si>
  <si>
    <t>GB00B85JKH42</t>
  </si>
  <si>
    <t>Barings Eastern Trust I Inc GBP TR in GB</t>
  </si>
  <si>
    <t>GB0000796242</t>
  </si>
  <si>
    <t>Barings Europe Select Trust A Inc GBP TR in GB</t>
  </si>
  <si>
    <t>GB00B7NB1W76</t>
  </si>
  <si>
    <t>Barings Europe Select Trust I Inc GBP TR in GB</t>
  </si>
  <si>
    <t>GB0000804335</t>
  </si>
  <si>
    <t>Barings European Growth Trust A Inc GBP TR in GB</t>
  </si>
  <si>
    <t>GB00B8DDXV30</t>
  </si>
  <si>
    <t>Barings European Growth Trust I Inc GBP TR in GB**</t>
  </si>
  <si>
    <t>GB0000822576</t>
  </si>
  <si>
    <t>Barings German Growth Trust A Acc GBP in GB</t>
  </si>
  <si>
    <t>GB00B2PSLJ84</t>
  </si>
  <si>
    <t>Barings German Growth Trust A Inc GBP TR in GB</t>
  </si>
  <si>
    <t>GB00B9M3QX41</t>
  </si>
  <si>
    <t>Barings German Growth Trust I Acc GBP in GB</t>
  </si>
  <si>
    <t>GB00BX8ZV605</t>
  </si>
  <si>
    <t>Barings German Growth Trust I Hedged Acc GBP in GB</t>
  </si>
  <si>
    <t>GB00B8DDY871</t>
  </si>
  <si>
    <t>Barings German Growth Trust I Inc GBP TR in GB**</t>
  </si>
  <si>
    <t>GB00B3B9V927</t>
  </si>
  <si>
    <t>Barings Global Agriculture A Acc GBP in GB</t>
  </si>
  <si>
    <t>1.97</t>
  </si>
  <si>
    <t>GB00B3B9VD63</t>
  </si>
  <si>
    <t>Barings Global Agriculture I Acc GBP in GB**</t>
  </si>
  <si>
    <t>GB0000840719</t>
  </si>
  <si>
    <t>Barings Korea Trust A Acc GBP in GB</t>
  </si>
  <si>
    <t>31/10/2019</t>
  </si>
  <si>
    <t>GB00B9M3RQ49</t>
  </si>
  <si>
    <t>Barings Korea Trust I Acc GBP in GB</t>
  </si>
  <si>
    <t>GB00B8DD3Y69</t>
  </si>
  <si>
    <t>Barings Korea Trust I Inc GBP TR in GB**</t>
  </si>
  <si>
    <t>1.72</t>
  </si>
  <si>
    <t>GB0000831759</t>
  </si>
  <si>
    <t>Barings Strategic Bond A Inc GBP TR in GB</t>
  </si>
  <si>
    <t>GB00B8DF1J32</t>
  </si>
  <si>
    <t>Barings Strategic Bond I Inc GBP TR in GB**</t>
  </si>
  <si>
    <t>GB00B618DS31</t>
  </si>
  <si>
    <t>BlackRock Absolute Return Bond D in GB</t>
  </si>
  <si>
    <t>17/02/2021</t>
  </si>
  <si>
    <t>GB00B7VS8S56</t>
  </si>
  <si>
    <t>BlackRock Asia D Acc in GB</t>
  </si>
  <si>
    <t>GB00BJGZZ065</t>
  </si>
  <si>
    <t>BlackRock Asia Special Situations D Acc in GB</t>
  </si>
  <si>
    <t>GB0005810774</t>
  </si>
  <si>
    <t>BlackRock Balanced Growth Portfolio A Acc in GB</t>
  </si>
  <si>
    <t>GB0005810667</t>
  </si>
  <si>
    <t>BlackRock Balanced Growth Portfolio A Inc TR in GB</t>
  </si>
  <si>
    <t>GB00B7XQBS82</t>
  </si>
  <si>
    <t>BlackRock Balanced Growth Portfolio D Acc in GB</t>
  </si>
  <si>
    <t>GB00B7FKHX53</t>
  </si>
  <si>
    <t>BlackRock Balanced Growth Portfolio D Inc TR in GB</t>
  </si>
  <si>
    <t>GB0005849467</t>
  </si>
  <si>
    <t>UT Short Term Money Market</t>
  </si>
  <si>
    <t>GB0005849350</t>
  </si>
  <si>
    <t>BlackRock Cash A Inc TR in GB</t>
  </si>
  <si>
    <t>GB00B4V7NX18</t>
  </si>
  <si>
    <t>GB00B42XLZ68</t>
  </si>
  <si>
    <t>BlackRock Cash D Inc TR in GB</t>
  </si>
  <si>
    <t>GB00BW1YM199</t>
  </si>
  <si>
    <t>BlackRock Cash S Acc in GB**</t>
  </si>
  <si>
    <t>0.21</t>
  </si>
  <si>
    <t>GB0005804728</t>
  </si>
  <si>
    <t>BlackRock Continental European A Acc in GB</t>
  </si>
  <si>
    <t>1.67</t>
  </si>
  <si>
    <t>GB0005804504</t>
  </si>
  <si>
    <t>BlackRock Continental European A Inc TR in GB</t>
  </si>
  <si>
    <t>BlackRock Continental European D Acc in GB</t>
  </si>
  <si>
    <t>GB00B6YTYJ18</t>
  </si>
  <si>
    <t>BlackRock Continental European D Inc TR in GB</t>
  </si>
  <si>
    <t>GB00B3ZW3465</t>
  </si>
  <si>
    <t>BlackRock Continental European Income A Acc in GB</t>
  </si>
  <si>
    <t>GB00B43MZ612</t>
  </si>
  <si>
    <t>BlackRock Continental European Income A Inc TR in GB</t>
  </si>
  <si>
    <t>GB00B3S9LG25</t>
  </si>
  <si>
    <t>BlackRock Continental European Income D Acc in GB</t>
  </si>
  <si>
    <t>GB00BWG07178</t>
  </si>
  <si>
    <t>BlackRock Continental European Income D Hedged Acc in GB</t>
  </si>
  <si>
    <t>GB00BWG07G21</t>
  </si>
  <si>
    <t>BlackRock Continental European Income D Hedged Inc TR in GB</t>
  </si>
  <si>
    <t>GB00B3Y7MQ71</t>
  </si>
  <si>
    <t>BlackRock Continental European Income D Inc TR in GB</t>
  </si>
  <si>
    <t>GB00B3X6GL85</t>
  </si>
  <si>
    <t>GB00B84DT147</t>
  </si>
  <si>
    <t>BlackRock Corporate Bond 1 to 10 Year D in GB</t>
  </si>
  <si>
    <t>0.17</t>
  </si>
  <si>
    <t>GB0005769541</t>
  </si>
  <si>
    <t>GB0003749982</t>
  </si>
  <si>
    <t>BlackRock Corporate Bond A Inc TR in GB</t>
  </si>
  <si>
    <t>GB00B4QC3311</t>
  </si>
  <si>
    <t>GB00B4T5JV79</t>
  </si>
  <si>
    <t>BlackRock Corporate Bond D Inc TR in GB</t>
  </si>
  <si>
    <t>GB00BK1PJT53</t>
  </si>
  <si>
    <t>BlackRock Corporate Bond S Acc in GB**</t>
  </si>
  <si>
    <t>GB00BK1PK476</t>
  </si>
  <si>
    <t>BlackRock Corporate Bond S Inc TR in GB**</t>
  </si>
  <si>
    <t>GB00B1577C37</t>
  </si>
  <si>
    <t>BlackRock Dynamic Diversified Growth A Acc in GB</t>
  </si>
  <si>
    <t>GB00B1577H81</t>
  </si>
  <si>
    <t>BlackRock Dynamic Diversified Growth A Inc TR in GB</t>
  </si>
  <si>
    <t>GB00B823TT41</t>
  </si>
  <si>
    <t>BlackRock Dynamic Diversified Growth D Acc in GB</t>
  </si>
  <si>
    <t>GB00B883P127</t>
  </si>
  <si>
    <t>BlackRock Dynamic Diversified Growth D Inc TR in GB</t>
  </si>
  <si>
    <t>GB0005860944</t>
  </si>
  <si>
    <t>BlackRock Emerging Markets A Acc in GB</t>
  </si>
  <si>
    <t>GB0005860837</t>
  </si>
  <si>
    <t>BlackRock Emerging Markets A Inc TR in GB</t>
  </si>
  <si>
    <t>GB00B4R9F681</t>
  </si>
  <si>
    <t>BlackRock Emerging Markets D Acc in GB</t>
  </si>
  <si>
    <t>GB00B88T6625</t>
  </si>
  <si>
    <t>BlackRock Emerging Markets D Inc TR in GB</t>
  </si>
  <si>
    <t>GB00B4Y62W78</t>
  </si>
  <si>
    <t>BlackRock European Absolute Alpha D Acc in GB</t>
  </si>
  <si>
    <t>GB00B4Y62T40</t>
  </si>
  <si>
    <t>BlackRock European Absolute Alpha P Acc in GB</t>
  </si>
  <si>
    <t>GB0000495209</t>
  </si>
  <si>
    <t>BlackRock European Dynamic A Acc in GB</t>
  </si>
  <si>
    <t>GB0000494905</t>
  </si>
  <si>
    <t>BlackRock European Dynamic A Inc TR in GB</t>
  </si>
  <si>
    <t>GB00B5W2QB11</t>
  </si>
  <si>
    <t>BlackRock European Dynamic D Acc in GB</t>
  </si>
  <si>
    <t>GB00B8440Z89</t>
  </si>
  <si>
    <t>BlackRock European Dynamic D Inc TR in GB</t>
  </si>
  <si>
    <t>GB00BCZRNL16</t>
  </si>
  <si>
    <t>BlackRock European Dynamic FA Acc in GB</t>
  </si>
  <si>
    <t>GB00BCZRNN30</t>
  </si>
  <si>
    <t>BlackRock European Dynamic FD Acc in GB**</t>
  </si>
  <si>
    <t>GB00BWG05X55</t>
  </si>
  <si>
    <t>BlackRock European Dynamic FD Hedged Acc in GB</t>
  </si>
  <si>
    <t>GB00BWG05Z79</t>
  </si>
  <si>
    <t>BlackRock European Dynamic FD Hedged Inc TR in GB</t>
  </si>
  <si>
    <t>GB00BCZRNM23</t>
  </si>
  <si>
    <t>BlackRock European Dynamic FD Inc TR in GB**</t>
  </si>
  <si>
    <t>GB0000646421</t>
  </si>
  <si>
    <t>GB0000645019</t>
  </si>
  <si>
    <t>GB00B4XLYS34</t>
  </si>
  <si>
    <t>GB00B8DDP952</t>
  </si>
  <si>
    <t>GB00B3R9X560</t>
  </si>
  <si>
    <t>BlackRock Global Income A Acc in GB</t>
  </si>
  <si>
    <t>GB00B45NTV55</t>
  </si>
  <si>
    <t>BlackRock Global Income A Inc TR in GB</t>
  </si>
  <si>
    <t>GB00B3L7Q242</t>
  </si>
  <si>
    <t>BlackRock Global Income D Acc in GB</t>
  </si>
  <si>
    <t>GB00B3VXK756</t>
  </si>
  <si>
    <t>BlackRock Global Income D Inc TR in GB</t>
  </si>
  <si>
    <t>GB00BFK3ML85</t>
  </si>
  <si>
    <t>BlackRock Global Unconstrained Equity (UK) D in GB</t>
  </si>
  <si>
    <t>GB0005852396</t>
  </si>
  <si>
    <t>BlackRock Gold &amp; General A Acc in GB</t>
  </si>
  <si>
    <t>1.92</t>
  </si>
  <si>
    <t>GB0001732584</t>
  </si>
  <si>
    <t>BlackRock Gold &amp; General A Inc TR in GB**</t>
  </si>
  <si>
    <t>GB00B5ZNJ896</t>
  </si>
  <si>
    <t>BlackRock Gold &amp; General D Acc in GB</t>
  </si>
  <si>
    <t>GB00B5ZNJ904</t>
  </si>
  <si>
    <t>BlackRock Gold &amp; General D Inc TR in GB</t>
  </si>
  <si>
    <t>GB00B99BDY18</t>
  </si>
  <si>
    <t>BlackRock Gold &amp; General DI Acc in GB**</t>
  </si>
  <si>
    <t>GB00B99BF015</t>
  </si>
  <si>
    <t>BlackRock Gold &amp; General DI Inc TR in GB**</t>
  </si>
  <si>
    <t>GB00BS7K6668</t>
  </si>
  <si>
    <t>0.44</t>
  </si>
  <si>
    <t>GB00BFBFYB71</t>
  </si>
  <si>
    <t>BlackRock MyMap 3 D Acc in GB</t>
  </si>
  <si>
    <t>GB00BFBFYC88</t>
  </si>
  <si>
    <t>BlackRock MyMap 3 D Inc TR in GB</t>
  </si>
  <si>
    <t>GB00BFBFYJ57</t>
  </si>
  <si>
    <t>BlackRock MyMap 4 D Acc in GB</t>
  </si>
  <si>
    <t>GB00BFBFYK62</t>
  </si>
  <si>
    <t>BlackRock MyMap 4 D Inc TR in GB</t>
  </si>
  <si>
    <t>GB00BFBFYQ25</t>
  </si>
  <si>
    <t>BlackRock MyMap 5 D Acc in GB</t>
  </si>
  <si>
    <t>GB00BFBFYR32</t>
  </si>
  <si>
    <t>BlackRock MyMap 5 D Inc TR in GB</t>
  </si>
  <si>
    <t>GB00BFBFZ140</t>
  </si>
  <si>
    <t>BlackRock MyMap 6 D Acc in GB</t>
  </si>
  <si>
    <t>GB00BFBFZ256</t>
  </si>
  <si>
    <t>BlackRock MyMap 6 D Inc TR in GB</t>
  </si>
  <si>
    <t>GB00B3ZLCR97</t>
  </si>
  <si>
    <t>BlackRock Natural Resources Growth &amp; Income A Acc in GB</t>
  </si>
  <si>
    <t>GB00B6865B79</t>
  </si>
  <si>
    <t>BlackRock Natural Resources Growth &amp; Income D Acc in GB</t>
  </si>
  <si>
    <t>GB00B46KYQ57</t>
  </si>
  <si>
    <t>BlackRock Natural Resources Growth &amp; Income D Inc TR in GB</t>
  </si>
  <si>
    <t>GB00B7KPX155</t>
  </si>
  <si>
    <t>BlackRock NURS II Consensus 100 D in GB</t>
  </si>
  <si>
    <t>GB00B7W6H253</t>
  </si>
  <si>
    <t>BlackRock NURS II Consensus 35 D in GB</t>
  </si>
  <si>
    <t>0.22</t>
  </si>
  <si>
    <t>GB00B86VJL67</t>
  </si>
  <si>
    <t>BlackRock NURS II Consensus 60 D in GB</t>
  </si>
  <si>
    <t>12/03/2021</t>
  </si>
  <si>
    <t>GB00B86MM213</t>
  </si>
  <si>
    <t>BlackRock NURS II Consensus 70 D in GB</t>
  </si>
  <si>
    <t>GB00B8D0SR58</t>
  </si>
  <si>
    <t>BlackRock NURS II Consensus 85 D in GB**</t>
  </si>
  <si>
    <t>GB00BZ6DDJ74</t>
  </si>
  <si>
    <t>BlackRock Sterling Strategic Bond D Acc in GB</t>
  </si>
  <si>
    <t>GB00BZ6DDM04</t>
  </si>
  <si>
    <t>BlackRock Sterling Strategic Bond D Inc TR in GB</t>
  </si>
  <si>
    <t>GB0005773774</t>
  </si>
  <si>
    <t>BlackRock UK A Acc in GB</t>
  </si>
  <si>
    <t>GB0005773881</t>
  </si>
  <si>
    <t>BlackRock UK A Inc TR in GB</t>
  </si>
  <si>
    <t>GB00B5ZNQ990</t>
  </si>
  <si>
    <t>BlackRock UK Absolute Alpha D Acc in GB</t>
  </si>
  <si>
    <t>GB00B11V7T69</t>
  </si>
  <si>
    <t>BlackRock UK Absolute Alpha P Acc in GB**</t>
  </si>
  <si>
    <t>GB00B5YKQK23</t>
  </si>
  <si>
    <t>BlackRock UK D Acc in GB</t>
  </si>
  <si>
    <t>GB00B586CB96</t>
  </si>
  <si>
    <t>BlackRock UK D Inc TR in GB</t>
  </si>
  <si>
    <t>BlackRock UK Equity D Acc TR in GB**</t>
  </si>
  <si>
    <t>GB0005803316</t>
  </si>
  <si>
    <t>BlackRock UK Equity I Inc TR in GB</t>
  </si>
  <si>
    <t>GB0005804942</t>
  </si>
  <si>
    <t>BlackRock UK Income A Acc in GB</t>
  </si>
  <si>
    <t>GB0005804835</t>
  </si>
  <si>
    <t>BlackRock UK Income A Inc TR in GB</t>
  </si>
  <si>
    <t>GB00B67DWT67</t>
  </si>
  <si>
    <t>BlackRock UK Income D Acc in GB</t>
  </si>
  <si>
    <t>GB00B67DWR44</t>
  </si>
  <si>
    <t>BlackRock UK Income D Inc TR in GB</t>
  </si>
  <si>
    <t>GB00BK1PK369</t>
  </si>
  <si>
    <t>BlackRock UK Income S Inc TR in GB**</t>
  </si>
  <si>
    <t>GB0005811418</t>
  </si>
  <si>
    <t>BlackRock UK Smaller Companies A Acc in GB</t>
  </si>
  <si>
    <t>GB0005811301</t>
  </si>
  <si>
    <t>BlackRock UK Smaller Companies A Inc TR in GB</t>
  </si>
  <si>
    <t>GB00B4LHDZ30</t>
  </si>
  <si>
    <t>BlackRock UK Smaller Companies D Acc in GB</t>
  </si>
  <si>
    <t>GB00B8BS3324</t>
  </si>
  <si>
    <t>BlackRock UK Smaller Companies D Inc TR in GB</t>
  </si>
  <si>
    <t>GB0005805022</t>
  </si>
  <si>
    <t>BlackRock UK Special Situations A Acc in GB</t>
  </si>
  <si>
    <t>GB0005803977</t>
  </si>
  <si>
    <t>BlackRock UK Special Situations A Inc TR in GB**</t>
  </si>
  <si>
    <t>GB00B3V1C060</t>
  </si>
  <si>
    <t>BlackRock UK Special Situations D Acc in GB</t>
  </si>
  <si>
    <t>GB00B3R25W66</t>
  </si>
  <si>
    <t>BlackRock UK Special Situations D Inc TR in GB</t>
  </si>
  <si>
    <t>GB0005804165</t>
  </si>
  <si>
    <t>BlackRock US Dynamic A Acc in GB</t>
  </si>
  <si>
    <t>GB0005803191</t>
  </si>
  <si>
    <t>BlackRock US Dynamic A Inc TR in GB</t>
  </si>
  <si>
    <t>GB00B87XJQ69</t>
  </si>
  <si>
    <t>BlackRock US Dynamic D Acc in GB</t>
  </si>
  <si>
    <t>GB00B8GKJQ82</t>
  </si>
  <si>
    <t>BlackRock US Dynamic D Inc TR in GB</t>
  </si>
  <si>
    <t>GB0005811855</t>
  </si>
  <si>
    <t>BlackRock US Opportunities A Acc in GB</t>
  </si>
  <si>
    <t>GB0005811749</t>
  </si>
  <si>
    <t>BlackRock US Opportunities A Inc TR in GB</t>
  </si>
  <si>
    <t>GB00B8GMZS88</t>
  </si>
  <si>
    <t>BlackRock US Opportunities D Acc in GB</t>
  </si>
  <si>
    <t>GB00B80S7M00</t>
  </si>
  <si>
    <t>BlackRock US Opportunities D Inc TR in GB</t>
  </si>
  <si>
    <t>GB00B054QF32</t>
  </si>
  <si>
    <t>GB00B054QG49</t>
  </si>
  <si>
    <t>GB00B5T81S44</t>
  </si>
  <si>
    <t>GB00B054QH55</t>
  </si>
  <si>
    <t>GB00B5W8NJ69</t>
  </si>
  <si>
    <t>GB00B61MR835</t>
  </si>
  <si>
    <t>GB00B62WNX98</t>
  </si>
  <si>
    <t>GB00B62HCL52</t>
  </si>
  <si>
    <t>GB00B054QL91</t>
  </si>
  <si>
    <t>GB00B054QN16</t>
  </si>
  <si>
    <t>1.78</t>
  </si>
  <si>
    <t>GB00BDX8Y871</t>
  </si>
  <si>
    <t>1.21</t>
  </si>
  <si>
    <t>GB0033143115</t>
  </si>
  <si>
    <t>BMO Asia Pacific Equity 1 Acc in GB</t>
  </si>
  <si>
    <t>14/01/2021</t>
  </si>
  <si>
    <t>GB00B23SF324</t>
  </si>
  <si>
    <t>BMO Asia Pacific Equity 2 Acc in GB</t>
  </si>
  <si>
    <t>GB0005801484</t>
  </si>
  <si>
    <t>BMO Corporate Bond 1 Inc TR in GB</t>
  </si>
  <si>
    <t>GB00B77G9791</t>
  </si>
  <si>
    <t>BMO Corporate Bond C Inc TR in GB</t>
  </si>
  <si>
    <t>GB0003460507</t>
  </si>
  <si>
    <t>BMO Diversified Monthly Income 1 Inc TR in GB</t>
  </si>
  <si>
    <t>2.14</t>
  </si>
  <si>
    <t>15/03/2021</t>
  </si>
  <si>
    <t>GB00BYZ62Z90</t>
  </si>
  <si>
    <t>BMO Diversified Monthly Income C Inc TR in GB**</t>
  </si>
  <si>
    <t>GB0005751002</t>
  </si>
  <si>
    <t>BMO Emerging Markets Equity 1 Acc in GB</t>
  </si>
  <si>
    <t>2.41</t>
  </si>
  <si>
    <t>GB00B5463542</t>
  </si>
  <si>
    <t>BMO Emerging Markets Equity 2 Acc in GB</t>
  </si>
  <si>
    <t>1.11</t>
  </si>
  <si>
    <t>GB0033138024</t>
  </si>
  <si>
    <t>BMO FTSE All-Share Tracker 1 Acc TR in GB**</t>
  </si>
  <si>
    <t>GB0008464199</t>
  </si>
  <si>
    <t>BMO FTSE All-Share Tracker 1 Inc TR in GB</t>
  </si>
  <si>
    <t>GB0033138131</t>
  </si>
  <si>
    <t>BMO FTSE All-Share Tracker 2 Acc TR in GB**</t>
  </si>
  <si>
    <t>GB0008464645</t>
  </si>
  <si>
    <t>BMO FTSE All-Share Tracker 2 Inc TR in GB</t>
  </si>
  <si>
    <t>GB0008465501</t>
  </si>
  <si>
    <t>BMO FTSE All-Share Tracker 3 Inc TR in GB**</t>
  </si>
  <si>
    <t>GB00BJ05NG47</t>
  </si>
  <si>
    <t>BMO Global Real Estate Securities 2 Acc in GB</t>
  </si>
  <si>
    <t>GB0033145268</t>
  </si>
  <si>
    <t>BMO Global Total Return Bond (GBP Hedged) 1 Acc in GB</t>
  </si>
  <si>
    <t>GB0033145151</t>
  </si>
  <si>
    <t>BMO Global Total Return Bond (GBP Hedged) 1 Inc TR in GB</t>
  </si>
  <si>
    <t>GB00B80KFS89</t>
  </si>
  <si>
    <t>BMO Global Total Return Bond (GBP Hedged) C Acc TR in GB**</t>
  </si>
  <si>
    <t>GB00B80KHR13</t>
  </si>
  <si>
    <t>BMO Global Total Return Bond (GBP Hedged) C Inc TR in GB</t>
  </si>
  <si>
    <t>GB00B8460N21</t>
  </si>
  <si>
    <t>BMO Long Dated Sterling Corporate Bond 3 Acc in GB</t>
  </si>
  <si>
    <t>GB0033141846</t>
  </si>
  <si>
    <t>BMO Managed Growth 1 Acc in GB</t>
  </si>
  <si>
    <t>1.96</t>
  </si>
  <si>
    <t>GB00BYZ62Y83</t>
  </si>
  <si>
    <t>BMO Managed Growth C Acc in GB**</t>
  </si>
  <si>
    <t>GB00BYZ62W69</t>
  </si>
  <si>
    <t>BMO Managed Growth C Inc TR in GB**</t>
  </si>
  <si>
    <t>GB00BG5GMB95</t>
  </si>
  <si>
    <t>BMO MM Lifestyle 3 B Acc in GB</t>
  </si>
  <si>
    <t>GB00BG5GM973</t>
  </si>
  <si>
    <t>BMO MM Lifestyle 3 B Inc TR in GB</t>
  </si>
  <si>
    <t>GB00B1TMPQ43</t>
  </si>
  <si>
    <t>BMO MM Lifestyle 4 A Acc in GB</t>
  </si>
  <si>
    <t>GB00B83XVS65</t>
  </si>
  <si>
    <t>BMO MM Lifestyle 4 B Acc TR in GB**</t>
  </si>
  <si>
    <t>0.97</t>
  </si>
  <si>
    <t>GB00B4YQGY73</t>
  </si>
  <si>
    <t>BMO MM Lifestyle 4 B Inc TR in GB**</t>
  </si>
  <si>
    <t>GB00B1TMPP36</t>
  </si>
  <si>
    <t>BMO MM Lifestyle 5 A Acc in GB</t>
  </si>
  <si>
    <t>1.99</t>
  </si>
  <si>
    <t>GB00B7MXZP57</t>
  </si>
  <si>
    <t>BMO MM Lifestyle 5 B Acc TR in GB**</t>
  </si>
  <si>
    <t>GB00B4YRCK80</t>
  </si>
  <si>
    <t>BMO MM Lifestyle 5 B Inc TR in GB**</t>
  </si>
  <si>
    <t>GB00B1TMPN12</t>
  </si>
  <si>
    <t>BMO MM Lifestyle 6 A Acc in GB</t>
  </si>
  <si>
    <t>GB00B7S6RS52</t>
  </si>
  <si>
    <t>BMO MM Lifestyle 6 B Acc TR in GB**</t>
  </si>
  <si>
    <t>GB00B503GT43</t>
  </si>
  <si>
    <t>BMO MM Lifestyle 6 B Inc TR in GB**</t>
  </si>
  <si>
    <t>GB00B1TMPR59</t>
  </si>
  <si>
    <t>BMO MM Lifestyle 7 A Acc in GB</t>
  </si>
  <si>
    <t>GB00B8987430</t>
  </si>
  <si>
    <t>BMO MM Lifestyle 7 B Acc TR in GB**</t>
  </si>
  <si>
    <t>GB00B4YRDJ41</t>
  </si>
  <si>
    <t>BMO MM Lifestyle 7 B Inc TR in GB**</t>
  </si>
  <si>
    <t>GB00B23Y3920</t>
  </si>
  <si>
    <t>BMO MM Navigator Balanced A Acc in GB</t>
  </si>
  <si>
    <t>2.53</t>
  </si>
  <si>
    <t>22/03/2021</t>
  </si>
  <si>
    <t>GB00B23Y3813</t>
  </si>
  <si>
    <t>BMO MM Navigator Balanced A Inc TR in GB</t>
  </si>
  <si>
    <t>GB00B80KKL63</t>
  </si>
  <si>
    <t>BMO MM Navigator Balanced C Acc in GB</t>
  </si>
  <si>
    <t>GB00B80KN069</t>
  </si>
  <si>
    <t>BMO MM Navigator Balanced C Inc TR in GB**</t>
  </si>
  <si>
    <t>GB00B23Y3K38</t>
  </si>
  <si>
    <t>BMO MM Navigator Boutiques A Acc in GB</t>
  </si>
  <si>
    <t>2.61</t>
  </si>
  <si>
    <t>GB00B80L5H04</t>
  </si>
  <si>
    <t>BMO MM Navigator Boutiques C Acc in GB</t>
  </si>
  <si>
    <t>1.86</t>
  </si>
  <si>
    <t>GB00B23Y3C53</t>
  </si>
  <si>
    <t>BMO MM Navigator Cautious A Acc in GB</t>
  </si>
  <si>
    <t>2.29</t>
  </si>
  <si>
    <t>GB00B23Y3B47</t>
  </si>
  <si>
    <t>BMO MM Navigator Cautious A Inc TR in GB</t>
  </si>
  <si>
    <t>2.30</t>
  </si>
  <si>
    <t>GB00B80KPZ54</t>
  </si>
  <si>
    <t>BMO MM Navigator Cautious C Acc in GB</t>
  </si>
  <si>
    <t>GB00B80KRT35</t>
  </si>
  <si>
    <t>BMO MM Navigator Cautious C Inc TR in GB**</t>
  </si>
  <si>
    <t>GB00B23Y3F84</t>
  </si>
  <si>
    <t>BMO MM Navigator Distribution A Acc in GB</t>
  </si>
  <si>
    <t>GB00B23Y3D60</t>
  </si>
  <si>
    <t>BMO MM Navigator Distribution A Inc TR in GB</t>
  </si>
  <si>
    <t>GB00B80KXN90</t>
  </si>
  <si>
    <t>BMO MM Navigator Distribution C Acc in GB**</t>
  </si>
  <si>
    <t>GB00B80KZH70</t>
  </si>
  <si>
    <t>BMO MM Navigator Distribution C Inc TR in GB</t>
  </si>
  <si>
    <t>GB00BZCTP049</t>
  </si>
  <si>
    <t>BMO MM Navigator Distribution M Inc TR in GB**</t>
  </si>
  <si>
    <t>GB00B23Y3H09</t>
  </si>
  <si>
    <t>BMO MM Navigator Growth A Acc in GB</t>
  </si>
  <si>
    <t>2.49</t>
  </si>
  <si>
    <t>GB00B80L3W15</t>
  </si>
  <si>
    <t>BMO MM Navigator Growth C Acc in GB</t>
  </si>
  <si>
    <t>GB0033142588</t>
  </si>
  <si>
    <t>BMO Multi-Manager Investment Trust 1 Acc in GB</t>
  </si>
  <si>
    <t>2.75</t>
  </si>
  <si>
    <t>GB00B80KBX52</t>
  </si>
  <si>
    <t>BMO Multi-Manager Investment Trust C Acc in GB</t>
  </si>
  <si>
    <t>GB0009455436</t>
  </si>
  <si>
    <t>BMO Multi-Sector Bond 1 Inc TR in GB</t>
  </si>
  <si>
    <t>GB00B783SR26</t>
  </si>
  <si>
    <t>BMO Multi-Sector Bond C Inc TR in GB</t>
  </si>
  <si>
    <t>GB0002053006</t>
  </si>
  <si>
    <t>BMO Multi-Sector Higher Income Bond 1 Inc TR in GB</t>
  </si>
  <si>
    <t>GB00B8191314</t>
  </si>
  <si>
    <t>BMO Multi-Sector Higher Income Bond C Inc TR in GB</t>
  </si>
  <si>
    <t>GB0030281405</t>
  </si>
  <si>
    <t>BMO North American Equity 1 Acc in GB</t>
  </si>
  <si>
    <t>1.88</t>
  </si>
  <si>
    <t>GB0030281512</t>
  </si>
  <si>
    <t>BMO North American Equity 2 Acc in GB</t>
  </si>
  <si>
    <t>GB00B55H7436</t>
  </si>
  <si>
    <t>BMO Overseas Equity-Linked UK Gilt 3 Acc in GB</t>
  </si>
  <si>
    <t>GB00B4NVY384</t>
  </si>
  <si>
    <t>BMO Overseas Equity-Linked UK Inflation 3 Acc in GB</t>
  </si>
  <si>
    <t>GB00BQWJ8687</t>
  </si>
  <si>
    <t>BMO Property Growth &amp; Income I Acc in GB</t>
  </si>
  <si>
    <t>GB00BQWJ8794</t>
  </si>
  <si>
    <t>BMO Property Growth &amp; Income I Inc TR in GB**</t>
  </si>
  <si>
    <t>GB0030833650</t>
  </si>
  <si>
    <t>BMO Responsible Global Equity 1 Acc in GB</t>
  </si>
  <si>
    <t>GB0030833767</t>
  </si>
  <si>
    <t>BMO Responsible Global Equity 1 Inc TR in GB</t>
  </si>
  <si>
    <t>GB0033145045</t>
  </si>
  <si>
    <t>BMO Responsible Global Equity 2 Acc in GB</t>
  </si>
  <si>
    <t>GB00B828PQ84</t>
  </si>
  <si>
    <t>BMO Responsible Global Equity 2 Inc TR in GB**</t>
  </si>
  <si>
    <t>GB00B23YHT07</t>
  </si>
  <si>
    <t>BMO Responsible Sterling Corporate Bond 1 Inc TR in GB</t>
  </si>
  <si>
    <t>GB00B23YHV29</t>
  </si>
  <si>
    <t>BMO Responsible Sterling Corporate Bond 2 Inc TR in GB</t>
  </si>
  <si>
    <t>GB00B4RB3Z95</t>
  </si>
  <si>
    <t>BMO Responsible Sterling Corporate Bond C Inc TR in GB</t>
  </si>
  <si>
    <t>GB0030833981</t>
  </si>
  <si>
    <t>BMO Responsible UK Equity 1 Acc in GB</t>
  </si>
  <si>
    <t>GB0030834518</t>
  </si>
  <si>
    <t>BMO Responsible UK Equity 1 Inc TR in GB</t>
  </si>
  <si>
    <t>GB0033396481</t>
  </si>
  <si>
    <t>BMO Responsible UK Equity 2 Acc in GB**</t>
  </si>
  <si>
    <t>GB00B8BKZY38</t>
  </si>
  <si>
    <t>BMO Responsible UK Equity 2 Inc TR in GB**</t>
  </si>
  <si>
    <t>GB0030835580</t>
  </si>
  <si>
    <t>BMO Responsible UK Income 1 Acc in GB</t>
  </si>
  <si>
    <t>1.80</t>
  </si>
  <si>
    <t>GB0030835697</t>
  </si>
  <si>
    <t>BMO Responsible UK Income 1 Inc TR in GB</t>
  </si>
  <si>
    <t>1.87</t>
  </si>
  <si>
    <t>GB00B4NKFT88</t>
  </si>
  <si>
    <t>BMO Responsible UK Income 2 Acc TR in GB**</t>
  </si>
  <si>
    <t>GB0033144857</t>
  </si>
  <si>
    <t>BMO Responsible UK Income 2 Inc TR in GB**</t>
  </si>
  <si>
    <t>GB0008464082</t>
  </si>
  <si>
    <t>BMO Select European Equity 1 Acc in GB</t>
  </si>
  <si>
    <t>GB00B3CS8Q40</t>
  </si>
  <si>
    <t>BMO Select European Equity 1 Inc TR in GB**</t>
  </si>
  <si>
    <t>GB00B4Q7SF31</t>
  </si>
  <si>
    <t>BMO Select European Equity 2 Acc in GB</t>
  </si>
  <si>
    <t>GB00B4P2X988</t>
  </si>
  <si>
    <t>BMO Select European Equity 2 Inc TR in GB**</t>
  </si>
  <si>
    <t>GB0008463894</t>
  </si>
  <si>
    <t>BMO Select UK Equity 1 Acc in GB</t>
  </si>
  <si>
    <t>GB0008464314</t>
  </si>
  <si>
    <t>BMO Select UK Equity 2 Acc in GB</t>
  </si>
  <si>
    <t>GB0008464207</t>
  </si>
  <si>
    <t>BMO Sustainable Opportunities Global Equity 1 Acc in GB</t>
  </si>
  <si>
    <t>2.11</t>
  </si>
  <si>
    <t>GB00BYZ62V52</t>
  </si>
  <si>
    <t>BMO Sustainable Opportunities Global Equity C Acc in GB**</t>
  </si>
  <si>
    <t>GB00BKV44860</t>
  </si>
  <si>
    <t>BMO Sustainable Universal MAP Balanced C Acc GBP in GB</t>
  </si>
  <si>
    <t>0.39</t>
  </si>
  <si>
    <t>09/12/2019</t>
  </si>
  <si>
    <t>GB00BKV44647</t>
  </si>
  <si>
    <t>BMO Sustainable Universal MAP Cautious C Acc GBP in GB</t>
  </si>
  <si>
    <t>GB00BKV44B91</t>
  </si>
  <si>
    <t>BMO Sustainable Universal MAP Growth C Acc GBP in GB</t>
  </si>
  <si>
    <t>GB0033146126</t>
  </si>
  <si>
    <t>BMO UK Equity Income 1 Acc in GB</t>
  </si>
  <si>
    <t>GB0033146019</t>
  </si>
  <si>
    <t>BMO UK Equity Income 1 Inc TR in GB</t>
  </si>
  <si>
    <t>2.04</t>
  </si>
  <si>
    <t>GB00B7TFC979</t>
  </si>
  <si>
    <t>BMO UK Equity Income 2 Acc TR in GB**</t>
  </si>
  <si>
    <t>GB00B60HHR87</t>
  </si>
  <si>
    <t>BMO UK Equity Income 2 Inc TR in GB</t>
  </si>
  <si>
    <t>GB00B4WHQ646</t>
  </si>
  <si>
    <t>BMO UK Equity-Linked Gilt 2 Acc in GB**</t>
  </si>
  <si>
    <t>GB00B3MWZ870</t>
  </si>
  <si>
    <t>BMO UK Equity-Linked Gilt 2 Inc TR in GB**</t>
  </si>
  <si>
    <t>GB00B4WP7L06</t>
  </si>
  <si>
    <t>BMO UK Equity-Linked Gilt 3 Acc in GB</t>
  </si>
  <si>
    <t>GB00B4R4LG53</t>
  </si>
  <si>
    <t>BMO UK Equity-Linked Inflation 3 Acc in GB</t>
  </si>
  <si>
    <t>0.36</t>
  </si>
  <si>
    <t>GB00B0RBLJ18</t>
  </si>
  <si>
    <t>BMO UK Mid-Cap 1 Acc in GB</t>
  </si>
  <si>
    <t>2.17</t>
  </si>
  <si>
    <t>GB00BD8YZ090</t>
  </si>
  <si>
    <t>BMO UK Mid-Cap 3 Acc in GB**</t>
  </si>
  <si>
    <t>GB00B60SFN31</t>
  </si>
  <si>
    <t>BMO UK Mid-Cap C Acc in GB**</t>
  </si>
  <si>
    <t>GB00BWZMHK32</t>
  </si>
  <si>
    <t>BMO UK Property Feeder 1 Acc in GB</t>
  </si>
  <si>
    <t>GB00BWZMHJ27</t>
  </si>
  <si>
    <t>BMO UK Property Feeder 1 Inc TR in GB</t>
  </si>
  <si>
    <t>GB00BWZMHM55</t>
  </si>
  <si>
    <t>BMO UK Property Feeder 2 Acc in GB</t>
  </si>
  <si>
    <t>GB00BWZMHL49</t>
  </si>
  <si>
    <t>BMO UK Property Feeder 2 Inc TR in GB</t>
  </si>
  <si>
    <t>GB0005801609</t>
  </si>
  <si>
    <t>BMO UK Smaller Companies 1 Acc in GB</t>
  </si>
  <si>
    <t>1.85</t>
  </si>
  <si>
    <t>GB0005843882</t>
  </si>
  <si>
    <t>BMO UK Smaller Companies 2 Acc in GB</t>
  </si>
  <si>
    <t>GB00BK5Z9G83</t>
  </si>
  <si>
    <t>BMO Universal MAP Adventurous C Acc in GB</t>
  </si>
  <si>
    <t>GB00BF99W060</t>
  </si>
  <si>
    <t>BMO Universal MAP Balanced C Acc in GB</t>
  </si>
  <si>
    <t>GB00BF99VY38</t>
  </si>
  <si>
    <t>BMO Universal MAP Cautious C Acc in GB</t>
  </si>
  <si>
    <t>GB00BK5Z9D52</t>
  </si>
  <si>
    <t>BMO Universal MAP Defensive C Acc in GB</t>
  </si>
  <si>
    <t>GB00BF99W284</t>
  </si>
  <si>
    <t>BMO Universal MAP Growth C Acc in GB</t>
  </si>
  <si>
    <t>GB00B06PF580</t>
  </si>
  <si>
    <t>BMO US Smaller Companies 1 Inc in GB</t>
  </si>
  <si>
    <t>GB00B7YDFB99</t>
  </si>
  <si>
    <t>BMO US Smaller Companies C Inc TR in GB**</t>
  </si>
  <si>
    <t>GB00B0MY7207</t>
  </si>
  <si>
    <t>BNY Mellon Asian Income Inst Acc GBP in GB</t>
  </si>
  <si>
    <t>01/04/2021</t>
  </si>
  <si>
    <t>GB00B0MY7199</t>
  </si>
  <si>
    <t>BNY Mellon Asian Income Inst Inc GBP TR in GB</t>
  </si>
  <si>
    <t>GB00B8KT3V48</t>
  </si>
  <si>
    <t>BNY Mellon Asian Income Inst W Acc GBP TR in GB</t>
  </si>
  <si>
    <t>GB00B8KPW262</t>
  </si>
  <si>
    <t>BNY Mellon Asian Income Inst W Inc GBP TR in GB</t>
  </si>
  <si>
    <t>GB00B0MY6Z69</t>
  </si>
  <si>
    <t>BNY Mellon Asian Income Sterling GBP TR in GB</t>
  </si>
  <si>
    <t>GB00B4Q5KM81</t>
  </si>
  <si>
    <t>GB00B881HQ54</t>
  </si>
  <si>
    <t>GB0006778681</t>
  </si>
  <si>
    <t>GB00B8GGF462</t>
  </si>
  <si>
    <t>BNY Mellon Emerging Income Inst W Acc in GB</t>
  </si>
  <si>
    <t>GB00B8HMC861</t>
  </si>
  <si>
    <t>BNY Mellon Emerging Income Inst W Inc TR in GB</t>
  </si>
  <si>
    <t>GB00B8HVZ392</t>
  </si>
  <si>
    <t>BNY Mellon Emerging Income Sterling Acc in GB</t>
  </si>
  <si>
    <t>GB00B8HVVL95</t>
  </si>
  <si>
    <t>BNY Mellon Emerging Income Sterling Inc TR in GB</t>
  </si>
  <si>
    <t>GB00B8SFP070</t>
  </si>
  <si>
    <t>BNY Mellon Equity Income Booster Inst W Acc in GB</t>
  </si>
  <si>
    <t>GB00B8HCF105</t>
  </si>
  <si>
    <t>BNY Mellon Equity Income Booster Inst W Inc TR in GB</t>
  </si>
  <si>
    <t>GB00B8GBR344</t>
  </si>
  <si>
    <t>BNY Mellon Equity Income Booster Sterling Acc in GB</t>
  </si>
  <si>
    <t>GB00B7XF7Y37</t>
  </si>
  <si>
    <t>BNY Mellon Equity Income Booster Sterling Inc TR in GB</t>
  </si>
  <si>
    <t>GB00B8K9KC42</t>
  </si>
  <si>
    <t>BNY Mellon Equity Income Inst W Acc TR in GB</t>
  </si>
  <si>
    <t>GB00B8HRGG71</t>
  </si>
  <si>
    <t>BNY Mellon Equity Income Inst W Inc TR in GB**</t>
  </si>
  <si>
    <t>GB00B83RKN61</t>
  </si>
  <si>
    <t>BNY Mellon Equity Income Sterling Acc in GB</t>
  </si>
  <si>
    <t>GB00B843K114</t>
  </si>
  <si>
    <t>BNY Mellon Equity Income Sterling Inc TR in GB</t>
  </si>
  <si>
    <t>GB00B83VQG35</t>
  </si>
  <si>
    <t>BNY Mellon Global Absolute Return Inst W Acc in GB</t>
  </si>
  <si>
    <t>GB00B841JM97</t>
  </si>
  <si>
    <t>BNY Mellon Global Absolute Return Inst W Inc TR in GB</t>
  </si>
  <si>
    <t>GB00B86R4N19</t>
  </si>
  <si>
    <t>BNY Mellon Global Absolute Return Sterling Acc in GB</t>
  </si>
  <si>
    <t>1.76</t>
  </si>
  <si>
    <t>GB00BYQ9L722</t>
  </si>
  <si>
    <t>BNY Mellon Global Dynamic Bond Income F Acc TR in GB**</t>
  </si>
  <si>
    <t>GB00BYQ9L839</t>
  </si>
  <si>
    <t>BNY Mellon Global Dynamic Bond Income F Inc TR in GB**</t>
  </si>
  <si>
    <t>GB00B1294H67</t>
  </si>
  <si>
    <t>BNY Mellon Global Dynamic Bond Inst Inc TR in GB</t>
  </si>
  <si>
    <t>GB00B8H50V47</t>
  </si>
  <si>
    <t>BNY Mellon Global Dynamic Bond Institutional W Acc GBP TR in GB</t>
  </si>
  <si>
    <t>GB00B801BG18</t>
  </si>
  <si>
    <t>BNY Mellon Global Dynamic Bond Institutional W Inc GBP TR in GB</t>
  </si>
  <si>
    <t>GB00BHRX2821</t>
  </si>
  <si>
    <t>BNY Mellon Global Dynamic Bond Newton Institutional 3 Acc TR in GB**</t>
  </si>
  <si>
    <t>GB00BHRX2268</t>
  </si>
  <si>
    <t>BNY Mellon Global Dynamic Bond Newton Institutional 3 Inc TR in GB**</t>
  </si>
  <si>
    <t>GB00B1294F44</t>
  </si>
  <si>
    <t>BNY Mellon Global Dynamic Bond Sterling Inc TR in GB</t>
  </si>
  <si>
    <t>GB00BVRZK937</t>
  </si>
  <si>
    <t>BNY Mellon Global Emerging Markets Inst W Acc in GB</t>
  </si>
  <si>
    <t>GB00BVYPP917</t>
  </si>
  <si>
    <t>BNY Mellon Global Emerging Markets Inst W Inc TR in GB</t>
  </si>
  <si>
    <t>GB00B8376K50</t>
  </si>
  <si>
    <t>BNY Mellon Global Equity Inst W Acc GBP TR in GB</t>
  </si>
  <si>
    <t>GB00B53Q5S23</t>
  </si>
  <si>
    <t>BNY Mellon Global Equity Inst W Inc GBP TR in GB</t>
  </si>
  <si>
    <t>GB0006779986</t>
  </si>
  <si>
    <t>BNY Mellon Global Equity Sterling GBP Inc TR in GB</t>
  </si>
  <si>
    <t>GB00B7KWF216</t>
  </si>
  <si>
    <t>BNY Mellon Global High Yield Bond Inst W Acc TR in GB</t>
  </si>
  <si>
    <t>GB00B8BX3V56</t>
  </si>
  <si>
    <t>BNY Mellon Global High Yield Bond Inst W Inc TR in GB</t>
  </si>
  <si>
    <t>GB0009633073</t>
  </si>
  <si>
    <t>BNY Mellon Global High Yield Bond Sterling TR in GB</t>
  </si>
  <si>
    <t>GB00B0MY6X46</t>
  </si>
  <si>
    <t>BNY Mellon Global Income Inst Acc in GB</t>
  </si>
  <si>
    <t>GB00B0MY6W39</t>
  </si>
  <si>
    <t>BNY Mellon Global Income Inst Inc TR in GB</t>
  </si>
  <si>
    <t>GB00B7S9KM94</t>
  </si>
  <si>
    <t>BNY Mellon Global Income Inst W Acc GBP TR in GB</t>
  </si>
  <si>
    <t>GB00B8BQG486</t>
  </si>
  <si>
    <t>BNY Mellon Global Income Inst W Inc GBP TR in GB</t>
  </si>
  <si>
    <t>GB00B5VNWP12</t>
  </si>
  <si>
    <t>BNY Mellon Global Income Sterling Acc in GB</t>
  </si>
  <si>
    <t>GB00B0MY6T00</t>
  </si>
  <si>
    <t>BNY Mellon Global Income Sterling TR in GB</t>
  </si>
  <si>
    <t>GB00BDR8GF45</t>
  </si>
  <si>
    <t>BNY Mellon Global Infrastructure Income F Acc in GB</t>
  </si>
  <si>
    <t>GB00BDR8G983</t>
  </si>
  <si>
    <t>BNY Mellon Global Infrastructure Income F Inc TR in GB</t>
  </si>
  <si>
    <t>GB00BDR8GH68</t>
  </si>
  <si>
    <t>BNY Mellon Global Infrastructure Income Inst W Acc in GB</t>
  </si>
  <si>
    <t>GB00BDR8GG51</t>
  </si>
  <si>
    <t>BNY Mellon Global Infrastructure Income Inst W Inc TR in GB</t>
  </si>
  <si>
    <t>GB00B84QL393</t>
  </si>
  <si>
    <t>BNY Mellon Global Multi-Strategy Inst W Acc in GB</t>
  </si>
  <si>
    <t>GB00B8BSRR47</t>
  </si>
  <si>
    <t>BNY Mellon Global Multi-Strategy Inst W Inc TR in GB</t>
  </si>
  <si>
    <t>GB00B7S8QD90</t>
  </si>
  <si>
    <t>BNY Mellon Global Multi-Strategy Sterling Acc in GB</t>
  </si>
  <si>
    <t>1.77</t>
  </si>
  <si>
    <t>GB00B3Y9D712</t>
  </si>
  <si>
    <t>BNY Mellon Global Multi-Strategy Sterling Inc TR in GB</t>
  </si>
  <si>
    <t>GB00B83R9Z17</t>
  </si>
  <si>
    <t>BNY Mellon Global Opportunities Inst W Acc GBP TR in GB</t>
  </si>
  <si>
    <t>GB00B8C1LK38</t>
  </si>
  <si>
    <t>BNY Mellon Global Opportunities Inst W Inc GBP TR in GB</t>
  </si>
  <si>
    <t>GB00B01X0X00</t>
  </si>
  <si>
    <t>BNY Mellon Index Linked Gilt Inst Acc in GB</t>
  </si>
  <si>
    <t>GB00BW1YLP65</t>
  </si>
  <si>
    <t>BNY Mellon Inflation Linked Corporate Bond F Acc in GB**</t>
  </si>
  <si>
    <t>GB00BW1YLQ72</t>
  </si>
  <si>
    <t>BNY Mellon Inflation Linked Corporate Bond F Inc TR in GB**</t>
  </si>
  <si>
    <t>GB00B8HY5051</t>
  </si>
  <si>
    <t>BNY Mellon Inflation Linked Corporate Bond Institutional W Acc in GB</t>
  </si>
  <si>
    <t>GB00B7HYGP07</t>
  </si>
  <si>
    <t>BNY Mellon Inflation Linked Corporate Bond Institutional W Inc TR in GB</t>
  </si>
  <si>
    <t>GB00B8CJGZ73</t>
  </si>
  <si>
    <t>BNY Mellon Inflation Linked Corporate Bond Sterling Acc in GB</t>
  </si>
  <si>
    <t>GB00B8DRN932</t>
  </si>
  <si>
    <t>BNY Mellon Inflation Linked Corporate Bond Sterling Inc TR in GB</t>
  </si>
  <si>
    <t>GB00B0702Y07</t>
  </si>
  <si>
    <t>BNY Mellon International Bond Inst GBP in GB</t>
  </si>
  <si>
    <t>GB00B1W0M427</t>
  </si>
  <si>
    <t>BNY Mellon International Bond Inst Inc GBP TR in GB</t>
  </si>
  <si>
    <t>GB00B8BYHS32</t>
  </si>
  <si>
    <t>BNY Mellon International Bond Inst W Acc GBP TR in GB</t>
  </si>
  <si>
    <t>GB00B88K4389</t>
  </si>
  <si>
    <t>BNY Mellon International Bond Inst W Inc GBP TR in GB</t>
  </si>
  <si>
    <t>GB0006779655</t>
  </si>
  <si>
    <t>BNY Mellon International Bond Sterling GBP TR in GB</t>
  </si>
  <si>
    <t>GB00B01X1269</t>
  </si>
  <si>
    <t>BNY Mellon Long Gilt Inst TR in GB</t>
  </si>
  <si>
    <t>GB00B8K6W529</t>
  </si>
  <si>
    <t>BNY Mellon Long Term Global Equity Inst W Acc GBP TR in GB</t>
  </si>
  <si>
    <t>GB00B7V94793</t>
  </si>
  <si>
    <t>BNY Mellon Long Term Global Equity Inst W Inc GBP TR in GB</t>
  </si>
  <si>
    <t>GB00B2423L71</t>
  </si>
  <si>
    <t>BNY Mellon Long Term Global Equity Sterling Inc TR in GB</t>
  </si>
  <si>
    <t>GB00B86LX253</t>
  </si>
  <si>
    <t>BNY Mellon Multi-Asset Balanced Inst W Acc TR in GB</t>
  </si>
  <si>
    <t>GB00B7LB0P54</t>
  </si>
  <si>
    <t>BNY Mellon Multi-Asset Balanced Inst W Inc TR in GB</t>
  </si>
  <si>
    <t>GB0006778574</t>
  </si>
  <si>
    <t>BNY Mellon Multi-Asset Balanced Sterling TR in GB</t>
  </si>
  <si>
    <t>GB00B81C8395</t>
  </si>
  <si>
    <t>BNY Mellon Multi-Asset Diversified Return Inst W Acc in GB</t>
  </si>
  <si>
    <t>GB00B8HJ5779</t>
  </si>
  <si>
    <t>BNY Mellon Multi-Asset Diversified Return Inst W Inc TR in GB</t>
  </si>
  <si>
    <t>GB00B1GJ9N38</t>
  </si>
  <si>
    <t>BNY Mellon Multi-Asset Diversified Return Sterling Acc in GB</t>
  </si>
  <si>
    <t>GB00B1GJ9L14</t>
  </si>
  <si>
    <t>BNY Mellon Multi-Asset Diversified Return Sterling Inc TR in GB</t>
  </si>
  <si>
    <t>GB00BD8YW204</t>
  </si>
  <si>
    <t>BNY Mellon Multi-Asset Global Balanced Inst W Acc in GB**</t>
  </si>
  <si>
    <t>GB00BD8YW196</t>
  </si>
  <si>
    <t>BNY Mellon Multi-Asset Global Balanced Inst W Inc TR in GB**</t>
  </si>
  <si>
    <t>GB00B83BJW04</t>
  </si>
  <si>
    <t>BNY Mellon Multi-Asset Growth B Inc TR in GB**</t>
  </si>
  <si>
    <t>GB00B8454P92</t>
  </si>
  <si>
    <t>BNY Mellon Multi-Asset Growth Inst W Acc TR in GB</t>
  </si>
  <si>
    <t>GB00B87BSD02</t>
  </si>
  <si>
    <t>BNY Mellon Multi-Asset Growth Inst W Inc TR in GB</t>
  </si>
  <si>
    <t>GB0006780984</t>
  </si>
  <si>
    <t>BNY Mellon Multi-Asset Growth Sterling Inc TR in GB</t>
  </si>
  <si>
    <t>GB00BP851Q49</t>
  </si>
  <si>
    <t>BNY Mellon Multi-Asset Income Inst W Acc in GB</t>
  </si>
  <si>
    <t>0.70</t>
  </si>
  <si>
    <t>GB00BP851R55</t>
  </si>
  <si>
    <t>BNY Mellon Multi-Asset Income Inst W Inc TR in GB</t>
  </si>
  <si>
    <t>GB00B0703363</t>
  </si>
  <si>
    <t>BNY Mellon Oriental Inst Acc GBP in GB</t>
  </si>
  <si>
    <t>GB00B8GJF672</t>
  </si>
  <si>
    <t>BNY Mellon Oriental Inst W Acc GBP TR in GB</t>
  </si>
  <si>
    <t>GB00B8GBZY18</t>
  </si>
  <si>
    <t>BNY Mellon Oriental Inst W Inc GBP TR in GB</t>
  </si>
  <si>
    <t>GB0006781289</t>
  </si>
  <si>
    <t>BNY Mellon Oriental Sterling Inc GBP TR in GB</t>
  </si>
  <si>
    <t>GB00B0702P16</t>
  </si>
  <si>
    <t>BNY Mellon Real Return Inst Acc in GB</t>
  </si>
  <si>
    <t>GB00B8GG4B61</t>
  </si>
  <si>
    <t>BNY Mellon Real Return Inst W Acc TR in GB</t>
  </si>
  <si>
    <t>GB00B7W36529</t>
  </si>
  <si>
    <t>BNY Mellon Real Return Inst W Inc TR in GB</t>
  </si>
  <si>
    <t>GB0001642635</t>
  </si>
  <si>
    <t>BNY Mellon Real Return Sterling A TR in GB</t>
  </si>
  <si>
    <t>GB00BKV28H79</t>
  </si>
  <si>
    <t>BNY Mellon Sustainable Global Dynamic Bond Newton Inst 3 Inc TR in GB</t>
  </si>
  <si>
    <t>12/02/2021</t>
  </si>
  <si>
    <t>GB00BJ066Y68</t>
  </si>
  <si>
    <t>BNY Mellon Sustainable Global Equity Income F Acc in GB</t>
  </si>
  <si>
    <t>GB00BJ066Z75</t>
  </si>
  <si>
    <t>BNY Mellon Sustainable Global Equity Income Inst W Acc in GB</t>
  </si>
  <si>
    <t>GB00BJ067095</t>
  </si>
  <si>
    <t>BNY Mellon Sustainable Global Equity Income Inst W Inc TR in GB</t>
  </si>
  <si>
    <t>GB00BF0WBJ63</t>
  </si>
  <si>
    <t>BNY Mellon Sustainable Global Equity Inst W in GB</t>
  </si>
  <si>
    <t>GB00BD6DRD55</t>
  </si>
  <si>
    <t>BNY Mellon Sustainable Real Return Inst W Acc in GB</t>
  </si>
  <si>
    <t>GB00BD6DRF79</t>
  </si>
  <si>
    <t>BNY Mellon Sustainable Real Return Inst W Inc TR in GB</t>
  </si>
  <si>
    <t>GB00B6X4W596</t>
  </si>
  <si>
    <t>BNY Mellon UK Equity Inst W Acc TR in GB</t>
  </si>
  <si>
    <t>GB00B8GHL294</t>
  </si>
  <si>
    <t>BNY Mellon UK Equity Inst W Inc TR in GB</t>
  </si>
  <si>
    <t>GB0006779549</t>
  </si>
  <si>
    <t>BNY Mellon UK Equity Sterling Inc TR in GB</t>
  </si>
  <si>
    <t>GB00B0702V75</t>
  </si>
  <si>
    <t>BNY Mellon UK Income Inst Acc in GB</t>
  </si>
  <si>
    <t>GB00B7M90R07</t>
  </si>
  <si>
    <t>BNY Mellon UK Income Inst W Acc TR in GB</t>
  </si>
  <si>
    <t>GB00B7W2G379</t>
  </si>
  <si>
    <t>BNY Mellon UK Income Inst W Inc TR in GB</t>
  </si>
  <si>
    <t>GB0006779218</t>
  </si>
  <si>
    <t>BNY Mellon UK Income Sterling TR in GB</t>
  </si>
  <si>
    <t>GB00B8HQWK01</t>
  </si>
  <si>
    <t>GB00B7RLX837</t>
  </si>
  <si>
    <t>GB0031189888</t>
  </si>
  <si>
    <t>GB00B8L14S33</t>
  </si>
  <si>
    <t>BNY Mellon US Opportunities Inst W Acc GBP TR in GB</t>
  </si>
  <si>
    <t>GB00B8L1Q109</t>
  </si>
  <si>
    <t>BNY Mellon US Opportunities Inst W Inc GBP TR in GB</t>
  </si>
  <si>
    <t>GB0006778350</t>
  </si>
  <si>
    <t>BNY Mellon US Opportunities Sterling GBP TR in GB</t>
  </si>
  <si>
    <t>GB00BP4VN261</t>
  </si>
  <si>
    <t>Brown SVS Brown Shipley Balanced I Acc in GB</t>
  </si>
  <si>
    <t>03/02/2021</t>
  </si>
  <si>
    <t>GB00BP4VN378</t>
  </si>
  <si>
    <t>Brown SVS Brown Shipley Balanced I Inc TR in GB</t>
  </si>
  <si>
    <t>GB00BP4VN600</t>
  </si>
  <si>
    <t>Brown SVS Brown Shipley Cautious I Acc in GB</t>
  </si>
  <si>
    <t>GB00BP4VN717</t>
  </si>
  <si>
    <t>Brown SVS Brown Shipley Cautious I Inc TR in GB</t>
  </si>
  <si>
    <t>GB00B3K4J724</t>
  </si>
  <si>
    <t>Brown SVS Brown Shipley Dynamic I Acc in GB**</t>
  </si>
  <si>
    <t>GB00B3K4MR31</t>
  </si>
  <si>
    <t>Brown SVS Brown Shipley Dynamic I Inc TR in GB**</t>
  </si>
  <si>
    <t>GB0032503418</t>
  </si>
  <si>
    <t>Brown SVS Brown Shipley Growth A Acc in GB</t>
  </si>
  <si>
    <t>GB0032503301</t>
  </si>
  <si>
    <t>Brown SVS Brown Shipley Growth A Inc TR in GB</t>
  </si>
  <si>
    <t>GB00B3NNSP77</t>
  </si>
  <si>
    <t>Brown SVS Brown Shipley Growth I Acc in GB**</t>
  </si>
  <si>
    <t>GB00B3NGWQ53</t>
  </si>
  <si>
    <t>Brown SVS Brown Shipley Growth I Inc TR in GB**</t>
  </si>
  <si>
    <t>GB0032503749</t>
  </si>
  <si>
    <t>Brown SVS Brown Shipley Income A Acc in GB</t>
  </si>
  <si>
    <t>GB0032503962</t>
  </si>
  <si>
    <t>Brown SVS Brown Shipley Income A Inc TR in GB</t>
  </si>
  <si>
    <t>GB00B3QCN457</t>
  </si>
  <si>
    <t>Brown SVS Brown Shipley Income I Acc in GB**</t>
  </si>
  <si>
    <t>GB00B3QCN234</t>
  </si>
  <si>
    <t>Brown SVS Brown Shipley Income I Inc TR in GB**</t>
  </si>
  <si>
    <t>GB00BF4VR355</t>
  </si>
  <si>
    <t>CFP Castlefield B.E.S.T Sustainable European General Inc TR in GB</t>
  </si>
  <si>
    <t>06/07/2020</t>
  </si>
  <si>
    <t>GB00B13NPH48</t>
  </si>
  <si>
    <t>CFP Castlefield B.E.S.T Sustainable Income General Inc TR in GB</t>
  </si>
  <si>
    <t>GB00BYXG3H04</t>
  </si>
  <si>
    <t>CFP Castlefield B.E.S.T Sustainable Portfolio Growth General Inc TR in GB</t>
  </si>
  <si>
    <t>GB00BM97MN27</t>
  </si>
  <si>
    <t>CFP Castlefield B.E.S.T Sustainable Portfolio Income General Inc TR in GB</t>
  </si>
  <si>
    <t>GB00B8J7Y492</t>
  </si>
  <si>
    <t>CFP Castlefield B.E.S.T Sustainable UK Opportunities General Inc TR in GB</t>
  </si>
  <si>
    <t>GB00B1XQNH95</t>
  </si>
  <si>
    <t>CFP Castlefield B.E.S.T Sustainable UK Smaller Companies General Inc TR in GB</t>
  </si>
  <si>
    <t>GB00B12V1482</t>
  </si>
  <si>
    <t>CFP Castlefield Real Return General Inc TR in GB</t>
  </si>
  <si>
    <t>GB00BYYQC271</t>
  </si>
  <si>
    <t>CFP SDL Free Spirit Acc GBP in GB</t>
  </si>
  <si>
    <t>GB00BYYQC495</t>
  </si>
  <si>
    <t>CFP SDL Free Spirit Inc GBP TR in GB</t>
  </si>
  <si>
    <t>GB00BF0LDZ31</t>
  </si>
  <si>
    <t>CFP SDL UK Buffettology General Acc TR in GB**</t>
  </si>
  <si>
    <t>GB00BKJ9C676</t>
  </si>
  <si>
    <t>CFP SDL UK Buffettology General Inc TR in GB</t>
  </si>
  <si>
    <t>GB00B4YW1S49</t>
  </si>
  <si>
    <t>Close Balanced Portfolio A Acc in GB</t>
  </si>
  <si>
    <t>GB00B7KDKJ66</t>
  </si>
  <si>
    <t>Close Balanced Portfolio X Acc in GB</t>
  </si>
  <si>
    <t>GB00B4RL6Q19</t>
  </si>
  <si>
    <t>Close Conservative Portfolio A Acc in GB</t>
  </si>
  <si>
    <t>GB00B5152B32</t>
  </si>
  <si>
    <t>Close Conservative Portfolio A Inc TR in GB</t>
  </si>
  <si>
    <t>31/03/2020</t>
  </si>
  <si>
    <t>GB00B8B9ZS46</t>
  </si>
  <si>
    <t>Close Conservative Portfolio X Acc in GB</t>
  </si>
  <si>
    <t>GB00B82P0081</t>
  </si>
  <si>
    <t>Close Conservative Portfolio X Inc TR in GB</t>
  </si>
  <si>
    <t>GB00B4X21294</t>
  </si>
  <si>
    <t>Close Diversified Income Portfolio A Acc in GB</t>
  </si>
  <si>
    <t>GB00B589Q946</t>
  </si>
  <si>
    <t>Close Diversified Income Portfolio A Inc TR in GB</t>
  </si>
  <si>
    <t>GB00B708TJ43</t>
  </si>
  <si>
    <t>Close Diversified Income Portfolio X Acc in GB</t>
  </si>
  <si>
    <t>GB00B5N0YZ48</t>
  </si>
  <si>
    <t>Close Diversified Income Portfolio X Inc TR in GB</t>
  </si>
  <si>
    <t>GB00B87JKQ15</t>
  </si>
  <si>
    <t>Close FTSE techMARK X Acc in GB</t>
  </si>
  <si>
    <t>GB00B4XWGV38</t>
  </si>
  <si>
    <t>Close Growth Portfolio A Acc in GB</t>
  </si>
  <si>
    <t>GB00B7F1W221</t>
  </si>
  <si>
    <t>Close Growth Portfolio X Acc in GB</t>
  </si>
  <si>
    <t>GB00B8H6TT84</t>
  </si>
  <si>
    <t>Close Managed Balanced X Acc in GB</t>
  </si>
  <si>
    <t>GB00B45DZX99</t>
  </si>
  <si>
    <t>Close Managed Conservative X Acc in GB</t>
  </si>
  <si>
    <t>GB00B7XQSH60</t>
  </si>
  <si>
    <t>Close Managed Conservative X Inc TR in GB</t>
  </si>
  <si>
    <t>GB00B815Z375</t>
  </si>
  <si>
    <t>Close Managed Growth X Acc in GB</t>
  </si>
  <si>
    <t>GB00B80PQP76</t>
  </si>
  <si>
    <t>Close Managed Income X Acc in GB</t>
  </si>
  <si>
    <t>GB00B8HFR798</t>
  </si>
  <si>
    <t>Close Managed Income X Inc TR in GB</t>
  </si>
  <si>
    <t>GB00BD6R7Y87</t>
  </si>
  <si>
    <t>Close Select Fixed Income X Inc TR in GB</t>
  </si>
  <si>
    <t>GB00B7MTYH88</t>
  </si>
  <si>
    <t>Close Strategic Alpha X Acc in GB</t>
  </si>
  <si>
    <t>GB00BLPK3Z72</t>
  </si>
  <si>
    <t>Close Sustainable Balanced Portfolio X Acc GBP in GB</t>
  </si>
  <si>
    <t>GB00B7V89J33</t>
  </si>
  <si>
    <t>Close Sustainable Bond Portfolio X Acc TR in GB</t>
  </si>
  <si>
    <t>GB00B7SK9B40</t>
  </si>
  <si>
    <t>Close Sustainable Bond Portfolio X Inc TR in GB</t>
  </si>
  <si>
    <t>GB00B8HS8W08</t>
  </si>
  <si>
    <t>Close Tactical Select Passive Balanced X Acc in GB</t>
  </si>
  <si>
    <t>GB00B88TGW85</t>
  </si>
  <si>
    <t>Close Tactical Select Passive Conservative X Acc in GB</t>
  </si>
  <si>
    <t>GB00B7FHXB62</t>
  </si>
  <si>
    <t>Close Tactical Select Passive Conservative X Inc TR in GB</t>
  </si>
  <si>
    <t>GB00B7SG1Y98</t>
  </si>
  <si>
    <t>Close Tactical Select Passive Growth X Acc in GB</t>
  </si>
  <si>
    <t>GB0002177581</t>
  </si>
  <si>
    <t>Consistent Opportunities Unit Trust Acc in GB</t>
  </si>
  <si>
    <t>28/03/2016</t>
  </si>
  <si>
    <t>GB0002164092</t>
  </si>
  <si>
    <t>Consistent Opportunities Unit Trust Inc TR in GB</t>
  </si>
  <si>
    <t>GB0006982671</t>
  </si>
  <si>
    <t>Consistent Practical Investment Acc in GB</t>
  </si>
  <si>
    <t>15/09/2018</t>
  </si>
  <si>
    <t>GB0006982457</t>
  </si>
  <si>
    <t>Consistent Practical Investment Inc TR in GB</t>
  </si>
  <si>
    <t>GB00B3WCDF03</t>
  </si>
  <si>
    <t>Cornelian Asset Managers SVS Cornelian Cautious D Acc in GB</t>
  </si>
  <si>
    <t>15/04/2019</t>
  </si>
  <si>
    <t>GB00B3XLXY53</t>
  </si>
  <si>
    <t>Cornelian Asset Managers SVS Cornelian Cautious D Inc TR in GB</t>
  </si>
  <si>
    <t>GB00BD730136</t>
  </si>
  <si>
    <t>Cornelian Asset Managers SVS Cornelian Cautious RMP G Acc in GB</t>
  </si>
  <si>
    <t>GB00BD6FSN84</t>
  </si>
  <si>
    <t>Cornelian Asset Managers SVS Cornelian Cautious RMP G Inc TR in GB</t>
  </si>
  <si>
    <t>GB00B5MV2N21</t>
  </si>
  <si>
    <t>Cornelian Asset Managers SVS Cornelian Defensive B Acc in GB</t>
  </si>
  <si>
    <t>GB00B5N17T22</t>
  </si>
  <si>
    <t>Cornelian Asset Managers SVS Cornelian Defensive D Acc in GB</t>
  </si>
  <si>
    <t>GB00B5L3SC02</t>
  </si>
  <si>
    <t>Cornelian Asset Managers SVS Cornelian Defensive D Inc TR in GB</t>
  </si>
  <si>
    <t>GB00BD72ZR10</t>
  </si>
  <si>
    <t>Cornelian Asset Managers SVS Cornelian Defensive RMP G Acc in GB</t>
  </si>
  <si>
    <t>GB00BD6FSJ49</t>
  </si>
  <si>
    <t>Cornelian Asset Managers SVS Cornelian Defensive RMP G Inc TR in GB</t>
  </si>
  <si>
    <t>GB00B3RMNL16</t>
  </si>
  <si>
    <t>Cornelian Asset Managers SVS Cornelian Growth D Acc in GB</t>
  </si>
  <si>
    <t>GB00B68Y9S62</t>
  </si>
  <si>
    <t>Cornelian Asset Managers SVS Cornelian Growth D Inc TR in GB</t>
  </si>
  <si>
    <t>GB00BD730466</t>
  </si>
  <si>
    <t>Cornelian Asset Managers SVS Cornelian Growth RMP G Acc in GB</t>
  </si>
  <si>
    <t>GB00BD6FSP09</t>
  </si>
  <si>
    <t>Cornelian Asset Managers SVS Cornelian Growth RMP G Inc TR in GB</t>
  </si>
  <si>
    <t>GB00B3KXCP84</t>
  </si>
  <si>
    <t>Cornelian Asset Managers SVS Cornelian Managed Growth D Acc in GB</t>
  </si>
  <si>
    <t>GB00B3N13674</t>
  </si>
  <si>
    <t>Cornelian Asset Managers SVS Cornelian Managed Growth D Inc TR in GB</t>
  </si>
  <si>
    <t>GB00BD72ZY86</t>
  </si>
  <si>
    <t>Cornelian Asset Managers SVS Cornelian Managed Growth RMP G Acc in GB</t>
  </si>
  <si>
    <t>GB00BD6FSM77</t>
  </si>
  <si>
    <t>Cornelian Asset Managers SVS Cornelian Managed Growth RMP G Inc TR in GB</t>
  </si>
  <si>
    <t>GB00BVL87L96</t>
  </si>
  <si>
    <t>Cornelian Asset Managers SVS Cornelian Managed Income D Acc in GB</t>
  </si>
  <si>
    <t>GB00BV9GGB80</t>
  </si>
  <si>
    <t>Cornelian Asset Managers SVS Cornelian Managed Income D Inc TR in GB</t>
  </si>
  <si>
    <t>GB00B5LY2097</t>
  </si>
  <si>
    <t>Cornelian Asset Managers SVS Cornelian Progressive D Acc in GB</t>
  </si>
  <si>
    <t>GB00B5Q8N588</t>
  </si>
  <si>
    <t>Cornelian Asset Managers SVS Cornelian Progressive D Inc TR in GB</t>
  </si>
  <si>
    <t>GB00BD72ZV55</t>
  </si>
  <si>
    <t>Cornelian Asset Managers SVS Cornelian Progressive RMP G Acc in GB</t>
  </si>
  <si>
    <t>GB00BD6FSK53</t>
  </si>
  <si>
    <t>Cornelian Asset Managers SVS Cornelian Progressive RMP G Inc TR in GB</t>
  </si>
  <si>
    <t>GB0033772624</t>
  </si>
  <si>
    <t>Dimensional Emerging Markets Core Equity Acc in GB</t>
  </si>
  <si>
    <t>08/02/2021</t>
  </si>
  <si>
    <t>GB0033772517</t>
  </si>
  <si>
    <t>Dimensional Emerging Markets Core Equity Inc TR in GB</t>
  </si>
  <si>
    <t>GB0033772848</t>
  </si>
  <si>
    <t>Dimensional Global Short Dated Bond Acc in GB</t>
  </si>
  <si>
    <t>GB00B735N017</t>
  </si>
  <si>
    <t>Dimensional Global Short Dated Bond Gr Acc GBP in GB**</t>
  </si>
  <si>
    <t>GB00B732BR50</t>
  </si>
  <si>
    <t>Dimensional Global Short Dated Bond Gr Inc GBP TR in GB**</t>
  </si>
  <si>
    <t>GB0033772731</t>
  </si>
  <si>
    <t>Dimensional Global Short Dated Bond Inc TR in GB</t>
  </si>
  <si>
    <t>GB00B23YLH62</t>
  </si>
  <si>
    <t>Dimensional International Core Equity Acc in GB</t>
  </si>
  <si>
    <t>GB00B23YLF49</t>
  </si>
  <si>
    <t>Dimensional International Core Equity Inc TR in GB</t>
  </si>
  <si>
    <t>GB0033772285</t>
  </si>
  <si>
    <t>Dimensional International Value Acc in GB</t>
  </si>
  <si>
    <t>GB0033772178</t>
  </si>
  <si>
    <t>Dimensional International Value Inc TR in GB</t>
  </si>
  <si>
    <t>GB00B15JMH94</t>
  </si>
  <si>
    <t>Dimensional UK Core Equity Acc in GB</t>
  </si>
  <si>
    <t>GB00B15JMG87</t>
  </si>
  <si>
    <t>Dimensional UK Core Equity Inc TR in GB</t>
  </si>
  <si>
    <t>GB0033771980</t>
  </si>
  <si>
    <t>Dimensional UK Small Companies Acc in GB</t>
  </si>
  <si>
    <t>GB0033772061</t>
  </si>
  <si>
    <t>Dimensional UK Small Companies Inc TR in GB</t>
  </si>
  <si>
    <t>GB0033771766</t>
  </si>
  <si>
    <t>Dimensional UK Value Acc in GB</t>
  </si>
  <si>
    <t>GB0033771659</t>
  </si>
  <si>
    <t>Dimensional UK Value Inc TR in GB</t>
  </si>
  <si>
    <t>GB00B99R1674</t>
  </si>
  <si>
    <t>DMS Stirling House Balanced Ret Acc in GB</t>
  </si>
  <si>
    <t>15/09/2020</t>
  </si>
  <si>
    <t>GB00B99R1781</t>
  </si>
  <si>
    <t>DMS Stirling House Balanced Ret in GB</t>
  </si>
  <si>
    <t>GB00B99R1898</t>
  </si>
  <si>
    <t>DMS Stirling House Dynamic Ret Acc in GB</t>
  </si>
  <si>
    <t>1.46</t>
  </si>
  <si>
    <t>GB00B99R1450</t>
  </si>
  <si>
    <t>DMS Stirling House Growth Ret Acc in GB</t>
  </si>
  <si>
    <t>GB00B99R1567</t>
  </si>
  <si>
    <t>DMS Stirling House Growth Ret in GB</t>
  </si>
  <si>
    <t>GB00B99R1237</t>
  </si>
  <si>
    <t>DMS Stirling House Monthly Income Ret Acc TR in GB</t>
  </si>
  <si>
    <t>GB00B99R1344</t>
  </si>
  <si>
    <t>DMS Stirling House Monthly Income Ret Inc TR in GB</t>
  </si>
  <si>
    <t>UT Unclassified</t>
  </si>
  <si>
    <t>2.07</t>
  </si>
  <si>
    <t>19/02/2021</t>
  </si>
  <si>
    <t>GB00B3PSD118</t>
  </si>
  <si>
    <t>2.13</t>
  </si>
  <si>
    <t>GB00B3P42N43</t>
  </si>
  <si>
    <t>GB00B3P2HB11</t>
  </si>
  <si>
    <t>2.05</t>
  </si>
  <si>
    <t>GB00B3P1DM13</t>
  </si>
  <si>
    <t>GB00B3MPJG29</t>
  </si>
  <si>
    <t>GB00B3PVM139</t>
  </si>
  <si>
    <t>GB00BFMWYT51</t>
  </si>
  <si>
    <t>GB00BFMWYV73</t>
  </si>
  <si>
    <t>GB00BFMWYR38</t>
  </si>
  <si>
    <t>GB00BFMWYS45</t>
  </si>
  <si>
    <t>GB00BFMWYW80</t>
  </si>
  <si>
    <t>GB00BFXCLK49</t>
  </si>
  <si>
    <t>GB0009449827</t>
  </si>
  <si>
    <t>GB0009449710</t>
  </si>
  <si>
    <t>GB0008446626</t>
  </si>
  <si>
    <t>EdenTree Responsible and Sustainable European Equity A TR in GB</t>
  </si>
  <si>
    <t>GB0008448333</t>
  </si>
  <si>
    <t>EdenTree Responsible and Sustainable European Equity B TR in GB</t>
  </si>
  <si>
    <t>GB0008448663</t>
  </si>
  <si>
    <t>EdenTree Responsible and Sustainable Global Equity A TR in GB</t>
  </si>
  <si>
    <t>GB0008449075</t>
  </si>
  <si>
    <t>EdenTree Responsible and Sustainable Global Equity B TR in GB</t>
  </si>
  <si>
    <t>GB00BZ012J01</t>
  </si>
  <si>
    <t>EdenTree Responsible and Sustainable Short Dated Bond B TR in GB</t>
  </si>
  <si>
    <t>GB00B2PF8B06</t>
  </si>
  <si>
    <t>EdenTree Responsible and Sustainable Sterling Bond A TR in GB</t>
  </si>
  <si>
    <t>GB00B2PF8D20</t>
  </si>
  <si>
    <t>EdenTree Responsible and Sustainable Sterling Bond B TR in GB</t>
  </si>
  <si>
    <t>GB0009371310</t>
  </si>
  <si>
    <t>EdenTree Responsible and Sustainable UK Equity A TR in GB</t>
  </si>
  <si>
    <t>GB0009371757</t>
  </si>
  <si>
    <t>EdenTree Responsible and Sustainable UK Equity B TR in GB</t>
  </si>
  <si>
    <t>GB0008445982</t>
  </si>
  <si>
    <t>EdenTree Responsible and Sustainable UK Equity Opportunities A TR in GB</t>
  </si>
  <si>
    <t>GB0008446063</t>
  </si>
  <si>
    <t>EdenTree Responsible and Sustainable UK Equity Opportunities B TR in GB</t>
  </si>
  <si>
    <t>GB00B9L4T627</t>
  </si>
  <si>
    <t>EF 8AM Focussed A in GB</t>
  </si>
  <si>
    <t>1.75</t>
  </si>
  <si>
    <t>GB00B9MCC993</t>
  </si>
  <si>
    <t>EF 8AM Focussed B in GB</t>
  </si>
  <si>
    <t>GB00B9J92G01</t>
  </si>
  <si>
    <t>GB00BN6Q7456</t>
  </si>
  <si>
    <t>GB00B9L57F01</t>
  </si>
  <si>
    <t>GB00BN6Q7563</t>
  </si>
  <si>
    <t>GB00B9L5BC50</t>
  </si>
  <si>
    <t>GB00BN6Q7670</t>
  </si>
  <si>
    <t>2.10</t>
  </si>
  <si>
    <t>GB00B9C65S15</t>
  </si>
  <si>
    <t>EF 8AM Tactical Growth Portfolio A Inc TR in GB</t>
  </si>
  <si>
    <t>GB00B3KQYZ10</t>
  </si>
  <si>
    <t>EF 8AM Tactical Growth Portfolio Inst Inc TR in GB</t>
  </si>
  <si>
    <t>GB00B3KQYX95</t>
  </si>
  <si>
    <t>EF 8AM Tactical Growth Portfolio Ret Inc TR in GB</t>
  </si>
  <si>
    <t>GB00B16ZKG13</t>
  </si>
  <si>
    <t>EF Brunswick Diversified Portfolio B Acc in GB</t>
  </si>
  <si>
    <t>GB00B3MFZ081</t>
  </si>
  <si>
    <t>EF Brunswick Growth Portfolio B Acc in GB</t>
  </si>
  <si>
    <t>2.00</t>
  </si>
  <si>
    <t>GB00BV0LRZ32</t>
  </si>
  <si>
    <t>EF WM Global Corporate Autonomies I Acc in GB</t>
  </si>
  <si>
    <t>30/06/2020</t>
  </si>
  <si>
    <t>GB00BV0LRY25</t>
  </si>
  <si>
    <t>EF WM Global Corporate Autonomies I Inc TR in GB</t>
  </si>
  <si>
    <t>GB00B5B7DY91</t>
  </si>
  <si>
    <t>EF WM Global Trend B Acc in GB</t>
  </si>
  <si>
    <t>GB00B4Q67424</t>
  </si>
  <si>
    <t>EF WM Global Trend B Inc TR in GB</t>
  </si>
  <si>
    <t>GB00BCZYGC41</t>
  </si>
  <si>
    <t>Elite Verus Sustainable Balanced B Acc in GB**</t>
  </si>
  <si>
    <t>GB00BCW3LB80</t>
  </si>
  <si>
    <t>Elite Verus Sustainable Balanced B Inc TR in GB</t>
  </si>
  <si>
    <t>GB00BDD1KW29</t>
  </si>
  <si>
    <t>Equitile Resilience Feeder A Acc GBP in GB</t>
  </si>
  <si>
    <t>GB00BJMHLL91</t>
  </si>
  <si>
    <t>GB00BJMHLH55</t>
  </si>
  <si>
    <t>GB00BL641B08</t>
  </si>
  <si>
    <t>ES AllianceBernstein Sustainable US Equity E Acc in GB**</t>
  </si>
  <si>
    <t>GB00BL641986</t>
  </si>
  <si>
    <t>ES AllianceBernstein Sustainable US Equity E Inc in GB**</t>
  </si>
  <si>
    <t>GB00BL4SFB26</t>
  </si>
  <si>
    <t>ES AllianceBernstein Sustainable US Equity I Acc in GB</t>
  </si>
  <si>
    <t>05/03/2020</t>
  </si>
  <si>
    <t>1.49</t>
  </si>
  <si>
    <t>GB00BNGMZG14</t>
  </si>
  <si>
    <t>ES Baker Steel Gold &amp; Precious Metals B in GB**</t>
  </si>
  <si>
    <t>3.12</t>
  </si>
  <si>
    <t>GB00BLZH7L20</t>
  </si>
  <si>
    <t>ES R&amp;M Dynamic Asset Allocation B Acc in GB</t>
  </si>
  <si>
    <t>GB00B9428D30</t>
  </si>
  <si>
    <t>ES R&amp;M Global Recovery B Inc TR in GB</t>
  </si>
  <si>
    <t>GB00BG21HL25</t>
  </si>
  <si>
    <t>ES R&amp;M Global Recovery S Inc TR in GB**</t>
  </si>
  <si>
    <t>GB00B1NG8296</t>
  </si>
  <si>
    <t>ES R&amp;M UK Dynamic Equity A Inc TR in GB</t>
  </si>
  <si>
    <t>31/03/2021</t>
  </si>
  <si>
    <t>GB00B7H1R583</t>
  </si>
  <si>
    <t>ES R&amp;M UK Dynamic Equity B Acc TR in GB</t>
  </si>
  <si>
    <t>GB00B1DSZM47</t>
  </si>
  <si>
    <t>ES R&amp;M UK Equity High Alpha A Inc TR in GB</t>
  </si>
  <si>
    <t>GB00B3D79W34</t>
  </si>
  <si>
    <t>ES R&amp;M UK Equity High Alpha B Acc TR in GB</t>
  </si>
  <si>
    <t>GB00B3KQG447</t>
  </si>
  <si>
    <t>ES R&amp;M UK Equity Income B Inc TR in GB</t>
  </si>
  <si>
    <t>GB00B1DSZS09</t>
  </si>
  <si>
    <t>ES R&amp;M UK Equity Smaller Companies B Acc in GB</t>
  </si>
  <si>
    <t>GB00BC4DSV56</t>
  </si>
  <si>
    <t>ES R&amp;M UK Equity Smaller Companies B Inc TR in GB</t>
  </si>
  <si>
    <t>GB00B614J053</t>
  </si>
  <si>
    <t>ES R&amp;M UK Recovery B Inc TR in GB</t>
  </si>
  <si>
    <t>GB00B9777B62</t>
  </si>
  <si>
    <t>Fidelity Allocator World W Acc in GB</t>
  </si>
  <si>
    <t>GB0003865176</t>
  </si>
  <si>
    <t>Fidelity American Acc in GB</t>
  </si>
  <si>
    <t>GB0003865390</t>
  </si>
  <si>
    <t>Fidelity American Special Situations Acc in GB</t>
  </si>
  <si>
    <t>GB00B89ST706</t>
  </si>
  <si>
    <t>Fidelity American Special Situations W Acc in GB</t>
  </si>
  <si>
    <t>GB00B8GPC429</t>
  </si>
  <si>
    <t>Fidelity American W Acc in GB</t>
  </si>
  <si>
    <t>GB0003879185</t>
  </si>
  <si>
    <t>Fidelity Asia Acc in GB</t>
  </si>
  <si>
    <t>GB00BQ1SWL90</t>
  </si>
  <si>
    <t>Fidelity Asia Pacific Opportunities W Acc in GB</t>
  </si>
  <si>
    <t>Fidelity Asia W Acc in GB</t>
  </si>
  <si>
    <t>GB00B8W5LX86</t>
  </si>
  <si>
    <t>Fidelity Asian Dividend W Acc in GB</t>
  </si>
  <si>
    <t>GB00B8W5M023</t>
  </si>
  <si>
    <t>Fidelity Asian Dividend W Inc TR in GB</t>
  </si>
  <si>
    <t>GB00BD1RHT82</t>
  </si>
  <si>
    <t>Fidelity Cash W Acc GBP in GB</t>
  </si>
  <si>
    <t>GB00BD1RHR68</t>
  </si>
  <si>
    <t>Fidelity Cash W Inc GBP TR in GB**</t>
  </si>
  <si>
    <t>GB00B82ZSC67</t>
  </si>
  <si>
    <t>Fidelity China Consumer W Acc in GB</t>
  </si>
  <si>
    <t>GB00B84Q8M70</t>
  </si>
  <si>
    <t>GB00B29TR993</t>
  </si>
  <si>
    <t>Fidelity Emerging Europe Middle East and Africa in GB</t>
  </si>
  <si>
    <t>GB00B87Z7808</t>
  </si>
  <si>
    <t>Fidelity Emerging Europe Middle East and Africa W Acc in GB</t>
  </si>
  <si>
    <t>GB00B4NTG252</t>
  </si>
  <si>
    <t>Fidelity Emerging Markets Retail Acc in GB</t>
  </si>
  <si>
    <t>GB00B9SMK778</t>
  </si>
  <si>
    <t>Fidelity Emerging Markets W Acc in GB</t>
  </si>
  <si>
    <t>GB00B3KB7682</t>
  </si>
  <si>
    <t>Fidelity Enhanced Income Dis TR in GB</t>
  </si>
  <si>
    <t>GB00B7W94N47</t>
  </si>
  <si>
    <t>Fidelity Enhanced Income W Acc in GB</t>
  </si>
  <si>
    <t>GB00B87HPZ94</t>
  </si>
  <si>
    <t>Fidelity Enhanced Income W Inc TR in GB</t>
  </si>
  <si>
    <t>GB00BYSYZP12</t>
  </si>
  <si>
    <t>Fidelity Enhanced Income W Monthly Inc TR in GB**</t>
  </si>
  <si>
    <t>GB0003874798</t>
  </si>
  <si>
    <t>Fidelity European Acc in GB</t>
  </si>
  <si>
    <t>GB00BD7XZ185</t>
  </si>
  <si>
    <t>Fidelity European I Inc TR in GB**</t>
  </si>
  <si>
    <t>GB00BFRT3504</t>
  </si>
  <si>
    <t>Fidelity European W Acc in GB</t>
  </si>
  <si>
    <t>GB00B7VNK956</t>
  </si>
  <si>
    <t>Fidelity European W Inc TR in GB</t>
  </si>
  <si>
    <t>GB00B3B5MQ48</t>
  </si>
  <si>
    <t>Fidelity Extra Income Acc in GB</t>
  </si>
  <si>
    <t>GB0005314926</t>
  </si>
  <si>
    <t>Fidelity Extra Income Dis TR in GB</t>
  </si>
  <si>
    <t>GB00BFRT3611</t>
  </si>
  <si>
    <t>Fidelity Extra Income W Acc TR in GB</t>
  </si>
  <si>
    <t>GB00B469P257</t>
  </si>
  <si>
    <t>Fidelity Extra Income W TR in GB</t>
  </si>
  <si>
    <t>GB00B7FQHJ97</t>
  </si>
  <si>
    <t>Fidelity Global Dividend A Acc GBP in GB</t>
  </si>
  <si>
    <t>GB00B7GJPN73</t>
  </si>
  <si>
    <t>Fidelity Global Dividend W Acc in GB</t>
  </si>
  <si>
    <t>GB00B7778087</t>
  </si>
  <si>
    <t>Fidelity Global Dividend W Inc TR in GB</t>
  </si>
  <si>
    <t>GB00BYSYZL73</t>
  </si>
  <si>
    <t>Fidelity Global Dividend W Monthly Inc TR in GB**</t>
  </si>
  <si>
    <t>GB00BD1NLL62</t>
  </si>
  <si>
    <t>Fidelity Global Enhanced Income W Acc in GB</t>
  </si>
  <si>
    <t>GB00BD1NLJ41</t>
  </si>
  <si>
    <t>Fidelity Global Enhanced Income W Inc TR in GB</t>
  </si>
  <si>
    <t>GB00BYSYZN97</t>
  </si>
  <si>
    <t>Fidelity Global Enhanced Income W Monthly Inc TR in GB**</t>
  </si>
  <si>
    <t>GB0003860789</t>
  </si>
  <si>
    <t>Fidelity Global Focus Acc in GB</t>
  </si>
  <si>
    <t>GB00B3RDH349</t>
  </si>
  <si>
    <t>Fidelity Global Focus W Acc in GB</t>
  </si>
  <si>
    <t>GB00B7K7SQ18</t>
  </si>
  <si>
    <t>Fidelity Global High Yield W Acc in GB</t>
  </si>
  <si>
    <t>GB00B7KK0195</t>
  </si>
  <si>
    <t>Fidelity Global High Yield W Inc TR in GB</t>
  </si>
  <si>
    <t>GB00B1BXCS68</t>
  </si>
  <si>
    <t>Fidelity Global Property Acc in GB</t>
  </si>
  <si>
    <t>GB00B7K2NZ09</t>
  </si>
  <si>
    <t>Fidelity Global Property W Acc in GB</t>
  </si>
  <si>
    <t>GB00BJ629381</t>
  </si>
  <si>
    <t>Fidelity Global Property W Inc TR in GB**</t>
  </si>
  <si>
    <t>GB00B196XG23</t>
  </si>
  <si>
    <t>Fidelity Global Special Situations Acc in GB</t>
  </si>
  <si>
    <t>GB00B8HT7153</t>
  </si>
  <si>
    <t>Fidelity Global Special Situations W Acc in GB</t>
  </si>
  <si>
    <t>GB00BHZK8D21</t>
  </si>
  <si>
    <t>Fidelity Index Emerging Markets P Acc in GB</t>
  </si>
  <si>
    <t>GB00BP8RYT47</t>
  </si>
  <si>
    <t>Fidelity Index Emerging Markets P Inc TR in GB**</t>
  </si>
  <si>
    <t>GB00BHZK8B07</t>
  </si>
  <si>
    <t>Fidelity Index Europe ex UK P Acc in GB</t>
  </si>
  <si>
    <t>0.10</t>
  </si>
  <si>
    <t>GB00BP8RYD86</t>
  </si>
  <si>
    <t>Fidelity Index Europe ex UK P Inc TR in GB**</t>
  </si>
  <si>
    <t>GB00BHZK8872</t>
  </si>
  <si>
    <t>Fidelity Index Japan P Acc in GB</t>
  </si>
  <si>
    <t>GB00BP8RYP09</t>
  </si>
  <si>
    <t>Fidelity Index Japan P Inc TR in GB**</t>
  </si>
  <si>
    <t>GB00BHZK8G51</t>
  </si>
  <si>
    <t>Fidelity Index Pacific ex Japan P Acc in GB</t>
  </si>
  <si>
    <t>GB00BP8RYR23</t>
  </si>
  <si>
    <t>Fidelity Index Pacific ex Japan P Inc TR in GB**</t>
  </si>
  <si>
    <t>GB0003875324</t>
  </si>
  <si>
    <t>Fidelity Index UK A in GB</t>
  </si>
  <si>
    <t>GB00BMQ59H27</t>
  </si>
  <si>
    <t>Fidelity Index UK Gilt P Inc TR in GB</t>
  </si>
  <si>
    <t>GB00BJS8SF95</t>
  </si>
  <si>
    <t>Fidelity Index UK P in GB</t>
  </si>
  <si>
    <t>0.06</t>
  </si>
  <si>
    <t>GB00BP8RY614</t>
  </si>
  <si>
    <t>Fidelity Index UK P Inc TR in GB**</t>
  </si>
  <si>
    <t>GB00B8G3MY63</t>
  </si>
  <si>
    <t>Fidelity Index US A in GB</t>
  </si>
  <si>
    <t>GB00BHQSS241</t>
  </si>
  <si>
    <t>Fidelity Index US P Hedged Acc in GB</t>
  </si>
  <si>
    <t>GB00BJS8SH10</t>
  </si>
  <si>
    <t>Fidelity Index US P in GB</t>
  </si>
  <si>
    <t>GB00BP8RY838</t>
  </si>
  <si>
    <t>Fidelity Index US P Inc TR in GB</t>
  </si>
  <si>
    <t>GB00BJS8SJ34</t>
  </si>
  <si>
    <t>Fidelity Index World P in GB</t>
  </si>
  <si>
    <t>0.12</t>
  </si>
  <si>
    <t>GB00BP8RYB62</t>
  </si>
  <si>
    <t>Fidelity Index World P Inc TR in GB</t>
  </si>
  <si>
    <t>GB0003357240</t>
  </si>
  <si>
    <t>Fidelity Institutional Long Bond Inc TR in GB</t>
  </si>
  <si>
    <t>GB0033144634</t>
  </si>
  <si>
    <t>Fidelity Institutional Long Dated Sterling Corporate Bond Acc TR in GB**</t>
  </si>
  <si>
    <t>GB0031400335</t>
  </si>
  <si>
    <t>Fidelity Institutional Long Dated Sterling Corporate Bond Inc TR in GB</t>
  </si>
  <si>
    <t>GB00B4ZD7F52</t>
  </si>
  <si>
    <t>Fidelity Institutional Select Emerging Markets Equities in GB</t>
  </si>
  <si>
    <t>GB0003371407</t>
  </si>
  <si>
    <t>Fidelity Institutional South East Asia in GB</t>
  </si>
  <si>
    <t>GB0002051620</t>
  </si>
  <si>
    <t>Fidelity Institutional Sterling Corporate Bond Inc TR in GB</t>
  </si>
  <si>
    <t>GB0002051844</t>
  </si>
  <si>
    <t>Fidelity Institutional UK Gilt Inc TR in GB</t>
  </si>
  <si>
    <t>GB0003877817</t>
  </si>
  <si>
    <t>Fidelity Japan Acc in GB</t>
  </si>
  <si>
    <t>GB0003860565</t>
  </si>
  <si>
    <t>Fidelity Japan Smaller Companies Acc in GB</t>
  </si>
  <si>
    <t>GB00B73VMD59</t>
  </si>
  <si>
    <t>Fidelity Japan Smaller Companies W Acc in GB</t>
  </si>
  <si>
    <t>GB00B882N041</t>
  </si>
  <si>
    <t>Fidelity Japan W Acc in GB</t>
  </si>
  <si>
    <t>GB0003878559</t>
  </si>
  <si>
    <t>Fidelity Moneybuilder Balanced Inc TR in GB</t>
  </si>
  <si>
    <t>GB00BYRPGV84</t>
  </si>
  <si>
    <t>Fidelity Moneybuilder Balanced W Acc TR in GB**</t>
  </si>
  <si>
    <t>GB00B7XJFX07</t>
  </si>
  <si>
    <t>Fidelity Moneybuilder Balanced W Inc TR in GB</t>
  </si>
  <si>
    <t>GB0003860904</t>
  </si>
  <si>
    <t>Fidelity Moneybuilder Dividend Inc TR in GB</t>
  </si>
  <si>
    <t>GB00B3LNGT95</t>
  </si>
  <si>
    <t>Fidelity Moneybuilder Dividend W Inc GBP TR in GB</t>
  </si>
  <si>
    <t>GB00BYSYZM80</t>
  </si>
  <si>
    <t>Fidelity Moneybuilder Dividend W Monthly Inc TR in GB**</t>
  </si>
  <si>
    <t>GB00B417LB58</t>
  </si>
  <si>
    <t>Fidelity Moneybuilder Income A Acc in GB</t>
  </si>
  <si>
    <t>GB0003863916</t>
  </si>
  <si>
    <t>Fidelity Moneybuilder Income A Inc TR in GB</t>
  </si>
  <si>
    <t>GB00BBGBFM09</t>
  </si>
  <si>
    <t>Fidelity Moneybuilder Income W Acc GBP in GB</t>
  </si>
  <si>
    <t>GB00B3Z9PT62</t>
  </si>
  <si>
    <t>Fidelity Moneybuilder Income W Dis GBP TR in GB</t>
  </si>
  <si>
    <t>GB00B893BN59</t>
  </si>
  <si>
    <t>Fidelity Multi Asset Allocator Adventurous W Acc in GB</t>
  </si>
  <si>
    <t>GB00B8YQD220</t>
  </si>
  <si>
    <t>Fidelity Multi Asset Allocator Defensive W Acc in GB</t>
  </si>
  <si>
    <t>GB00B9C3GS90</t>
  </si>
  <si>
    <t>Fidelity Multi Asset Allocator Growth W Acc in GB</t>
  </si>
  <si>
    <t>GB00B99P9349</t>
  </si>
  <si>
    <t>Fidelity Multi Asset Allocator Strategic W Acc in GB</t>
  </si>
  <si>
    <t>GB00BFPC0725</t>
  </si>
  <si>
    <t>Fidelity Multi Asset Balanced Income W Inc TR in GB</t>
  </si>
  <si>
    <t>GB00BFPC0C71</t>
  </si>
  <si>
    <t>Fidelity Multi Asset Income &amp; Growth W Inc TR in GB</t>
  </si>
  <si>
    <t>GB00B1VQRP77</t>
  </si>
  <si>
    <t>Fidelity Multi Asset Income A Acc in GB</t>
  </si>
  <si>
    <t>GB00BJ4L7S87</t>
  </si>
  <si>
    <t>Fidelity Multi Asset Income W Acc TR in GB</t>
  </si>
  <si>
    <t>GB00BFPC0501</t>
  </si>
  <si>
    <t>Fidelity Multi Asset Income W Inc TR in GB</t>
  </si>
  <si>
    <t>GB00BC7GXM70</t>
  </si>
  <si>
    <t>Fidelity Multi Asset Open Adventurous W Acc in GB</t>
  </si>
  <si>
    <t>GB00BC7GXK56</t>
  </si>
  <si>
    <t>Fidelity Multi Asset Open Defensive W Acc in GB</t>
  </si>
  <si>
    <t>GB0033696567</t>
  </si>
  <si>
    <t>Fidelity Multi Asset Open Growth A Acc in GB</t>
  </si>
  <si>
    <t>GB00BC7GXL63</t>
  </si>
  <si>
    <t>Fidelity Multi Asset Open Growth W Acc in GB</t>
  </si>
  <si>
    <t>GB00BC9S3B08</t>
  </si>
  <si>
    <t>Fidelity Multi Asset Open Strategic W Acc TR in GB</t>
  </si>
  <si>
    <t>GB00B8ZQDX23</t>
  </si>
  <si>
    <t>Fidelity Open World A Acc in GB</t>
  </si>
  <si>
    <t>1.94</t>
  </si>
  <si>
    <t>GB00BC7GXN87</t>
  </si>
  <si>
    <t>Fidelity Open World W Acc in GB**</t>
  </si>
  <si>
    <t>Fidelity Short Dated Corporate Bond W Acc in GB</t>
  </si>
  <si>
    <t>GB00BDCG0F15</t>
  </si>
  <si>
    <t>Fidelity Short Dated Corporate Bond W Inc TR in GB</t>
  </si>
  <si>
    <t>GB0003875100</t>
  </si>
  <si>
    <t>Fidelity Special Situations A Acc in GB</t>
  </si>
  <si>
    <t>GB00B88V3X40</t>
  </si>
  <si>
    <t>Fidelity Special Situations W Acc in GB</t>
  </si>
  <si>
    <t>GB00B5M4BD49</t>
  </si>
  <si>
    <t>Fidelity Strategic Bond A Acc in GB</t>
  </si>
  <si>
    <t>GB00B05NC857</t>
  </si>
  <si>
    <t>Fidelity Strategic Bond A Inc TR in GB</t>
  </si>
  <si>
    <t>GB00BCRWZS59</t>
  </si>
  <si>
    <t>Fidelity Strategic Bond W Acc in GB</t>
  </si>
  <si>
    <t>GB00B469J896</t>
  </si>
  <si>
    <t>Fidelity Strategic Bond W Inc TR in GB</t>
  </si>
  <si>
    <t>GB0003874913</t>
  </si>
  <si>
    <t>Fidelity Sustainable European Equity A Acc in GB</t>
  </si>
  <si>
    <t>GB00B8287518</t>
  </si>
  <si>
    <t>Fidelity Sustainable European Equity W Acc in GB</t>
  </si>
  <si>
    <t>GB00BHR44F64</t>
  </si>
  <si>
    <t>Fidelity Sustainable Water &amp; Waste W Acc in GB</t>
  </si>
  <si>
    <t>GB00BHR44G71</t>
  </si>
  <si>
    <t>Fidelity Sustainable Water &amp; Waste W Inc TR in GB</t>
  </si>
  <si>
    <t>GB00BH7HNY76</t>
  </si>
  <si>
    <t>Fidelity UK Opportunities W Acc in GB</t>
  </si>
  <si>
    <t>GB00BH7HNZ83</t>
  </si>
  <si>
    <t>Fidelity UK Opportunities W Inc TR in GB**</t>
  </si>
  <si>
    <t>GB0003864542</t>
  </si>
  <si>
    <t>Fidelity UK Select Acc in GB</t>
  </si>
  <si>
    <t>GB00BFRT3942</t>
  </si>
  <si>
    <t>Fidelity UK Select W Acc in GB</t>
  </si>
  <si>
    <t>GB00B3SW2T17</t>
  </si>
  <si>
    <t>Fidelity UK Smaller Companies A Acc in GB</t>
  </si>
  <si>
    <t>GB00B7VNMB18</t>
  </si>
  <si>
    <t>Fidelity UK Smaller Companies W Acc in GB</t>
  </si>
  <si>
    <t>GB00B1F76G03</t>
  </si>
  <si>
    <t>First Sentier Asian Property Securities A GBP Acc in GB</t>
  </si>
  <si>
    <t>GB00B1F76H10</t>
  </si>
  <si>
    <t>First Sentier Asian Property Securities A GBP Inc TR in GB</t>
  </si>
  <si>
    <t>GB00B1F76J34</t>
  </si>
  <si>
    <t>First Sentier Asian Property Securities B GBP Acc in GB</t>
  </si>
  <si>
    <t>GB00B1F76K49</t>
  </si>
  <si>
    <t>First Sentier Asian Property Securities B GBP Inc TR in GB</t>
  </si>
  <si>
    <t>UT Global EM Bonds - Hard Currency</t>
  </si>
  <si>
    <t>GB00B24HJC53</t>
  </si>
  <si>
    <t>First Sentier Global Listed Infrastructure A GBP Acc in GB</t>
  </si>
  <si>
    <t>GB00B24HJR07</t>
  </si>
  <si>
    <t>First Sentier Global Listed Infrastructure A GBP Inc TR in GB</t>
  </si>
  <si>
    <t>GB00B24HJL45</t>
  </si>
  <si>
    <t>First Sentier Global Listed Infrastructure B Acc GBP in GB</t>
  </si>
  <si>
    <t>GB00B8PLJ176</t>
  </si>
  <si>
    <t>First Sentier Global Listed Infrastructure B Hedged Acc GBP in GB</t>
  </si>
  <si>
    <t>GB00B7DYMW38</t>
  </si>
  <si>
    <t>First Sentier Global Listed Infrastructure B Hedged Inc GBP TR in GB</t>
  </si>
  <si>
    <t>GB00B24HK556</t>
  </si>
  <si>
    <t>First Sentier Global Listed Infrastructure B Inc GBP TR in GB</t>
  </si>
  <si>
    <t>GB00B1F76L55</t>
  </si>
  <si>
    <t>First Sentier Global Property Securities A GBP Acc in GB</t>
  </si>
  <si>
    <t>GB00B1F76M62</t>
  </si>
  <si>
    <t>First Sentier Global Property Securities A GBP Inc TR in GB</t>
  </si>
  <si>
    <t>GB00B1F76N79</t>
  </si>
  <si>
    <t>First Sentier Global Property Securities B GBP Acc in GB</t>
  </si>
  <si>
    <t>GB00B1F76P93</t>
  </si>
  <si>
    <t>First Sentier Global Property Securities B GBP Inc TR in GB</t>
  </si>
  <si>
    <t>GB00B45F7951</t>
  </si>
  <si>
    <t>FP Apollo Multi Asset Adventurous D GBP in GB</t>
  </si>
  <si>
    <t>1.90</t>
  </si>
  <si>
    <t>GB00B67BB375</t>
  </si>
  <si>
    <t>FP Apollo Multi Asset Adventurous F GBP in GB</t>
  </si>
  <si>
    <t>2.12</t>
  </si>
  <si>
    <t>GB00B3FPF276</t>
  </si>
  <si>
    <t>FP Apollo Multi Asset Balanced D GBP in GB</t>
  </si>
  <si>
    <t>GB00B4T7ZR16</t>
  </si>
  <si>
    <t>FP Apollo Multi Asset Balanced F GBP in GB</t>
  </si>
  <si>
    <t>GB00B3FPDY55</t>
  </si>
  <si>
    <t>FP Apollo Multi Asset Cautious D GBP in GB</t>
  </si>
  <si>
    <t>GB00B4TDQD29</t>
  </si>
  <si>
    <t>FP Apollo Multi Asset Cautious F GBP in GB</t>
  </si>
  <si>
    <t>GB00BJHPXB21</t>
  </si>
  <si>
    <t>FP Carmignac European Leaders B Acc in GB</t>
  </si>
  <si>
    <t>GB00BK0T9T82</t>
  </si>
  <si>
    <t>FP Foresight Global Real Infrastructure A Acc GBP in GB</t>
  </si>
  <si>
    <t>GB00BK0TB032</t>
  </si>
  <si>
    <t>FP Foresight Global Real Infrastructure A Inc GBP TR in GB</t>
  </si>
  <si>
    <t>GB00BMFYBB80</t>
  </si>
  <si>
    <t>FP Foresight Sustainable Real Estate Securities A Acc GBP in GB</t>
  </si>
  <si>
    <t>GB00BMFYBC97</t>
  </si>
  <si>
    <t>FP Foresight Sustainable Real Estate Securities A Inc GBP TR in GB</t>
  </si>
  <si>
    <t>GB00BF0VS922</t>
  </si>
  <si>
    <t>FP Foresight UK Infrastructure Income A Acc in GB</t>
  </si>
  <si>
    <t>GB00BF0VS815</t>
  </si>
  <si>
    <t>FP Foresight UK Infrastructure Income A Inc TR in GB</t>
  </si>
  <si>
    <t>GB00B5S94T07</t>
  </si>
  <si>
    <t>FP Frontier MAP Balanced B Acc in GB</t>
  </si>
  <si>
    <t>GB00B51J2488</t>
  </si>
  <si>
    <t>FP Frontier MAP Balanced C Acc in GB**</t>
  </si>
  <si>
    <t>GB00B41PLK82</t>
  </si>
  <si>
    <t>FP Octopus Dynamic Mixed Asset B Acc in GB</t>
  </si>
  <si>
    <t>GB00B41NRM60</t>
  </si>
  <si>
    <t>FP Octopus Fixed Income B Acc in GB</t>
  </si>
  <si>
    <t>GB00B407SY80</t>
  </si>
  <si>
    <t>FP Octopus Fixed Income B Inc TR in GB</t>
  </si>
  <si>
    <t>GB00B64GNB76</t>
  </si>
  <si>
    <t>FP Octopus Global Growth B in GB</t>
  </si>
  <si>
    <t>GB00B66SL396</t>
  </si>
  <si>
    <t>FP Octopus Global Strategies B in GB</t>
  </si>
  <si>
    <t>GB00B54S5982</t>
  </si>
  <si>
    <t>FP Octopus Global Strategies Y in GB</t>
  </si>
  <si>
    <t>GB00B45XZH38</t>
  </si>
  <si>
    <t>FP Octopus International Equity B Acc in GB</t>
  </si>
  <si>
    <t>GB00B4130Q19</t>
  </si>
  <si>
    <t>FP Octopus UK Equity B Acc in GB</t>
  </si>
  <si>
    <t>GB00BYQ7HN43</t>
  </si>
  <si>
    <t>FP Octopus UK Micro Cap Growth P Acc in GB</t>
  </si>
  <si>
    <t>GB00BYQ7HP66</t>
  </si>
  <si>
    <t>FP Octopus UK Micro Cap Growth S Acc in GB</t>
  </si>
  <si>
    <t>GB00BG47Q333</t>
  </si>
  <si>
    <t>FP Octopus UK Multi Cap Income S Acc GBP in GB</t>
  </si>
  <si>
    <t>GB00BG47Q440</t>
  </si>
  <si>
    <t>FP Octopus UK Multi Cap Income S Inc GBP TR in GB</t>
  </si>
  <si>
    <t>GB00B4TW6408</t>
  </si>
  <si>
    <t>FP Rayliant Quantamental Emerging Markets Equity A in GB</t>
  </si>
  <si>
    <t>GB00B4X90018</t>
  </si>
  <si>
    <t>FP Rayliant Quantamental Emerging Markets Equity B in GB</t>
  </si>
  <si>
    <t>GB00B4L3HZ92</t>
  </si>
  <si>
    <t>FP Russell Investments Defensive Assets A Acc in GB</t>
  </si>
  <si>
    <t>GB00B4L3HR19</t>
  </si>
  <si>
    <t>FP Russell Investments Defensive Assets A Inc TR in GB</t>
  </si>
  <si>
    <t>GB00B4L7KL81</t>
  </si>
  <si>
    <t>FP Russell Investments Defensive Assets C Acc in GB</t>
  </si>
  <si>
    <t>GB00B4L7GL04</t>
  </si>
  <si>
    <t>FP Russell Investments Defensive Assets C Inc TR in GB</t>
  </si>
  <si>
    <t>GB00B4JQN302</t>
  </si>
  <si>
    <t>FP Russell Investments International Growth Assets A Acc in GB</t>
  </si>
  <si>
    <t>GB00B4L1FW65</t>
  </si>
  <si>
    <t>FP Russell Investments International Growth Assets A Inc TR in GB</t>
  </si>
  <si>
    <t>GB00B4KHXP47</t>
  </si>
  <si>
    <t>FP Russell Investments International Growth Assets C Acc in GB</t>
  </si>
  <si>
    <t>GB00B4JQSQ86</t>
  </si>
  <si>
    <t>FP Russell Investments International Growth Assets C Inc TR in GB</t>
  </si>
  <si>
    <t>GB00BYXJKN47</t>
  </si>
  <si>
    <t>FP Russell Investments Multi Asset Growth I C Acc in GB</t>
  </si>
  <si>
    <t>GB00BYXJKM30</t>
  </si>
  <si>
    <t>FP Russell Investments Multi Asset Growth I C Inc TR in GB</t>
  </si>
  <si>
    <t>GB00BYXJKQ77</t>
  </si>
  <si>
    <t>FP Russell Investments Multi Asset Growth II C Acc in GB</t>
  </si>
  <si>
    <t>GB00BYXJKP60</t>
  </si>
  <si>
    <t>FP Russell Investments Multi Asset Growth II C Inc TR in GB</t>
  </si>
  <si>
    <t>GB00B7W5QJ24</t>
  </si>
  <si>
    <t>FP Russell Investments Multi Asset Growth III C Acc in GB</t>
  </si>
  <si>
    <t>GB00B8DRDK49</t>
  </si>
  <si>
    <t>FP Russell Investments Multi Asset Growth III C Inc TR in GB</t>
  </si>
  <si>
    <t>GB00BYXJKS91</t>
  </si>
  <si>
    <t>FP Russell Investments Multi Asset Growth IV C Acc in GB</t>
  </si>
  <si>
    <t>GB00BYXJKR84</t>
  </si>
  <si>
    <t>FP Russell Investments Multi Asset Growth IV C Inc TR in GB</t>
  </si>
  <si>
    <t>21/07/2020</t>
  </si>
  <si>
    <t>GB00BYXJKV21</t>
  </si>
  <si>
    <t>FP Russell Investments Multi Asset Growth V C Acc in GB</t>
  </si>
  <si>
    <t>GB00BYXJKT09</t>
  </si>
  <si>
    <t>FP Russell Investments Multi Asset Growth V C Inc TR in GB</t>
  </si>
  <si>
    <t>GB00B8GKWL49</t>
  </si>
  <si>
    <t>FP Russell Investments Multi Asset Income C Acc in GB</t>
  </si>
  <si>
    <t>GB00B7020P99</t>
  </si>
  <si>
    <t>FP Russell Investments Multi Asset Income C Inc TR in GB</t>
  </si>
  <si>
    <t>GB00B4KZFS51</t>
  </si>
  <si>
    <t>FP Russell Investments Real Assets A Acc in GB</t>
  </si>
  <si>
    <t>2.01</t>
  </si>
  <si>
    <t>GB00B4L7KT67</t>
  </si>
  <si>
    <t>FP Russell Investments Real Assets A Inc TR in GB</t>
  </si>
  <si>
    <t>GB00B4KQS127</t>
  </si>
  <si>
    <t>FP Russell Investments Real Assets C Acc in GB</t>
  </si>
  <si>
    <t>GB00B4KZLD27</t>
  </si>
  <si>
    <t>FP Russell Investments Real Assets C Inc TR in GB</t>
  </si>
  <si>
    <t>GB00B4KQX622</t>
  </si>
  <si>
    <t>FP Russell Investments UK Growth Assets A Acc in GB</t>
  </si>
  <si>
    <t>GB00B4KQSD47</t>
  </si>
  <si>
    <t>FP Russell Investments UK Growth Assets A Inc TR in GB</t>
  </si>
  <si>
    <t>GB00B4L1FT37</t>
  </si>
  <si>
    <t>FP Russell Investments UK Growth Assets C Acc in GB</t>
  </si>
  <si>
    <t>GB00B4KT2864</t>
  </si>
  <si>
    <t>FP Russell Investments UK Growth Assets C Inc TR in GB</t>
  </si>
  <si>
    <t>GB00BYQ4HM47</t>
  </si>
  <si>
    <t>FP Volare Balanced A Acc in GB</t>
  </si>
  <si>
    <t>GB00BYQ4HK23</t>
  </si>
  <si>
    <t>FP Volare Cautious A Acc in GB</t>
  </si>
  <si>
    <t>GB00BYQ4HH93</t>
  </si>
  <si>
    <t>FP Volare Defensive A Acc in GB</t>
  </si>
  <si>
    <t>GB00BYQ4HP77</t>
  </si>
  <si>
    <t>FP Volare Growth A Acc in GB</t>
  </si>
  <si>
    <t>GB00BYQ4HS09</t>
  </si>
  <si>
    <t>FP Volare Strategic Income A Inc TR in GB</t>
  </si>
  <si>
    <t>GB00B4LDCG53</t>
  </si>
  <si>
    <t>FP WHEB Sustainability A Acc in GB</t>
  </si>
  <si>
    <t>GB00B8HPRW47</t>
  </si>
  <si>
    <t>FP WHEB Sustainability C Acc in GB</t>
  </si>
  <si>
    <t>GB00BHBFFN03</t>
  </si>
  <si>
    <t>FP WHEB Sustainability C Inc TR in GB**</t>
  </si>
  <si>
    <t>GB00BYZCTS97</t>
  </si>
  <si>
    <t>GB00BYZCTT05</t>
  </si>
  <si>
    <t>GB00B7MKLS14</t>
  </si>
  <si>
    <t>GB00BYZCTV27</t>
  </si>
  <si>
    <t>GB00BYZCTW34</t>
  </si>
  <si>
    <t>GB00BZ8FPB74</t>
  </si>
  <si>
    <t>31/12/2018</t>
  </si>
  <si>
    <t>GB00B7MPWT49</t>
  </si>
  <si>
    <t>GB00B7BXT545</t>
  </si>
  <si>
    <t>GB00B8K8HH50</t>
  </si>
  <si>
    <t>GB00B76GK996</t>
  </si>
  <si>
    <t>GB00BYVDZT91</t>
  </si>
  <si>
    <t>GB00B5MJ5601</t>
  </si>
  <si>
    <t>GB00BT6STC53</t>
  </si>
  <si>
    <t>GB00B7FFF708</t>
  </si>
  <si>
    <t>GB00BYVDZV14</t>
  </si>
  <si>
    <t>GB00B7KCG406</t>
  </si>
  <si>
    <t>GB00BWNGXJ86</t>
  </si>
  <si>
    <t>FSSA Asia Focus B Acc GBP in GB</t>
  </si>
  <si>
    <t>GB00BZ8GV678</t>
  </si>
  <si>
    <t>FSSA Global Emerging Markets Focus E Acc GBP in GB**</t>
  </si>
  <si>
    <t>GB0033874107</t>
  </si>
  <si>
    <t>FSSA Greater China Growth A GBP Acc in GB</t>
  </si>
  <si>
    <t>GB0033874321</t>
  </si>
  <si>
    <t>FSSA Greater China Growth B GBP Acc in GB</t>
  </si>
  <si>
    <t>GB00BWNGX432</t>
  </si>
  <si>
    <t>FSSA Japan Focus B Acc GBP in GB</t>
  </si>
  <si>
    <t>GB00B41YBW71</t>
  </si>
  <si>
    <t>Fundsmith Equity I Acc in GB</t>
  </si>
  <si>
    <t>GB00B4MR8G82</t>
  </si>
  <si>
    <t>Fundsmith Equity I Inc TR in GB</t>
  </si>
  <si>
    <t>GB00B4LPDJ14</t>
  </si>
  <si>
    <t>Fundsmith Equity R Acc in GB</t>
  </si>
  <si>
    <t>GB00B4QBRK32</t>
  </si>
  <si>
    <t>Fundsmith Equity R Inc TR in GB</t>
  </si>
  <si>
    <t>GB00B4Q5X527</t>
  </si>
  <si>
    <t>Fundsmith Equity T Acc in GB</t>
  </si>
  <si>
    <t>GB00B4M93C53</t>
  </si>
  <si>
    <t>Fundsmith Equity T Inc TR in GB</t>
  </si>
  <si>
    <t>GB00BF0V6P41</t>
  </si>
  <si>
    <t>Fundsmith Sustainable Equity I Acc in GB</t>
  </si>
  <si>
    <t>GB00BF0V6Q57</t>
  </si>
  <si>
    <t>Fundsmith Sustainable Equity I Inc TR in GB</t>
  </si>
  <si>
    <t>GB00BYQJ5J24</t>
  </si>
  <si>
    <t>GAM Continental Euro Equity Inst Acc GBP TR in GB</t>
  </si>
  <si>
    <t>GB00BYQJ5G92</t>
  </si>
  <si>
    <t>GAM Credit Opportunities GBP I Acc in GB</t>
  </si>
  <si>
    <t>GB00BYQJ5H00</t>
  </si>
  <si>
    <t>GAM Emerging Equity Inst Acc GBP TR in GB</t>
  </si>
  <si>
    <t>GB0002426640</t>
  </si>
  <si>
    <t>GAM Global Diversified A Acc in GB</t>
  </si>
  <si>
    <t>GB00B66RBL40</t>
  </si>
  <si>
    <t>GAM Global Diversified Inst Acc in GB</t>
  </si>
  <si>
    <t>GB0002423852</t>
  </si>
  <si>
    <t>GAM North American Growth A Acc in GB</t>
  </si>
  <si>
    <t>GB0002423746</t>
  </si>
  <si>
    <t>GAM North American Growth A Inc TR in GB</t>
  </si>
  <si>
    <t>GB00B6TTG122</t>
  </si>
  <si>
    <t>GAM North American Growth Inst Acc in GB</t>
  </si>
  <si>
    <t>GB00B75LZK14</t>
  </si>
  <si>
    <t>GAM North American Growth Inst Inc TR in GB**</t>
  </si>
  <si>
    <t>GB00BF7M7T16</t>
  </si>
  <si>
    <t>GAM UK Equity Income Inst Semi Annual Acc in GB</t>
  </si>
  <si>
    <t>GB00BD814M52</t>
  </si>
  <si>
    <t>GAM UK Equity Income Inst Semi Annual Inc TR in GB</t>
  </si>
  <si>
    <t>GB00BF7M7V38</t>
  </si>
  <si>
    <t>GAM UK Equity Income Z Semi Annual Acc in GB</t>
  </si>
  <si>
    <t>GB00BF09N571</t>
  </si>
  <si>
    <t>GAM UK Equity Income Z Semi Annual Inc TR in GB</t>
  </si>
  <si>
    <t>GB00B6RPQL25</t>
  </si>
  <si>
    <t>Garraway VT Garraway UK Equity Market F Acc in GB</t>
  </si>
  <si>
    <t>GB00B7MF2Y92</t>
  </si>
  <si>
    <t>Garraway VT Garraway UK Equity Market F Inc TR in GB</t>
  </si>
  <si>
    <t>GB00B80QG615</t>
  </si>
  <si>
    <t>HSBC American Index C Acc in GB</t>
  </si>
  <si>
    <t>15/11/2020</t>
  </si>
  <si>
    <t>GB00B80QG490</t>
  </si>
  <si>
    <t>HSBC American Index C Inc TR in GB</t>
  </si>
  <si>
    <t>GB0000473313</t>
  </si>
  <si>
    <t>HSBC American Index Inst Acc in GB</t>
  </si>
  <si>
    <t>0.02</t>
  </si>
  <si>
    <t>GB0000470418</t>
  </si>
  <si>
    <t>HSBC American Index Ret Acc in GB</t>
  </si>
  <si>
    <t>GB0000469741</t>
  </si>
  <si>
    <t>HSBC American Index Ret Inc TR in GB</t>
  </si>
  <si>
    <t>GB00BG0R5293</t>
  </si>
  <si>
    <t>HSBC Balanced C Acc in GB</t>
  </si>
  <si>
    <t>GB00BG0R4Z55</t>
  </si>
  <si>
    <t>HSBC Balanced C Inc TR in GB**</t>
  </si>
  <si>
    <t>GB0000190289</t>
  </si>
  <si>
    <t>HSBC Balanced Ret Acc in GB</t>
  </si>
  <si>
    <t>GB00B85KC152</t>
  </si>
  <si>
    <t>HSBC Corporate Bond C Acc in GB</t>
  </si>
  <si>
    <t>GB00B7X4RF18</t>
  </si>
  <si>
    <t>HSBC Corporate Bond C Inc TR in GB</t>
  </si>
  <si>
    <t>GB0000175165</t>
  </si>
  <si>
    <t>HSBC Corporate Bond Ret Acc in GB</t>
  </si>
  <si>
    <t>GB0000170554</t>
  </si>
  <si>
    <t>HSBC Corporate Bond Ret Inc TR in GB</t>
  </si>
  <si>
    <t>GB00B80QGH28</t>
  </si>
  <si>
    <t>HSBC European Index C Acc in GB</t>
  </si>
  <si>
    <t>GB00B80QGD89</t>
  </si>
  <si>
    <t>HSBC European Index C Inc TR in GB</t>
  </si>
  <si>
    <t>GB0000469303</t>
  </si>
  <si>
    <t>HSBC European Index Inst Acc in GB</t>
  </si>
  <si>
    <t>0.03</t>
  </si>
  <si>
    <t>GB0000469071</t>
  </si>
  <si>
    <t>HSBC European Index Ret Acc in GB</t>
  </si>
  <si>
    <t>GB0000468776</t>
  </si>
  <si>
    <t>HSBC European Index Ret Inc TR in GB</t>
  </si>
  <si>
    <t>GB00B80QFR50</t>
  </si>
  <si>
    <t>HSBC FTSE 100 Index C Acc in GB</t>
  </si>
  <si>
    <t>0.09</t>
  </si>
  <si>
    <t>01/04/2020</t>
  </si>
  <si>
    <t>GB00B80QD042</t>
  </si>
  <si>
    <t>HSBC FTSE 100 Index C Inc TR in GB</t>
  </si>
  <si>
    <t>GB0000412477</t>
  </si>
  <si>
    <t>HSBC FTSE 100 Index Ret Acc in GB</t>
  </si>
  <si>
    <t>GB0000407618</t>
  </si>
  <si>
    <t>HSBC FTSE 100 Index Ret Inc TR in GB</t>
  </si>
  <si>
    <t>GB00B80QG052</t>
  </si>
  <si>
    <t>HSBC FTSE 250 Index C Acc in GB</t>
  </si>
  <si>
    <t>GB00B80QFZ35</t>
  </si>
  <si>
    <t>HSBC FTSE 250 Index C Inc TR in GB</t>
  </si>
  <si>
    <t>GB0000467810</t>
  </si>
  <si>
    <t>HSBC FTSE 250 Index Ret Acc in GB</t>
  </si>
  <si>
    <t>GB0000467703</t>
  </si>
  <si>
    <t>HSBC FTSE 250 Index Ret Inc TR in GB</t>
  </si>
  <si>
    <t>GB00BV8VN686</t>
  </si>
  <si>
    <t>HSBC FTSE 250 Index S Acc in GB</t>
  </si>
  <si>
    <t>0.08</t>
  </si>
  <si>
    <t>GB00BV8VN462</t>
  </si>
  <si>
    <t>HSBC FTSE 250 Index S Inc TR in GB</t>
  </si>
  <si>
    <t>GB00B80QFX11</t>
  </si>
  <si>
    <t>HSBC FTSE All Share Index C Acc in GB</t>
  </si>
  <si>
    <t>GB00B80QFW04</t>
  </si>
  <si>
    <t>HSBC FTSE All Share Index C Inc TR in GB</t>
  </si>
  <si>
    <t>GB0030334345</t>
  </si>
  <si>
    <t>HSBC FTSE All Share Index Inst Acc in GB</t>
  </si>
  <si>
    <t>GB0000438233</t>
  </si>
  <si>
    <t>HSBC FTSE All Share Index Ret Acc in GB</t>
  </si>
  <si>
    <t>GB0000424886</t>
  </si>
  <si>
    <t>HSBC FTSE All Share Index Ret Inc TR in GB</t>
  </si>
  <si>
    <t>GB00BMJJJF91</t>
  </si>
  <si>
    <t>HSBC FTSE All World Index C Acc in GB</t>
  </si>
  <si>
    <t>GB00BMJJJG09</t>
  </si>
  <si>
    <t>HSBC FTSE All World Index C Inc TR in GB</t>
  </si>
  <si>
    <t>GB00BMJJJJ30</t>
  </si>
  <si>
    <t>HSBC FTSE All World Index Inst Acc in GB</t>
  </si>
  <si>
    <t>0.04</t>
  </si>
  <si>
    <t>GB00BF0GWY02</t>
  </si>
  <si>
    <t>HSBC FTSE All World Index S Acc in GB**</t>
  </si>
  <si>
    <t>GB00BF0GWX94</t>
  </si>
  <si>
    <t>HSBC FTSE All World Index S Inc TR in GB**</t>
  </si>
  <si>
    <t>GB00B28PPB60</t>
  </si>
  <si>
    <t>HSBC Global Property A Inst Acc in GB**</t>
  </si>
  <si>
    <t>GB00B84L7Q94</t>
  </si>
  <si>
    <t>HSBC Global Property C Acc in GB</t>
  </si>
  <si>
    <t>GB00B702WG47</t>
  </si>
  <si>
    <t>HSBC Global Property C Inc TR in GB</t>
  </si>
  <si>
    <t>GB00B28PP161</t>
  </si>
  <si>
    <t>HSBC Global Property Ret Acc in GB</t>
  </si>
  <si>
    <t>GB00BYVXBH99</t>
  </si>
  <si>
    <t>HSBC Global Strategy Adventurous Portfolio C Acc in GB</t>
  </si>
  <si>
    <t>GB00BYVXBG82</t>
  </si>
  <si>
    <t>HSBC Global Strategy Adventurous Portfolio C Inc TR in GB</t>
  </si>
  <si>
    <t>GB00B76WP695</t>
  </si>
  <si>
    <t>HSBC Global Strategy Balanced Portfolio C Acc in GB</t>
  </si>
  <si>
    <t>0.19</t>
  </si>
  <si>
    <t>GB00B7PHDP01</t>
  </si>
  <si>
    <t>HSBC Global Strategy Balanced Portfolio C Inc TR in GB</t>
  </si>
  <si>
    <t>GB00B84DV184</t>
  </si>
  <si>
    <t>HSBC Global Strategy Cautious Portfolio C Acc in GB</t>
  </si>
  <si>
    <t>0.18</t>
  </si>
  <si>
    <t>GB00B84L8664</t>
  </si>
  <si>
    <t>HSBC Global Strategy Cautious Portfolio C Inc TR in GB</t>
  </si>
  <si>
    <t>GB00B64T3D80</t>
  </si>
  <si>
    <t>HSBC Global Strategy Cautious Portfolio X Ret Acc in GB</t>
  </si>
  <si>
    <t>GB00BYVXBK29</t>
  </si>
  <si>
    <t>HSBC Global Strategy Conservative Portfolio C Acc in GB</t>
  </si>
  <si>
    <t>GB00BYVXBJ14</t>
  </si>
  <si>
    <t>HSBC Global Strategy Conservative Portfolio C Inc TR in GB</t>
  </si>
  <si>
    <t>GB00B849DT80</t>
  </si>
  <si>
    <t>HSBC Global Strategy Dynamic Portfolio C Acc in GB</t>
  </si>
  <si>
    <t>GB00B7NM4986</t>
  </si>
  <si>
    <t>HSBC Global Strategy Dynamic Portfolio C Inc TR in GB</t>
  </si>
  <si>
    <t>GB00BLKQCX12</t>
  </si>
  <si>
    <t>HSBC Global Sustainable Multi-Asset Adventurous Portfolio C Acc in GB</t>
  </si>
  <si>
    <t>GB00BF1H4F75</t>
  </si>
  <si>
    <t>HSBC Global Sustainable Multi-Asset Balanced Portfolio C Acc in GB</t>
  </si>
  <si>
    <t>GB00BLKQD051</t>
  </si>
  <si>
    <t>HSBC Global Sustainable Multi-Asset Cautious Portfolio C Acc in GB</t>
  </si>
  <si>
    <t>GB00BF1H4H99</t>
  </si>
  <si>
    <t>HSBC Global Sustainable Multi-Asset Conservative Portfolio C Acc in GB</t>
  </si>
  <si>
    <t>GB00BLKQDC73</t>
  </si>
  <si>
    <t>HSBC Global Sustainable Multi-Asset Dynamic Portfolio C Acc in GB</t>
  </si>
  <si>
    <t>GB00B8FJ1598</t>
  </si>
  <si>
    <t>HSBC Income C Acc in GB</t>
  </si>
  <si>
    <t>GB00B80L0G42</t>
  </si>
  <si>
    <t>HSBC Income C Inc TR in GB</t>
  </si>
  <si>
    <t>GB0000156843</t>
  </si>
  <si>
    <t>HSBC Income Ret Acc in GB</t>
  </si>
  <si>
    <t>GB0000154913</t>
  </si>
  <si>
    <t>HSBC Income Ret Inc TR in GB</t>
  </si>
  <si>
    <t>GB00B80QGN87</t>
  </si>
  <si>
    <t>HSBC Japan Index C Acc in GB</t>
  </si>
  <si>
    <t>GB00B80QGM70</t>
  </si>
  <si>
    <t>HSBC Japan Index C Inc TR in GB</t>
  </si>
  <si>
    <t>GB0000150481</t>
  </si>
  <si>
    <t>HSBC Japan Index Inst Acc in GB</t>
  </si>
  <si>
    <t>GB0000150374</t>
  </si>
  <si>
    <t>HSBC Japan Index Ret Acc in GB</t>
  </si>
  <si>
    <t>GB0000150150</t>
  </si>
  <si>
    <t>HSBC Japan Index Ret Inc TR in GB</t>
  </si>
  <si>
    <t>GB00BF0GX477</t>
  </si>
  <si>
    <t>HSBC Japan Index S Acc in GB**</t>
  </si>
  <si>
    <t>0.07</t>
  </si>
  <si>
    <t>GB00BF0GX360</t>
  </si>
  <si>
    <t>HSBC Japan Index S Inc TR in GB**</t>
  </si>
  <si>
    <t>GB00B80H8680</t>
  </si>
  <si>
    <t>HSBC Monthly Income C Acc in GB</t>
  </si>
  <si>
    <t>UT UK Equity &amp; Bond Income</t>
  </si>
  <si>
    <t>GB00B8L2VM91</t>
  </si>
  <si>
    <t>HSBC Monthly Income C Inc TR in GB</t>
  </si>
  <si>
    <t>GB0000160639</t>
  </si>
  <si>
    <t>HSBC Monthly Income Ret Acc in GB</t>
  </si>
  <si>
    <t>GB0000160308</t>
  </si>
  <si>
    <t>HSBC Monthly Income Ret Inc TR in GB</t>
  </si>
  <si>
    <t>GB00B80QGT40</t>
  </si>
  <si>
    <t>HSBC Pacific Index C Acc in GB</t>
  </si>
  <si>
    <t>GB00B80QGR26</t>
  </si>
  <si>
    <t>HSBC Pacific Index C Inc TR in GB</t>
  </si>
  <si>
    <t>GB0000151018</t>
  </si>
  <si>
    <t>HSBC Pacific Index Inst Acc in GB</t>
  </si>
  <si>
    <t>GB0000150713</t>
  </si>
  <si>
    <t>HSBC Pacific Index Ret Acc in GB</t>
  </si>
  <si>
    <t>GB0000150606</t>
  </si>
  <si>
    <t>HSBC Pacific Index Ret Inc TR in GB</t>
  </si>
  <si>
    <t>GB00BYV9WC94</t>
  </si>
  <si>
    <t>HSBC Sterling Corporate Bond Index C Acc in GB</t>
  </si>
  <si>
    <t>GB00BYV9W854</t>
  </si>
  <si>
    <t>HSBC Sterling Corporate Bond Index C Inc TR in GB</t>
  </si>
  <si>
    <t>GB00BZ01ZG88</t>
  </si>
  <si>
    <t>HSBC Sterling Corporate Bond Index S Acc in GB**</t>
  </si>
  <si>
    <t>0.11</t>
  </si>
  <si>
    <t>GB00BZ01ZD57</t>
  </si>
  <si>
    <t>HSBC Sterling Corporate Bond Index S Inc TR in GB**</t>
  </si>
  <si>
    <t>GB00B80QG383</t>
  </si>
  <si>
    <t>HSBC UK Gilt Index C Acc in GB</t>
  </si>
  <si>
    <t>0.14</t>
  </si>
  <si>
    <t>GB00B80QG276</t>
  </si>
  <si>
    <t>HSBC UK Gilt Index C Inc TR in GB</t>
  </si>
  <si>
    <t>GB00B4581C50</t>
  </si>
  <si>
    <t>HSBC UK Gilt Index Ret Acc in GB</t>
  </si>
  <si>
    <t>GB00B715G377</t>
  </si>
  <si>
    <t>HSBC UK Growth &amp; Income C Acc in GB</t>
  </si>
  <si>
    <t>GB00B86PKV52</t>
  </si>
  <si>
    <t>HSBC UK Growth &amp; Income C Inc TR in GB</t>
  </si>
  <si>
    <t>GB0000189950</t>
  </si>
  <si>
    <t>HSBC UK Growth &amp; Income Ret Acc in GB</t>
  </si>
  <si>
    <t>GB0000185313</t>
  </si>
  <si>
    <t>HSBC UK Growth &amp; Income Ret Inc TR in GB</t>
  </si>
  <si>
    <t>GB00B8QYPR36</t>
  </si>
  <si>
    <t>HSBC World Selection Balanced Portfolio C Acc in GB</t>
  </si>
  <si>
    <t>GB00B8QYP513</t>
  </si>
  <si>
    <t>HSBC World Selection Balanced Portfolio C Inc TR in GB</t>
  </si>
  <si>
    <t>GB00B7JK0545</t>
  </si>
  <si>
    <t>HSBC World Selection Dividend Distribution Portfolio C Acc in GB</t>
  </si>
  <si>
    <t>GB00B84BZW11</t>
  </si>
  <si>
    <t>HSBC World Selection Dividend Distribution Portfolio C Inc TR in GB</t>
  </si>
  <si>
    <t>GB00B1G3FH19</t>
  </si>
  <si>
    <t>HSBC World Selection Dividend Distribution Portfolio Ret Inc TR in GB</t>
  </si>
  <si>
    <t>GB00B886CK92</t>
  </si>
  <si>
    <t>HSBC World Selection Dynamic Portfolio C Acc in GB</t>
  </si>
  <si>
    <t>GB00B84JBP02</t>
  </si>
  <si>
    <t>HSBC World Selection Dynamic Portfolio C Inc TR in GB</t>
  </si>
  <si>
    <t>GB00BZ3T3P48</t>
  </si>
  <si>
    <t>Huntress IFSL Ravenscroft Balanced A Acc in GB</t>
  </si>
  <si>
    <t>GB00BJXFL013</t>
  </si>
  <si>
    <t>IFSL Avellemy 3 C Inc TR in GB</t>
  </si>
  <si>
    <t>GB00BJXFZ328</t>
  </si>
  <si>
    <t>IFSL Avellemy 4 C Inc TR in GB</t>
  </si>
  <si>
    <t>GB00BJXFZ435</t>
  </si>
  <si>
    <t>IFSL Avellemy 5 C Inc TR in GB</t>
  </si>
  <si>
    <t>GB00BJXFRP82</t>
  </si>
  <si>
    <t>IFSL Avellemy 6 C Inc TR in GB</t>
  </si>
  <si>
    <t>GB00BJXFRZ80</t>
  </si>
  <si>
    <t>IFSL Avellemy 7 C Inc TR in GB</t>
  </si>
  <si>
    <t>GB00BKVFFD14</t>
  </si>
  <si>
    <t>IFSL Avellemy 8 C Inc TR in GB</t>
  </si>
  <si>
    <t>GB00BGGJHT07</t>
  </si>
  <si>
    <t>IFSL Mazarin Balanced A Acc GBP in GB</t>
  </si>
  <si>
    <t>GB00BGGJHR82</t>
  </si>
  <si>
    <t>IFSL Mazarin Cautious A Acc GBP in GB</t>
  </si>
  <si>
    <t>GB00BHZ0CY14</t>
  </si>
  <si>
    <t>IFSL Sanlam Balanced A Acc in GB</t>
  </si>
  <si>
    <t>GB00BHZ0CZ21</t>
  </si>
  <si>
    <t>IFSL Sanlam Balanced A Inc TR in GB</t>
  </si>
  <si>
    <t>GB00BHZ0D488</t>
  </si>
  <si>
    <t>IFSL Sanlam Cautious A Acc in GB</t>
  </si>
  <si>
    <t>GB00BHZ0D595</t>
  </si>
  <si>
    <t>IFSL Sanlam Cautious A Inc TR in GB</t>
  </si>
  <si>
    <t>GB00BK8VGD91</t>
  </si>
  <si>
    <t>IFSL Sanlam Defensive A Acc in GB</t>
  </si>
  <si>
    <t>GB00BK8VGF16</t>
  </si>
  <si>
    <t>IFSL Sanlam Defensive A Inc TR in GB</t>
  </si>
  <si>
    <t>GB00BHZ0CW99</t>
  </si>
  <si>
    <t>IFSL Sanlam Growth A Acc in GB</t>
  </si>
  <si>
    <t>GB00BHZ0CX07</t>
  </si>
  <si>
    <t>IFSL Sanlam Growth A Inc TR in GB</t>
  </si>
  <si>
    <t>GB00B2R2YS84</t>
  </si>
  <si>
    <t>GB00B2R2YJ93</t>
  </si>
  <si>
    <t>GB00B2R2YL16</t>
  </si>
  <si>
    <t>GB00B2R2Y002</t>
  </si>
  <si>
    <t>GB00B2R2Y226</t>
  </si>
  <si>
    <t>GB00B2R2XR03</t>
  </si>
  <si>
    <t>GB00B2R2XS10</t>
  </si>
  <si>
    <t>GB00B2R2XV49</t>
  </si>
  <si>
    <t>GB00B2R2XH05</t>
  </si>
  <si>
    <t>GB00B2R2XJ29</t>
  </si>
  <si>
    <t>GB00B2R2XK34</t>
  </si>
  <si>
    <t>GB00B2R2XL41</t>
  </si>
  <si>
    <t>GB0033028225</t>
  </si>
  <si>
    <t>Invesco Asian (UK) Acc TR in GB</t>
  </si>
  <si>
    <t>GB0033049031</t>
  </si>
  <si>
    <t>Invesco Asian (UK) Inc TR in GB</t>
  </si>
  <si>
    <t>GB00B8N44Q86</t>
  </si>
  <si>
    <t>Invesco Asian (UK) Z Acc TR in GB</t>
  </si>
  <si>
    <t>GB00B8N44R93</t>
  </si>
  <si>
    <t>Invesco Asian (UK) Z Inc TR in GB**</t>
  </si>
  <si>
    <t>GB00B8N44S01</t>
  </si>
  <si>
    <t>Invesco Asian Equity Income (UK) Z Acc TR in GB</t>
  </si>
  <si>
    <t>GB00B8N44T18</t>
  </si>
  <si>
    <t>Invesco Asian Equity Income (UK) Z Inc TR in GB**</t>
  </si>
  <si>
    <t>GB00B8N44H95</t>
  </si>
  <si>
    <t>Invesco Balanced Risk 10 (UK) Z Acc in GB</t>
  </si>
  <si>
    <t>GB00B50P2K30</t>
  </si>
  <si>
    <t>Invesco Balanced Risk 8 (UK) Acc in GB</t>
  </si>
  <si>
    <t>GB00B8N44G88</t>
  </si>
  <si>
    <t>Invesco Balanced Risk 8 (UK) Z Acc in GB</t>
  </si>
  <si>
    <t>GB00B8N44V30</t>
  </si>
  <si>
    <t>Invesco China Equity (UK) Z Acc in GB</t>
  </si>
  <si>
    <t>GB0033028779</t>
  </si>
  <si>
    <t>Invesco Corporate Bond (UK) Acc in GB</t>
  </si>
  <si>
    <t>GB0033050690</t>
  </si>
  <si>
    <t>Invesco Corporate Bond (UK) Inc TR in GB</t>
  </si>
  <si>
    <t>GB00B1W7HY84</t>
  </si>
  <si>
    <t>GB00B1W7HZ91</t>
  </si>
  <si>
    <t>Invesco Corporate Bond (UK) No Trail Inc TR in GB**</t>
  </si>
  <si>
    <t>GB00B8N44Z77</t>
  </si>
  <si>
    <t>GB00B8N45097</t>
  </si>
  <si>
    <t>Invesco Corporate Bond (UK) Z Inc TR in GB**</t>
  </si>
  <si>
    <t>GB0033947226</t>
  </si>
  <si>
    <t>Invesco Distribution (UK) Acc TR in GB</t>
  </si>
  <si>
    <t>GB0033947333</t>
  </si>
  <si>
    <t>Invesco Distribution (UK) Inc TR in GB</t>
  </si>
  <si>
    <t>GB00B8N45329</t>
  </si>
  <si>
    <t>Invesco Distribution (UK) Z Acc TR in GB</t>
  </si>
  <si>
    <t>GB00B8N45436</t>
  </si>
  <si>
    <t>Invesco Distribution (UK) Z Inc TR in GB**</t>
  </si>
  <si>
    <t>GB00B28J0X51</t>
  </si>
  <si>
    <t>GB00B28J0Y68</t>
  </si>
  <si>
    <t>Invesco Emerging European (UK) Inc TR in GB</t>
  </si>
  <si>
    <t>GB00B8N46954</t>
  </si>
  <si>
    <t>Invesco Emerging European (UK) Z Acc in GB</t>
  </si>
  <si>
    <t>GB00B8N46B73</t>
  </si>
  <si>
    <t>Invesco Emerging European (UK) Z Inc TR in GB**</t>
  </si>
  <si>
    <t>GB0033028001</t>
  </si>
  <si>
    <t>GB0033048843</t>
  </si>
  <si>
    <t>Invesco European Equity (UK) Inc TR in GB</t>
  </si>
  <si>
    <t>GB00B8N44J10</t>
  </si>
  <si>
    <t>Invesco European Equity (UK) Z Acc in GB</t>
  </si>
  <si>
    <t>GB00B8N44K25</t>
  </si>
  <si>
    <t>Invesco European Equity (UK) Z Inc TR in GB**</t>
  </si>
  <si>
    <t>GB00B28J0S09</t>
  </si>
  <si>
    <t>GB00B28J0T16</t>
  </si>
  <si>
    <t>Invesco European Equity Income (UK) Inc GBP TR in GB</t>
  </si>
  <si>
    <t>GB00B8N44L32</t>
  </si>
  <si>
    <t>Invesco European Equity Income (UK) Z Acc TR in GB</t>
  </si>
  <si>
    <t>GB00B8N44M49</t>
  </si>
  <si>
    <t>Invesco European Equity Income (UK) Z Inc TR in GB**</t>
  </si>
  <si>
    <t>GB00B28J0N53</t>
  </si>
  <si>
    <t>Invesco European Focus (UK) Acc in GB</t>
  </si>
  <si>
    <t>GB00B28J0P77</t>
  </si>
  <si>
    <t>Invesco European Focus (UK) Inc TR in GB</t>
  </si>
  <si>
    <t>GB00B8N44N55</t>
  </si>
  <si>
    <t>Invesco European Focus (UK) Z Acc in GB</t>
  </si>
  <si>
    <t>GB00B8N44P79</t>
  </si>
  <si>
    <t>Invesco European Focus (UK) Z Inc TR in GB**</t>
  </si>
  <si>
    <t>GB00B2PZXX75</t>
  </si>
  <si>
    <t>Invesco European High Income (UK) Acc TR in GB</t>
  </si>
  <si>
    <t>GB00B2PZXY82</t>
  </si>
  <si>
    <t>Invesco European High Income (UK) Inc TR in GB</t>
  </si>
  <si>
    <t>GB00B8N45766</t>
  </si>
  <si>
    <t>Invesco European High Income (UK) Z Acc TR in GB</t>
  </si>
  <si>
    <t>GB00B8N45873</t>
  </si>
  <si>
    <t>Invesco European High Income (UK) Z Inc TR in GB**</t>
  </si>
  <si>
    <t>GB0033030189</t>
  </si>
  <si>
    <t>Invesco European Smaller Companies (UK) in GB</t>
  </si>
  <si>
    <t>GB00B8N46C80</t>
  </si>
  <si>
    <t>Invesco European Smaller Companies (UK) Z Acc in GB</t>
  </si>
  <si>
    <t>GB0033028662</t>
  </si>
  <si>
    <t>Invesco Global Bond (UK) Acc in GB</t>
  </si>
  <si>
    <t>GB0033049692</t>
  </si>
  <si>
    <t>Invesco Global Bond (UK) Inc TR in GB</t>
  </si>
  <si>
    <t>GB00B3RW7B97</t>
  </si>
  <si>
    <t>Invesco Global Bond (UK) No Trail Acc TR in GB**</t>
  </si>
  <si>
    <t>GB00B3RW7R57</t>
  </si>
  <si>
    <t>Invesco Global Bond (UK) No Trail Inc TR in GB**</t>
  </si>
  <si>
    <t>GB00B8N45F47</t>
  </si>
  <si>
    <t>Invesco Global Bond (UK) Z Acc TR in GB</t>
  </si>
  <si>
    <t>GB00B8N45G53</t>
  </si>
  <si>
    <t>Invesco Global Bond (UK) Z Inc TR in GB**</t>
  </si>
  <si>
    <t>GB0033030304</t>
  </si>
  <si>
    <t>GB0033053371</t>
  </si>
  <si>
    <t>Invesco Global Emerging Markets (UK) Inc TR in GB</t>
  </si>
  <si>
    <t>GB00B8N46731</t>
  </si>
  <si>
    <t>Invesco Global Emerging Markets (UK) Z Acc in GB</t>
  </si>
  <si>
    <t>GB00B8N46848</t>
  </si>
  <si>
    <t>Invesco Global Emerging Markets (UK) Z Inc TR in GB**</t>
  </si>
  <si>
    <t>GB00BDJ0CF02</t>
  </si>
  <si>
    <t>Invesco Global Emerging Markets Bond (UK) Z Acc TR in GB</t>
  </si>
  <si>
    <t>GB00BDJ0CG19</t>
  </si>
  <si>
    <t>Invesco Global Emerging Markets Bond (UK) Z Inc TR in GB</t>
  </si>
  <si>
    <t>GB0033029074</t>
  </si>
  <si>
    <t>Invesco Global Equity (UK) Acc in GB</t>
  </si>
  <si>
    <t>GB0033051664</t>
  </si>
  <si>
    <t>Invesco Global Equity (UK) Inc TR in GB</t>
  </si>
  <si>
    <t>GB00B8N45Y36</t>
  </si>
  <si>
    <t>Invesco Global Equity (UK) Z Acc in GB</t>
  </si>
  <si>
    <t>GB00B8N45Z43</t>
  </si>
  <si>
    <t>Invesco Global Equity (UK) Z Inc TR in GB**</t>
  </si>
  <si>
    <t>GB00B3FD1X43</t>
  </si>
  <si>
    <t>GB00B3FD1Y59</t>
  </si>
  <si>
    <t>Invesco Global Equity Income (UK) Inc TR in GB</t>
  </si>
  <si>
    <t>GB00B3FD1Z66</t>
  </si>
  <si>
    <t>GB00B3FD2084</t>
  </si>
  <si>
    <t>Invesco Global Equity Income (UK) No Trail Inc TR in GB</t>
  </si>
  <si>
    <t>GB00B8N46061</t>
  </si>
  <si>
    <t>Invesco Global Equity Income (UK) Z Acc TR in GB</t>
  </si>
  <si>
    <t>GB00B8N46178</t>
  </si>
  <si>
    <t>Invesco Global Equity Income (UK) Z Inc TR in GB**</t>
  </si>
  <si>
    <t>GB00BZ8GWT74</t>
  </si>
  <si>
    <t>Invesco Global Ex UK Enhanced Index (UK) Z Acc TR in GB</t>
  </si>
  <si>
    <t>GB00BZ8GWV96</t>
  </si>
  <si>
    <t>Invesco Global Ex UK Enhanced Index (UK) Z Inc TR in GB**</t>
  </si>
  <si>
    <t>GB00B42XRV41</t>
  </si>
  <si>
    <t>GB00B8N45K99</t>
  </si>
  <si>
    <t>GB00B8N45L07</t>
  </si>
  <si>
    <t>Invesco Global Financial Capital (UK) Z Inc TR in GB**</t>
  </si>
  <si>
    <t>GB0033029181</t>
  </si>
  <si>
    <t>01/01/2021</t>
  </si>
  <si>
    <t>GB00B8N46285</t>
  </si>
  <si>
    <t>Invesco Global Focus (UK) Z Acc in GB</t>
  </si>
  <si>
    <t>GB00BKQV1J22</t>
  </si>
  <si>
    <t>Invesco Global Income (UK) Z Acc TR in GB</t>
  </si>
  <si>
    <t>GB00BKQV1L44</t>
  </si>
  <si>
    <t>Invesco Global Income (UK) Z Inc TR in GB</t>
  </si>
  <si>
    <t>GB0033030296</t>
  </si>
  <si>
    <t>Invesco Global Smaller Companies (UK) Acc in GB</t>
  </si>
  <si>
    <t>GB0033053264</t>
  </si>
  <si>
    <t>Invesco Global Smaller Companies (UK) Inc TR in GB</t>
  </si>
  <si>
    <t>GB00B8N46D97</t>
  </si>
  <si>
    <t>Invesco Global Smaller Companies (UK) Z Acc TR in GB</t>
  </si>
  <si>
    <t>GB00B8N46F12</t>
  </si>
  <si>
    <t>Invesco Global Smaller Companies (UK) Z Inc TR in GB**</t>
  </si>
  <si>
    <t>GB00BZB27L97</t>
  </si>
  <si>
    <t>Invesco Global Targeted Income (UK) Z Acc GBP TR in GB</t>
  </si>
  <si>
    <t>GB00BZB27M05</t>
  </si>
  <si>
    <t>Invesco Global Targeted Income (UK) Z Inc TR in GB</t>
  </si>
  <si>
    <t>GB00B8CHCY21</t>
  </si>
  <si>
    <t>Invesco Global Targeted Returns (UK) Acc in GB</t>
  </si>
  <si>
    <t>GB00B8CHD613</t>
  </si>
  <si>
    <t>GB0033028555</t>
  </si>
  <si>
    <t>GB0033049254</t>
  </si>
  <si>
    <t>Invesco High Yield (UK) Inc TR in GB</t>
  </si>
  <si>
    <t>GB00B8N45980</t>
  </si>
  <si>
    <t>GB00B8N45B09</t>
  </si>
  <si>
    <t>Invesco High Yield (UK) Z Inc TR in GB**</t>
  </si>
  <si>
    <t>GB0033030742</t>
  </si>
  <si>
    <t>GB0033053488</t>
  </si>
  <si>
    <t>Invesco Income &amp; Growth (UK) Inc TR in GB</t>
  </si>
  <si>
    <t>GB00B8N46N95</t>
  </si>
  <si>
    <t>Invesco Income &amp; Growth (UK) Z Acc TR in GB</t>
  </si>
  <si>
    <t>GB00B8N46P10</t>
  </si>
  <si>
    <t>Invesco Income &amp; Growth (UK) Z Inc TR in GB**</t>
  </si>
  <si>
    <t>GB0033028118</t>
  </si>
  <si>
    <t>GB00B8N44W47</t>
  </si>
  <si>
    <t>GB0033030411</t>
  </si>
  <si>
    <t>Invesco Japanese Smaller Companies (UK) Acc in GB</t>
  </si>
  <si>
    <t>GB00B8N46G29</t>
  </si>
  <si>
    <t>Invesco Japanese Smaller Companies (UK) Z Acc in GB</t>
  </si>
  <si>
    <t>GB0033027706</t>
  </si>
  <si>
    <t>Invesco Latin American (UK) Acc in GB</t>
  </si>
  <si>
    <t>GB0033048280</t>
  </si>
  <si>
    <t>Invesco Latin American (UK) Inc TR in GB</t>
  </si>
  <si>
    <t>GB00B8N44B34</t>
  </si>
  <si>
    <t>GB00B8N44C41</t>
  </si>
  <si>
    <t>Invesco Latin American (UK) Z Inc TR in GB**</t>
  </si>
  <si>
    <t>GB0033029298</t>
  </si>
  <si>
    <t>GB0033052076</t>
  </si>
  <si>
    <t>Invesco Managed Growth (UK) Inc TR in GB</t>
  </si>
  <si>
    <t>GB00B8N46392</t>
  </si>
  <si>
    <t>GB00B8N46400</t>
  </si>
  <si>
    <t>Invesco Managed Growth (UK) Z Inc TR in GB**</t>
  </si>
  <si>
    <t>GB0033029306</t>
  </si>
  <si>
    <t>GB0033052308</t>
  </si>
  <si>
    <t>Invesco Managed Income (UK) Inc TR in GB</t>
  </si>
  <si>
    <t>GB00B8N46517</t>
  </si>
  <si>
    <t>Invesco Managed Income (UK) Z Acc TR in GB</t>
  </si>
  <si>
    <t>GB00B8N46624</t>
  </si>
  <si>
    <t>Invesco Managed Income (UK) Z Inc TR in GB**</t>
  </si>
  <si>
    <t>GB0033029413</t>
  </si>
  <si>
    <t>Invesco Money (UK) No Trail Acc TR in GB</t>
  </si>
  <si>
    <t>GB00BJ04JS57</t>
  </si>
  <si>
    <t>Invesco Money (UK) Z Acc TR in GB</t>
  </si>
  <si>
    <t>GB0033028886</t>
  </si>
  <si>
    <t>Invesco Monthly Income Plus (UK) Acc TR in GB</t>
  </si>
  <si>
    <t>GB0033051334</t>
  </si>
  <si>
    <t>Invesco Monthly Income Plus (UK) Inc TR in GB</t>
  </si>
  <si>
    <t>GB00B1W7J204</t>
  </si>
  <si>
    <t>Invesco Monthly Income Plus (UK) No Trail Acc TR in GB**</t>
  </si>
  <si>
    <t>GB00B1W7J311</t>
  </si>
  <si>
    <t>Invesco Monthly Income Plus (UK) No Trail Inc TR in GB**</t>
  </si>
  <si>
    <t>GB00B8N45P45</t>
  </si>
  <si>
    <t>Invesco Monthly Income Plus (UK) Z Acc TR in GB</t>
  </si>
  <si>
    <t>GB00B8N45Q51</t>
  </si>
  <si>
    <t>Invesco Monthly Income Plus (UK) Z Inc TR in GB**</t>
  </si>
  <si>
    <t>GB0033028449</t>
  </si>
  <si>
    <t>Invesco Pacific (UK) Acc TR in GB</t>
  </si>
  <si>
    <t>GB0033049148</t>
  </si>
  <si>
    <t>Invesco Pacific (UK) Inc TR in GB</t>
  </si>
  <si>
    <t>GB00B8N44X53</t>
  </si>
  <si>
    <t>Invesco Pacific (UK) Z Acc TR in GB</t>
  </si>
  <si>
    <t>GB00B8N44Y60</t>
  </si>
  <si>
    <t>Invesco Pacific (UK) Z Inc TR in GB**</t>
  </si>
  <si>
    <t>GB00B4V74V60</t>
  </si>
  <si>
    <t>GB00B4V7X088</t>
  </si>
  <si>
    <t>Invesco Tactical Bond (UK) Inc TR in GB</t>
  </si>
  <si>
    <t>GB00B8N45T82</t>
  </si>
  <si>
    <t>GB00B8N45V05</t>
  </si>
  <si>
    <t>Invesco Tactical Bond (UK) Z Inc TR in GB**</t>
  </si>
  <si>
    <t>GB0033031047</t>
  </si>
  <si>
    <t>Invesco UK Companies (UK) No Trail Acc in GB</t>
  </si>
  <si>
    <t>GB00B8N46K64</t>
  </si>
  <si>
    <t>GB00BZ8GWY28</t>
  </si>
  <si>
    <t>Invesco UK Enhanced Index (UK) Z Acc in GB</t>
  </si>
  <si>
    <t>GB00BZ8GWZ35</t>
  </si>
  <si>
    <t>Invesco UK Enhanced Index (UK) Z Inc TR in GB**</t>
  </si>
  <si>
    <t>GB0033031484</t>
  </si>
  <si>
    <t>Invesco UK Equity High Income (UK) Acc TR in GB</t>
  </si>
  <si>
    <t>GB0033054015</t>
  </si>
  <si>
    <t>Invesco UK Equity High Income (UK) Inc TR in GB</t>
  </si>
  <si>
    <t>GB00B1W7HH10</t>
  </si>
  <si>
    <t>Invesco UK Equity High Income (UK) No Trail Acc TR in GB**</t>
  </si>
  <si>
    <t>GB00B1W7HJ34</t>
  </si>
  <si>
    <t>Invesco UK Equity High Income (UK) No Trail Inc TR in GB**</t>
  </si>
  <si>
    <t>GB00B8N46L71</t>
  </si>
  <si>
    <t>Invesco UK Equity High Income (UK) Z Acc TR in GB</t>
  </si>
  <si>
    <t>GB00B8N46M88</t>
  </si>
  <si>
    <t>Invesco UK Equity High Income (UK) Z Inc TR in GB**</t>
  </si>
  <si>
    <t>GB0033031260</t>
  </si>
  <si>
    <t>Invesco UK Equity Income (UK) Acc TR in GB</t>
  </si>
  <si>
    <t>GB0033053827</t>
  </si>
  <si>
    <t>Invesco UK Equity Income (UK) Inc TR in GB</t>
  </si>
  <si>
    <t>GB00B1W7HK49</t>
  </si>
  <si>
    <t>Invesco UK Equity Income (UK) No Trail Acc TR in GB**</t>
  </si>
  <si>
    <t>GB00B1W7HL55</t>
  </si>
  <si>
    <t>Invesco UK Equity Income (UK) No Trail Inc TR in GB**</t>
  </si>
  <si>
    <t>GB00B8N46V79</t>
  </si>
  <si>
    <t>Invesco UK Equity Income (UK) Z Acc TR in GB</t>
  </si>
  <si>
    <t>GB00B8N46W86</t>
  </si>
  <si>
    <t>Invesco UK Equity Income (UK) Z Inc TR in GB**</t>
  </si>
  <si>
    <t>GB0033031153</t>
  </si>
  <si>
    <t>GB0033053710</t>
  </si>
  <si>
    <t>Invesco UK Opportunities (UK) Inc TR in GB</t>
  </si>
  <si>
    <t>GB00B8N46S41</t>
  </si>
  <si>
    <t>Invesco UK Opportunities (UK) Z Acc in GB</t>
  </si>
  <si>
    <t>GB00B8N46T57</t>
  </si>
  <si>
    <t>Invesco UK Opportunities (UK) Z Inc TR in GB**</t>
  </si>
  <si>
    <t>GB0033030528</t>
  </si>
  <si>
    <t>Invesco UK Smaller Companies Equity (UK) Acc in GB</t>
  </si>
  <si>
    <t>GB0033113019</t>
  </si>
  <si>
    <t>Invesco UK Smaller Companies Equity (UK) Inc TR in GB</t>
  </si>
  <si>
    <t>GB00B8N46H36</t>
  </si>
  <si>
    <t>GB00B8N46J59</t>
  </si>
  <si>
    <t>Invesco UK Smaller Companies Equity (UK) Z Inc TR in GB**</t>
  </si>
  <si>
    <t>GB0033027698</t>
  </si>
  <si>
    <t>Invesco US Equity (UK) Acc in GB</t>
  </si>
  <si>
    <t>GB00B8N44D57</t>
  </si>
  <si>
    <t>Invesco US Equity (UK) Z Acc TR in GB</t>
  </si>
  <si>
    <t>GB00B7W4GQ69</t>
  </si>
  <si>
    <t>iShares 100 UK Equity Index (UK) D Acc in GB</t>
  </si>
  <si>
    <t>GB00B83MH186</t>
  </si>
  <si>
    <t>iShares Continental European Equity Index (UK) D Acc in GB</t>
  </si>
  <si>
    <t>GB00B08HDG97</t>
  </si>
  <si>
    <t>iShares Continental European Equity Index (UK) L Acc in GB</t>
  </si>
  <si>
    <t>GB00B84DSW83</t>
  </si>
  <si>
    <t>iShares Corporate Bond Index (UK) D Acc TR in GB</t>
  </si>
  <si>
    <t>GB00B7J60R40</t>
  </si>
  <si>
    <t>iShares Corporate Bond Index (UK) D Inc TR in GB**</t>
  </si>
  <si>
    <t>GB00B5MMQ552</t>
  </si>
  <si>
    <t>iShares Corporate Bond Index (UK) L Acc TR in GB</t>
  </si>
  <si>
    <t>GB00B84DY642</t>
  </si>
  <si>
    <t>iShares Emerging Markets Equity Index (UK) D Acc in GB</t>
  </si>
  <si>
    <t>GB00BFK3MD02</t>
  </si>
  <si>
    <t>iShares Emerging Markets Equity Index (UK) D Inc TR in GB**</t>
  </si>
  <si>
    <t>GB00B4M5NH84</t>
  </si>
  <si>
    <t>iShares Emerging Markets Equity Index (UK) L Acc in GB</t>
  </si>
  <si>
    <t>GB00BLBNVK18</t>
  </si>
  <si>
    <t>iShares Emerging Markets Equity Index (UK) L Inc TR in GB**</t>
  </si>
  <si>
    <t>GB00B5BFJG71</t>
  </si>
  <si>
    <t>iShares Global Property Securities Equity Index (UK) D Acc in GB</t>
  </si>
  <si>
    <t>GB00B848DD97</t>
  </si>
  <si>
    <t>iShares Global Property Securities Equity Index (UK) D Inc TR in GB</t>
  </si>
  <si>
    <t>GB00BPFJCF57</t>
  </si>
  <si>
    <t>iShares Global Property Securities Equity Index (UK) H Acc in GB**</t>
  </si>
  <si>
    <t>GB00B64FQP94</t>
  </si>
  <si>
    <t>iShares Global Property Securities Equity Index (UK) L Acc in GB</t>
  </si>
  <si>
    <t>GB00B83RVT96</t>
  </si>
  <si>
    <t>GB00B6QQ9X96</t>
  </si>
  <si>
    <t>iShares Japan Equity Index (UK) D Acc in GB</t>
  </si>
  <si>
    <t>GB00B08HDJ29</t>
  </si>
  <si>
    <t>iShares Japan Equity Index (UK) L Acc in GB</t>
  </si>
  <si>
    <t>GB00B7VT0938</t>
  </si>
  <si>
    <t>iShares Mid Cap UK Equity Index (UK) D Acc in GB</t>
  </si>
  <si>
    <t>GB00BNB74C03</t>
  </si>
  <si>
    <t>iShares Mid Cap UK Equity Index (UK) D Inc TR in GB**</t>
  </si>
  <si>
    <t>GB00B7QK1Y37</t>
  </si>
  <si>
    <t>iShares North American Equity Index (UK) D Acc in GB</t>
  </si>
  <si>
    <t>GB00B08HD588</t>
  </si>
  <si>
    <t>iShares North American Equity Index (UK) L Acc in GB</t>
  </si>
  <si>
    <t>GB00BFBFX327</t>
  </si>
  <si>
    <t>iShares Over 15 Years Corporate Bond Index D Acc in GB</t>
  </si>
  <si>
    <t>GB00BF338G29</t>
  </si>
  <si>
    <t>iShares Over 15 Years Gilts Index (UK) D Acc GBP in GB</t>
  </si>
  <si>
    <t>GB00B58YKH53</t>
  </si>
  <si>
    <t>iShares Overseas Corporate Bond Index (UK) D Acc in GB</t>
  </si>
  <si>
    <t>GB00BNB74B95</t>
  </si>
  <si>
    <t>iShares Overseas Corporate Bond Index (UK) D Inc TR in GB**</t>
  </si>
  <si>
    <t>GB00B849C803</t>
  </si>
  <si>
    <t>iShares Overseas Government Bond Index (UK) D Acc in GB</t>
  </si>
  <si>
    <t>GB00B849FB47</t>
  </si>
  <si>
    <t>iShares Pacific ex Japan Equity Index (UK) D Acc in GB</t>
  </si>
  <si>
    <t>GB00B08HD695</t>
  </si>
  <si>
    <t>iShares Pacific ex Japan Equity Index (UK) L Acc in GB</t>
  </si>
  <si>
    <t>GB00B7C44X99</t>
  </si>
  <si>
    <t>iShares UK Equity Index (UK) D Acc in GB</t>
  </si>
  <si>
    <t>0.05</t>
  </si>
  <si>
    <t>GB00B08HD810</t>
  </si>
  <si>
    <t>iShares UK Equity Index (UK) L Acc in GB</t>
  </si>
  <si>
    <t>GB00B83HGR24</t>
  </si>
  <si>
    <t>GB00B89VCR08</t>
  </si>
  <si>
    <t>iShares UK Gilts All Stocks Index (UK) D Inc TR in GB</t>
  </si>
  <si>
    <t>GB00B08HD364</t>
  </si>
  <si>
    <t>GB00B5VRGY09</t>
  </si>
  <si>
    <t>iShares US Equity Index (UK) D Acc in GB</t>
  </si>
  <si>
    <t>GB00BLBP3L28</t>
  </si>
  <si>
    <t>iShares US Equity Index (UK) L Inc TR in GB**</t>
  </si>
  <si>
    <t>GB00B5KKCS68</t>
  </si>
  <si>
    <t>Janus Henderson Absolute Return A Acc in GB</t>
  </si>
  <si>
    <t>GB00BGK8VR99</t>
  </si>
  <si>
    <t>Janus Henderson Absolute Return Fixed Income I Acc in GB</t>
  </si>
  <si>
    <t>GB00B5KKCX12</t>
  </si>
  <si>
    <t>Janus Henderson Absolute Return I Acc in GB</t>
  </si>
  <si>
    <t>GB00B409PD29</t>
  </si>
  <si>
    <t>Janus Henderson All Stocks Credit A Acc in GB</t>
  </si>
  <si>
    <t>GB0007451072</t>
  </si>
  <si>
    <t>Janus Henderson All Stocks Credit A Inc TR in GB</t>
  </si>
  <si>
    <t>GB0007452377</t>
  </si>
  <si>
    <t>Janus Henderson All Stocks Credit I Acc in GB</t>
  </si>
  <si>
    <t>GB0007451965</t>
  </si>
  <si>
    <t>Janus Henderson All Stocks Credit I Inc TR in GB</t>
  </si>
  <si>
    <t>GB0007680183</t>
  </si>
  <si>
    <t>Janus Henderson Asia Pacific Capital Growth A Acc in GB</t>
  </si>
  <si>
    <t>GB0007681603</t>
  </si>
  <si>
    <t>Janus Henderson Asia Pacific Capital Growth I Acc in GB</t>
  </si>
  <si>
    <t>GB00B62SGY92</t>
  </si>
  <si>
    <t>Janus Henderson Asian Dividend Income Unit Trust I Acc TR in GB</t>
  </si>
  <si>
    <t>GB00B6193536</t>
  </si>
  <si>
    <t>Janus Henderson Asian Dividend Income Unit Trust I Inc TR in GB**</t>
  </si>
  <si>
    <t>GB0003243465</t>
  </si>
  <si>
    <t>Janus Henderson Asian Dividend Income Unit Trust Inc TR in GB</t>
  </si>
  <si>
    <t>GB0032477639</t>
  </si>
  <si>
    <t>Janus Henderson Cautious Managed A Acc in GB</t>
  </si>
  <si>
    <t>GB0032477308</t>
  </si>
  <si>
    <t>Janus Henderson Cautious Managed A Inc TR in GB</t>
  </si>
  <si>
    <t>GB00B6ZHN203</t>
  </si>
  <si>
    <t>Janus Henderson Cautious Managed I Acc in GB</t>
  </si>
  <si>
    <t>GB00B4P4R697</t>
  </si>
  <si>
    <t>Janus Henderson Cautious Managed I Inc TR in GB</t>
  </si>
  <si>
    <t>GB00B5BTGN53</t>
  </si>
  <si>
    <t>Janus Henderson Cautious Managed M Inc TR in GB</t>
  </si>
  <si>
    <t>GB0031860934</t>
  </si>
  <si>
    <t>Janus Henderson China Opportunities A Acc in GB</t>
  </si>
  <si>
    <t>GB00B5T7PM36</t>
  </si>
  <si>
    <t>Janus Henderson China Opportunities I Acc in GB</t>
  </si>
  <si>
    <t>GB00B8289886</t>
  </si>
  <si>
    <t>Janus Henderson Core 3 Income I Acc in GB</t>
  </si>
  <si>
    <t>GB00B7M85J46</t>
  </si>
  <si>
    <t>Janus Henderson Core 3 Income I Inc TR in GB</t>
  </si>
  <si>
    <t>GB00B9DFQH34</t>
  </si>
  <si>
    <t>Janus Henderson Core 4 Income I Acc in GB</t>
  </si>
  <si>
    <t>GB00B8J9W526</t>
  </si>
  <si>
    <t>Janus Henderson Core 5 Income I Acc in GB</t>
  </si>
  <si>
    <t>GB00B7YR0M72</t>
  </si>
  <si>
    <t>Janus Henderson Core 5 Income I Inc TR in GB</t>
  </si>
  <si>
    <t>GB00B96RS580</t>
  </si>
  <si>
    <t>Janus Henderson Core 6 Income &amp; Growth I Acc in GB</t>
  </si>
  <si>
    <t>GB0031861015</t>
  </si>
  <si>
    <t>Janus Henderson Emerging Markets Opportunities A Acc in GB</t>
  </si>
  <si>
    <t>1.79</t>
  </si>
  <si>
    <t>GB00B87M3G18</t>
  </si>
  <si>
    <t>Janus Henderson Emerging Markets Opportunities I Acc in GB</t>
  </si>
  <si>
    <t>GB00BD3HZS16</t>
  </si>
  <si>
    <t>Janus Henderson Emerging Markets Opportunities I Inc TR in GB**</t>
  </si>
  <si>
    <t>GB00B3CPX151</t>
  </si>
  <si>
    <t>Janus Henderson European Absolute Return A Acc in GB</t>
  </si>
  <si>
    <t>GB00B3CPX375</t>
  </si>
  <si>
    <t>Janus Henderson European Absolute Return I Acc in GB</t>
  </si>
  <si>
    <t>GB00B54J0L85</t>
  </si>
  <si>
    <t>Janus Henderson European Focus I Acc in GB</t>
  </si>
  <si>
    <t>GB0030617707</t>
  </si>
  <si>
    <t>Janus Henderson European Growth A Acc in GB</t>
  </si>
  <si>
    <t>GB0030617699</t>
  </si>
  <si>
    <t>Janus Henderson European Growth I Acc in GB</t>
  </si>
  <si>
    <t>GB0032437948</t>
  </si>
  <si>
    <t>Janus Henderson European Selected Opportunities A Acc in GB</t>
  </si>
  <si>
    <t>GB00BK4W8B89</t>
  </si>
  <si>
    <t>GB0032473653</t>
  </si>
  <si>
    <t>Janus Henderson European Selected Opportunities I Acc in GB**</t>
  </si>
  <si>
    <t>GB00B412VB02</t>
  </si>
  <si>
    <t>Janus Henderson European Selected Opportunities I Inc TR in GB**</t>
  </si>
  <si>
    <t>GB0007476087</t>
  </si>
  <si>
    <t>Janus Henderson European Smaller Companies A Acc in GB</t>
  </si>
  <si>
    <t>GB0007476426</t>
  </si>
  <si>
    <t>Janus Henderson European Smaller Companies I Acc in GB</t>
  </si>
  <si>
    <t>GB00B7BX6S68</t>
  </si>
  <si>
    <t>Janus Henderson Fixed Interest Monthly Income Acc in GB</t>
  </si>
  <si>
    <t>GB00BXVMC989</t>
  </si>
  <si>
    <t>Janus Henderson Fixed Interest Monthly Income I Acc TR in GB**</t>
  </si>
  <si>
    <t>GB00B7GSYN71</t>
  </si>
  <si>
    <t>Janus Henderson Fixed Interest Monthly Income I Inc TR in GB</t>
  </si>
  <si>
    <t>GB0001920486</t>
  </si>
  <si>
    <t>Janus Henderson Fixed Interest Monthly Income Inc TR in GB</t>
  </si>
  <si>
    <t>GB0007018194</t>
  </si>
  <si>
    <t>Janus Henderson Global Equity Acc in GB</t>
  </si>
  <si>
    <t>2.09</t>
  </si>
  <si>
    <t>GB00B68SFJ13</t>
  </si>
  <si>
    <t>Janus Henderson Global Equity I Acc in GB</t>
  </si>
  <si>
    <t>GB00B3VZC642</t>
  </si>
  <si>
    <t>Janus Henderson Global Equity Income A Acc in GB</t>
  </si>
  <si>
    <t>GB0031250524</t>
  </si>
  <si>
    <t>Janus Henderson Global Equity Income A Inc TR in GB</t>
  </si>
  <si>
    <t>GB00BFDTFV49</t>
  </si>
  <si>
    <t>Janus Henderson Global Equity Income I Acc in GB</t>
  </si>
  <si>
    <t>GB0031263899</t>
  </si>
  <si>
    <t>Janus Henderson Global Equity Income I Inc TR in GB</t>
  </si>
  <si>
    <t>GB0031919342</t>
  </si>
  <si>
    <t>Janus Henderson Global Financials A Acc in GB</t>
  </si>
  <si>
    <t>GB0031919235</t>
  </si>
  <si>
    <t>Janus Henderson Global Financials I Acc in GB</t>
  </si>
  <si>
    <t>GB00B4LMJ388</t>
  </si>
  <si>
    <t>GB0005027221</t>
  </si>
  <si>
    <t>Janus Henderson Global Sustainable Equity A Inc TR in GB</t>
  </si>
  <si>
    <t>GB00B71DPP64</t>
  </si>
  <si>
    <t>Janus Henderson Global Sustainable Equity I Acc TR in GB</t>
  </si>
  <si>
    <t>GB0005030043</t>
  </si>
  <si>
    <t>Janus Henderson Global Sustainable Equity I Inc TR in GB</t>
  </si>
  <si>
    <t>GB0007698847</t>
  </si>
  <si>
    <t>Janus Henderson Global Technology Leaders A Acc TR in GB</t>
  </si>
  <si>
    <t>GB0007716078</t>
  </si>
  <si>
    <t>Janus Henderson Global Technology Leaders I Acc in GB</t>
  </si>
  <si>
    <t>GB0007460032</t>
  </si>
  <si>
    <t>Janus Henderson Index-Linked Bond A Inc TR in GB</t>
  </si>
  <si>
    <t>GB0007469066</t>
  </si>
  <si>
    <t>Janus Henderson Index-Linked Bond I Acc in GB</t>
  </si>
  <si>
    <t>GB0007466617</t>
  </si>
  <si>
    <t>Janus Henderson Index-Linked Bond I Inc TR in GB</t>
  </si>
  <si>
    <t>GB00B4JTJZ34</t>
  </si>
  <si>
    <t>Janus Henderson Inst Japan Index Opportunities A Acc in GB</t>
  </si>
  <si>
    <t>GB00B0LZBB16</t>
  </si>
  <si>
    <t>Janus Henderson Inst Japan Index Opportunities I Acc in GB</t>
  </si>
  <si>
    <t>0.34</t>
  </si>
  <si>
    <t>GB0007475238</t>
  </si>
  <si>
    <t>Janus Henderson Inst Long Dated Credit A Inc TR in GB</t>
  </si>
  <si>
    <t>GB0007475899</t>
  </si>
  <si>
    <t>GB0007475675</t>
  </si>
  <si>
    <t>Janus Henderson Inst Long Dated Credit I Inc TR in GB</t>
  </si>
  <si>
    <t>GB0007485260</t>
  </si>
  <si>
    <t>Janus Henderson Inst Long Dated Gilt I Acc in GB</t>
  </si>
  <si>
    <t>GB00B00K2Z88</t>
  </si>
  <si>
    <t>Janus Henderson Inst North American Index Opportunities I Acc in GB</t>
  </si>
  <si>
    <t>GB0007673055</t>
  </si>
  <si>
    <t>Janus Henderson Inst Overseas Bond A Inc TR in GB</t>
  </si>
  <si>
    <t>GB0007674244</t>
  </si>
  <si>
    <t>Janus Henderson Inst Overseas Bond I Inc TR in GB</t>
  </si>
  <si>
    <t>GB0007670044</t>
  </si>
  <si>
    <t>Janus Henderson Inst UK Gilt A Inc TR in GB</t>
  </si>
  <si>
    <t>GB0009629402</t>
  </si>
  <si>
    <t>Janus Henderson Inst UK Gilt I Acc in GB</t>
  </si>
  <si>
    <t>GB0007672420</t>
  </si>
  <si>
    <t>Janus Henderson Inst UK Gilt I Inc TR in GB</t>
  </si>
  <si>
    <t>GB00BKTDK099</t>
  </si>
  <si>
    <t>Janus Henderson Inst UK Index Opportunities Trust A Inc TR in GB</t>
  </si>
  <si>
    <t>GB00B02ZBX27</t>
  </si>
  <si>
    <t>GB0007683203</t>
  </si>
  <si>
    <t>Janus Henderson Japan Opportunities A Acc in GB</t>
  </si>
  <si>
    <t>GB0007685026</t>
  </si>
  <si>
    <t>Janus Henderson Japan Opportunities I Acc in GB</t>
  </si>
  <si>
    <t>GB00B02W2291</t>
  </si>
  <si>
    <t>Janus Henderson Multi-Asset Absolute Return A Acc in GB</t>
  </si>
  <si>
    <t>GB00B8113P38</t>
  </si>
  <si>
    <t>Janus Henderson Multi-Asset Absolute Return I Acc in GB</t>
  </si>
  <si>
    <t>GB0031413593</t>
  </si>
  <si>
    <t>Janus Henderson Multi-Manager Active A Acc TR in GB</t>
  </si>
  <si>
    <t>2.33</t>
  </si>
  <si>
    <t>GB00B83VFR76</t>
  </si>
  <si>
    <t>Janus Henderson Multi-Manager Active I Acc in GB</t>
  </si>
  <si>
    <t>GB0002725421</t>
  </si>
  <si>
    <t>Janus Henderson Multi-Manager Distribution A Inc TR in GB</t>
  </si>
  <si>
    <t>2.20</t>
  </si>
  <si>
    <t>GB00B87K9900</t>
  </si>
  <si>
    <t>Janus Henderson Multi-Manager Distribution I Inc TR in GB</t>
  </si>
  <si>
    <t>GB00B4Y1C447</t>
  </si>
  <si>
    <t>Janus Henderson Multi-Manager Diversified A Inc TR in GB</t>
  </si>
  <si>
    <t>GB00BHB1YY26</t>
  </si>
  <si>
    <t>Janus Henderson Multi-Manager Diversified I Acc in GB</t>
  </si>
  <si>
    <t>GB00B5TPWM66</t>
  </si>
  <si>
    <t>GB00B19FLZ44</t>
  </si>
  <si>
    <t>Janus Henderson Multi-Manager Global Select Acc in GB</t>
  </si>
  <si>
    <t>GB00B8B6NJ28</t>
  </si>
  <si>
    <t>Janus Henderson Multi-Manager Global Select I Acc in GB</t>
  </si>
  <si>
    <t>GB00B4KXCG68</t>
  </si>
  <si>
    <t>Janus Henderson Multi-Manager Income &amp; Growth A Acc in GB</t>
  </si>
  <si>
    <t>2.21</t>
  </si>
  <si>
    <t>GB0002540127</t>
  </si>
  <si>
    <t>Janus Henderson Multi-Manager Income &amp; Growth A Inc TR in GB</t>
  </si>
  <si>
    <t>GB00BFDTFW55</t>
  </si>
  <si>
    <t>Janus Henderson Multi-Manager Income &amp; Growth I Acc in GB</t>
  </si>
  <si>
    <t>GB00B88HSJ33</t>
  </si>
  <si>
    <t>Janus Henderson Multi-Manager Income &amp; Growth I Inc TR in GB</t>
  </si>
  <si>
    <t>GB0031412744</t>
  </si>
  <si>
    <t>Janus Henderson Multi-Manager Managed A Acc in GB</t>
  </si>
  <si>
    <t>2.28</t>
  </si>
  <si>
    <t>GB0031412967</t>
  </si>
  <si>
    <t>Janus Henderson Multi-Manager Managed B Acc in GB</t>
  </si>
  <si>
    <t>2.31</t>
  </si>
  <si>
    <t>GB00B7JZZK97</t>
  </si>
  <si>
    <t>Janus Henderson Multi-Manager Managed I Acc TR in GB</t>
  </si>
  <si>
    <t>GB0007017907</t>
  </si>
  <si>
    <t>Janus Henderson Sterling Bond Unit Trust Acc in GB</t>
  </si>
  <si>
    <t>GB00B8GJGW07</t>
  </si>
  <si>
    <t>Janus Henderson Sterling Bond Unit Trust I Acc in GB</t>
  </si>
  <si>
    <t>GB00B6XY7V09</t>
  </si>
  <si>
    <t>Janus Henderson Sterling Bond Unit Trust I Inc TR in GB**</t>
  </si>
  <si>
    <t>GB0007033870</t>
  </si>
  <si>
    <t>Janus Henderson Sterling Bond Unit Trust Inc TR in GB</t>
  </si>
  <si>
    <t>GB0007495293</t>
  </si>
  <si>
    <t>Janus Henderson Strategic Bond A Inc TR in GB</t>
  </si>
  <si>
    <t>GB00BLCYFX43</t>
  </si>
  <si>
    <t>Janus Henderson Strategic Bond G Acc TR in GB**</t>
  </si>
  <si>
    <t>GB00BLCYFW36</t>
  </si>
  <si>
    <t>Janus Henderson Strategic Bond G Inc TR in GB**</t>
  </si>
  <si>
    <t>GB0007533820</t>
  </si>
  <si>
    <t>Janus Henderson Strategic Bond I Acc TR in GB**</t>
  </si>
  <si>
    <t>GB0007502080</t>
  </si>
  <si>
    <t>Janus Henderson Strategic Bond I Inc TR in GB**</t>
  </si>
  <si>
    <t>GB0030956949</t>
  </si>
  <si>
    <t>Janus Henderson UK Alpha A Acc in GB</t>
  </si>
  <si>
    <t>GB0030956832</t>
  </si>
  <si>
    <t>Janus Henderson UK Alpha I Acc in GB</t>
  </si>
  <si>
    <t>GB0007493033</t>
  </si>
  <si>
    <t>Janus Henderson UK Equity Income &amp; Growth A Inc TR in GB</t>
  </si>
  <si>
    <t>GB0007494221</t>
  </si>
  <si>
    <t>Janus Henderson UK Equity Income &amp; Growth I Acc TR in GB**</t>
  </si>
  <si>
    <t>GB0007493470</t>
  </si>
  <si>
    <t>Janus Henderson UK Equity Income &amp; Growth I Inc TR in GB</t>
  </si>
  <si>
    <t>GB00BYP82B13</t>
  </si>
  <si>
    <t>Janus Henderson UK Property PAIF Feeder A Acc in GB</t>
  </si>
  <si>
    <t>GB00BYP82996</t>
  </si>
  <si>
    <t>Janus Henderson UK Property PAIF Feeder A Inc TR in GB</t>
  </si>
  <si>
    <t>GB00BYP82D37</t>
  </si>
  <si>
    <t>Janus Henderson UK Property PAIF Feeder I Acc in GB</t>
  </si>
  <si>
    <t>GB00BYP82C20</t>
  </si>
  <si>
    <t>Janus Henderson UK Property PAIF Feeder I Inc TR in GB</t>
  </si>
  <si>
    <t>GB00BYP82K04</t>
  </si>
  <si>
    <t>Janus Henderson UK Property PAIF Feeder U2 Acc in GB</t>
  </si>
  <si>
    <t>GB0005027338</t>
  </si>
  <si>
    <t>Janus Henderson UK Responsible Income A Inc TR in GB</t>
  </si>
  <si>
    <t>GB0005030373</t>
  </si>
  <si>
    <t>Janus Henderson UK Responsible Income I Inc TR in GB</t>
  </si>
  <si>
    <t>GB0007447286</t>
  </si>
  <si>
    <t>Janus Henderson UK Smaller Companies A Acc in GB</t>
  </si>
  <si>
    <t>GB0007447625</t>
  </si>
  <si>
    <t>Janus Henderson UK Smaller Companies I Acc in GB**</t>
  </si>
  <si>
    <t>GB0032438466</t>
  </si>
  <si>
    <t>Janus Henderson US Growth A Acc in GB</t>
  </si>
  <si>
    <t>GB00B3B4JF96</t>
  </si>
  <si>
    <t>Janus Henderson US Growth I Acc in GB**</t>
  </si>
  <si>
    <t>GB00BJ5JMF35</t>
  </si>
  <si>
    <t>JOHCM Global Opportunities X Acc TR in GB**</t>
  </si>
  <si>
    <t>GB00BJ5JMG42</t>
  </si>
  <si>
    <t>JOHCM Global Opportunities X Inc TR in GB**</t>
  </si>
  <si>
    <t>GB00BMCZDD05</t>
  </si>
  <si>
    <t>JOHCM Regnan Global Equity Impact Solutions A Acc in GB</t>
  </si>
  <si>
    <t>GB00BMCZDJ66</t>
  </si>
  <si>
    <t>JOHCM Regnan Global Equity Impact Solutions F Acc in GB</t>
  </si>
  <si>
    <t>GB00B4T7HR59</t>
  </si>
  <si>
    <t>JOHCM UK Dynamic A Acc in GB</t>
  </si>
  <si>
    <t>GB00B4T85529</t>
  </si>
  <si>
    <t>JOHCM UK Dynamic A Inc TR in GB**</t>
  </si>
  <si>
    <t>GB00B4T7JX59</t>
  </si>
  <si>
    <t>JOHCM UK Dynamic B Acc in GB</t>
  </si>
  <si>
    <t>GB00B4TXJ339</t>
  </si>
  <si>
    <t>JOHCM UK Dynamic B Inc TR in GB</t>
  </si>
  <si>
    <t>GB00BDZRJ101</t>
  </si>
  <si>
    <t>JOHCM UK Dynamic Y Acc in GB</t>
  </si>
  <si>
    <t>GB00BDZRJ218</t>
  </si>
  <si>
    <t>JOHCM UK Dynamic Y Inc TR in GB</t>
  </si>
  <si>
    <t>GB00B03KR500</t>
  </si>
  <si>
    <t>JOHCM UK Equity Income A Acc in GB</t>
  </si>
  <si>
    <t>GB00B03KP231</t>
  </si>
  <si>
    <t>JOHCM UK Equity Income A Inc TR in GB</t>
  </si>
  <si>
    <t>GB00B03KR831</t>
  </si>
  <si>
    <t>JOHCM UK Equity Income B Acc in GB</t>
  </si>
  <si>
    <t>GB00B03KR617</t>
  </si>
  <si>
    <t>JOHCM UK Equity Income B Inc TR in GB</t>
  </si>
  <si>
    <t>GB00B8FCHK57</t>
  </si>
  <si>
    <t>JOHCM UK Equity Income Y Acc in GB</t>
  </si>
  <si>
    <t>GB00B95FCK64</t>
  </si>
  <si>
    <t>JOHCM UK Equity Income Y Inc TR in GB</t>
  </si>
  <si>
    <t>GB00B0LLB641</t>
  </si>
  <si>
    <t>JOHCM UK Opportunities A Acc in GB</t>
  </si>
  <si>
    <t>GB00B3K76Q93</t>
  </si>
  <si>
    <t>JOHCM UK Opportunities A Inc TR in GB**</t>
  </si>
  <si>
    <t>GB00B0LLB757</t>
  </si>
  <si>
    <t>JOHCM UK Opportunities B Acc in GB</t>
  </si>
  <si>
    <t>GB00B3K76P86</t>
  </si>
  <si>
    <t>JOHCM UK Opportunities B Inc TR in GB</t>
  </si>
  <si>
    <t>GB00B95HP811</t>
  </si>
  <si>
    <t>JOHCM UK Opportunities Y Acc in GB</t>
  </si>
  <si>
    <t>GB00B95J5C19</t>
  </si>
  <si>
    <t>JOHCM UK Opportunities Y Inc TR in GB</t>
  </si>
  <si>
    <t>GB0030879695</t>
  </si>
  <si>
    <t>JPM Asia Growth A Acc in GB</t>
  </si>
  <si>
    <t>GB00B235GR40</t>
  </si>
  <si>
    <t>JPM Asia Growth C Acc in GB</t>
  </si>
  <si>
    <t>GB00B235H044</t>
  </si>
  <si>
    <t>JPM Asia Growth C Inc TR in GB**</t>
  </si>
  <si>
    <t>GB0031834699</t>
  </si>
  <si>
    <t>JPM Diversified Growth A Acc in GB</t>
  </si>
  <si>
    <t>GB00B8325K37</t>
  </si>
  <si>
    <t>JPM Diversified Growth B Acc in GB**</t>
  </si>
  <si>
    <t>GB00B7XL3656</t>
  </si>
  <si>
    <t>JPM Diversified Growth C Acc in GB</t>
  </si>
  <si>
    <t>GB00B8DLLD51</t>
  </si>
  <si>
    <t>JPM Emerging Europe Equity C Acc in GB</t>
  </si>
  <si>
    <t>GB00B5NK2V63</t>
  </si>
  <si>
    <t>JPM Emerging Europe Equity C Inc TR in GB**</t>
  </si>
  <si>
    <t>GB0030881550</t>
  </si>
  <si>
    <t>JPM Emerging Markets A Acc in GB</t>
  </si>
  <si>
    <t>GB00B1XMSZ01</t>
  </si>
  <si>
    <t>JPM Emerging Markets A Inc TR in GB</t>
  </si>
  <si>
    <t>GB00B1YX4S73</t>
  </si>
  <si>
    <t>JPM Emerging Markets B Acc in GB</t>
  </si>
  <si>
    <t>GB00B1YX4W10</t>
  </si>
  <si>
    <t>JPM Emerging Markets B Inc TR in GB**</t>
  </si>
  <si>
    <t>GB0030881774</t>
  </si>
  <si>
    <t>JPM Emerging Markets C Acc in GB</t>
  </si>
  <si>
    <t>GB00BBVHWS80</t>
  </si>
  <si>
    <t>JPM Emerging Markets C Inc TR in GB**</t>
  </si>
  <si>
    <t>GB00B56DF680</t>
  </si>
  <si>
    <t>JPM Emerging Markets Income A Acc in GB</t>
  </si>
  <si>
    <t>GB00B50VRT53</t>
  </si>
  <si>
    <t>JPM Emerging Markets Income A Inc TR in GB</t>
  </si>
  <si>
    <t>GB00B5T0GN09</t>
  </si>
  <si>
    <t>JPM Emerging Markets Income B Acc in GB**</t>
  </si>
  <si>
    <t>GB00B592H774</t>
  </si>
  <si>
    <t>JPM Emerging Markets Income B Inc TR in GB</t>
  </si>
  <si>
    <t>JPM Emerging Markets Income C Acc in GB</t>
  </si>
  <si>
    <t>GB00B5N1BC33</t>
  </si>
  <si>
    <t>JPM Emerging Markets Income C Inc TR in GB**</t>
  </si>
  <si>
    <t>GB00BL0DTP33</t>
  </si>
  <si>
    <t>JPM Emerging Markets Sustainable Equity C Acc in GB</t>
  </si>
  <si>
    <t>08/12/2020</t>
  </si>
  <si>
    <t>GB00BL0DTN19</t>
  </si>
  <si>
    <t>JPM Emerging Markets Sustainable Equity C Inc GBP in GB</t>
  </si>
  <si>
    <t>GB00BL0DTQ40</t>
  </si>
  <si>
    <t>JPM Emerging Markets Sustainable Equity S Acc in GB</t>
  </si>
  <si>
    <t>GB00BL0DTR56</t>
  </si>
  <si>
    <t>JPM Emerging Markets Sustainable Equity S Inc TR in GB</t>
  </si>
  <si>
    <t>GB0030879141</t>
  </si>
  <si>
    <t>GB00B1XMTB32</t>
  </si>
  <si>
    <t>GB00B235HP90</t>
  </si>
  <si>
    <t>GB00B235HR15</t>
  </si>
  <si>
    <t>GB00B02L5M76</t>
  </si>
  <si>
    <t>JPM Europe Dynamic Ex UK A Acc in GB</t>
  </si>
  <si>
    <t>GB00B1JFB215</t>
  </si>
  <si>
    <t>JPM Europe Dynamic Ex UK A Inc TR in GB</t>
  </si>
  <si>
    <t>GB00B845HL62</t>
  </si>
  <si>
    <t>JPM Europe Dynamic Ex UK C Acc in GB</t>
  </si>
  <si>
    <t>GB00BCV7MM92</t>
  </si>
  <si>
    <t>JPM Europe Dynamic Ex UK C Hedged Acc GBP in GB</t>
  </si>
  <si>
    <t>GB00B7YLCD41</t>
  </si>
  <si>
    <t>JPM Europe Dynamic Ex UK C Inc TR in GB**</t>
  </si>
  <si>
    <t>GB0030881006</t>
  </si>
  <si>
    <t>JPM Europe Smaller Companies A Acc in GB</t>
  </si>
  <si>
    <t>GB00B1XMT248</t>
  </si>
  <si>
    <t>JPM Europe Smaller Companies A Inc TR in GB</t>
  </si>
  <si>
    <t>GB00B5SDTW07</t>
  </si>
  <si>
    <t>JPM Europe Smaller Companies C Acc in GB</t>
  </si>
  <si>
    <t>GB00B83T7Q40</t>
  </si>
  <si>
    <t>JPM Europe Smaller Companies C Inc TR in GB**</t>
  </si>
  <si>
    <t>GB00BV9GHX75</t>
  </si>
  <si>
    <t>JPM Global Bond Opportunities C Gr Acc in GB</t>
  </si>
  <si>
    <t>GB00BV9GHW68</t>
  </si>
  <si>
    <t>JPM Global Bond Opportunities C Gr Inc TR in GB</t>
  </si>
  <si>
    <t>GB00BV9GJ311</t>
  </si>
  <si>
    <t>JPM Global Bond Opportunities X Gr Acc in GB**</t>
  </si>
  <si>
    <t>GB00B1JNDX07</t>
  </si>
  <si>
    <t>JPM Global Equity Income A Hedged Acc GBP in GB</t>
  </si>
  <si>
    <t>GB00B1JNDZ21</t>
  </si>
  <si>
    <t>JPM Global Equity Income A Hedged Inc GBP TR in GB</t>
  </si>
  <si>
    <t>GB00B235J206</t>
  </si>
  <si>
    <t>JPM Global Equity Income C Acc in GB</t>
  </si>
  <si>
    <t>GB00B8DB5B19</t>
  </si>
  <si>
    <t>JPM Global Equity Income C Hedged Acc GBP in GB</t>
  </si>
  <si>
    <t>GB00B235J313</t>
  </si>
  <si>
    <t>JPM Global Equity Income C Hedged Inc GBP TR in GB</t>
  </si>
  <si>
    <t>GB00B78FJ533</t>
  </si>
  <si>
    <t>JPM Global Equity Income C Inc TR in GB**</t>
  </si>
  <si>
    <t>GB0030877327</t>
  </si>
  <si>
    <t>JPM Global Ex UK Bond A Gr Acc in GB</t>
  </si>
  <si>
    <t>GB00B235J081</t>
  </si>
  <si>
    <t>JPM Global Ex UK Bond C Gr Acc in GB</t>
  </si>
  <si>
    <t>GB00B235J198</t>
  </si>
  <si>
    <t>JPM Global Ex UK Bond C Gr Inc TR in GB**</t>
  </si>
  <si>
    <t>GB0008350976</t>
  </si>
  <si>
    <t>JPM Global High Yield Bond A Gr Acc in GB</t>
  </si>
  <si>
    <t>GB0008350869</t>
  </si>
  <si>
    <t>JPM Global High Yield Bond A Gr Inc TR in GB</t>
  </si>
  <si>
    <t>GB00B1YXBL93</t>
  </si>
  <si>
    <t>JPM Global High Yield Bond B Gr Inc TR in GB**</t>
  </si>
  <si>
    <t>GB00B235QY15</t>
  </si>
  <si>
    <t>JPM Global High Yield Bond C Gr Acc in GB</t>
  </si>
  <si>
    <t>GB00B235R159</t>
  </si>
  <si>
    <t>JPM Global High Yield Bond C Gr Inc TR in GB**</t>
  </si>
  <si>
    <t>GB00B09RGK38</t>
  </si>
  <si>
    <t>JPM Global Macro A Acc in GB</t>
  </si>
  <si>
    <t>GB00B235HC61</t>
  </si>
  <si>
    <t>JPM Global Macro C Acc in GB</t>
  </si>
  <si>
    <t>GB00B235HG00</t>
  </si>
  <si>
    <t>JPM Global Macro C Inc TR in GB**</t>
  </si>
  <si>
    <t>GB00B4WKYF80</t>
  </si>
  <si>
    <t>JPM Global Macro Opportunities C Acc in GB</t>
  </si>
  <si>
    <t>GB00B44CT796</t>
  </si>
  <si>
    <t>JPM Global Macro Opportunities C Inc TR in GB</t>
  </si>
  <si>
    <t>GB0030877871</t>
  </si>
  <si>
    <t>JPM Global Unconstrained Equity A Acc in GB</t>
  </si>
  <si>
    <t>GB00B1XMTN53</t>
  </si>
  <si>
    <t>JPM Global Unconstrained Equity A Inc TR in GB</t>
  </si>
  <si>
    <t>GB00B235QT61</t>
  </si>
  <si>
    <t>JPM Global Unconstrained Equity C Acc in GB</t>
  </si>
  <si>
    <t>GB00B71SRV18</t>
  </si>
  <si>
    <t>JPM Global Unconstrained Equity C Inc TR in GB**</t>
  </si>
  <si>
    <t>GB0030879471</t>
  </si>
  <si>
    <t>JPM Japan A Acc in GB</t>
  </si>
  <si>
    <t>GB00B1XMTP77</t>
  </si>
  <si>
    <t>JPM Japan A Inc TR in GB</t>
  </si>
  <si>
    <t>GB00B235RG08</t>
  </si>
  <si>
    <t>JPM Japan C Acc in GB</t>
  </si>
  <si>
    <t>JPM Japan C Hedged Acc in GB</t>
  </si>
  <si>
    <t>GB00B235RJ39</t>
  </si>
  <si>
    <t>JPM Japan C Inc TR in GB**</t>
  </si>
  <si>
    <t>GB00B4N1ZJ15</t>
  </si>
  <si>
    <t>JPM Multi Asset Income A Acc in GB</t>
  </si>
  <si>
    <t>GB00B4N1ZR98</t>
  </si>
  <si>
    <t>JPM Multi Asset Income A Inc TR in GB</t>
  </si>
  <si>
    <t>GB00B4N20M25</t>
  </si>
  <si>
    <t>JPM Multi Asset Income C Acc in GB</t>
  </si>
  <si>
    <t>GB00B4N20S86</t>
  </si>
  <si>
    <t>JPM Multi Asset Income C Inc TR in GB**</t>
  </si>
  <si>
    <t>GB0030876352</t>
  </si>
  <si>
    <t>JPM Multi Manager Growth A Acc in GB</t>
  </si>
  <si>
    <t>GB0030869779</t>
  </si>
  <si>
    <t>JPM Multi Manager Growth A Inc TR in GB</t>
  </si>
  <si>
    <t>GB00B235R829</t>
  </si>
  <si>
    <t>JPM Multi Manager Growth C Acc in GB</t>
  </si>
  <si>
    <t>GB00B235RD76</t>
  </si>
  <si>
    <t>JPM Multi Manager Growth C Inc TR in GB**</t>
  </si>
  <si>
    <t>GB0031835118</t>
  </si>
  <si>
    <t>JPM Natural Resources A Acc in GB</t>
  </si>
  <si>
    <t>GB00B1XMTQ84</t>
  </si>
  <si>
    <t>JPM Natural Resources A Inc TR in GB</t>
  </si>
  <si>
    <t>GB00B88MP089</t>
  </si>
  <si>
    <t>JPM Natural Resources C Acc in GB</t>
  </si>
  <si>
    <t>GB00B61M9437</t>
  </si>
  <si>
    <t>JPM Natural Resources C Inc TR in GB**</t>
  </si>
  <si>
    <t>GB0030877541</t>
  </si>
  <si>
    <t>JPM Sterling Corporate Bond A Gr Acc in GB</t>
  </si>
  <si>
    <t>GB0030877434</t>
  </si>
  <si>
    <t>JPM Sterling Corporate Bond A Gr Inc TR in GB</t>
  </si>
  <si>
    <t>GB00B235SF65</t>
  </si>
  <si>
    <t>JPM Sterling Corporate Bond C Gr Acc in GB</t>
  </si>
  <si>
    <t>GB00B235SK19</t>
  </si>
  <si>
    <t>JPM Sterling Corporate Bond C Gr Inc TR in GB**</t>
  </si>
  <si>
    <t>GB0009698001</t>
  </si>
  <si>
    <t>JPM UK Dynamic A Acc in GB</t>
  </si>
  <si>
    <t>GB00B6X9BB33</t>
  </si>
  <si>
    <t>JPM UK Dynamic C Acc in GB</t>
  </si>
  <si>
    <t>GB00B6THL002</t>
  </si>
  <si>
    <t>JPM UK Dynamic C Inc TR in GB**</t>
  </si>
  <si>
    <t>GB00B55QSH09</t>
  </si>
  <si>
    <t>JPM UK Equity Core E Acc in GB</t>
  </si>
  <si>
    <t>GB00B58L4H43</t>
  </si>
  <si>
    <t>JPM UK Equity Core E Inc TR in GB</t>
  </si>
  <si>
    <t>GB00BF09LN16</t>
  </si>
  <si>
    <t>JPM UK Equity Core E Quarterly Acc in GB</t>
  </si>
  <si>
    <t>GB00BYM41F95</t>
  </si>
  <si>
    <t>JPM UK Equity Core E Quarterly Inc TR in GB</t>
  </si>
  <si>
    <t>GB00B3FJQ821</t>
  </si>
  <si>
    <t>JPM UK Equity Growth A Acc in GB</t>
  </si>
  <si>
    <t>GB00B3FJQD79</t>
  </si>
  <si>
    <t>JPM UK Equity Growth C Acc in GB</t>
  </si>
  <si>
    <t>GB00B3FJQH18</t>
  </si>
  <si>
    <t>JPM UK Equity Growth C Inc TR in GB**</t>
  </si>
  <si>
    <t>GB00BYTRDH73</t>
  </si>
  <si>
    <t>JPM UK Equity Income C Acc in GB</t>
  </si>
  <si>
    <t>GB00BYTRDJ97</t>
  </si>
  <si>
    <t>JPM UK Equity Income C Inc TR in GB</t>
  </si>
  <si>
    <t>GB00BW4Q9B11</t>
  </si>
  <si>
    <t>JPM UK Equity Plus C Acc in GB</t>
  </si>
  <si>
    <t>GB00BW4Q9992</t>
  </si>
  <si>
    <t>JPM UK Equity Plus C Inc TR in GB</t>
  </si>
  <si>
    <t>GB00BYMFGF73</t>
  </si>
  <si>
    <t>JPM UK Equity Plus S Acc TR in GB**</t>
  </si>
  <si>
    <t>GB0004124904</t>
  </si>
  <si>
    <t>JPM UK Equity Value A Acc in GB</t>
  </si>
  <si>
    <t>GB00B235SZ61</t>
  </si>
  <si>
    <t>JPM UK Equity Value C Acc in GB</t>
  </si>
  <si>
    <t>GB00B235T312</t>
  </si>
  <si>
    <t>JPM UK Equity Value C Inc TR in GB**</t>
  </si>
  <si>
    <t>GB0030880255</t>
  </si>
  <si>
    <t>JPM UK Smaller Companies A Acc in GB</t>
  </si>
  <si>
    <t>GB00B84LQR33</t>
  </si>
  <si>
    <t>JPM UK Smaller Companies C Acc in GB</t>
  </si>
  <si>
    <t>GB00B8MZ4L75</t>
  </si>
  <si>
    <t>JPM UK Smaller Companies C Inc TR in GB**</t>
  </si>
  <si>
    <t>GB00B3RJ9B43</t>
  </si>
  <si>
    <t>JPM Unconstrained Bond A Gr Acc in GB</t>
  </si>
  <si>
    <t>GB00B3RJ9K34</t>
  </si>
  <si>
    <t>JPM Unconstrained Bond A Gr Inc TR in GB</t>
  </si>
  <si>
    <t>GB00B3RJB414</t>
  </si>
  <si>
    <t>JPM Unconstrained Bond B Gr Inc TR in GB**</t>
  </si>
  <si>
    <t>GB00B3RJBC99</t>
  </si>
  <si>
    <t>JPM Unconstrained Bond C Gr Acc in GB</t>
  </si>
  <si>
    <t>GB00B3RJBL80</t>
  </si>
  <si>
    <t>JPM Unconstrained Bond C Gr Inc TR in GB**</t>
  </si>
  <si>
    <t>GB00B3FJQ045</t>
  </si>
  <si>
    <t>JPM US Equity Income A Acc in GB</t>
  </si>
  <si>
    <t>GB00B4N1G326</t>
  </si>
  <si>
    <t>JPM US Equity Income A Hedged TR in GB</t>
  </si>
  <si>
    <t>GB00B3FJQ151</t>
  </si>
  <si>
    <t>JPM US Equity Income A Inc TR in GB</t>
  </si>
  <si>
    <t>GB00B3FJQ268</t>
  </si>
  <si>
    <t>JPM US Equity Income B Acc in GB**</t>
  </si>
  <si>
    <t>GB00B3FJQ375</t>
  </si>
  <si>
    <t>JPM US Equity Income B Inc TR in GB</t>
  </si>
  <si>
    <t>GB00B3FJQ482</t>
  </si>
  <si>
    <t>JPM US Equity Income C Acc in GB</t>
  </si>
  <si>
    <t>GB00B7N03064</t>
  </si>
  <si>
    <t>JPM US Equity Income C Hedged Inc TR in GB</t>
  </si>
  <si>
    <t>GB00B3FJQ599</t>
  </si>
  <si>
    <t>JPM US Equity Income C Inc TR in GB</t>
  </si>
  <si>
    <t>GB00B2Q5DW58</t>
  </si>
  <si>
    <t>JPM US Select A Acc in GB</t>
  </si>
  <si>
    <t>GB00B2Q5DX65</t>
  </si>
  <si>
    <t>JPM US Select A Inc TR in GB</t>
  </si>
  <si>
    <t>GB00B2Q5DR06</t>
  </si>
  <si>
    <t>JPM US Select C Acc in GB</t>
  </si>
  <si>
    <t>GB00B2Q5DQ98</t>
  </si>
  <si>
    <t>JPM US Select C Inc TR in GB**</t>
  </si>
  <si>
    <t>GB0030880032</t>
  </si>
  <si>
    <t>JPM US Small Cap Growth A Acc in GB</t>
  </si>
  <si>
    <t>GB00B8H99P30</t>
  </si>
  <si>
    <t>JPM US Small Cap Growth C Acc in GB</t>
  </si>
  <si>
    <t>GB00B88VFM76</t>
  </si>
  <si>
    <t>JPM US Small Cap Growth C Inc in GB**</t>
  </si>
  <si>
    <t>GB00B6Q84T67</t>
  </si>
  <si>
    <t>GB00B5129B32</t>
  </si>
  <si>
    <t>GB00B54HB974</t>
  </si>
  <si>
    <t>Jupiter Asian I Acc TR in GB</t>
  </si>
  <si>
    <t>GB00B8JWRF62</t>
  </si>
  <si>
    <t>Jupiter Asian I Inc TR in GB**</t>
  </si>
  <si>
    <t>GB00BZ2YND85</t>
  </si>
  <si>
    <t>Jupiter Asian Income I Acc in GB</t>
  </si>
  <si>
    <t>GB00BZ2YMT70</t>
  </si>
  <si>
    <t>Jupiter Asian Income I Inc TR in GB</t>
  </si>
  <si>
    <t>GB0006662208</t>
  </si>
  <si>
    <t>Jupiter Asian L Inc TR in GB</t>
  </si>
  <si>
    <t>GB00B3ZPHC12</t>
  </si>
  <si>
    <t>Jupiter China I Acc in GB</t>
  </si>
  <si>
    <t>GB00B86PDR24</t>
  </si>
  <si>
    <t>Jupiter China I Inc TR in GB**</t>
  </si>
  <si>
    <t>GB00B1DTDX49</t>
  </si>
  <si>
    <t>Jupiter China L Acc in GB</t>
  </si>
  <si>
    <t>GB00B1DTDY55</t>
  </si>
  <si>
    <t>Jupiter China L Inc TR in GB</t>
  </si>
  <si>
    <t>GB00B743QD80</t>
  </si>
  <si>
    <t>Jupiter Corporate Bond I Acc TR in GB</t>
  </si>
  <si>
    <t>GB00B743QK57</t>
  </si>
  <si>
    <t>Jupiter Corporate Bond I Inc TR in GB**</t>
  </si>
  <si>
    <t>GB0002691805</t>
  </si>
  <si>
    <t>Jupiter Corporate Bond L Inc TR in GB</t>
  </si>
  <si>
    <t>GB00B6531T16</t>
  </si>
  <si>
    <t>GB0004792684</t>
  </si>
  <si>
    <t>GB00B52HN049</t>
  </si>
  <si>
    <t>GB00B4WDT300</t>
  </si>
  <si>
    <t>GB0031294183</t>
  </si>
  <si>
    <t>GB0031294290</t>
  </si>
  <si>
    <t>GB00B4KLC262</t>
  </si>
  <si>
    <t>Jupiter Ecology I Acc TR in GB</t>
  </si>
  <si>
    <t>GB00B7W6PR65</t>
  </si>
  <si>
    <t>Jupiter Ecology I Inc TR in GB**</t>
  </si>
  <si>
    <t>GB0005812150</t>
  </si>
  <si>
    <t>Jupiter Ecology L Inc TR in GB</t>
  </si>
  <si>
    <t>GB00B45MWP75</t>
  </si>
  <si>
    <t>Jupiter Emerging European Opportunities I Acc in GB</t>
  </si>
  <si>
    <t>GB0031862534</t>
  </si>
  <si>
    <t>Jupiter Emerging European Opportunities L Acc in GB</t>
  </si>
  <si>
    <t>GB00B5STJW84</t>
  </si>
  <si>
    <t>Jupiter European I Acc TR in GB</t>
  </si>
  <si>
    <t>GB00B4NVSH01</t>
  </si>
  <si>
    <t>Jupiter European I Inc TR in GB**</t>
  </si>
  <si>
    <t>GB00B6QMYW18</t>
  </si>
  <si>
    <t>Jupiter European Income I Acc in GB</t>
  </si>
  <si>
    <t>GB00B5BJPR27</t>
  </si>
  <si>
    <t>Jupiter European Income I Inc TR in GB**</t>
  </si>
  <si>
    <t>GB00B1VV2H94</t>
  </si>
  <si>
    <t>Jupiter European Income L Acc in GB</t>
  </si>
  <si>
    <t>GB00B1VV2K24</t>
  </si>
  <si>
    <t>Jupiter European Income L Inc TR in GB</t>
  </si>
  <si>
    <t>GB0006664683</t>
  </si>
  <si>
    <t>Jupiter European L Inc TR in GB</t>
  </si>
  <si>
    <t>GB00B60WTT90</t>
  </si>
  <si>
    <t>Jupiter European Special Situations I Acc in GB</t>
  </si>
  <si>
    <t>GB0004911540</t>
  </si>
  <si>
    <t>Jupiter European Special Situations L Acc in GB</t>
  </si>
  <si>
    <t>GB00B5LG4657</t>
  </si>
  <si>
    <t>Jupiter Financial Opportunities I Acc TR in GB</t>
  </si>
  <si>
    <t>GB00B8JYV946</t>
  </si>
  <si>
    <t>Jupiter Financial Opportunities I Inc TR in GB**</t>
  </si>
  <si>
    <t>GB0004790191</t>
  </si>
  <si>
    <t>Jupiter Financial Opportunities L Inc TR in GB</t>
  </si>
  <si>
    <t>GB00B6R1VR15</t>
  </si>
  <si>
    <t>Jupiter Fund of Investment Trusts I Acc TR in GB</t>
  </si>
  <si>
    <t>GB00B8JWSG45</t>
  </si>
  <si>
    <t>Jupiter Fund of Investment Trusts I Inc TR in GB**</t>
  </si>
  <si>
    <t>GB0004795034</t>
  </si>
  <si>
    <t>Jupiter Fund of Investment Trusts L Inc TR in GB</t>
  </si>
  <si>
    <t>GB00B4PF5918</t>
  </si>
  <si>
    <t>Jupiter Global Emerging Markets I Acc in GB</t>
  </si>
  <si>
    <t>GB00B6QGZ083</t>
  </si>
  <si>
    <t>Jupiter Global Emerging Markets I Inc TR in GB**</t>
  </si>
  <si>
    <t>GB00B4JVHP59</t>
  </si>
  <si>
    <t>Jupiter Global Emerging Markets L Acc in GB</t>
  </si>
  <si>
    <t>GB00B9CGQG68</t>
  </si>
  <si>
    <t>Jupiter Global Equity Income I Acc in GB</t>
  </si>
  <si>
    <t>GB00B9123J73</t>
  </si>
  <si>
    <t>Jupiter Global Equity Income I Inc TR in GB</t>
  </si>
  <si>
    <t>GB00B58D9P37</t>
  </si>
  <si>
    <t>Jupiter Global Financial Innovation I Acc in GB</t>
  </si>
  <si>
    <t>GB00B551H564</t>
  </si>
  <si>
    <t>Jupiter Global Financial Innovation L Acc in GB</t>
  </si>
  <si>
    <t>GB00B6QMY217</t>
  </si>
  <si>
    <t>Jupiter Global Managed I Acc TR in GB</t>
  </si>
  <si>
    <t>GB00B8JYWW47</t>
  </si>
  <si>
    <t>Jupiter Global Managed I Inc TR in GB**</t>
  </si>
  <si>
    <t>GB00B3Y68S87</t>
  </si>
  <si>
    <t>Jupiter Global Managed L Acc in GB</t>
  </si>
  <si>
    <t>GB0002440245</t>
  </si>
  <si>
    <t>Jupiter Global Managed L Inc TR in GB</t>
  </si>
  <si>
    <t>GB00BF5DS374</t>
  </si>
  <si>
    <t>Jupiter Global Value Equity I Acc in GB</t>
  </si>
  <si>
    <t>GB00BF5DS150</t>
  </si>
  <si>
    <t>Jupiter Global Value Equity I Inc TR in GB</t>
  </si>
  <si>
    <t>GB00B6QQDN77</t>
  </si>
  <si>
    <t>Jupiter Growth &amp; Income I Acc TR in GB</t>
  </si>
  <si>
    <t>GB00B6QDDF07</t>
  </si>
  <si>
    <t>Jupiter Growth &amp; Income I Inc TR in GB**</t>
  </si>
  <si>
    <t>GB0001577351</t>
  </si>
  <si>
    <t>Jupiter Growth &amp; Income L Inc TR in GB</t>
  </si>
  <si>
    <t>GB00B5VXKR95</t>
  </si>
  <si>
    <t>Jupiter Income Trust I Acc TR in GB</t>
  </si>
  <si>
    <t>GB00B6QR2553</t>
  </si>
  <si>
    <t>Jupiter Income Trust I Inc TR in GB**</t>
  </si>
  <si>
    <t>GB00BF154T58</t>
  </si>
  <si>
    <t>Jupiter Income Trust L Acc in GB</t>
  </si>
  <si>
    <t>GB0004791389</t>
  </si>
  <si>
    <t>Jupiter Income Trust L Inc TR in GB</t>
  </si>
  <si>
    <t>GB00B4TZHH95</t>
  </si>
  <si>
    <t>Jupiter India I Acc in GB</t>
  </si>
  <si>
    <t>GB00B2NHJ040</t>
  </si>
  <si>
    <t>Jupiter India L Acc in GB</t>
  </si>
  <si>
    <t>GB00B1XG8R44</t>
  </si>
  <si>
    <t>Jupiter Investment Grade Bond I Acc GBP in GB</t>
  </si>
  <si>
    <t>GB00B1XG8T67</t>
  </si>
  <si>
    <t>Jupiter Investment Grade Bond I Inc GBP TR in GB</t>
  </si>
  <si>
    <t>GB00B1XG6V40</t>
  </si>
  <si>
    <t>Jupiter Investment Grade Bond L Acc GBP in GB</t>
  </si>
  <si>
    <t>GB00B1XG6X63</t>
  </si>
  <si>
    <t>Jupiter Investment Grade Bond L Inc GBP TR in GB</t>
  </si>
  <si>
    <t>GB00B1XG7X39</t>
  </si>
  <si>
    <t>Jupiter Investment Grade Bond P Acc GBP in GB**</t>
  </si>
  <si>
    <t>GB00B1XG7Z52</t>
  </si>
  <si>
    <t>Jupiter Investment Grade Bond P Inc GBP TR in GB**</t>
  </si>
  <si>
    <t>GB00BHBX7P06</t>
  </si>
  <si>
    <t>Jupiter Investment Grade Bond U1 Acc GBP in GB**</t>
  </si>
  <si>
    <t>17/09/2020</t>
  </si>
  <si>
    <t>GB00BHBX7Q13</t>
  </si>
  <si>
    <t>Jupiter Investment Grade Bond U1 Inc GBP TR in GB**</t>
  </si>
  <si>
    <t>GB00B5TGB445</t>
  </si>
  <si>
    <t>Jupiter Japan Income I Acc in GB</t>
  </si>
  <si>
    <t>GB00B6QC0Z69</t>
  </si>
  <si>
    <t>Jupiter Japan Income I Inc TR in GB**</t>
  </si>
  <si>
    <t>GB00B6496D90</t>
  </si>
  <si>
    <t>Jupiter Japan Income IH Inc TR in GB</t>
  </si>
  <si>
    <t>GB00B0HZTZ55</t>
  </si>
  <si>
    <t>Jupiter Japan Income L Acc in GB</t>
  </si>
  <si>
    <t>GB00B0HZR397</t>
  </si>
  <si>
    <t>Jupiter Japan Income L Inc TR in GB</t>
  </si>
  <si>
    <t>GB00BFF5BH82</t>
  </si>
  <si>
    <t>Jupiter Japan Income Z TR in GB</t>
  </si>
  <si>
    <t>GB00B1XG9607</t>
  </si>
  <si>
    <t>Jupiter Merian Asia Pacific I Acc in GB</t>
  </si>
  <si>
    <t>GB00B1XG7F56</t>
  </si>
  <si>
    <t>Jupiter Merian Asia Pacific L Acc in GB</t>
  </si>
  <si>
    <t>GB00B1XG9714</t>
  </si>
  <si>
    <t>Jupiter Merian European Equity (ex UK) I Acc GBP in GB</t>
  </si>
  <si>
    <t>GB00B1XG7G63</t>
  </si>
  <si>
    <t>Jupiter Merian European Equity (ex UK) L Acc GBP in GB</t>
  </si>
  <si>
    <t>GB00B1XG9821</t>
  </si>
  <si>
    <t>Jupiter Merian Global Equity I Acc GBP in GB</t>
  </si>
  <si>
    <t>GB00B1XG7H70</t>
  </si>
  <si>
    <t>Jupiter Merian Global Equity L Acc GBP in GB</t>
  </si>
  <si>
    <t>GB00BHBX7W72</t>
  </si>
  <si>
    <t>Jupiter Merian Global Equity U1 Acc GBP in GB</t>
  </si>
  <si>
    <t>GB00B1XG8G39</t>
  </si>
  <si>
    <t>Jupiter Merian Global Strategic Bond I Acc GBP in GB</t>
  </si>
  <si>
    <t>GB00B1XG8J69</t>
  </si>
  <si>
    <t>Jupiter Merian Global Strategic Bond I Inc GBP TR in GB**</t>
  </si>
  <si>
    <t>GB00B1XG7J94</t>
  </si>
  <si>
    <t>Jupiter Merian Global Strategic Bond L Acc GBP in GB</t>
  </si>
  <si>
    <t>GB00B1XG7L17</t>
  </si>
  <si>
    <t>Jupiter Merian Global Strategic Bond L Inc GBP TR in GB</t>
  </si>
  <si>
    <t>GB00B1XG9G04</t>
  </si>
  <si>
    <t>Jupiter Merian North American Equity I Acc GBP in GB</t>
  </si>
  <si>
    <t>GB00B1XG7P54</t>
  </si>
  <si>
    <t>Jupiter Merian North American Equity L Acc GBP in GB</t>
  </si>
  <si>
    <t>GB00BHBX8800</t>
  </si>
  <si>
    <t>Jupiter Merian North American Equity U1 Acc GBP in GB</t>
  </si>
  <si>
    <t>GB00BHBX8917</t>
  </si>
  <si>
    <t>Jupiter Merian North American Equity U2 Acc GBP in GB</t>
  </si>
  <si>
    <t>GB00B4351D99</t>
  </si>
  <si>
    <t>Jupiter Merlin Balanced Portfolio I Acc in GB</t>
  </si>
  <si>
    <t>GB00B3X5X818</t>
  </si>
  <si>
    <t>Jupiter Merlin Balanced Portfolio I Inc TR in GB**</t>
  </si>
  <si>
    <t>GB0031845141</t>
  </si>
  <si>
    <t>Jupiter Merlin Balanced Portfolio L Acc in GB</t>
  </si>
  <si>
    <t>GB0031910754</t>
  </si>
  <si>
    <t>Jupiter Merlin Balanced Portfolio L Inc TR in GB</t>
  </si>
  <si>
    <t>GB00B8GDLS36</t>
  </si>
  <si>
    <t>Jupiter Merlin Conservative Portfolio I Acc in GB</t>
  </si>
  <si>
    <t>GB00B8GDLV64</t>
  </si>
  <si>
    <t>Jupiter Merlin Conservative Portfolio I Inc TR in GB</t>
  </si>
  <si>
    <t>GB00B8GDMB34</t>
  </si>
  <si>
    <t>Jupiter Merlin Conservative Portfolio L Acc in GB</t>
  </si>
  <si>
    <t>GB00B6QGLF53</t>
  </si>
  <si>
    <t>Jupiter Merlin Growth Portfolio I Acc in GB</t>
  </si>
  <si>
    <t>GB00B8K5LH40</t>
  </si>
  <si>
    <t>Jupiter Merlin Growth Portfolio I Inc TR in GB**</t>
  </si>
  <si>
    <t>GB0003629267</t>
  </si>
  <si>
    <t>Jupiter Merlin Growth Portfolio L Acc in GB</t>
  </si>
  <si>
    <t>2.47</t>
  </si>
  <si>
    <t>GB0003629150</t>
  </si>
  <si>
    <t>Jupiter Merlin Growth Portfolio L Inc TR in GB</t>
  </si>
  <si>
    <t>GB00B4N2L746</t>
  </si>
  <si>
    <t>Jupiter Merlin Income Portfolio I Acc in GB</t>
  </si>
  <si>
    <t>GB00B6QMDC41</t>
  </si>
  <si>
    <t>Jupiter Merlin Income Portfolio I Inc TR in GB**</t>
  </si>
  <si>
    <t>GB0003629374</t>
  </si>
  <si>
    <t>Jupiter Merlin Income Portfolio L Acc in GB</t>
  </si>
  <si>
    <t>2.16</t>
  </si>
  <si>
    <t>GB0003629481</t>
  </si>
  <si>
    <t>Jupiter Merlin Income Portfolio L Inc TR in GB</t>
  </si>
  <si>
    <t>GB00B53LG951</t>
  </si>
  <si>
    <t>Jupiter Merlin Worldwide Portfolio I Acc TR in GB</t>
  </si>
  <si>
    <t>GB00B8D78Y38</t>
  </si>
  <si>
    <t>Jupiter Merlin Worldwide Portfolio I Inc TR in GB**</t>
  </si>
  <si>
    <t>GB0031667834</t>
  </si>
  <si>
    <t>Jupiter Merlin Worldwide Portfolio L Acc in GB</t>
  </si>
  <si>
    <t>2.52</t>
  </si>
  <si>
    <t>GB0003699831</t>
  </si>
  <si>
    <t>Jupiter Merlin Worldwide Portfolio L Inc TR in GB</t>
  </si>
  <si>
    <t>GB00B4WLF922</t>
  </si>
  <si>
    <t>Jupiter Monthly Alternative Income I Acc in GB</t>
  </si>
  <si>
    <t>GB00B4M78461</t>
  </si>
  <si>
    <t>Jupiter Monthly Alternative Income I Inc TR in GB**</t>
  </si>
  <si>
    <t>GB0009500314</t>
  </si>
  <si>
    <t>Jupiter Monthly Alternative Income L Acc in GB</t>
  </si>
  <si>
    <t>GB0009500207</t>
  </si>
  <si>
    <t>Jupiter Monthly Alternative Income L Inc TR in GB</t>
  </si>
  <si>
    <t>GB00B1XG8W96</t>
  </si>
  <si>
    <t>Jupiter Monthly Income Bond I Acc GBP in GB</t>
  </si>
  <si>
    <t>GB00B1XG8Y11</t>
  </si>
  <si>
    <t>Jupiter Monthly Income Bond I Inc GBP TR in GB</t>
  </si>
  <si>
    <t>GB00B1XG6Z87</t>
  </si>
  <si>
    <t>Jupiter Monthly Income Bond L Acc GBP in GB</t>
  </si>
  <si>
    <t>GB00B1XG7114</t>
  </si>
  <si>
    <t>Jupiter Monthly Income Bond L Inc GBP TR in GB</t>
  </si>
  <si>
    <t>GB00B57YXG68</t>
  </si>
  <si>
    <t>Jupiter North American Income I Acc TR in GB</t>
  </si>
  <si>
    <t>GB00B4Y3KV37</t>
  </si>
  <si>
    <t>Jupiter North American Income I Inc TR in GB**</t>
  </si>
  <si>
    <t>GB00B1VV8F90</t>
  </si>
  <si>
    <t>Jupiter North American Income L Acc in GB</t>
  </si>
  <si>
    <t>GB0003840617</t>
  </si>
  <si>
    <t>Jupiter North American Income L Inc TR in GB</t>
  </si>
  <si>
    <t>GB00B40TGH32</t>
  </si>
  <si>
    <t>Jupiter Responsible Income I Acc in GB</t>
  </si>
  <si>
    <t>GB00B5ZWNT55</t>
  </si>
  <si>
    <t>Jupiter Responsible Income I Inc TR in GB**</t>
  </si>
  <si>
    <t>GB0008337569</t>
  </si>
  <si>
    <t>Jupiter Responsible Income L Acc in GB</t>
  </si>
  <si>
    <t>GB00B0KV5D09</t>
  </si>
  <si>
    <t>Jupiter Responsible Income L Inc TR in GB</t>
  </si>
  <si>
    <t>GB00B4T6SD53</t>
  </si>
  <si>
    <t>Jupiter Strategic Bond I Acc in GB</t>
  </si>
  <si>
    <t>GB00B544HM32</t>
  </si>
  <si>
    <t>Jupiter Strategic Bond I Inc TR in GB**</t>
  </si>
  <si>
    <t>GB00B2RBCS16</t>
  </si>
  <si>
    <t>Jupiter Strategic Bond L Acc in GB</t>
  </si>
  <si>
    <t>GB00B2RBBC80</t>
  </si>
  <si>
    <t>Jupiter Strategic Bond L Inc TR in GB</t>
  </si>
  <si>
    <t>GB00BKSFXX05</t>
  </si>
  <si>
    <t>GB00BKSFXW97</t>
  </si>
  <si>
    <t>GB00BN8T5935</t>
  </si>
  <si>
    <t>Jupiter Strategic Bond Z Acc in GB</t>
  </si>
  <si>
    <t>GB00BN8T5596</t>
  </si>
  <si>
    <t>Jupiter Strategic Bond Z Inc TR in GB</t>
  </si>
  <si>
    <t>GB00BFYN3R70</t>
  </si>
  <si>
    <t>Jupiter UK Alpha I Acc GBP in GB</t>
  </si>
  <si>
    <t>GB00BFYN3S87</t>
  </si>
  <si>
    <t>Jupiter UK Alpha I Inc GBP TR in GB</t>
  </si>
  <si>
    <t>GB00B54CH949</t>
  </si>
  <si>
    <t>Jupiter UK Growth I Acc TR in GB</t>
  </si>
  <si>
    <t>GB00B40C5979</t>
  </si>
  <si>
    <t>Jupiter UK Growth I Inc TR in GB**</t>
  </si>
  <si>
    <t>GB00BW4NVB69</t>
  </si>
  <si>
    <t>Jupiter UK Growth L Acc in GB</t>
  </si>
  <si>
    <t>GB0004792130</t>
  </si>
  <si>
    <t>Jupiter UK Growth L Inc TR in GB</t>
  </si>
  <si>
    <t>GB00B1XG9482</t>
  </si>
  <si>
    <t>Jupiter UK Mid Cap I Acc GBP in GB</t>
  </si>
  <si>
    <t>GB00B8FC6L92</t>
  </si>
  <si>
    <t>Jupiter UK Mid Cap I Inc GBP TR in GB</t>
  </si>
  <si>
    <t>GB00B1XG7999</t>
  </si>
  <si>
    <t>Jupiter UK Mid Cap L Acc GBP in GB</t>
  </si>
  <si>
    <t>GB00B1XG7B19</t>
  </si>
  <si>
    <t>Jupiter UK Mid Cap L Inc GBP TR in GB</t>
  </si>
  <si>
    <t>GB00B1XG8963</t>
  </si>
  <si>
    <t>Jupiter UK Mid Cap P Acc GBP in GB**</t>
  </si>
  <si>
    <t>GB00BHBX8L33</t>
  </si>
  <si>
    <t>Jupiter UK Mid Cap U1 Acc GBP in GB</t>
  </si>
  <si>
    <t>GB00BHBX8M40</t>
  </si>
  <si>
    <t>Jupiter UK Mid Cap U1 Inc GBP TR in GB</t>
  </si>
  <si>
    <t>GB00BBQ2T214</t>
  </si>
  <si>
    <t>Jupiter UK Opportunities I Acc GBP in GB</t>
  </si>
  <si>
    <t>GB00B3LRRF45</t>
  </si>
  <si>
    <t>Jupiter UK Smaller Companies Equity I Acc in GB</t>
  </si>
  <si>
    <t>GB00B1XG9599</t>
  </si>
  <si>
    <t>Jupiter UK Smaller Companies I Acc GBP in GB</t>
  </si>
  <si>
    <t>GB00B8FD4291</t>
  </si>
  <si>
    <t>Jupiter UK Smaller Companies I Inc GBP TR in GB</t>
  </si>
  <si>
    <t>GB00B1XG7C26</t>
  </si>
  <si>
    <t>Jupiter UK Smaller Companies L Acc GBP in GB</t>
  </si>
  <si>
    <t>GB00B1XG7D33</t>
  </si>
  <si>
    <t>Jupiter UK Smaller Companies L Inc GBP TR in GB</t>
  </si>
  <si>
    <t>GB00B1XG8B83</t>
  </si>
  <si>
    <t>Jupiter UK Smaller Companies P Acc GBP in GB**</t>
  </si>
  <si>
    <t>GB00BHBX8S02</t>
  </si>
  <si>
    <t>Jupiter UK Smaller Companies U1 Acc GBP in GB</t>
  </si>
  <si>
    <t>GB00B4KL9F89</t>
  </si>
  <si>
    <t>Jupiter UK Special Situations I Acc TR in GB</t>
  </si>
  <si>
    <t>GB00B66H8P73</t>
  </si>
  <si>
    <t>Jupiter UK Special Situations I Inc TR in GB**</t>
  </si>
  <si>
    <t>GB0004777347</t>
  </si>
  <si>
    <t>Jupiter UK Special Situations L Inc TR in GB</t>
  </si>
  <si>
    <t>GB00B8Y8GR43</t>
  </si>
  <si>
    <t>Kennox Asset Management Ltd Kennox Strategic Value Inst Acc TR in GB**</t>
  </si>
  <si>
    <t>29/01/2021</t>
  </si>
  <si>
    <t>GB00B3YDJ200</t>
  </si>
  <si>
    <t>Kennox Asset Management Ltd Kennox Strategic Value Inst Inc TR in GB**</t>
  </si>
  <si>
    <t>GB0008468174</t>
  </si>
  <si>
    <t>L&amp;G (N) Tracker Trust A Acc in GB</t>
  </si>
  <si>
    <t>GB00B8386G47</t>
  </si>
  <si>
    <t>L&amp;G (N) Tracker Trust I Acc in GB</t>
  </si>
  <si>
    <t>GB00B85JJM22</t>
  </si>
  <si>
    <t>L&amp;G (N) Tracker Trust I Inc TR in GB</t>
  </si>
  <si>
    <t>GB00BG0QNW27</t>
  </si>
  <si>
    <t>L&amp;G All Stocks Gilt Index Trust C Acc in GB**</t>
  </si>
  <si>
    <t>GB00BG0QNV10</t>
  </si>
  <si>
    <t>L&amp;G All Stocks Gilt Index Trust C Inc TR in GB**</t>
  </si>
  <si>
    <t>GB00B8344798</t>
  </si>
  <si>
    <t>L&amp;G All Stocks Gilt Index Trust I Acc in GB</t>
  </si>
  <si>
    <t>GB00B8387G12</t>
  </si>
  <si>
    <t>L&amp;G All Stocks Gilt Index Trust I Inc TR in GB</t>
  </si>
  <si>
    <t>GB00BG0QNY41</t>
  </si>
  <si>
    <t>L&amp;G All Stocks Index Linked Gilt Index Trust C Acc in GB**</t>
  </si>
  <si>
    <t>GB00BG0QNX34</t>
  </si>
  <si>
    <t>L&amp;G All Stocks Index Linked Gilt Index Trust C Inc TR in GB**</t>
  </si>
  <si>
    <t>GB00B84QXT94</t>
  </si>
  <si>
    <t>L&amp;G All Stocks Index Linked Gilt Index Trust I Acc in GB</t>
  </si>
  <si>
    <t>GB00B84VDP04</t>
  </si>
  <si>
    <t>L&amp;G All Stocks Index Linked Gilt Index Trust I Inc TR in GB</t>
  </si>
  <si>
    <t>GB00B409KQ03</t>
  </si>
  <si>
    <t>L&amp;G Asian Income Trust I Acc in GB</t>
  </si>
  <si>
    <t>GB00B7XH5V20</t>
  </si>
  <si>
    <t>L&amp;G Asian Income Trust I Inc TR in GB</t>
  </si>
  <si>
    <t>GB00B032BL04</t>
  </si>
  <si>
    <t>L&amp;G Asian Income Trust R Acc in GB</t>
  </si>
  <si>
    <t>GB00B032BK96</t>
  </si>
  <si>
    <t>L&amp;G Asian Income Trust R Inc TR in GB</t>
  </si>
  <si>
    <t>GB00B0CNHB64</t>
  </si>
  <si>
    <t>L&amp;G Cash Trust I Acc in GB**</t>
  </si>
  <si>
    <t>GB00BJKGG240</t>
  </si>
  <si>
    <t>L&amp;G Cash Trust I Inc TR in GB**</t>
  </si>
  <si>
    <t>GB0005141584</t>
  </si>
  <si>
    <t>L&amp;G Cash Trust R Acc in GB</t>
  </si>
  <si>
    <t>GB00B7X7S794</t>
  </si>
  <si>
    <t>L&amp;G Distribution Trust F Acc in GB**</t>
  </si>
  <si>
    <t>GB00B73NZM12</t>
  </si>
  <si>
    <t>L&amp;G Distribution Trust F Inc TR in GB**</t>
  </si>
  <si>
    <t>GB00B7JVMY09</t>
  </si>
  <si>
    <t>L&amp;G Distribution Trust I Acc in GB</t>
  </si>
  <si>
    <t>GB00B7FPV944</t>
  </si>
  <si>
    <t>L&amp;G Distribution Trust I Inc TR in GB</t>
  </si>
  <si>
    <t>GB0033860197</t>
  </si>
  <si>
    <t>L&amp;G Distribution Trust R Acc in GB</t>
  </si>
  <si>
    <t>GB0033860080</t>
  </si>
  <si>
    <t>L&amp;G Distribution Trust R Inc TR in GB</t>
  </si>
  <si>
    <t>GB00B1TWMW95</t>
  </si>
  <si>
    <t>L&amp;G Dynamic Bond I Acc TR in GB</t>
  </si>
  <si>
    <t>GB00B1TWMY10</t>
  </si>
  <si>
    <t>L&amp;G Dynamic Bond I Inc TR in GB</t>
  </si>
  <si>
    <t>GB00B1TWMM97</t>
  </si>
  <si>
    <t>L&amp;G Dynamic Bond R Acc in GB</t>
  </si>
  <si>
    <t>GB00B1TWMJ68</t>
  </si>
  <si>
    <t>L&amp;G Dynamic Bond R Inc TR in GB</t>
  </si>
  <si>
    <t>GB00BG0QPN75</t>
  </si>
  <si>
    <t>L&amp;G Emerging Markets Government Bond (US$) Index C Acc in GB**</t>
  </si>
  <si>
    <t>GB00BG0QPM68</t>
  </si>
  <si>
    <t>L&amp;G Emerging Markets Government Bond (US$) Index C Inc TR in GB**</t>
  </si>
  <si>
    <t>GB00B7MJV331</t>
  </si>
  <si>
    <t>L&amp;G Emerging Markets Government Bond (US$) Index I Acc in GB</t>
  </si>
  <si>
    <t>GB00B7GWV161</t>
  </si>
  <si>
    <t>L&amp;G Emerging Markets Government Bond (US$) Index I Inc TR in GB</t>
  </si>
  <si>
    <t>GB00BD34PV54</t>
  </si>
  <si>
    <t>L&amp;G Emerging Markets Government Bond Local Currency Index C Acc in GB</t>
  </si>
  <si>
    <t>GB00BD34PN70</t>
  </si>
  <si>
    <t>L&amp;G Emerging Markets Government Bond Local Currency Index C Inc TR in GB</t>
  </si>
  <si>
    <t>GB00B8L19S87</t>
  </si>
  <si>
    <t>L&amp;G Emerging Markets Government Bond Local Currency Index I Acc in GB</t>
  </si>
  <si>
    <t>GB00B8FT1G07</t>
  </si>
  <si>
    <t>L&amp;G Emerging Markets Government Bond Local Currency Index I Inc TR in GB</t>
  </si>
  <si>
    <t>GB00BG0QP042</t>
  </si>
  <si>
    <t>L&amp;G European Index Trust C Acc in GB**</t>
  </si>
  <si>
    <t>GB00B0CNGR59</t>
  </si>
  <si>
    <t>L&amp;G European Index Trust I Acc in GB</t>
  </si>
  <si>
    <t>GB00B0CNGQ43</t>
  </si>
  <si>
    <t>L&amp;G European Index Trust I Inc TR in GB</t>
  </si>
  <si>
    <t>GB0002041142</t>
  </si>
  <si>
    <t>L&amp;G European Index Trust R Acc in GB</t>
  </si>
  <si>
    <t>GB0005135081</t>
  </si>
  <si>
    <t>L&amp;G European Index Trust R Inc TR in GB</t>
  </si>
  <si>
    <t>GB00B7J5FY33</t>
  </si>
  <si>
    <t>L&amp;G European Trust I Acc in GB</t>
  </si>
  <si>
    <t>GB00B78RV756</t>
  </si>
  <si>
    <t>L&amp;G European Trust I Inc TR in GB</t>
  </si>
  <si>
    <t>GB00B032BJ81</t>
  </si>
  <si>
    <t>L&amp;G European Trust R Acc in GB**</t>
  </si>
  <si>
    <t>GB00B0CNHD88</t>
  </si>
  <si>
    <t>L&amp;G Fixed Interest Trust I Acc TR in GB**</t>
  </si>
  <si>
    <t>GB00B0CNHC71</t>
  </si>
  <si>
    <t>L&amp;G Fixed Interest Trust I Inc TR in GB</t>
  </si>
  <si>
    <t>GB0002051513</t>
  </si>
  <si>
    <t>GB0005128516</t>
  </si>
  <si>
    <t>L&amp;G Fixed Interest Trust R Inc TR in GB</t>
  </si>
  <si>
    <t>GB00BF41Q726</t>
  </si>
  <si>
    <t>L&amp;G Future World Climate Change Equity Factors Index I Acc in GB</t>
  </si>
  <si>
    <t>GB00BYWQWW93</t>
  </si>
  <si>
    <t>L&amp;G Future World ESG Developed Index I Acc in GB</t>
  </si>
  <si>
    <t>GB00BMFXWV25</t>
  </si>
  <si>
    <t>L&amp;G Future World ESG UK Index C Acc in GB**</t>
  </si>
  <si>
    <t>GB00BMFXWT03</t>
  </si>
  <si>
    <t>L&amp;G Future World ESG UK Index C Inc TR in GB**</t>
  </si>
  <si>
    <t>GB00BJH4XV95</t>
  </si>
  <si>
    <t>L&amp;G Future World ESG UK Index I Acc in GB</t>
  </si>
  <si>
    <t>GB00BJ0M3982</t>
  </si>
  <si>
    <t>L&amp;G Future World Multi-Index 4 I Inc TR in GB</t>
  </si>
  <si>
    <t>GB00BFZ60412</t>
  </si>
  <si>
    <t>L&amp;G Future World Sustainable Opportunities I Acc GBP in GB</t>
  </si>
  <si>
    <t>GB00BG0QP265</t>
  </si>
  <si>
    <t>L&amp;G Global 100 Index Trust C Acc in GB**</t>
  </si>
  <si>
    <t>GB00B0CNH056</t>
  </si>
  <si>
    <t>L&amp;G Global 100 Index Trust I Acc in GB</t>
  </si>
  <si>
    <t>GB00B0CNGZ34</t>
  </si>
  <si>
    <t>L&amp;G Global 100 Index Trust I Inc TR in GB</t>
  </si>
  <si>
    <t>GB0031978918</t>
  </si>
  <si>
    <t>L&amp;G Global 100 Index Trust R Acc in GB</t>
  </si>
  <si>
    <t>GB00BG0QP489</t>
  </si>
  <si>
    <t>L&amp;G Global Emerging Markets Index C Acc in GB**</t>
  </si>
  <si>
    <t>GB00BG0QP372</t>
  </si>
  <si>
    <t>L&amp;G Global Emerging Markets Index C Inc TR in GB**</t>
  </si>
  <si>
    <t>GB00B4KBDL25</t>
  </si>
  <si>
    <t>L&amp;G Global Emerging Markets Index I Acc in GB</t>
  </si>
  <si>
    <t>GB00B4QY6B60</t>
  </si>
  <si>
    <t>L&amp;G Global Emerging Markets Index I Inc TR in GB</t>
  </si>
  <si>
    <t>GB00B4MBFN60</t>
  </si>
  <si>
    <t>L&amp;G Global Emerging Markets Index R Acc in GB</t>
  </si>
  <si>
    <t>GB00B4PM4C84</t>
  </si>
  <si>
    <t>L&amp;G Global Emerging Markets Index R Inc TR in GB</t>
  </si>
  <si>
    <t>GB00B83LW328</t>
  </si>
  <si>
    <t>L&amp;G Global Equity Index I Acc in GB</t>
  </si>
  <si>
    <t>GB00B84K1975</t>
  </si>
  <si>
    <t>L&amp;G Global Equity Index I Inc TR in GB</t>
  </si>
  <si>
    <t>GB00BJ2JPG83</t>
  </si>
  <si>
    <t>L&amp;G Global Health &amp; Pharmaceuticals Index Trust C Acc in GB**</t>
  </si>
  <si>
    <t>GB00BJ2JPH90</t>
  </si>
  <si>
    <t>L&amp;G Global Health &amp; Pharmaceuticals Index Trust C Inc TR in GB**</t>
  </si>
  <si>
    <t>GB00B6XC0829</t>
  </si>
  <si>
    <t>L&amp;G Global Health &amp; Pharmaceuticals Index Trust F Acc in GB**</t>
  </si>
  <si>
    <t>GB00B88X4R19</t>
  </si>
  <si>
    <t>L&amp;G Global Health &amp; Pharmaceuticals Index Trust F Inc TR in GB**</t>
  </si>
  <si>
    <t>GB00B0CNH387</t>
  </si>
  <si>
    <t>L&amp;G Global Health &amp; Pharmaceuticals Index Trust I Acc in GB</t>
  </si>
  <si>
    <t>GB00B0CNH270</t>
  </si>
  <si>
    <t>L&amp;G Global Health &amp; Pharmaceuticals Index Trust I Inc TR in GB</t>
  </si>
  <si>
    <t>GB0001955532</t>
  </si>
  <si>
    <t>L&amp;G Global Health &amp; Pharmaceuticals Index Trust R Acc in GB</t>
  </si>
  <si>
    <t>GB00BG0QPQ07</t>
  </si>
  <si>
    <t>L&amp;G Global Inflation Linked Bond Index C Acc in GB**</t>
  </si>
  <si>
    <t>GB00BG0QPP99</t>
  </si>
  <si>
    <t>L&amp;G Global Inflation Linked Bond Index C Inc TR in GB**</t>
  </si>
  <si>
    <t>GB00BBHXNN27</t>
  </si>
  <si>
    <t>L&amp;G Global Inflation Linked Bond Index I Acc in GB</t>
  </si>
  <si>
    <t>GB00BBHXNM10</t>
  </si>
  <si>
    <t>L&amp;G Global Inflation Linked Bond Index I Inc TR in GB</t>
  </si>
  <si>
    <t>GB00BF0TZL74</t>
  </si>
  <si>
    <t>L&amp;G Global Infrastructure Index C Acc in GB</t>
  </si>
  <si>
    <t>GB00BF0TZM81</t>
  </si>
  <si>
    <t>L&amp;G Global Infrastructure Index C Inc TR in GB</t>
  </si>
  <si>
    <t>GB00BF0TZG22</t>
  </si>
  <si>
    <t>L&amp;G Global Infrastructure Index I Acc in GB</t>
  </si>
  <si>
    <t>GB00BF0TZH39</t>
  </si>
  <si>
    <t>L&amp;G Global Infrastructure Index I Inc TR in GB</t>
  </si>
  <si>
    <t>GB00BYW7CL14</t>
  </si>
  <si>
    <t>L&amp;G Global Real Estate Dividend Index C Acc in GB</t>
  </si>
  <si>
    <t>GB00BYW7CK07</t>
  </si>
  <si>
    <t>L&amp;G Global Real Estate Dividend Index C Inc TR in GB</t>
  </si>
  <si>
    <t>GB00BYW7CN38</t>
  </si>
  <si>
    <t>L&amp;G Global Real Estate Dividend Index I Acc in GB</t>
  </si>
  <si>
    <t>GB00BYW7CM21</t>
  </si>
  <si>
    <t>L&amp;G Global Real Estate Dividend Index I Inc TR in GB</t>
  </si>
  <si>
    <t>GB00BK6L1Y79</t>
  </si>
  <si>
    <t>L&amp;G Global Robotics and Automation Index C Acc in GB</t>
  </si>
  <si>
    <t>GB00BK6L1X62</t>
  </si>
  <si>
    <t>L&amp;G Global Robotics and Automation Index C Inc TR in GB</t>
  </si>
  <si>
    <t>GB00BJLP1W53</t>
  </si>
  <si>
    <t>L&amp;G Global Technology Index Trust C Acc in GB**</t>
  </si>
  <si>
    <t>10/08/2020</t>
  </si>
  <si>
    <t>GB00BJLP6F34</t>
  </si>
  <si>
    <t>L&amp;G Global Technology Index Trust C Inc TR in GB**</t>
  </si>
  <si>
    <t>GB00B0CNH163</t>
  </si>
  <si>
    <t>L&amp;G Global Technology Index Trust I Acc in GB</t>
  </si>
  <si>
    <t>GB0001955755</t>
  </si>
  <si>
    <t>L&amp;G Global Technology Index Trust R Acc in GB</t>
  </si>
  <si>
    <t>GB00B28PVN01</t>
  </si>
  <si>
    <t>L&amp;G Growth Trust I Acc in GB**</t>
  </si>
  <si>
    <t>GB00B28PWL51</t>
  </si>
  <si>
    <t>L&amp;G Growth Trust I Inc TR in GB**</t>
  </si>
  <si>
    <t>GB00B032BQ58</t>
  </si>
  <si>
    <t>L&amp;G Growth Trust R Acc in GB</t>
  </si>
  <si>
    <t>GB00B0CNHJ41</t>
  </si>
  <si>
    <t>GB00B0CNHH27</t>
  </si>
  <si>
    <t>GB0001956167</t>
  </si>
  <si>
    <t>GB0001956050</t>
  </si>
  <si>
    <t>GB00BG0QP604</t>
  </si>
  <si>
    <t>L&amp;G International Index Trust C Acc in GB**</t>
  </si>
  <si>
    <t>GB00B2Q6HW61</t>
  </si>
  <si>
    <t>L&amp;G International Index Trust I Acc in GB</t>
  </si>
  <si>
    <t>GB00B2Q6HX78</t>
  </si>
  <si>
    <t>L&amp;G International Index Trust I Inc TR in GB</t>
  </si>
  <si>
    <t>GB00B2Q6HT33</t>
  </si>
  <si>
    <t>L&amp;G International Index Trust R Acc in GB</t>
  </si>
  <si>
    <t>GB00BG0QP828</t>
  </si>
  <si>
    <t>L&amp;G Japan Index Trust C Acc in GB**</t>
  </si>
  <si>
    <t>GB00BG0QP711</t>
  </si>
  <si>
    <t>L&amp;G Japan Index Trust C Inc TR in GB**</t>
  </si>
  <si>
    <t>GB00B0CNGW03</t>
  </si>
  <si>
    <t>L&amp;G Japan Index Trust I Acc in GB**</t>
  </si>
  <si>
    <t>GB00B0CNGV95</t>
  </si>
  <si>
    <t>L&amp;G Japan Index Trust I Inc TR in GB**</t>
  </si>
  <si>
    <t>GB0002050879</t>
  </si>
  <si>
    <t>L&amp;G Japan Index Trust R Acc in GB</t>
  </si>
  <si>
    <t>GB0005135420</t>
  </si>
  <si>
    <t>L&amp;G Japan Index Trust R Inc TR in GB**</t>
  </si>
  <si>
    <t>GB00B0CNHQ18</t>
  </si>
  <si>
    <t>L&amp;G Managed Monthly Income Trust I Acc TR in GB**</t>
  </si>
  <si>
    <t>GB00B0CNHP01</t>
  </si>
  <si>
    <t>L&amp;G Managed Monthly Income Trust I Inc TR in GB**</t>
  </si>
  <si>
    <t>GB0030803117</t>
  </si>
  <si>
    <t>L&amp;G Managed Monthly Income Trust R Acc in GB</t>
  </si>
  <si>
    <t>GB0001572295</t>
  </si>
  <si>
    <t>L&amp;G Managed Monthly Income Trust R Inc TR in GB</t>
  </si>
  <si>
    <t>GB00B8KRCM23</t>
  </si>
  <si>
    <t>L&amp;G Mixed Investment 0-35% I Acc in GB</t>
  </si>
  <si>
    <t>GB00B8B8CK26</t>
  </si>
  <si>
    <t>L&amp;G Mixed Investment 0-35% I Inc TR in GB</t>
  </si>
  <si>
    <t>GB00B3XPLT84</t>
  </si>
  <si>
    <t>L&amp;G Mixed Investment 0-35% R Acc in GB</t>
  </si>
  <si>
    <t>GB00BMHTPP34</t>
  </si>
  <si>
    <t>L&amp;G Mixed Investment 20-60% I Acc in GB</t>
  </si>
  <si>
    <t>GB00BMHTPN10</t>
  </si>
  <si>
    <t>L&amp;G Mixed Investment 20-60% I Inc TR in GB</t>
  </si>
  <si>
    <t>GB00BMHTPW01</t>
  </si>
  <si>
    <t>L&amp;G Mixed Investment 40-85% I Acc in GB</t>
  </si>
  <si>
    <t>GB00BMHTPV93</t>
  </si>
  <si>
    <t>L&amp;G Mixed Investment 40-85% I Inc TR in GB</t>
  </si>
  <si>
    <t>GB00B3KTR281</t>
  </si>
  <si>
    <t>L&amp;G Mixed Investment 40-85% R Acc in GB**</t>
  </si>
  <si>
    <t>GB00B0CNH940</t>
  </si>
  <si>
    <t>L&amp;G MSCI World Socially Responsible Investment (SRI) Index I Acc in GB**</t>
  </si>
  <si>
    <t>GB00B0CNH833</t>
  </si>
  <si>
    <t>L&amp;G MSCI World Socially Responsible Investment (SRI) Index I Inc TR in GB</t>
  </si>
  <si>
    <t>GB0009243824</t>
  </si>
  <si>
    <t>L&amp;G MSCI World Socially Responsible Investment (SRI) Index R Acc in GB</t>
  </si>
  <si>
    <t>GB0007642548</t>
  </si>
  <si>
    <t>L&amp;G MSCI World Socially Responsible Investment (SRI) Index R Inc TR in GB</t>
  </si>
  <si>
    <t>GB00B8L25945</t>
  </si>
  <si>
    <t>L&amp;G Multi Manager Balanced Trust I Acc in GB</t>
  </si>
  <si>
    <t>GB00B8L29M57</t>
  </si>
  <si>
    <t>L&amp;G Multi Manager Balanced Trust I Inc TR in GB</t>
  </si>
  <si>
    <t>GB00B2Q4RX11</t>
  </si>
  <si>
    <t>L&amp;G Multi Manager Balanced Trust R Acc in GB</t>
  </si>
  <si>
    <t>GB00B2Q4RZ35</t>
  </si>
  <si>
    <t>L&amp;G Multi Manager Balanced Trust R Inc TR in GB</t>
  </si>
  <si>
    <t>GB00B8L2B307</t>
  </si>
  <si>
    <t>L&amp;G Multi Manager Growth Trust I Acc in GB</t>
  </si>
  <si>
    <t>GB00B8L2FY97</t>
  </si>
  <si>
    <t>L&amp;G Multi Manager Growth Trust I Inc TR in GB</t>
  </si>
  <si>
    <t>GB00B2Q4RQ44</t>
  </si>
  <si>
    <t>L&amp;G Multi Manager Growth Trust R Acc in GB</t>
  </si>
  <si>
    <t>GB00B2Q4RS67</t>
  </si>
  <si>
    <t>L&amp;G Multi Manager Growth Trust R Inc TR in GB</t>
  </si>
  <si>
    <t>GB00B8L2GH97</t>
  </si>
  <si>
    <t>L&amp;G Multi Manager Income Trust I Acc in GB</t>
  </si>
  <si>
    <t>GB00B8L2GX55</t>
  </si>
  <si>
    <t>L&amp;G Multi Manager Income Trust I Inc TR in GB</t>
  </si>
  <si>
    <t>GB00B2Q4RV96</t>
  </si>
  <si>
    <t>L&amp;G Multi Manager Income Trust R Acc in GB</t>
  </si>
  <si>
    <t>GB00B2Q4RW04</t>
  </si>
  <si>
    <t>L&amp;G Multi Manager Income Trust R Inc TR in GB</t>
  </si>
  <si>
    <t>GB00BD97XY71</t>
  </si>
  <si>
    <t>L&amp;G Multi-Asset Target Return I Acc in GB</t>
  </si>
  <si>
    <t>GB00B9751744</t>
  </si>
  <si>
    <t>L&amp;G Multi-Index 3 I Acc in GB</t>
  </si>
  <si>
    <t>GB00B6VR4B04</t>
  </si>
  <si>
    <t>L&amp;G Multi-Index 3 I Inc TR in GB</t>
  </si>
  <si>
    <t>GB00B88Y0217</t>
  </si>
  <si>
    <t>L&amp;G Multi-Index 4 I Acc in GB</t>
  </si>
  <si>
    <t>GB00B8VZBR34</t>
  </si>
  <si>
    <t>L&amp;G Multi-Index 4 I Inc TR in GB</t>
  </si>
  <si>
    <t>GB00B8VZ3F59</t>
  </si>
  <si>
    <t>L&amp;G Multi-Index 5 I Acc in GB</t>
  </si>
  <si>
    <t>GB00B95ND856</t>
  </si>
  <si>
    <t>L&amp;G Multi-Index 5 I Inc TR in GB</t>
  </si>
  <si>
    <t>GB00B95KML23</t>
  </si>
  <si>
    <t>L&amp;G Multi-Index 6 I Acc in GB</t>
  </si>
  <si>
    <t>GB00B947LD97</t>
  </si>
  <si>
    <t>L&amp;G Multi-Index 6 I Inc TR in GB</t>
  </si>
  <si>
    <t>GB00B9LF0M88</t>
  </si>
  <si>
    <t>L&amp;G Multi-Index 7 I Acc in GB</t>
  </si>
  <si>
    <t>GB00B9LF0629</t>
  </si>
  <si>
    <t>L&amp;G Multi-Index 7 I Inc TR in GB</t>
  </si>
  <si>
    <t>GB00BZ0RRN72</t>
  </si>
  <si>
    <t>L&amp;G Multi-Index Income 4 I Acc in GB</t>
  </si>
  <si>
    <t>GB00BZ0RRM65</t>
  </si>
  <si>
    <t>L&amp;G Multi-Index Income 4 I Inc TR in GB</t>
  </si>
  <si>
    <t>GB00BZ0RRW63</t>
  </si>
  <si>
    <t>L&amp;G Multi-Index Income 5 I Acc in GB</t>
  </si>
  <si>
    <t>GB00BZ0RRV56</t>
  </si>
  <si>
    <t>L&amp;G Multi-Index Income 5 I Inc TR in GB</t>
  </si>
  <si>
    <t>GB00BZ0RS348</t>
  </si>
  <si>
    <t>L&amp;G Multi-Index Income 6 I Acc in GB</t>
  </si>
  <si>
    <t>GB00BZ0RS231</t>
  </si>
  <si>
    <t>L&amp;G Multi-Index Income 6 I Inc TR in GB</t>
  </si>
  <si>
    <t>GB00BG0QPB53</t>
  </si>
  <si>
    <t>L&amp;G Pacific Index Trust C Acc in GB**</t>
  </si>
  <si>
    <t>GB00BG0QP935</t>
  </si>
  <si>
    <t>L&amp;G Pacific Index Trust C Inc TR in GB**</t>
  </si>
  <si>
    <t>GB00B0CNGY27</t>
  </si>
  <si>
    <t>L&amp;G Pacific Index Trust I Acc TR in GB**</t>
  </si>
  <si>
    <t>GB00B0CNGX10</t>
  </si>
  <si>
    <t>L&amp;G Pacific Index Trust I Inc TR in GB**</t>
  </si>
  <si>
    <t>GB0002050218</t>
  </si>
  <si>
    <t>L&amp;G Pacific Index Trust R Acc TR in GB**</t>
  </si>
  <si>
    <t>GB0005200703</t>
  </si>
  <si>
    <t>L&amp;G Pacific Index Trust R Inc TR in GB</t>
  </si>
  <si>
    <t>GB00BKGR3F07</t>
  </si>
  <si>
    <t>L&amp;G Short Dated Sterling Corporate Bond Index C Acc in GB</t>
  </si>
  <si>
    <t>GB00BKGR3D82</t>
  </si>
  <si>
    <t>L&amp;G Short Dated Sterling Corporate Bond Index C Inc TR in GB</t>
  </si>
  <si>
    <t>L&amp;G Short Dated Sterling Corporate Bond Index I Acc in GB</t>
  </si>
  <si>
    <t>GB00BKGR3G14</t>
  </si>
  <si>
    <t>L&amp;G Short Dated Sterling Corporate Bond Index I Inc TR in GB</t>
  </si>
  <si>
    <t>GB00BG0QPD77</t>
  </si>
  <si>
    <t>L&amp;G Sterling Corporate Bond Index C Acc in GB**</t>
  </si>
  <si>
    <t>GB00BG0QPC60</t>
  </si>
  <si>
    <t>L&amp;G Sterling Corporate Bond Index C Inc TR in GB**</t>
  </si>
  <si>
    <t>GB00B4M01C47</t>
  </si>
  <si>
    <t>L&amp;G Sterling Corporate Bond Index I Acc in GB</t>
  </si>
  <si>
    <t>GB00B72V3J91</t>
  </si>
  <si>
    <t>L&amp;G Sterling Corporate Bond Index I Inc TR in GB</t>
  </si>
  <si>
    <t>GB00B89QL129</t>
  </si>
  <si>
    <t>L&amp;G Sterling Income I Acc in GB</t>
  </si>
  <si>
    <t>GB00B7JDJQ71</t>
  </si>
  <si>
    <t>L&amp;G Sterling Income I Inc TR in GB</t>
  </si>
  <si>
    <t>GB00B3KTR067</t>
  </si>
  <si>
    <t>L&amp;G Sterling Income R Acc in GB</t>
  </si>
  <si>
    <t>GB00B3KTQZ41</t>
  </si>
  <si>
    <t>L&amp;G Sterling Income R Inc TR in GB</t>
  </si>
  <si>
    <t>GB00BG0QPG09</t>
  </si>
  <si>
    <t>L&amp;G UK 100 Index Trust C Acc in GB**</t>
  </si>
  <si>
    <t>GB00BG0QPF91</t>
  </si>
  <si>
    <t>L&amp;G UK 100 Index Trust C Inc TR in GB**</t>
  </si>
  <si>
    <t>GB00B0CNH502</t>
  </si>
  <si>
    <t>L&amp;G UK 100 Index Trust I Acc in GB</t>
  </si>
  <si>
    <t>GB00B0CNH494</t>
  </si>
  <si>
    <t>L&amp;G UK 100 Index Trust I Inc TR in GB</t>
  </si>
  <si>
    <t>GB00B0CNH619</t>
  </si>
  <si>
    <t>L&amp;G UK 100 Index Trust R Inc TR in GB</t>
  </si>
  <si>
    <t>GB0000179696</t>
  </si>
  <si>
    <t>L&amp;G UK 350 Index A Acc in GB</t>
  </si>
  <si>
    <t>GB00B6HBD759</t>
  </si>
  <si>
    <t>L&amp;G UK Equity Income I Acc in GB</t>
  </si>
  <si>
    <t>24/01/2020</t>
  </si>
  <si>
    <t>GB00B56B1J72</t>
  </si>
  <si>
    <t>L&amp;G UK Equity Income I Inc TR in GB</t>
  </si>
  <si>
    <t>GB00BG0QPJ30</t>
  </si>
  <si>
    <t>L&amp;G UK Index Trust C Acc in GB**</t>
  </si>
  <si>
    <t>GB00BG0QPH16</t>
  </si>
  <si>
    <t>L&amp;G UK Index Trust C Inc TR in GB**</t>
  </si>
  <si>
    <t>GB00B0CNGN12</t>
  </si>
  <si>
    <t>L&amp;G UK Index Trust I Acc in GB**</t>
  </si>
  <si>
    <t>GB00B0CNGM05</t>
  </si>
  <si>
    <t>L&amp;G UK Index Trust I Inc TR in GB**</t>
  </si>
  <si>
    <t>GB0001036531</t>
  </si>
  <si>
    <t>L&amp;G UK Index Trust R Acc in GB</t>
  </si>
  <si>
    <t>GB0005141709</t>
  </si>
  <si>
    <t>L&amp;G UK Index Trust R Inc TR in GB</t>
  </si>
  <si>
    <t>L&amp;G UK Mid Cap Index C Acc in GB</t>
  </si>
  <si>
    <t>GB00BQ1JYT42</t>
  </si>
  <si>
    <t>L&amp;G UK Mid Cap Index C Inc TR in GB</t>
  </si>
  <si>
    <t>GB00BQ1JYX87</t>
  </si>
  <si>
    <t>L&amp;G UK Mid Cap Index I Acc in GB</t>
  </si>
  <si>
    <t>GB00BQ1JYW70</t>
  </si>
  <si>
    <t>L&amp;G UK Mid Cap Index I Inc TR in GB</t>
  </si>
  <si>
    <t>GB00BK35F408</t>
  </si>
  <si>
    <t>L&amp;G UK Property Feeder I Acc in GB</t>
  </si>
  <si>
    <t>GB00BK35F390</t>
  </si>
  <si>
    <t>L&amp;G UK Property Feeder I Inc TR in GB</t>
  </si>
  <si>
    <t>GB00BK35F283</t>
  </si>
  <si>
    <t>L&amp;G UK Property Feeder R Acc in GB</t>
  </si>
  <si>
    <t>GB00BK35F176</t>
  </si>
  <si>
    <t>L&amp;G UK Property Feeder R Inc TR in GB</t>
  </si>
  <si>
    <t>GB0006245749</t>
  </si>
  <si>
    <t>L&amp;G UK Select Equity A Acc in GB</t>
  </si>
  <si>
    <t>GB00B8F72V68</t>
  </si>
  <si>
    <t>L&amp;G UK Select Equity I Acc in GB</t>
  </si>
  <si>
    <t>GB00B887M570</t>
  </si>
  <si>
    <t>L&amp;G UK Select Equity I Inc TR in GB</t>
  </si>
  <si>
    <t>GB00B7LFF300</t>
  </si>
  <si>
    <t>L&amp;G UK Smaller Companies Trust I Acc in GB</t>
  </si>
  <si>
    <t>GB00B89NFZ54</t>
  </si>
  <si>
    <t>L&amp;G UK Smaller Companies Trust I Inc TR in GB</t>
  </si>
  <si>
    <t>GB00B032C178</t>
  </si>
  <si>
    <t>L&amp;G UK Smaller Companies Trust R Acc in GB</t>
  </si>
  <si>
    <t>GB00B032C061</t>
  </si>
  <si>
    <t>L&amp;G UK Smaller Companies Trust R Inc TR in GB</t>
  </si>
  <si>
    <t>GB00B3DMY345</t>
  </si>
  <si>
    <t>L&amp;G UK Special Situations Trust I Acc in GB</t>
  </si>
  <si>
    <t>GB00B3DMY121</t>
  </si>
  <si>
    <t>L&amp;G UK Special Situations Trust I Inc TR in GB</t>
  </si>
  <si>
    <t>GB00BG0QPL51</t>
  </si>
  <si>
    <t>L&amp;G US Index Trust C Acc in GB**</t>
  </si>
  <si>
    <t>GB00BG0QPK45</t>
  </si>
  <si>
    <t>L&amp;G US Index Trust C Inc TR in GB**</t>
  </si>
  <si>
    <t>GB00B0CNGT73</t>
  </si>
  <si>
    <t>L&amp;G US Index Trust I Acc in GB**</t>
  </si>
  <si>
    <t>GB00B0CNGS66</t>
  </si>
  <si>
    <t>L&amp;G US Index Trust I Inc TR in GB**</t>
  </si>
  <si>
    <t>GB0001981215</t>
  </si>
  <si>
    <t>L&amp;G US Index Trust R Acc in GB</t>
  </si>
  <si>
    <t>GB0005141923</t>
  </si>
  <si>
    <t>L&amp;G US Index Trust R Inc TR in GB</t>
  </si>
  <si>
    <t>GB00B788KH13</t>
  </si>
  <si>
    <t>L&amp;G Worldwide Trust I Acc in GB</t>
  </si>
  <si>
    <t>GB00B7RL8L15</t>
  </si>
  <si>
    <t>L&amp;G Worldwide Trust I Inc TR in GB</t>
  </si>
  <si>
    <t>GB00B84D0885</t>
  </si>
  <si>
    <t>Lazard Developing Markets C Acc TR in GB</t>
  </si>
  <si>
    <t>GB00B8HCWS66</t>
  </si>
  <si>
    <t>Lazard Developing Markets C Inc TR in GB**</t>
  </si>
  <si>
    <t>GB00B24F1G74</t>
  </si>
  <si>
    <t>Lazard Emerging Markets A Acc TR in GB</t>
  </si>
  <si>
    <t>GB0008467101</t>
  </si>
  <si>
    <t>Lazard Emerging Markets A Inc TR in GB</t>
  </si>
  <si>
    <t>GB00B24F1P65</t>
  </si>
  <si>
    <t>Lazard Emerging Markets B Acc in GB</t>
  </si>
  <si>
    <t>GB0008469586</t>
  </si>
  <si>
    <t>Lazard Emerging Markets B Inc TR in GB</t>
  </si>
  <si>
    <t>GB0008468844</t>
  </si>
  <si>
    <t>Lazard European Alpha B Inc TR in GB</t>
  </si>
  <si>
    <t>GB00B7WP6581</t>
  </si>
  <si>
    <t>Lazard European Alpha C Acc TR in GB</t>
  </si>
  <si>
    <t>GB00B6S1MZ55</t>
  </si>
  <si>
    <t>Lazard European Alpha C Inc TR in GB**</t>
  </si>
  <si>
    <t>GB00B24F0K46</t>
  </si>
  <si>
    <t>Lazard European Smaller Companies B Acc in GB</t>
  </si>
  <si>
    <t>GB00B88ZX473</t>
  </si>
  <si>
    <t>Lazard European Smaller Companies C Acc in GB</t>
  </si>
  <si>
    <t>GB00B24DPS10</t>
  </si>
  <si>
    <t>Lazard Global Equity Income A Inc TR in GB</t>
  </si>
  <si>
    <t>GB00B24DPX62</t>
  </si>
  <si>
    <t>Lazard Global Equity Income B Acc in GB</t>
  </si>
  <si>
    <t>GB00B24DPY79</t>
  </si>
  <si>
    <t>Lazard Global Equity Income B Inc TR in GB</t>
  </si>
  <si>
    <t>GB00B7VB8X97</t>
  </si>
  <si>
    <t>Lazard Global Equity Income C Acc TR in GB</t>
  </si>
  <si>
    <t>GB00B7YWW378</t>
  </si>
  <si>
    <t>Lazard Global Equity Income C Inc TR in GB**</t>
  </si>
  <si>
    <t>GB0008470253</t>
  </si>
  <si>
    <t>Lazard Multicap UK Income A Inc TR in GB</t>
  </si>
  <si>
    <t>GB0008469818</t>
  </si>
  <si>
    <t>Lazard Multicap UK Income B Inc TR in GB</t>
  </si>
  <si>
    <t>GB00B24DZV47</t>
  </si>
  <si>
    <t>Lazard UK Omega B Acc in GB</t>
  </si>
  <si>
    <t>GB00B05N2H42</t>
  </si>
  <si>
    <t>Lazard UK Omega B Inc TR in GB</t>
  </si>
  <si>
    <t>GB00B8HKDX21</t>
  </si>
  <si>
    <t>Lazard UK Omega C Acc TR in GB</t>
  </si>
  <si>
    <t>GB00B87ZL660</t>
  </si>
  <si>
    <t>Lazard UK Omega C Inc TR in GB**</t>
  </si>
  <si>
    <t>GB00BZ0XWM94</t>
  </si>
  <si>
    <t>Lazard UK Omega EA Acc in GB</t>
  </si>
  <si>
    <t>GB00BZ0XWL87</t>
  </si>
  <si>
    <t>Lazard UK Omega EA Inc TR in GB</t>
  </si>
  <si>
    <t>GB0008470477</t>
  </si>
  <si>
    <t>Lazard UK Smaller Companies B Inc TR in GB</t>
  </si>
  <si>
    <t>GB00B7J7S065</t>
  </si>
  <si>
    <t>Lazard UK Smaller Companies C Inc TR in GB</t>
  </si>
  <si>
    <t>GB00BN31ZJ42</t>
  </si>
  <si>
    <t>GB00B3XX1N61</t>
  </si>
  <si>
    <t>GB00B82FVZ02</t>
  </si>
  <si>
    <t>GB00B85JH625</t>
  </si>
  <si>
    <t>GB00BZ01WV25</t>
  </si>
  <si>
    <t>GB00BD3FVT86</t>
  </si>
  <si>
    <t>GB00BD3FVS79</t>
  </si>
  <si>
    <t>GB00BZ01WT03</t>
  </si>
  <si>
    <t>GB00B5KP3337</t>
  </si>
  <si>
    <t>GB00B743CW91</t>
  </si>
  <si>
    <t>GB00B3NQ7J33</t>
  </si>
  <si>
    <t>GB00B8F2KD97</t>
  </si>
  <si>
    <t>GB00B99C0657</t>
  </si>
  <si>
    <t>GB00B8JYLC77</t>
  </si>
  <si>
    <t>GB00BKT6XV05</t>
  </si>
  <si>
    <t>GB00BYWDTB80</t>
  </si>
  <si>
    <t>GB00BVZ6TY69</t>
  </si>
  <si>
    <t>GB00BHJWCD25</t>
  </si>
  <si>
    <t>GB00BVZ6V174</t>
  </si>
  <si>
    <t>GB00BVZ6V281</t>
  </si>
  <si>
    <t>GB00BVZ6V844</t>
  </si>
  <si>
    <t>GB00BVZ6VF19</t>
  </si>
  <si>
    <t>GB00B89R1486</t>
  </si>
  <si>
    <t>GB00B8BRMK99</t>
  </si>
  <si>
    <t>GB00B65Z3G81</t>
  </si>
  <si>
    <t>GB00B8267221</t>
  </si>
  <si>
    <t>GB00B88V5W72</t>
  </si>
  <si>
    <t>LF Blue Whale Growth I Acc GBP in GB</t>
  </si>
  <si>
    <t>GB00BD6PG670</t>
  </si>
  <si>
    <t>LF Blue Whale Growth I Inc GBP in GB</t>
  </si>
  <si>
    <t>GB00BD6PG787</t>
  </si>
  <si>
    <t>LF Blue Whale Growth R Acc in GB</t>
  </si>
  <si>
    <t>GB00BD6PG894</t>
  </si>
  <si>
    <t>LF Blue Whale Growth R Inc TR in GB</t>
  </si>
  <si>
    <t>GB00B55NGS86</t>
  </si>
  <si>
    <t>LF Brook Absolute Return Inst Acc GBP in GB</t>
  </si>
  <si>
    <t>GB00B55NGR79</t>
  </si>
  <si>
    <t>LF Brook Absolute Return Ret Acc GBP in GB</t>
  </si>
  <si>
    <t>GB00B4Z7BS85</t>
  </si>
  <si>
    <t>LF Brook Continental European Inst Acc in GB**</t>
  </si>
  <si>
    <t>GB00B3Q2J367</t>
  </si>
  <si>
    <t>LF Brook Continental European Inst Inc TR in GB**</t>
  </si>
  <si>
    <t>GB00BYX3YX40</t>
  </si>
  <si>
    <t>LF Brook Continental European P Inst Acc in GB**</t>
  </si>
  <si>
    <t>GB0031831570</t>
  </si>
  <si>
    <t>LF Brook Continental European Ret Acc in GB</t>
  </si>
  <si>
    <t>GB00BK5BDK84</t>
  </si>
  <si>
    <t>LF Canlife Diversified Monthly Income C Acc in GB</t>
  </si>
  <si>
    <t>19/02/2020</t>
  </si>
  <si>
    <t>GB00B8BSTB27</t>
  </si>
  <si>
    <t>LF Canlife Global Infrastructure C in GB</t>
  </si>
  <si>
    <t>GB00BZ005541</t>
  </si>
  <si>
    <t>LF Canlife Managed 0%-35% C Acc GBP in GB</t>
  </si>
  <si>
    <t>GB00BJP0X429</t>
  </si>
  <si>
    <t>LF Canlife Managed 20%-60% C Acc in GB</t>
  </si>
  <si>
    <t>GB00B96T7P76</t>
  </si>
  <si>
    <t>LF Canlife Portfolio III C Acc in GB</t>
  </si>
  <si>
    <t>GB00B976VR77</t>
  </si>
  <si>
    <t>LF Canlife Portfolio IV C Acc in GB</t>
  </si>
  <si>
    <t>GB00B9BQJ249</t>
  </si>
  <si>
    <t>LF Canlife Portfolio V C Acc in GB</t>
  </si>
  <si>
    <t>GB00B9BQBN99</t>
  </si>
  <si>
    <t>LF Canlife Portfolio VI C Acc in GB</t>
  </si>
  <si>
    <t>GB00B76WGJ99</t>
  </si>
  <si>
    <t>LF Canlife Portfolio VII C Acc in GB</t>
  </si>
  <si>
    <t>GB00BYW8XV16</t>
  </si>
  <si>
    <t>LF Canlife Sterling Liquidity I Acc in GB</t>
  </si>
  <si>
    <t>GB00BYW8XW23</t>
  </si>
  <si>
    <t>LF Canlife Sterling Liquidity I Inc TR in GB</t>
  </si>
  <si>
    <t>GB00BLRZQ737</t>
  </si>
  <si>
    <t>LF Equity Income C Acc GBP TR in GB</t>
  </si>
  <si>
    <t>GB00BLRZQ620</t>
  </si>
  <si>
    <t>LF Equity Income C Inc GBP TR in GB</t>
  </si>
  <si>
    <t>GB00BLRZQ950</t>
  </si>
  <si>
    <t>LF Equity Income X Acc GBP TR in GB</t>
  </si>
  <si>
    <t>GB00BLRZQ844</t>
  </si>
  <si>
    <t>LF Equity Income X Inc GBP TR in GB</t>
  </si>
  <si>
    <t>GB00BLRZQB71</t>
  </si>
  <si>
    <t>LF Equity Income Z Inc GBP TR in GB</t>
  </si>
  <si>
    <t>GB00BV9FYS80</t>
  </si>
  <si>
    <t>LF Gresham House UK Micro Cap C Acc in GB</t>
  </si>
  <si>
    <t>10/02/2021</t>
  </si>
  <si>
    <t>GB00BV9FYT97</t>
  </si>
  <si>
    <t>LF Gresham House UK Micro Cap C Inc TR in GB**</t>
  </si>
  <si>
    <t>GB00BYXVGS75</t>
  </si>
  <si>
    <t>LF Gresham House UK Multi Cap Income C Acc in GB</t>
  </si>
  <si>
    <t>GB00BYXVGT82</t>
  </si>
  <si>
    <t>LF Gresham House UK Multi Cap Income C Inc TR in GB</t>
  </si>
  <si>
    <t>GB00B8W6B206</t>
  </si>
  <si>
    <t>11/02/2021</t>
  </si>
  <si>
    <t>GB00B4PT4N03</t>
  </si>
  <si>
    <t>GB00B4NX0471</t>
  </si>
  <si>
    <t>GB00BJXS5G41</t>
  </si>
  <si>
    <t>GB00B8W69Q02</t>
  </si>
  <si>
    <t>GB00B4P12091</t>
  </si>
  <si>
    <t>GB00B4KBTG99</t>
  </si>
  <si>
    <t>GB00BJXS5B95</t>
  </si>
  <si>
    <t>GB00B8W6BC09</t>
  </si>
  <si>
    <t>GB00B7660X37</t>
  </si>
  <si>
    <t>GB00B4L57C25</t>
  </si>
  <si>
    <t>GB00BJXS3V51</t>
  </si>
  <si>
    <t>GB00BJXS3X75</t>
  </si>
  <si>
    <t>GB00B4PPL933</t>
  </si>
  <si>
    <t>GB00BFM7DN78</t>
  </si>
  <si>
    <t>LF Havelock Global Select A Acc in GB</t>
  </si>
  <si>
    <t>GB00B3QWV961</t>
  </si>
  <si>
    <t>LF IM UK Equity &amp; Bond Income A Inc TR in GB</t>
  </si>
  <si>
    <t>GB00BGPFJM62</t>
  </si>
  <si>
    <t>LF Lightman European I Acc in GB</t>
  </si>
  <si>
    <t>05/02/2021</t>
  </si>
  <si>
    <t>GB00BGPFJN79</t>
  </si>
  <si>
    <t>LF Lightman European R Acc in GB</t>
  </si>
  <si>
    <t>GB00BN31TC54</t>
  </si>
  <si>
    <t>LF Majedie Global Equity X Acc GBP in GB</t>
  </si>
  <si>
    <t>GB00BN31TK39</t>
  </si>
  <si>
    <t>LF Majedie Global Focus X Acc GBP in GB</t>
  </si>
  <si>
    <t>GB00B88NK732</t>
  </si>
  <si>
    <t>LF Majedie UK Equity X Acc GBP in GB</t>
  </si>
  <si>
    <t>GB00B8BH0R25</t>
  </si>
  <si>
    <t>LF Majedie UK Equity X Inc GBP TR in GB</t>
  </si>
  <si>
    <t>GB00B7S3QT06</t>
  </si>
  <si>
    <t>LF Majedie UK Focus X Acc GBP in GB</t>
  </si>
  <si>
    <t>GB00B8450512</t>
  </si>
  <si>
    <t>LF Majedie UK Focus X Inc GBP TR in GB</t>
  </si>
  <si>
    <t>GB00B83QP495</t>
  </si>
  <si>
    <t>LF Majedie UK Income X Acc GBP TR in GB</t>
  </si>
  <si>
    <t>GB00B7XCNP79</t>
  </si>
  <si>
    <t>LF Majedie UK Income X Inc GBP TR in GB</t>
  </si>
  <si>
    <t>GB00BJRCFP12</t>
  </si>
  <si>
    <t>LF Montanaro Better World A Acc TR in GB</t>
  </si>
  <si>
    <t>GB00BJRCFY03</t>
  </si>
  <si>
    <t>LF Montanaro European Income A Acc TR in GB</t>
  </si>
  <si>
    <t>GB00BJRCFX95</t>
  </si>
  <si>
    <t>LF Montanaro European Income A Inc TR in GB</t>
  </si>
  <si>
    <t>GB00BJRCFN97</t>
  </si>
  <si>
    <t>LF Montanaro Global Select A Acc in GB</t>
  </si>
  <si>
    <t>GB00BJRCFW88</t>
  </si>
  <si>
    <t>LF Montanaro UK Income A Acc TR in GB</t>
  </si>
  <si>
    <t>GB00BJRCFQ29</t>
  </si>
  <si>
    <t>LF Montanaro UK Income A Inc TR in GB</t>
  </si>
  <si>
    <t>GB00B2R83B20</t>
  </si>
  <si>
    <t>LF Morant Wright Nippon Yield B TR in GB</t>
  </si>
  <si>
    <t>01/02/2021</t>
  </si>
  <si>
    <t>GB00B87YPX87</t>
  </si>
  <si>
    <t>LF Odey Opus A Acc in GB</t>
  </si>
  <si>
    <t>GB00B54RK123</t>
  </si>
  <si>
    <t>LF Odey Opus Inst Acc in GB**</t>
  </si>
  <si>
    <t>GB00B717BM70</t>
  </si>
  <si>
    <t>LF Odey Opus Inst Inc TR in GB**</t>
  </si>
  <si>
    <t>GB00B1JMNF99</t>
  </si>
  <si>
    <t>LF Odey Opus Ret Inc TR in GB</t>
  </si>
  <si>
    <t>GB00BKS85L11</t>
  </si>
  <si>
    <t>LF Odey Portfolio P Institutional Acc in GB**</t>
  </si>
  <si>
    <t>GB00BMPHGG71</t>
  </si>
  <si>
    <t>LF Odey Portfolio P Retail Acc in GB</t>
  </si>
  <si>
    <t>GB00BH7Y0F87</t>
  </si>
  <si>
    <t>LF Odey Portfolio Sterling Institutional Acc in GB</t>
  </si>
  <si>
    <t>GB00B5460Q40</t>
  </si>
  <si>
    <t>LF Prudential Risk Managed Active 1 A Acc in GB</t>
  </si>
  <si>
    <t>21/01/2019</t>
  </si>
  <si>
    <t>GB00B51M5M63</t>
  </si>
  <si>
    <t>LF Prudential Risk Managed Active 1 A Inc TR in GB</t>
  </si>
  <si>
    <t>GB00BF232388</t>
  </si>
  <si>
    <t>LF Prudential Risk Managed Active 1 P Acc in GB</t>
  </si>
  <si>
    <t>GB00BF232495</t>
  </si>
  <si>
    <t>LF Prudential Risk Managed Active 1 P Inc TR in GB**</t>
  </si>
  <si>
    <t>GB00B51NJN82</t>
  </si>
  <si>
    <t>LF Prudential Risk Managed Active 2 A Acc in GB</t>
  </si>
  <si>
    <t>GB00B545FC27</t>
  </si>
  <si>
    <t>LF Prudential Risk Managed Active 2 A Inc TR in GB</t>
  </si>
  <si>
    <t>GB00BF232503</t>
  </si>
  <si>
    <t>LF Prudential Risk Managed Active 2 P Acc in GB</t>
  </si>
  <si>
    <t>GB00BF232610</t>
  </si>
  <si>
    <t>LF Prudential Risk Managed Active 2 P Inc TR in GB**</t>
  </si>
  <si>
    <t>GB00B55GVW64</t>
  </si>
  <si>
    <t>LF Prudential Risk Managed Active 3 A Acc in GB</t>
  </si>
  <si>
    <t>GB00B5595D43</t>
  </si>
  <si>
    <t>LF Prudential Risk Managed Active 3 A Inc TR in GB</t>
  </si>
  <si>
    <t>GB00BF232727</t>
  </si>
  <si>
    <t>LF Prudential Risk Managed Active 3 P Acc in GB</t>
  </si>
  <si>
    <t>GB00BF232834</t>
  </si>
  <si>
    <t>LF Prudential Risk Managed Active 3 P Inc TR in GB**</t>
  </si>
  <si>
    <t>GB00B549YV68</t>
  </si>
  <si>
    <t>LF Prudential Risk Managed Active 4 A Acc in GB</t>
  </si>
  <si>
    <t>GB00B5272G32</t>
  </si>
  <si>
    <t>LF Prudential Risk Managed Active 4 A Inc TR in GB</t>
  </si>
  <si>
    <t>GB00BF232941</t>
  </si>
  <si>
    <t>LF Prudential Risk Managed Active 4 P Acc in GB</t>
  </si>
  <si>
    <t>GB00BF232B62</t>
  </si>
  <si>
    <t>LF Prudential Risk Managed Active 4 P Inc TR in GB**</t>
  </si>
  <si>
    <t>GB00B6Y23P99</t>
  </si>
  <si>
    <t>LF Prudential Risk Managed Active 4 R Acc GBP in GB**</t>
  </si>
  <si>
    <t>GB00B5107K29</t>
  </si>
  <si>
    <t>LF Prudential Risk Managed Active 5 A Acc in GB</t>
  </si>
  <si>
    <t>GB00B55HVM99</t>
  </si>
  <si>
    <t>LF Prudential Risk Managed Active 5 A Inc TR in GB</t>
  </si>
  <si>
    <t>GB00BF232C79</t>
  </si>
  <si>
    <t>LF Prudential Risk Managed Active 5 P Acc in GB</t>
  </si>
  <si>
    <t>GB00BF232D86</t>
  </si>
  <si>
    <t>LF Prudential Risk Managed Active 5 P Inc TR in GB**</t>
  </si>
  <si>
    <t>GB00B1P9ZN61</t>
  </si>
  <si>
    <t>LF Prudential Risk Managed Passive 1 A Acc in GB</t>
  </si>
  <si>
    <t>GB00B1P9ZP85</t>
  </si>
  <si>
    <t>LF Prudential Risk Managed Passive 1 A Inc TR in GB</t>
  </si>
  <si>
    <t>GB00BF232F01</t>
  </si>
  <si>
    <t>LF Prudential Risk Managed Passive 1 P Acc in GB</t>
  </si>
  <si>
    <t>GB00BF232G18</t>
  </si>
  <si>
    <t>LF Prudential Risk Managed Passive 1 P Inc TR in GB**</t>
  </si>
  <si>
    <t>GB00B5BNX690</t>
  </si>
  <si>
    <t>LF Prudential Risk Managed Passive 1 R Acc GBP in GB**</t>
  </si>
  <si>
    <t>GB00BVYTZX71</t>
  </si>
  <si>
    <t>LF Prudential Risk Managed Passive 2 P Acc in GB</t>
  </si>
  <si>
    <t>GB00BVYTZY88</t>
  </si>
  <si>
    <t>LF Prudential Risk Managed Passive 2 P Inc TR in GB</t>
  </si>
  <si>
    <t>GB00B1P9ZR00</t>
  </si>
  <si>
    <t>LF Prudential Risk Managed Passive 3 A Acc in GB</t>
  </si>
  <si>
    <t>GB00B1P9ZS17</t>
  </si>
  <si>
    <t>LF Prudential Risk Managed Passive 3 A Inc TR in GB</t>
  </si>
  <si>
    <t>GB00BF232H25</t>
  </si>
  <si>
    <t>LF Prudential Risk Managed Passive 3 P Acc in GB</t>
  </si>
  <si>
    <t>GB00BF232J49</t>
  </si>
  <si>
    <t>LF Prudential Risk Managed Passive 3 P Inc TR in GB**</t>
  </si>
  <si>
    <t>GB00BVYV0275</t>
  </si>
  <si>
    <t>LF Prudential Risk Managed Passive 4 P Acc in GB</t>
  </si>
  <si>
    <t>GB00BVYV0382</t>
  </si>
  <si>
    <t>LF Prudential Risk Managed Passive 4 P Inc TR in GB</t>
  </si>
  <si>
    <t>GB00BVYV0721</t>
  </si>
  <si>
    <t>LF Prudential Risk Managed Passive 5 P Acc in GB</t>
  </si>
  <si>
    <t>GB00BVYV0838</t>
  </si>
  <si>
    <t>LF Prudential Risk Managed Passive 5 P Inc TR in GB</t>
  </si>
  <si>
    <t>GB00B7VZQV57</t>
  </si>
  <si>
    <t>LF Ruffer Equity &amp; General C Acc in GB</t>
  </si>
  <si>
    <t>09/02/2021</t>
  </si>
  <si>
    <t>GB00B6Y8PL75</t>
  </si>
  <si>
    <t>LF Ruffer Equity &amp; General C Inc TR in GB</t>
  </si>
  <si>
    <t>GB0009346718</t>
  </si>
  <si>
    <t>LF Ruffer Equity &amp; General O Acc in GB</t>
  </si>
  <si>
    <t>GB0009340802</t>
  </si>
  <si>
    <t>LF Ruffer Equity &amp; General O Inc TR in GB</t>
  </si>
  <si>
    <t>GB00B84JVJ48</t>
  </si>
  <si>
    <t>LF Ruffer European C Acc in GB</t>
  </si>
  <si>
    <t>GB0031678161</t>
  </si>
  <si>
    <t>LF Ruffer European O in GB</t>
  </si>
  <si>
    <t>GB00B8510Q93</t>
  </si>
  <si>
    <t>LF Ruffer Gold C Acc in GB</t>
  </si>
  <si>
    <t>GB00B8BZBT51</t>
  </si>
  <si>
    <t>LF Ruffer Gold C Inc TR in GB**</t>
  </si>
  <si>
    <t>GB0033628156</t>
  </si>
  <si>
    <t>LF Ruffer Gold O in GB</t>
  </si>
  <si>
    <t>GB00B846SB60</t>
  </si>
  <si>
    <t>LF Ruffer Japanese C Acc in GB</t>
  </si>
  <si>
    <t>GB00B80L7V87</t>
  </si>
  <si>
    <t>LF Ruffer Total Return C Acc in GB</t>
  </si>
  <si>
    <t>GB00B58BQH88</t>
  </si>
  <si>
    <t>LF Ruffer Total Return C Inc TR in GB</t>
  </si>
  <si>
    <t>GB00B03JB001</t>
  </si>
  <si>
    <t>LF Ruffer Total Return Inst Acc in GB**</t>
  </si>
  <si>
    <t>GB00B03J9Y05</t>
  </si>
  <si>
    <t>LF Ruffer Total Return Inst Inc TR in GB**</t>
  </si>
  <si>
    <t>GB0009684100</t>
  </si>
  <si>
    <t>LF Ruffer Total Return O Acc in GB</t>
  </si>
  <si>
    <t>GB0009684878</t>
  </si>
  <si>
    <t>LF Ruffer Total Return O Inc TR in GB</t>
  </si>
  <si>
    <t>GB00B18B9X76</t>
  </si>
  <si>
    <t>Lindsell Train LF Lindsell Train UK Equity Acc in GB</t>
  </si>
  <si>
    <t>GB00B18B9V52</t>
  </si>
  <si>
    <t>Lindsell Train LF Lindsell Train UK Equity Inc TR in GB</t>
  </si>
  <si>
    <t>GB00B7BZB324</t>
  </si>
  <si>
    <t>GB00B7GXM507</t>
  </si>
  <si>
    <t>GB0004821921</t>
  </si>
  <si>
    <t>Liontrust Balanced A Acc in GB</t>
  </si>
  <si>
    <t>GB0033272781</t>
  </si>
  <si>
    <t>Liontrust Balanced A Inc TR in GB</t>
  </si>
  <si>
    <t>GB00B85K7211</t>
  </si>
  <si>
    <t>Liontrust Balanced C Acc in GB</t>
  </si>
  <si>
    <t>GB00B83H6G14</t>
  </si>
  <si>
    <t>Liontrust Balanced C Inc TR in GB</t>
  </si>
  <si>
    <t>GB00B04H0Y06</t>
  </si>
  <si>
    <t>Liontrust China A Acc GBP in GB</t>
  </si>
  <si>
    <t>GB00B5Q38588</t>
  </si>
  <si>
    <t>Liontrust China C Acc GBP in GB</t>
  </si>
  <si>
    <t>GB00B8J6SV12</t>
  </si>
  <si>
    <t>Liontrust Emerging Markets C Acc GBP in GB</t>
  </si>
  <si>
    <t>GB00B4ZM1M76</t>
  </si>
  <si>
    <t>Liontrust European Growth I Inc TR in GB</t>
  </si>
  <si>
    <t>GB00B1GKBD09</t>
  </si>
  <si>
    <t>Liontrust European Growth R Inc TR in GB</t>
  </si>
  <si>
    <t>GB0031190449</t>
  </si>
  <si>
    <t>Liontrust Global Alpha A Acc in GB</t>
  </si>
  <si>
    <t>2.08</t>
  </si>
  <si>
    <t>GB0031190555</t>
  </si>
  <si>
    <t>Liontrust Global Alpha C Acc in GB</t>
  </si>
  <si>
    <t>GB00B9225P64</t>
  </si>
  <si>
    <t>Liontrust Global Dividend C Acc GBP in GB</t>
  </si>
  <si>
    <t>GB00B91RFZ23</t>
  </si>
  <si>
    <t>Liontrust Global Dividend C Inc GBP TR in GB</t>
  </si>
  <si>
    <t>GB0030679053</t>
  </si>
  <si>
    <t>GB00B28R3304</t>
  </si>
  <si>
    <t>GB0030679160</t>
  </si>
  <si>
    <t>GB00B8DLY478</t>
  </si>
  <si>
    <t>GB00B28R3411</t>
  </si>
  <si>
    <t>GB00BYXZ5N79</t>
  </si>
  <si>
    <t>Liontrust Global Technology C Acc GBP in GB</t>
  </si>
  <si>
    <t>GB0032315516</t>
  </si>
  <si>
    <t>Liontrust Income A Acc in GB</t>
  </si>
  <si>
    <t>GB0032325093</t>
  </si>
  <si>
    <t>Liontrust Income A Inc TR in GB</t>
  </si>
  <si>
    <t>GB0032325101</t>
  </si>
  <si>
    <t>Liontrust Income B Inc TR in GB</t>
  </si>
  <si>
    <t>GB00B8JCR452</t>
  </si>
  <si>
    <t>Liontrust Income C Acc in GB</t>
  </si>
  <si>
    <t>GB00B8L7B355</t>
  </si>
  <si>
    <t>Liontrust Income C Inc TR in GB</t>
  </si>
  <si>
    <t>GB00B1L6DV51</t>
  </si>
  <si>
    <t>Liontrust India C Acc GBP in GB</t>
  </si>
  <si>
    <t>GB00BXDZFF23</t>
  </si>
  <si>
    <t>Liontrust Japan Equity C Acc GBP TR in GB</t>
  </si>
  <si>
    <t>GB00BXDZFG30</t>
  </si>
  <si>
    <t>Liontrust Japan Equity C Hedged Acc GBP TR in GB</t>
  </si>
  <si>
    <t>GB00B909HH53</t>
  </si>
  <si>
    <t>Liontrust Latin America C Acc GBP in GB</t>
  </si>
  <si>
    <t>GB00B6ZRLF91</t>
  </si>
  <si>
    <t>Liontrust MA Active Dynamic A Acc in GB</t>
  </si>
  <si>
    <t>GB0034251834</t>
  </si>
  <si>
    <t>Liontrust MA Active Dynamic R Acc in GB</t>
  </si>
  <si>
    <t>GB00BCZW6844</t>
  </si>
  <si>
    <t>Liontrust MA Active Dynamic S Acc in GB</t>
  </si>
  <si>
    <t>GB00B88MN829</t>
  </si>
  <si>
    <t>Liontrust MA Active Growth A Acc TR in GB</t>
  </si>
  <si>
    <t>GB00B714GR81</t>
  </si>
  <si>
    <t>Liontrust MA Active Growth A Inc TR in GB</t>
  </si>
  <si>
    <t>GB00B0CMF532</t>
  </si>
  <si>
    <t>Liontrust MA Active Growth R Acc TR in GB</t>
  </si>
  <si>
    <t>GB0030911191</t>
  </si>
  <si>
    <t>Liontrust MA Active Growth R Inc TR in GB</t>
  </si>
  <si>
    <t>2.24</t>
  </si>
  <si>
    <t>GB00BCZW6950</t>
  </si>
  <si>
    <t>Liontrust MA Active Growth S Acc TR in GB</t>
  </si>
  <si>
    <t>GB00BCZW6B70</t>
  </si>
  <si>
    <t>Liontrust MA Active Growth S Inc TR in GB</t>
  </si>
  <si>
    <t>GB00B7T34843</t>
  </si>
  <si>
    <t>Liontrust MA Active Intermediate Income A Acc TR in GB</t>
  </si>
  <si>
    <t>GB00B7TS1K06</t>
  </si>
  <si>
    <t>Liontrust MA Active Intermediate Income A Inc TR in GB</t>
  </si>
  <si>
    <t>GB00B659R796</t>
  </si>
  <si>
    <t>Liontrust MA Active Intermediate Income R Acc TR in GB</t>
  </si>
  <si>
    <t>GB0030911084</t>
  </si>
  <si>
    <t>Liontrust MA Active Intermediate Income R Inc TR in GB</t>
  </si>
  <si>
    <t>GB00BCZW6F19</t>
  </si>
  <si>
    <t>Liontrust MA Active Intermediate Income S Acc TR in GB</t>
  </si>
  <si>
    <t>GB00BCZW6G26</t>
  </si>
  <si>
    <t>Liontrust MA Active Intermediate Income S Inc TR in GB</t>
  </si>
  <si>
    <t>GB00B8HWD272</t>
  </si>
  <si>
    <t>Liontrust MA Active Moderate Income A Acc TR in GB</t>
  </si>
  <si>
    <t>GB00B7WJTH36</t>
  </si>
  <si>
    <t>Liontrust MA Active Moderate Income A Inc TR in GB</t>
  </si>
  <si>
    <t>GB0034252022</t>
  </si>
  <si>
    <t>Liontrust MA Active Moderate Income R Acc TR in GB</t>
  </si>
  <si>
    <t>GB0034251941</t>
  </si>
  <si>
    <t>Liontrust MA Active Moderate Income R Inc TR in GB</t>
  </si>
  <si>
    <t>GB00BCZW6J56</t>
  </si>
  <si>
    <t>Liontrust MA Active Moderate Income S Acc TR in GB</t>
  </si>
  <si>
    <t>GB00BCZW6H33</t>
  </si>
  <si>
    <t>Liontrust MA Active Moderate Income S Inc TR in GB</t>
  </si>
  <si>
    <t>GB00B7JBSW09</t>
  </si>
  <si>
    <t>Liontrust MA Active Progressive A Acc TR in GB</t>
  </si>
  <si>
    <t>GB00B7KJWV03</t>
  </si>
  <si>
    <t>Liontrust MA Active Progressive A Inc TR in GB</t>
  </si>
  <si>
    <t>GB00B0F47385</t>
  </si>
  <si>
    <t>Liontrust MA Active Progressive R Acc in GB</t>
  </si>
  <si>
    <t>GB00B0F43C99</t>
  </si>
  <si>
    <t>Liontrust MA Active Progressive R Inc TR in GB</t>
  </si>
  <si>
    <t>GB00BCZW6C87</t>
  </si>
  <si>
    <t>Liontrust MA Active Progressive S Acc TR in GB</t>
  </si>
  <si>
    <t>GB00BCZW6D94</t>
  </si>
  <si>
    <t>Liontrust MA Active Progressive S Inc TR in GB</t>
  </si>
  <si>
    <t>GB00B84QFC61</t>
  </si>
  <si>
    <t>Liontrust MA Active Reserve A Acc TR in GB</t>
  </si>
  <si>
    <t>GB00B84PSB35</t>
  </si>
  <si>
    <t>Liontrust MA Active Reserve A Inc TR in GB</t>
  </si>
  <si>
    <t>GB00B1QM0S43</t>
  </si>
  <si>
    <t>Liontrust MA Active Reserve R Acc TR in GB</t>
  </si>
  <si>
    <t>GB00B1QLC299</t>
  </si>
  <si>
    <t>Liontrust MA Active Reserve R Inc TR in GB</t>
  </si>
  <si>
    <t>GB00BCZW6N92</t>
  </si>
  <si>
    <t>Liontrust MA Active Reserve S Acc in GB</t>
  </si>
  <si>
    <t>GB00BCZW6M85</t>
  </si>
  <si>
    <t>Liontrust MA Active Reserve S Inc TR in GB</t>
  </si>
  <si>
    <t>GB00B820T519</t>
  </si>
  <si>
    <t>Liontrust MA Blended Growth A Acc in GB</t>
  </si>
  <si>
    <t>GB0032816976</t>
  </si>
  <si>
    <t>Liontrust MA Blended Growth R Acc in GB</t>
  </si>
  <si>
    <t>GB00BCZW5H67</t>
  </si>
  <si>
    <t>Liontrust MA Blended Growth S Acc in GB</t>
  </si>
  <si>
    <t>GB00B8KLDR64</t>
  </si>
  <si>
    <t>Liontrust MA Blended Intermediate A Acc in GB</t>
  </si>
  <si>
    <t>GB00B8FPSZ60</t>
  </si>
  <si>
    <t>Liontrust MA Blended Intermediate A Inc TR in GB</t>
  </si>
  <si>
    <t>GB0031042558</t>
  </si>
  <si>
    <t>Liontrust MA Blended Intermediate R Acc in GB</t>
  </si>
  <si>
    <t>GB00BCZW5K96</t>
  </si>
  <si>
    <t>Liontrust MA Blended Intermediate S Acc in GB</t>
  </si>
  <si>
    <t>GB00BCZW5L04</t>
  </si>
  <si>
    <t>Liontrust MA Blended Intermediate S Inc TR in GB</t>
  </si>
  <si>
    <t>GB00B85L1G65</t>
  </si>
  <si>
    <t>Liontrust MA Blended Moderate A Acc in GB</t>
  </si>
  <si>
    <t>GB00B8MGPL79</t>
  </si>
  <si>
    <t>Liontrust MA Blended Moderate A Inc TR in GB</t>
  </si>
  <si>
    <t>GB0032817164</t>
  </si>
  <si>
    <t>Liontrust MA Blended Moderate R Acc in GB</t>
  </si>
  <si>
    <t>GB00BBHXCM47</t>
  </si>
  <si>
    <t>Liontrust MA Blended Moderate R Inc TR in GB</t>
  </si>
  <si>
    <t>GB00BCZW5B06</t>
  </si>
  <si>
    <t>Liontrust MA Blended Moderate S Acc in GB</t>
  </si>
  <si>
    <t>GB00BCZW5986</t>
  </si>
  <si>
    <t>Liontrust MA Blended Moderate S Inc TR in GB</t>
  </si>
  <si>
    <t>GB00B8JY5364</t>
  </si>
  <si>
    <t>Liontrust MA Blended Progressive A Acc in GB</t>
  </si>
  <si>
    <t>GB0032817057</t>
  </si>
  <si>
    <t>Liontrust MA Blended Progressive R Acc in GB</t>
  </si>
  <si>
    <t>GB00BCZW5J81</t>
  </si>
  <si>
    <t>Liontrust MA Blended Progressive S Acc in GB</t>
  </si>
  <si>
    <t>GB00B8BMB189</t>
  </si>
  <si>
    <t>Liontrust MA Blended Reserve A Acc TR in GB</t>
  </si>
  <si>
    <t>GB00B7VR0864</t>
  </si>
  <si>
    <t>Liontrust MA Blended Reserve A Inc TR in GB</t>
  </si>
  <si>
    <t>GB0031042335</t>
  </si>
  <si>
    <t>Liontrust MA Blended Reserve R Acc TR in GB</t>
  </si>
  <si>
    <t>GB0031042442</t>
  </si>
  <si>
    <t>Liontrust MA Blended Reserve R Inc TR in GB</t>
  </si>
  <si>
    <t>GB00BCZW5D20</t>
  </si>
  <si>
    <t>Liontrust MA Blended Reserve S Acc TR in GB</t>
  </si>
  <si>
    <t>GB00BCZW5C13</t>
  </si>
  <si>
    <t>Liontrust MA Blended Reserve S Inc TR in GB</t>
  </si>
  <si>
    <t>GB00BMP2ZL03</t>
  </si>
  <si>
    <t>Liontrust MA Diversified Real Assets A Acc in GB</t>
  </si>
  <si>
    <t>GB00BMP2ZM10</t>
  </si>
  <si>
    <t>Liontrust MA Diversified Real Assets A Inc TR in GB</t>
  </si>
  <si>
    <t>GB00BRKD9W23</t>
  </si>
  <si>
    <t>Liontrust MA Diversified Real Assets D Acc in GB</t>
  </si>
  <si>
    <t>GB00BRKD9X30</t>
  </si>
  <si>
    <t>Liontrust MA Diversified Real Assets D Inc TR in GB</t>
  </si>
  <si>
    <t>GB00B8KC8M99</t>
  </si>
  <si>
    <t>Liontrust MA Monthly High Income A Acc TR in GB</t>
  </si>
  <si>
    <t>GB00B7Y03B64</t>
  </si>
  <si>
    <t>Liontrust MA Monthly High Income A Inc TR in GB</t>
  </si>
  <si>
    <t>GB0031042004</t>
  </si>
  <si>
    <t>Liontrust MA Monthly High Income R Acc TR in GB</t>
  </si>
  <si>
    <t>GB0031042228</t>
  </si>
  <si>
    <t>Liontrust MA Monthly High Income R Inc TR in GB</t>
  </si>
  <si>
    <t>GB00BCZW5S72</t>
  </si>
  <si>
    <t>Liontrust MA Monthly High Income S Acc TR in GB</t>
  </si>
  <si>
    <t>GB00BCZW5V02</t>
  </si>
  <si>
    <t>Liontrust MA Monthly High Income S Inc TR in GB</t>
  </si>
  <si>
    <t>GB00B7XRTZ41</t>
  </si>
  <si>
    <t>Liontrust MA Passive Dynamic A Acc in GB</t>
  </si>
  <si>
    <t>GB00BNGNDL53</t>
  </si>
  <si>
    <t>Liontrust MA Passive Dynamic D Acc in GB</t>
  </si>
  <si>
    <t>GB00B3TCY722</t>
  </si>
  <si>
    <t>Liontrust MA Passive Dynamic R Acc in GB</t>
  </si>
  <si>
    <t>GB00BCZW4Y67</t>
  </si>
  <si>
    <t>Liontrust MA Passive Dynamic S Acc in GB</t>
  </si>
  <si>
    <t>GB00B7XCP731</t>
  </si>
  <si>
    <t>Liontrust MA Passive Growth A Acc in GB</t>
  </si>
  <si>
    <t>GB00BNGNDK47</t>
  </si>
  <si>
    <t>Liontrust MA Passive Growth D Acc in GB</t>
  </si>
  <si>
    <t>GB00B3TQLW84</t>
  </si>
  <si>
    <t>Liontrust MA Passive Growth R Acc in GB</t>
  </si>
  <si>
    <t>GB00BCZW4X50</t>
  </si>
  <si>
    <t>Liontrust MA Passive Growth S Acc in GB</t>
  </si>
  <si>
    <t>GB00B82VBH08</t>
  </si>
  <si>
    <t>Liontrust MA Passive Intermediate A Acc in GB</t>
  </si>
  <si>
    <t>GB00BNGNDH18</t>
  </si>
  <si>
    <t>Liontrust MA Passive Intermediate D Acc in GB</t>
  </si>
  <si>
    <t>GB00B3CQK065</t>
  </si>
  <si>
    <t>Liontrust MA Passive Intermediate R Acc in GB</t>
  </si>
  <si>
    <t>GB00BCZW4V37</t>
  </si>
  <si>
    <t>Liontrust MA Passive Intermediate S Acc in GB</t>
  </si>
  <si>
    <t>GB00B8DT9S00</t>
  </si>
  <si>
    <t>Liontrust MA Passive Moderate A Acc in GB</t>
  </si>
  <si>
    <t>GB00BNGNDG01</t>
  </si>
  <si>
    <t>Liontrust MA Passive Moderate D Acc in GB</t>
  </si>
  <si>
    <t>GB00BWWCYY97</t>
  </si>
  <si>
    <t>Liontrust MA Passive Moderate D Inc TR in GB</t>
  </si>
  <si>
    <t>GB00B3CQJZ43</t>
  </si>
  <si>
    <t>Liontrust MA Passive Moderate R Acc in GB</t>
  </si>
  <si>
    <t>GB00B3D3WC24</t>
  </si>
  <si>
    <t>Liontrust MA Passive Moderate R Inc TR in GB</t>
  </si>
  <si>
    <t>GB00BCZW4T15</t>
  </si>
  <si>
    <t>Liontrust MA Passive Moderate S Acc in GB</t>
  </si>
  <si>
    <t>GB00BWWCYX80</t>
  </si>
  <si>
    <t>Liontrust MA Passive Moderate S Inc TR in GB</t>
  </si>
  <si>
    <t>GB00B7Z2H085</t>
  </si>
  <si>
    <t>Liontrust MA Passive Progressive A Acc in GB</t>
  </si>
  <si>
    <t>GB00BNGNDJ32</t>
  </si>
  <si>
    <t>Liontrust MA Passive Progressive D Acc in GB</t>
  </si>
  <si>
    <t>GB00B3CQK172</t>
  </si>
  <si>
    <t>Liontrust MA Passive Progressive R Acc in GB</t>
  </si>
  <si>
    <t>GB00BCZW4W44</t>
  </si>
  <si>
    <t>Liontrust MA Passive Progressive S Acc in GB</t>
  </si>
  <si>
    <t>GB00B7WNMF47</t>
  </si>
  <si>
    <t>Liontrust MA Passive Prudent A Acc in GB</t>
  </si>
  <si>
    <t>GB00BNGNDM60</t>
  </si>
  <si>
    <t>Liontrust MA Passive Prudent D Acc in GB</t>
  </si>
  <si>
    <t>GB00B3ZPFX84</t>
  </si>
  <si>
    <t>Liontrust MA Passive Prudent R Acc in GB</t>
  </si>
  <si>
    <t>GB00B6SWSM71</t>
  </si>
  <si>
    <t>Liontrust MA Passive Prudent R Inc TR in GB</t>
  </si>
  <si>
    <t>GB00BCZW4Z74</t>
  </si>
  <si>
    <t>Liontrust MA Passive Prudent S Acc in GB</t>
  </si>
  <si>
    <t>GB00B8PJ5H93</t>
  </si>
  <si>
    <t>Liontrust MA Passive Reserve A Acc in GB</t>
  </si>
  <si>
    <t>GB00BNGNDF93</t>
  </si>
  <si>
    <t>Liontrust MA Passive Reserve D Acc in GB</t>
  </si>
  <si>
    <t>GB00B48XQL14</t>
  </si>
  <si>
    <t>Liontrust MA Passive Reserve R Acc in GB</t>
  </si>
  <si>
    <t>GB00BCZW4S08</t>
  </si>
  <si>
    <t>Liontrust MA Passive Reserve S Acc in GB</t>
  </si>
  <si>
    <t>GB00B6QR6L91</t>
  </si>
  <si>
    <t>Liontrust MA Strategic Bond A Acc TR in GB</t>
  </si>
  <si>
    <t>GB00B8QW1242</t>
  </si>
  <si>
    <t>Liontrust MA Strategic Bond A Inc TR in GB</t>
  </si>
  <si>
    <t>GB0032816869</t>
  </si>
  <si>
    <t>Liontrust MA Strategic Bond R Acc TR in GB</t>
  </si>
  <si>
    <t>GB00BCZW5N28</t>
  </si>
  <si>
    <t>Liontrust MA Strategic Bond S Acc TR in GB</t>
  </si>
  <si>
    <t>GB00BCZW5Q58</t>
  </si>
  <si>
    <t>Liontrust MA Strategic Bond S Inc TR in GB</t>
  </si>
  <si>
    <t>GB00B7KMK266</t>
  </si>
  <si>
    <t>Liontrust MA UK Equity A Acc in GB</t>
  </si>
  <si>
    <t>GB00B8882D80</t>
  </si>
  <si>
    <t>Liontrust MA UK Equity A Inc TR in GB</t>
  </si>
  <si>
    <t>GB0031041816</t>
  </si>
  <si>
    <t>Liontrust MA UK Equity R Acc in GB</t>
  </si>
  <si>
    <t>GB00BCZW5M11</t>
  </si>
  <si>
    <t>Liontrust MA UK Equity S Acc in GB</t>
  </si>
  <si>
    <t>GB00B3Y38F63</t>
  </si>
  <si>
    <t>Liontrust Monthly Income Bond B Gr Acc TR in GB</t>
  </si>
  <si>
    <t>GB00B44MQ015</t>
  </si>
  <si>
    <t>Liontrust Monthly Income Bond B Gr Inc TR in GB</t>
  </si>
  <si>
    <t>GB00B3RPTP62</t>
  </si>
  <si>
    <t>Liontrust Monthly Income Bond P Gr Acc in GB</t>
  </si>
  <si>
    <t>GB00B3W7G901</t>
  </si>
  <si>
    <t>Liontrust Monthly Income Bond P Gr Inc TR in GB</t>
  </si>
  <si>
    <t>GB00B04H0T52</t>
  </si>
  <si>
    <t>Liontrust Russia A Acc GBP in GB</t>
  </si>
  <si>
    <t>GB00B86WB793</t>
  </si>
  <si>
    <t>Liontrust Russia C Acc GBP in GB</t>
  </si>
  <si>
    <t>GB00B87GRQ11</t>
  </si>
  <si>
    <t>Liontrust Special Situations A Inc TR in GB**</t>
  </si>
  <si>
    <t>GB00BG0J2688</t>
  </si>
  <si>
    <t>Liontrust Special Situations I Acc TR in GB**</t>
  </si>
  <si>
    <t>GB00B57H4F11</t>
  </si>
  <si>
    <t>Liontrust Special Situations I Inc TR in GB</t>
  </si>
  <si>
    <t>GB00B0N6YF70</t>
  </si>
  <si>
    <t>Liontrust Special Situations R Inc TR in GB</t>
  </si>
  <si>
    <t>GB00BMN90304</t>
  </si>
  <si>
    <t>Liontrust Sustainable Future Cautious Managed 2 Inc TR in GB</t>
  </si>
  <si>
    <t>GB0030029069</t>
  </si>
  <si>
    <t>Liontrust Sustainable Future Corporate Bond 2 Inc TR in GB</t>
  </si>
  <si>
    <t>GB00B8BPH312</t>
  </si>
  <si>
    <t>Liontrust Sustainable Future Corporate Bond 6 Acc TR in GB</t>
  </si>
  <si>
    <t>GB00BMN90635</t>
  </si>
  <si>
    <t>Liontrust Sustainable Future Defensive Managed 2 Inc TR in GB</t>
  </si>
  <si>
    <t>GB0030029390</t>
  </si>
  <si>
    <t>Liontrust Sustainable Future European Growth 2 Acc in GB</t>
  </si>
  <si>
    <t>GB0030030067</t>
  </si>
  <si>
    <t>Liontrust Sustainable Future Global Growth 2 Acc in GB</t>
  </si>
  <si>
    <t>GB0030030398</t>
  </si>
  <si>
    <t>Liontrust Sustainable Future Managed 2 Inc TR in GB</t>
  </si>
  <si>
    <t>GB00B8FDBQ23</t>
  </si>
  <si>
    <t>Liontrust Sustainable Future Managed 6 Acc TR in GB</t>
  </si>
  <si>
    <t>GB0030029622</t>
  </si>
  <si>
    <t>Liontrust Sustainable Future Managed Growth 2 Acc in GB</t>
  </si>
  <si>
    <t>GB0030028764</t>
  </si>
  <si>
    <t>Liontrust Sustainable Future UK Growth 2 Acc in GB</t>
  </si>
  <si>
    <t>GB00B8HCSD36</t>
  </si>
  <si>
    <t>Liontrust UK Ethical 2 Acc in GB</t>
  </si>
  <si>
    <t>GB00B56BDS09</t>
  </si>
  <si>
    <t>Liontrust UK Growth I Inc TR in GB</t>
  </si>
  <si>
    <t>GB00BD5CYB01</t>
  </si>
  <si>
    <t>Liontrust UK Growth M Acc TR in GB**</t>
  </si>
  <si>
    <t>GB00BD5CY988</t>
  </si>
  <si>
    <t>Liontrust UK Growth M Inc TR in GB**</t>
  </si>
  <si>
    <t>GB0007014557</t>
  </si>
  <si>
    <t>Liontrust UK Growth R Inc TR in GB</t>
  </si>
  <si>
    <t>GB00BDFYHP14</t>
  </si>
  <si>
    <t>Liontrust UK Micro Cap I Acc in GB</t>
  </si>
  <si>
    <t>GB00B8HWPP49</t>
  </si>
  <si>
    <t>Liontrust UK Smaller Companies I Acc TR in GB</t>
  </si>
  <si>
    <t>GB00B57TMD12</t>
  </si>
  <si>
    <t>Liontrust UK Smaller Companies I Inc TR in GB</t>
  </si>
  <si>
    <t>GB0007420788</t>
  </si>
  <si>
    <t>Liontrust UK Smaller Companies R Inc TR in GB</t>
  </si>
  <si>
    <t>GB0032310129</t>
  </si>
  <si>
    <t>Liontrust US Opportunities A Acc GBP in GB</t>
  </si>
  <si>
    <t>GB0032310236</t>
  </si>
  <si>
    <t>Liontrust US Opportunities B Acc GBP in GB</t>
  </si>
  <si>
    <t>GB00B7K9LQ88</t>
  </si>
  <si>
    <t>Liontrust US Opportunities C Acc GBP in GB</t>
  </si>
  <si>
    <t>GB00BD6FFN71</t>
  </si>
  <si>
    <t>M&amp;G Absolute Return Bond I Acc GBP in GB</t>
  </si>
  <si>
    <t>15/02/2021</t>
  </si>
  <si>
    <t>GB00BD6FFP95</t>
  </si>
  <si>
    <t>M&amp;G Absolute Return Bond I Inc GBP TR in GB</t>
  </si>
  <si>
    <t>GB0030939556</t>
  </si>
  <si>
    <t>M&amp;G Asian A Acc GBP in GB</t>
  </si>
  <si>
    <t>GB0030939440</t>
  </si>
  <si>
    <t>M&amp;G Asian A Inc GBP TR in GB</t>
  </si>
  <si>
    <t>GB00B6SQYF47</t>
  </si>
  <si>
    <t>M&amp;G Asian I Acc GBP in GB</t>
  </si>
  <si>
    <t>GB00B3T2RX98</t>
  </si>
  <si>
    <t>M&amp;G Asian I Inc GBP TR in GB</t>
  </si>
  <si>
    <t>GB0031956807</t>
  </si>
  <si>
    <t>M&amp;G Asian X Acc GBP in GB</t>
  </si>
  <si>
    <t>GB0031285785</t>
  </si>
  <si>
    <t>M&amp;G Corporate Bond A Acc GBP in GB</t>
  </si>
  <si>
    <t>GB0031285678</t>
  </si>
  <si>
    <t>M&amp;G Corporate Bond A Inc GBP TR in GB</t>
  </si>
  <si>
    <t>GB00B1YBRL59</t>
  </si>
  <si>
    <t>M&amp;G Corporate Bond Inst Acc GBP in GB</t>
  </si>
  <si>
    <t>GB00B1YBRM66</t>
  </si>
  <si>
    <t>M&amp;G Corporate Bond Inst Inc GBP TR in GB</t>
  </si>
  <si>
    <t>GB0031285900</t>
  </si>
  <si>
    <t>M&amp;G Corporate Bond X Acc GBP in GB</t>
  </si>
  <si>
    <t>GB0031285892</t>
  </si>
  <si>
    <t>M&amp;G Corporate Bond X Inc GBP TR in GB</t>
  </si>
  <si>
    <t>GB0031286197</t>
  </si>
  <si>
    <t>M&amp;G Dividend A Acc GBP in GB</t>
  </si>
  <si>
    <t>GB0031286080</t>
  </si>
  <si>
    <t>M&amp;G Dividend A Inc GBP TR in GB</t>
  </si>
  <si>
    <t>GB00B7BX4821</t>
  </si>
  <si>
    <t>M&amp;G Dividend I Acc GBP in GB</t>
  </si>
  <si>
    <t>GB00B6T64N15</t>
  </si>
  <si>
    <t>M&amp;G Dividend I Inc GBP TR in GB</t>
  </si>
  <si>
    <t>GB0031958514</t>
  </si>
  <si>
    <t>M&amp;G Dividend X Acc GBP in GB</t>
  </si>
  <si>
    <t>GB0031958738</t>
  </si>
  <si>
    <t>M&amp;G Emerging Markets Bond A Acc GBP in GB</t>
  </si>
  <si>
    <t>GB0031958621</t>
  </si>
  <si>
    <t>M&amp;G Emerging Markets Bond A Inc GBP TR in GB</t>
  </si>
  <si>
    <t>GB00B7GNKY53</t>
  </si>
  <si>
    <t>M&amp;G Emerging Markets Bond I Acc GBP in GB</t>
  </si>
  <si>
    <t>GB00B4TL2D89</t>
  </si>
  <si>
    <t>M&amp;G Emerging Markets Bond I Inc GBP TR in GB</t>
  </si>
  <si>
    <t>GB00BZ0YDS58</t>
  </si>
  <si>
    <t>M&amp;G Emerging Markets Bond IH Acc GBP in GB</t>
  </si>
  <si>
    <t>GB00BZ0YDT65</t>
  </si>
  <si>
    <t>M&amp;G Emerging Markets Bond IH Inc GBP TR in GB</t>
  </si>
  <si>
    <t>GB0031286312</t>
  </si>
  <si>
    <t>M&amp;G Emerging Markets Bond X Acc GBP in GB</t>
  </si>
  <si>
    <t>GB00B1P9ZJ26</t>
  </si>
  <si>
    <t>M&amp;G Episode Allocation A Acc GBP in GB</t>
  </si>
  <si>
    <t>GB00B1P9ZK31</t>
  </si>
  <si>
    <t>M&amp;G Episode Allocation A Inc GBP TR in GB</t>
  </si>
  <si>
    <t>GB00B73RVW51</t>
  </si>
  <si>
    <t>M&amp;G Episode Allocation I Acc GBP in GB</t>
  </si>
  <si>
    <t>GB00B71QKV66</t>
  </si>
  <si>
    <t>M&amp;G Episode Allocation I Inc GBP TR in GB</t>
  </si>
  <si>
    <t>GB00B1P9ZL48</t>
  </si>
  <si>
    <t>M&amp;G Episode Allocation X Acc GBP in GB</t>
  </si>
  <si>
    <t>GB00B1P9ZM54</t>
  </si>
  <si>
    <t>M&amp;G Episode Allocation X Inc GBP TR in GB</t>
  </si>
  <si>
    <t>GB0031960585</t>
  </si>
  <si>
    <t>M&amp;G Episode Growth A Acc GBP in GB</t>
  </si>
  <si>
    <t>GB0031960478</t>
  </si>
  <si>
    <t>M&amp;G Episode Growth A Inc GBP TR in GB</t>
  </si>
  <si>
    <t>GB00B5V3ZY14</t>
  </si>
  <si>
    <t>M&amp;G Episode Growth I Acc GBP TR in GB</t>
  </si>
  <si>
    <t>GB00B708D148</t>
  </si>
  <si>
    <t>M&amp;G Episode Growth I Inc GBP TR in GB</t>
  </si>
  <si>
    <t>GB0031616922</t>
  </si>
  <si>
    <t>M&amp;G Episode Growth X Inc GBP TR in GB</t>
  </si>
  <si>
    <t>GB00B48VC629</t>
  </si>
  <si>
    <t>M&amp;G Episode Income A Acc in GB</t>
  </si>
  <si>
    <t>GB00B4054K09</t>
  </si>
  <si>
    <t>M&amp;G Episode Income A Inc TR in GB</t>
  </si>
  <si>
    <t>GB00B4QHRP64</t>
  </si>
  <si>
    <t>M&amp;G Episode Income I Acc GBP in GB</t>
  </si>
  <si>
    <t>GB00B7FSJ224</t>
  </si>
  <si>
    <t>M&amp;G Episode Income I Inc GBP TR in GB</t>
  </si>
  <si>
    <t>GB0032178419</t>
  </si>
  <si>
    <t>M&amp;G European Corporate Bond A Inc GBP TR in GB</t>
  </si>
  <si>
    <t>GB00B76JLK62</t>
  </si>
  <si>
    <t>M&amp;G European Corporate Bond I Acc GBP in GB</t>
  </si>
  <si>
    <t>GB00B3W19714</t>
  </si>
  <si>
    <t>M&amp;G European Corporate Bond I Inc GBP TR in GB</t>
  </si>
  <si>
    <t>GB0030929300</t>
  </si>
  <si>
    <t>M&amp;G European Index Tracker A Acc GBP in GB</t>
  </si>
  <si>
    <t>GB0030929185</t>
  </si>
  <si>
    <t>M&amp;G European Index Tracker A Inc GBP TR in GB</t>
  </si>
  <si>
    <t>GB00B8FSZ434</t>
  </si>
  <si>
    <t>M&amp;G Feeder of Property Portfolio A Acc in GB</t>
  </si>
  <si>
    <t>GB00B8FWH509</t>
  </si>
  <si>
    <t>M&amp;G Feeder of Property Portfolio A Inc TR in GB</t>
  </si>
  <si>
    <t>GB00B7SX7S61</t>
  </si>
  <si>
    <t>M&amp;G Feeder of Property Portfolio I Acc TR in GB</t>
  </si>
  <si>
    <t>GB00B842HT59</t>
  </si>
  <si>
    <t>M&amp;G Feeder of Property Portfolio I Inc TR in GB</t>
  </si>
  <si>
    <t>GB0031108433</t>
  </si>
  <si>
    <t>M&amp;G Gilt &amp; Fixed Interest Income A Acc GBP in GB</t>
  </si>
  <si>
    <t>GB0031107807</t>
  </si>
  <si>
    <t>M&amp;G Gilt &amp; Fixed Interest Income A Inc GBP TR in GB</t>
  </si>
  <si>
    <t>GB00B734BY83</t>
  </si>
  <si>
    <t>M&amp;G Gilt &amp; Fixed Interest Income I Acc GBP in GB</t>
  </si>
  <si>
    <t>GB00B7454D07</t>
  </si>
  <si>
    <t>M&amp;G Gilt &amp; Fixed Interest Income I Inc GBP TR in GB</t>
  </si>
  <si>
    <t>GB00B1Z68163</t>
  </si>
  <si>
    <t>M&amp;G Global Convertibles A Acc GBP in GB</t>
  </si>
  <si>
    <t>GB00B1Z68270</t>
  </si>
  <si>
    <t>M&amp;G Global Convertibles A Inc GBP TR in GB</t>
  </si>
  <si>
    <t>GB00B8J73758</t>
  </si>
  <si>
    <t>M&amp;G Global Convertibles IH Acc GBP in GB</t>
  </si>
  <si>
    <t>GB00B1Z68387</t>
  </si>
  <si>
    <t>M&amp;G Global Convertibles Inst Acc GBP in GB</t>
  </si>
  <si>
    <t>GB00B758PJ12</t>
  </si>
  <si>
    <t>M&amp;G Global Convertibles Inst Inc GBP TR in GB</t>
  </si>
  <si>
    <t>GB00B39R2L79</t>
  </si>
  <si>
    <t>M&amp;G Global Dividend A Acc GBP in GB</t>
  </si>
  <si>
    <t>GB00B39R2M86</t>
  </si>
  <si>
    <t>M&amp;G Global Dividend A Inc GBP TR in GB</t>
  </si>
  <si>
    <t>M&amp;G Global Dividend I Acc GBP in GB</t>
  </si>
  <si>
    <t>GB00B39R2R32</t>
  </si>
  <si>
    <t>M&amp;G Global Dividend I Inc GBP TR in GB</t>
  </si>
  <si>
    <t>GB00B39R2P18</t>
  </si>
  <si>
    <t>M&amp;G Global Dividend X Inc GBP TR in GB</t>
  </si>
  <si>
    <t>GB00B3FFXV23</t>
  </si>
  <si>
    <t>M&amp;G Global Emerging Markets A Acc GBP in GB</t>
  </si>
  <si>
    <t>GB00B3FFXW30</t>
  </si>
  <si>
    <t>M&amp;G Global Emerging Markets A Inc GBP TR in GB</t>
  </si>
  <si>
    <t>GB00B3FFXX47</t>
  </si>
  <si>
    <t>M&amp;G Global Emerging Markets I Acc GBP in GB</t>
  </si>
  <si>
    <t>GB00B3FFXY53</t>
  </si>
  <si>
    <t>M&amp;G Global Emerging Markets I Inc GBP TR in GB</t>
  </si>
  <si>
    <t>GB00BMP3SC51</t>
  </si>
  <si>
    <t>M&amp;G Global Floating Rate High Yield IH Acc GBP in GB</t>
  </si>
  <si>
    <t>GB00BMP3SD68</t>
  </si>
  <si>
    <t>M&amp;G Global Floating Rate High Yield IH Inc GBP TR in GB</t>
  </si>
  <si>
    <t>GB0031289092</t>
  </si>
  <si>
    <t>M&amp;G Global Government Bond A Acc GBP in GB</t>
  </si>
  <si>
    <t>GB0031288912</t>
  </si>
  <si>
    <t>M&amp;G Global Government Bond A Inc GBP TR in GB</t>
  </si>
  <si>
    <t>GB00B7Q0Q826</t>
  </si>
  <si>
    <t>M&amp;G Global Government Bond I Acc GBP in GB</t>
  </si>
  <si>
    <t>GB00B700F033</t>
  </si>
  <si>
    <t>M&amp;G Global Government Bond I Inc GBP TR in GB</t>
  </si>
  <si>
    <t>GB0031957219</t>
  </si>
  <si>
    <t>M&amp;G Global High Yield Bond A Acc GBP in GB</t>
  </si>
  <si>
    <t>GB0031957102</t>
  </si>
  <si>
    <t>M&amp;G Global High Yield Bond A Inc GBP TR in GB</t>
  </si>
  <si>
    <t>GB00B4Z1M213</t>
  </si>
  <si>
    <t>M&amp;G Global High Yield Bond I Acc GBP in GB</t>
  </si>
  <si>
    <t>GB00B6ZD1B32</t>
  </si>
  <si>
    <t>M&amp;G Global High Yield Bond I Inc GBP TR in GB</t>
  </si>
  <si>
    <t>GB00B7K97Y86</t>
  </si>
  <si>
    <t>M&amp;G Global High Yield Bond R Inc GBP TR in GB</t>
  </si>
  <si>
    <t>GB0031110512</t>
  </si>
  <si>
    <t>M&amp;G Global High Yield Bond X Acc GBP in GB</t>
  </si>
  <si>
    <t>GB0031110405</t>
  </si>
  <si>
    <t>M&amp;G Global High Yield Bond X Inc GBP TR in GB</t>
  </si>
  <si>
    <t>GB00BJRCD571</t>
  </si>
  <si>
    <t>M&amp;G Global High Yield ESG Bond I-H Acc GBP in GB</t>
  </si>
  <si>
    <t>GB00BJRCD688</t>
  </si>
  <si>
    <t>M&amp;G Global High Yield ESG Bond I-H Inc GBP TR in GB</t>
  </si>
  <si>
    <t>GB00BF00R928</t>
  </si>
  <si>
    <t>M&amp;G Global Listed Infrastructure I Acc in GB</t>
  </si>
  <si>
    <t>GB00BF00R811</t>
  </si>
  <si>
    <t>M&amp;G Global Listed Infrastructure I Inc TR in GB</t>
  </si>
  <si>
    <t>GB00BF00R696</t>
  </si>
  <si>
    <t>M&amp;G Global Listed Infrastructure L Acc in GB</t>
  </si>
  <si>
    <t>GB00BF00R704</t>
  </si>
  <si>
    <t>M&amp;G Global Listed Infrastructure L Inc TR in GB</t>
  </si>
  <si>
    <t>GB0031616815</t>
  </si>
  <si>
    <t>M&amp;G Global Macro Bond A Acc GBP in GB</t>
  </si>
  <si>
    <t>GB0031616708</t>
  </si>
  <si>
    <t>M&amp;G Global Macro Bond A Inc GBP TR in GB</t>
  </si>
  <si>
    <t>GB00B78PGS53</t>
  </si>
  <si>
    <t>M&amp;G Global Macro Bond I Acc GBP in GB</t>
  </si>
  <si>
    <t>GB00B78PH601</t>
  </si>
  <si>
    <t>M&amp;G Global Macro Bond I Inc GBP TR in GB</t>
  </si>
  <si>
    <t>GB00BVYJ0Y38</t>
  </si>
  <si>
    <t>M&amp;G Global Macro Bond IH Acc GBP in GB</t>
  </si>
  <si>
    <t>GB0031960254</t>
  </si>
  <si>
    <t>M&amp;G Global Macro Bond X Inc GBP TR in GB</t>
  </si>
  <si>
    <t>GB0030938038</t>
  </si>
  <si>
    <t>GB0030937840</t>
  </si>
  <si>
    <t>GB00B77HHZ62</t>
  </si>
  <si>
    <t>GB00B556Q879</t>
  </si>
  <si>
    <t>GB0031956021</t>
  </si>
  <si>
    <t>GB00B706FQ75</t>
  </si>
  <si>
    <t>M&amp;G Global Strategic Value I Inc GBP TR in GB</t>
  </si>
  <si>
    <t>GB00BYM55C75</t>
  </si>
  <si>
    <t>M&amp;G Global Target Return I Acc GBP in GB</t>
  </si>
  <si>
    <t>GB0030932452</t>
  </si>
  <si>
    <t>M&amp;G Global Themes A Acc GBP in GB</t>
  </si>
  <si>
    <t>GB0030932346</t>
  </si>
  <si>
    <t>M&amp;G Global Themes A Inc GBP TR in GB</t>
  </si>
  <si>
    <t>GB00B4WV2P70</t>
  </si>
  <si>
    <t>M&amp;G Global Themes I Acc GBP in GB</t>
  </si>
  <si>
    <t>GB00B76CZD62</t>
  </si>
  <si>
    <t>M&amp;G Global Themes I Inc GBP TR in GB</t>
  </si>
  <si>
    <t>GB0031952376</t>
  </si>
  <si>
    <t>M&amp;G Global Themes X Acc GBP in GB</t>
  </si>
  <si>
    <t>GB0031952269</t>
  </si>
  <si>
    <t>M&amp;G Global Themes X Inc GBP TR in GB</t>
  </si>
  <si>
    <t>GB0031110959</t>
  </si>
  <si>
    <t>M&amp;G Index Tracker A Acc GBP in GB</t>
  </si>
  <si>
    <t>GB0031110843</t>
  </si>
  <si>
    <t>M&amp;G Index Tracker A Inc GBP TR in GB</t>
  </si>
  <si>
    <t>GB0031111478</t>
  </si>
  <si>
    <t>M&amp;G Index-Linked Bond A Acc GBP in GB</t>
  </si>
  <si>
    <t>GB0031111361</t>
  </si>
  <si>
    <t>M&amp;G Index-Linked Bond A Inc GBP TR in GB</t>
  </si>
  <si>
    <t>GB00B6SYH932</t>
  </si>
  <si>
    <t>M&amp;G Index-Linked Bond I Acc GBP in GB</t>
  </si>
  <si>
    <t>GB00B7875289</t>
  </si>
  <si>
    <t>M&amp;G Index-Linked Bond I Inc GBP TR in GB</t>
  </si>
  <si>
    <t>GB0030938475</t>
  </si>
  <si>
    <t>M&amp;G Japan A Acc GBP in GB</t>
  </si>
  <si>
    <t>GB0030938368</t>
  </si>
  <si>
    <t>M&amp;G Japan A Inc GBP TR in GB</t>
  </si>
  <si>
    <t>GB00B74CQP79</t>
  </si>
  <si>
    <t>M&amp;G Japan I Acc GBP in GB</t>
  </si>
  <si>
    <t>GB00B6Z42S01</t>
  </si>
  <si>
    <t>M&amp;G Japan I Inc GBP TR in GB</t>
  </si>
  <si>
    <t>GB0030939002</t>
  </si>
  <si>
    <t>M&amp;G Japan Smaller Companies A Acc GBP in GB</t>
  </si>
  <si>
    <t>GB0030938707</t>
  </si>
  <si>
    <t>M&amp;G Japan Smaller Companies A Inc GBP TR in GB</t>
  </si>
  <si>
    <t>GB00B7FGLY29</t>
  </si>
  <si>
    <t>M&amp;G Japan Smaller Companies I Acc GBP in GB</t>
  </si>
  <si>
    <t>GB00B62S8P46</t>
  </si>
  <si>
    <t>M&amp;G Japan Smaller Companies I Inc GBP TR in GB</t>
  </si>
  <si>
    <t>GB0031956682</t>
  </si>
  <si>
    <t>M&amp;G Japan Smaller Companies X Acc GBP in GB</t>
  </si>
  <si>
    <t>GB0031960700</t>
  </si>
  <si>
    <t>M&amp;G Managed Growth A Acc GBP in GB</t>
  </si>
  <si>
    <t>GB0031960692</t>
  </si>
  <si>
    <t>M&amp;G Managed Growth A Inc GBP TR in GB</t>
  </si>
  <si>
    <t>GB00B7K52D01</t>
  </si>
  <si>
    <t>M&amp;G Managed Growth I Acc GBP TR in GB</t>
  </si>
  <si>
    <t>GB00B7GTLH32</t>
  </si>
  <si>
    <t>M&amp;G Managed Growth I Inc GBP TR in GB</t>
  </si>
  <si>
    <t>GB0031617003</t>
  </si>
  <si>
    <t>M&amp;G Managed Growth X Inc GBP TR in GB</t>
  </si>
  <si>
    <t>GB0030926843</t>
  </si>
  <si>
    <t>M&amp;G North American Dividend A Acc GBP in GB</t>
  </si>
  <si>
    <t>GB0030926736</t>
  </si>
  <si>
    <t>M&amp;G North American Dividend A Inc GBP TR in GB</t>
  </si>
  <si>
    <t>GB00B7565G26</t>
  </si>
  <si>
    <t>M&amp;G North American Dividend I Acc GBP in GB</t>
  </si>
  <si>
    <t>GB00B7F5Y731</t>
  </si>
  <si>
    <t>M&amp;G North American Dividend I Inc GBP TR in GB</t>
  </si>
  <si>
    <t>GB00BG03XY55</t>
  </si>
  <si>
    <t>M&amp;G North American Dividend PP Acc GBP in GB**</t>
  </si>
  <si>
    <t>GB0031950008</t>
  </si>
  <si>
    <t>M&amp;G North American Dividend X Acc GBP in GB</t>
  </si>
  <si>
    <t>GB0031949661</t>
  </si>
  <si>
    <t>M&amp;G North American Dividend X Inc GBP TR in GB</t>
  </si>
  <si>
    <t>GB00B0BHJC45</t>
  </si>
  <si>
    <t>M&amp;G North American Value A Inc GBP TR in GB</t>
  </si>
  <si>
    <t>GB00B61S4242</t>
  </si>
  <si>
    <t>M&amp;G North American Value I Acc GBP in GB</t>
  </si>
  <si>
    <t>GB00B77CF027</t>
  </si>
  <si>
    <t>M&amp;G North American Value I Inc GBP TR in GB</t>
  </si>
  <si>
    <t>GB00B1H05155</t>
  </si>
  <si>
    <t>M&amp;G Optimal Income A Acc GBP in GB</t>
  </si>
  <si>
    <t>GB00B1H05049</t>
  </si>
  <si>
    <t>M&amp;G Optimal Income A Inc GBP TR in GB</t>
  </si>
  <si>
    <t>GB00B1H05718</t>
  </si>
  <si>
    <t>M&amp;G Optimal Income Inst Acc GBP in GB</t>
  </si>
  <si>
    <t>GB00B1H05601</t>
  </si>
  <si>
    <t>M&amp;G Optimal Income Inst Inc GBP TR in GB</t>
  </si>
  <si>
    <t>GB00B7FM9R94</t>
  </si>
  <si>
    <t>M&amp;G Optimal Income R Acc GBP in GB</t>
  </si>
  <si>
    <t>GB00B76FNM05</t>
  </si>
  <si>
    <t>M&amp;G Optimal Income R Inc GBP TR in GB</t>
  </si>
  <si>
    <t>GB00B1H05379</t>
  </si>
  <si>
    <t>M&amp;G Optimal Income X Inc GBP TR in GB</t>
  </si>
  <si>
    <t>GB0030927817</t>
  </si>
  <si>
    <t>UT Europe Including UK</t>
  </si>
  <si>
    <t>GB0030927700</t>
  </si>
  <si>
    <t>GB00B5ZSNC68</t>
  </si>
  <si>
    <t>GB00B6T93L12</t>
  </si>
  <si>
    <t>GB0030929631</t>
  </si>
  <si>
    <t>M&amp;G Pan European Select Smaller Companies A Acc GBP in GB</t>
  </si>
  <si>
    <t>GB0030929524</t>
  </si>
  <si>
    <t>M&amp;G Pan European Select Smaller Companies A Inc GBP TR in GB</t>
  </si>
  <si>
    <t>GB00B7J8PS69</t>
  </si>
  <si>
    <t>M&amp;G Pan European Select Smaller Companies I Acc GBP in GB</t>
  </si>
  <si>
    <t>GB00B7FHDW79</t>
  </si>
  <si>
    <t>M&amp;G Pan European Select Smaller Companies I Inc GBP TR in GB</t>
  </si>
  <si>
    <t>GB00BG886B02</t>
  </si>
  <si>
    <t>M&amp;G Positive Impact I Acc in GB</t>
  </si>
  <si>
    <t>GB00BG886C19</t>
  </si>
  <si>
    <t>M&amp;G Positive Impact I Inc TR in GB</t>
  </si>
  <si>
    <t>GB00BG886D26</t>
  </si>
  <si>
    <t>M&amp;G Positive Impact L Acc in GB</t>
  </si>
  <si>
    <t>GB00BG886F40</t>
  </si>
  <si>
    <t>M&amp;G Positive Impact L Inc TR in GB</t>
  </si>
  <si>
    <t>GB00BG03Y751</t>
  </si>
  <si>
    <t>M&amp;G Positive Impact PP Acc GBP in GB**</t>
  </si>
  <si>
    <t>GB0031289217</t>
  </si>
  <si>
    <t>M&amp;G Recovery A Acc GBP in GB</t>
  </si>
  <si>
    <t>GB0031289100</t>
  </si>
  <si>
    <t>M&amp;G Recovery A Inc GBP TR in GB</t>
  </si>
  <si>
    <t>GB00B4X1L373</t>
  </si>
  <si>
    <t>M&amp;G Recovery I Acc GBP in GB</t>
  </si>
  <si>
    <t>GB00B4VSCB59</t>
  </si>
  <si>
    <t>M&amp;G Recovery I Inc GBP TR in GB</t>
  </si>
  <si>
    <t>GB0031959702</t>
  </si>
  <si>
    <t>M&amp;G Recovery X Acc GBP in GB</t>
  </si>
  <si>
    <t>GB0031959694</t>
  </si>
  <si>
    <t>M&amp;G Recovery X Inc GBP TR in GB</t>
  </si>
  <si>
    <t>GB0031110397</t>
  </si>
  <si>
    <t>M&amp;G Short Dated Corporate Bond A Inc GBP TR in GB</t>
  </si>
  <si>
    <t>GB00B8JXBQ82</t>
  </si>
  <si>
    <t>M&amp;G Short Dated Corporate Bond I GBP TR in GB</t>
  </si>
  <si>
    <t>GB0031289431</t>
  </si>
  <si>
    <t>M&amp;G Smaller Companies A Acc GBP in GB</t>
  </si>
  <si>
    <t>GB0031289324</t>
  </si>
  <si>
    <t>M&amp;G Smaller Companies A Inc GBP TR in GB</t>
  </si>
  <si>
    <t>GB00B75DFL82</t>
  </si>
  <si>
    <t>M&amp;G Smaller Companies I Acc GBP in GB</t>
  </si>
  <si>
    <t>GB00B7N1NG56</t>
  </si>
  <si>
    <t>M&amp;G Smaller Companies I Inc GBP TR in GB</t>
  </si>
  <si>
    <t>GB0033828137</t>
  </si>
  <si>
    <t>M&amp;G Strategic Corporate Bond A Acc GBP in GB</t>
  </si>
  <si>
    <t>GB0033828020</t>
  </si>
  <si>
    <t>M&amp;G Strategic Corporate Bond A Inc GBP TR in GB</t>
  </si>
  <si>
    <t>GB00B7J4YT87</t>
  </si>
  <si>
    <t>M&amp;G Strategic Corporate Bond I Acc GBP in GB</t>
  </si>
  <si>
    <t>GB00B6VTPZ79</t>
  </si>
  <si>
    <t>M&amp;G Strategic Corporate Bond I Inc GBP TR in GB</t>
  </si>
  <si>
    <t>GB0033828350</t>
  </si>
  <si>
    <t>M&amp;G Strategic Corporate Bond X Acc GBP in GB</t>
  </si>
  <si>
    <t>GB0033828244</t>
  </si>
  <si>
    <t>M&amp;G Strategic Corporate Bond X Inc GBP TR in GB</t>
  </si>
  <si>
    <t>GB0031107468</t>
  </si>
  <si>
    <t>M&amp;G UK Income Distribution A Acc GBP in GB</t>
  </si>
  <si>
    <t>GB0031107021</t>
  </si>
  <si>
    <t>M&amp;G UK Income Distribution A Inc GBP TR in GB</t>
  </si>
  <si>
    <t>GB00B7C4NQ54</t>
  </si>
  <si>
    <t>M&amp;G UK Income Distribution Sterling I Acc in GB</t>
  </si>
  <si>
    <t>GB00B70D5799</t>
  </si>
  <si>
    <t>M&amp;G UK Income Distribution Sterling I Inc TR in GB</t>
  </si>
  <si>
    <t>GB0031957094</t>
  </si>
  <si>
    <t>M&amp;G UK Income Distribution X Acc GBP in GB</t>
  </si>
  <si>
    <t>GB00B44VX079</t>
  </si>
  <si>
    <t>M&amp;G UK Inflation Linked Corporate Bond A Acc in GB</t>
  </si>
  <si>
    <t>GB00B3WZMB82</t>
  </si>
  <si>
    <t>M&amp;G UK Inflation Linked Corporate Bond A Inc TR in GB</t>
  </si>
  <si>
    <t>GB00B460GC50</t>
  </si>
  <si>
    <t>M&amp;G UK Inflation Linked Corporate Bond I Acc in GB</t>
  </si>
  <si>
    <t>GB00B44JC482</t>
  </si>
  <si>
    <t>M&amp;G UK Inflation Linked Corporate Bond I Inc TR in GB</t>
  </si>
  <si>
    <t>GB0031111817</t>
  </si>
  <si>
    <t>M&amp;G UK Select A Acc GBP in GB</t>
  </si>
  <si>
    <t>GB0031111700</t>
  </si>
  <si>
    <t>M&amp;G UK Select A Inc GBP TR in GB</t>
  </si>
  <si>
    <t>GB00B6677B69</t>
  </si>
  <si>
    <t>M&amp;G UK Select I Acc GBP in GB</t>
  </si>
  <si>
    <t>GB00B3R2HL98</t>
  </si>
  <si>
    <t>M&amp;G UK Select I Inc GBP TR in GB</t>
  </si>
  <si>
    <t>GB00B62XW350</t>
  </si>
  <si>
    <t>M&amp;G UK Select R Acc GBP in GB</t>
  </si>
  <si>
    <t>GB0031957987</t>
  </si>
  <si>
    <t>M&amp;G UK Select X Acc GBP in GB</t>
  </si>
  <si>
    <t>GB00B1VNF546</t>
  </si>
  <si>
    <t>Man Balanced Managed A Ret Acc in GB</t>
  </si>
  <si>
    <t>GB00B87M3166</t>
  </si>
  <si>
    <t>Man Balanced Managed C Professional in GB</t>
  </si>
  <si>
    <t>GB00B0119370</t>
  </si>
  <si>
    <t>Man GLG Continental European Growth A in GB</t>
  </si>
  <si>
    <t>GB00B0119487</t>
  </si>
  <si>
    <t>Man GLG Continental European Growth C Professional in GB</t>
  </si>
  <si>
    <t>GB00BYNRH370</t>
  </si>
  <si>
    <t>Man GLG Continental European Growth CH Hedged Professional in GB</t>
  </si>
  <si>
    <t>GB00BD9G3L18</t>
  </si>
  <si>
    <t>Man GLG European Alpha Income CH Professional Hedged in GB</t>
  </si>
  <si>
    <t>GB00BD9G3M25</t>
  </si>
  <si>
    <t>Man GLG European Alpha Income D Professional TR in GB</t>
  </si>
  <si>
    <t>GB00BJK3W271</t>
  </si>
  <si>
    <t>Man GLG High Yield Opportunities Professional D TR in GB</t>
  </si>
  <si>
    <t>GB00B0117994</t>
  </si>
  <si>
    <t>Man GLG Income A Ret Acc in GB</t>
  </si>
  <si>
    <t>GB00B0117B11</t>
  </si>
  <si>
    <t>Man GLG Income B Ret Inc TR in GB</t>
  </si>
  <si>
    <t>Man GLG Income C Professional Acc in GB</t>
  </si>
  <si>
    <t>GB00B0117D35</t>
  </si>
  <si>
    <t>Man GLG Income D Professional Inc TR in GB**</t>
  </si>
  <si>
    <t>GB00B0119933</t>
  </si>
  <si>
    <t>Man GLG Japan Core Alpha A Ret Acc in GB</t>
  </si>
  <si>
    <t>GB00B3F46Y30</t>
  </si>
  <si>
    <t>Man GLG Japan Core Alpha B Ret Inc TR in GB</t>
  </si>
  <si>
    <t>GB00B0119B50</t>
  </si>
  <si>
    <t>Man GLG Japan Core Alpha C Professional Acc in GB</t>
  </si>
  <si>
    <t>GB00B3F47512</t>
  </si>
  <si>
    <t>Man GLG Japan Core Alpha D Professional Inc TR in GB**</t>
  </si>
  <si>
    <t>GB00B6Y0WT01</t>
  </si>
  <si>
    <t>Man GLG Strategic Bond A Ret Acc TR in GB</t>
  </si>
  <si>
    <t>GB00B731HR48</t>
  </si>
  <si>
    <t>Man GLG Strategic Bond B Ret Inc TR in GB</t>
  </si>
  <si>
    <t>GB00B581V620</t>
  </si>
  <si>
    <t>Man GLG Strategic Bond C Professional Acc TR in GB</t>
  </si>
  <si>
    <t>GB00B6Y0Z240</t>
  </si>
  <si>
    <t>Man GLG Strategic Bond D Professional Inc TR in GB</t>
  </si>
  <si>
    <t>GB00BFH3NC99</t>
  </si>
  <si>
    <t>Man GLG Undervalued Assets Professional C Acc in GB</t>
  </si>
  <si>
    <t>GB00BFH3NB82</t>
  </si>
  <si>
    <t>Man GLG Undervalued Assets Professional D Inc TR in GB</t>
  </si>
  <si>
    <t>GB00B1VNF652</t>
  </si>
  <si>
    <t>Man Stockmarket Managed A Ret Acc in GB</t>
  </si>
  <si>
    <t>GB00B7X6MB80</t>
  </si>
  <si>
    <t>Man Stockmarket Managed C Professional in GB</t>
  </si>
  <si>
    <t>GB0007021685</t>
  </si>
  <si>
    <t>Margetts International Strategy Acc in GB</t>
  </si>
  <si>
    <t>2.06</t>
  </si>
  <si>
    <t>GB00B8FN1Z15</t>
  </si>
  <si>
    <t>Margetts International Strategy R Acc in GB</t>
  </si>
  <si>
    <t>GB0032469974</t>
  </si>
  <si>
    <t>Margetts Opes Growth Acc in GB</t>
  </si>
  <si>
    <t>GB00B4XW1411</t>
  </si>
  <si>
    <t>Margetts Opes Growth R Acc in GB</t>
  </si>
  <si>
    <t>GB0032469867</t>
  </si>
  <si>
    <t>Margetts Opes Income Acc in GB</t>
  </si>
  <si>
    <t>GB0032469750</t>
  </si>
  <si>
    <t>Margetts Opes Income Inc TR in GB</t>
  </si>
  <si>
    <t>GB00B8K7MQ61</t>
  </si>
  <si>
    <t>Margetts Opes Income R Acc in GB</t>
  </si>
  <si>
    <t>GB00B83VP222</t>
  </si>
  <si>
    <t>Margetts Opes Income R Inc TR in GB</t>
  </si>
  <si>
    <t>GB0007938490</t>
  </si>
  <si>
    <t>Margetts Providence Strategy Acc in GB</t>
  </si>
  <si>
    <t>2.03</t>
  </si>
  <si>
    <t>GB0007938276</t>
  </si>
  <si>
    <t>Margetts Providence Strategy Inc TR in GB</t>
  </si>
  <si>
    <t>GB00B4VR6328</t>
  </si>
  <si>
    <t>Margetts Providence Strategy R Acc in GB</t>
  </si>
  <si>
    <t>GB00B7TRY424</t>
  </si>
  <si>
    <t>Margetts Providence Strategy R Inc TR in GB</t>
  </si>
  <si>
    <t>GB00BJ7JPB83</t>
  </si>
  <si>
    <t>Margetts Providence Strategy S Acc in GB</t>
  </si>
  <si>
    <t>GB0006584097</t>
  </si>
  <si>
    <t>Margetts Select Strategy Acc in GB</t>
  </si>
  <si>
    <t>GB00B8K0B575</t>
  </si>
  <si>
    <t>Margetts Select Strategy R Acc in GB</t>
  </si>
  <si>
    <t>GB00B7HJSF95</t>
  </si>
  <si>
    <t>GB0007938383</t>
  </si>
  <si>
    <t>Margetts Venture Strategy Acc in GB</t>
  </si>
  <si>
    <t>GB00B6VBDR16</t>
  </si>
  <si>
    <t>Margetts Venture Strategy R Acc in GB</t>
  </si>
  <si>
    <t>GB0007148629</t>
  </si>
  <si>
    <t>GB00B4LXDY07</t>
  </si>
  <si>
    <t>GB0004326707</t>
  </si>
  <si>
    <t>GB00B8P58897</t>
  </si>
  <si>
    <t>GB0002257847</t>
  </si>
  <si>
    <t>2.23</t>
  </si>
  <si>
    <t>GB0008542184</t>
  </si>
  <si>
    <t>GB00B83GXN44</t>
  </si>
  <si>
    <t>GB00B8T2QP98</t>
  </si>
  <si>
    <t>GB0034247048</t>
  </si>
  <si>
    <t>GB00B7FFMQ86</t>
  </si>
  <si>
    <t>GB0001719730</t>
  </si>
  <si>
    <t>GB00B90VHJ34</t>
  </si>
  <si>
    <t>GB0005662894</t>
  </si>
  <si>
    <t>GB00B8DGH325</t>
  </si>
  <si>
    <t>GB00B0NVCN62</t>
  </si>
  <si>
    <t>GB00B0NVC693</t>
  </si>
  <si>
    <t>GB00B8N9CJ23</t>
  </si>
  <si>
    <t>GB00B3Q6QH18</t>
  </si>
  <si>
    <t>GB0008626979</t>
  </si>
  <si>
    <t>GB0031544876</t>
  </si>
  <si>
    <t>GB0003474730</t>
  </si>
  <si>
    <t>GB00B6ZDFJ91</t>
  </si>
  <si>
    <t>GB00B8H7D001</t>
  </si>
  <si>
    <t>GB00B84KX912</t>
  </si>
  <si>
    <t>GB00B03TN153</t>
  </si>
  <si>
    <t>GB00B8L7D393</t>
  </si>
  <si>
    <t>GB00B5L8VH15</t>
  </si>
  <si>
    <t>GB00B42TBF45</t>
  </si>
  <si>
    <t>GB00B907VX32</t>
  </si>
  <si>
    <t>GB00B908BY75</t>
  </si>
  <si>
    <t>GB0005662787</t>
  </si>
  <si>
    <t>GB00B8CQP956</t>
  </si>
  <si>
    <t>GB00BF2ZV048</t>
  </si>
  <si>
    <t>GB00B659XQ05</t>
  </si>
  <si>
    <t>GB00B907GH23</t>
  </si>
  <si>
    <t>GB00B02TPH60</t>
  </si>
  <si>
    <t>GB00B8F8YX59</t>
  </si>
  <si>
    <t>GB0001722882</t>
  </si>
  <si>
    <t>GB00B906QV32</t>
  </si>
  <si>
    <t>GB00B7RRJ163</t>
  </si>
  <si>
    <t>McInroy &amp; Wood Balanced Personal TR in GB</t>
  </si>
  <si>
    <t>10/10/2019</t>
  </si>
  <si>
    <t>GB00B7SKS407</t>
  </si>
  <si>
    <t>McInroy &amp; Wood Emerging Markets Personal TR in GB</t>
  </si>
  <si>
    <t>GB00B8KQRW41</t>
  </si>
  <si>
    <t>McInroy &amp; Wood Income Personal TR in GB</t>
  </si>
  <si>
    <t>GB00B8NC4D98</t>
  </si>
  <si>
    <t>McInroy &amp; Wood Smaller Companies Personal TR in GB</t>
  </si>
  <si>
    <t>GB00B1XG9045</t>
  </si>
  <si>
    <t>Merian UK Equity Income I Acc GBP in GB</t>
  </si>
  <si>
    <t>GB00B1XG9151</t>
  </si>
  <si>
    <t>Merian UK Equity Income I Inc GBP TR in GB</t>
  </si>
  <si>
    <t>GB00B1XG7551</t>
  </si>
  <si>
    <t>Merian UK Equity Income L Acc GBP in GB</t>
  </si>
  <si>
    <t>GB0009606988</t>
  </si>
  <si>
    <t>GB0009607069</t>
  </si>
  <si>
    <t>GB00B905T773</t>
  </si>
  <si>
    <t>GB00B8HGN522</t>
  </si>
  <si>
    <t>GB00BYXGFX03</t>
  </si>
  <si>
    <t>MGTS AFH DA Asia ex Japan Equity R in GB</t>
  </si>
  <si>
    <t>GB00BYXG9P08</t>
  </si>
  <si>
    <t>MGTS AFH DA European Equity R in GB</t>
  </si>
  <si>
    <t>GB00BYXG9R22</t>
  </si>
  <si>
    <t>MGTS AFH DA Global Emerging Markets Equity R in GB</t>
  </si>
  <si>
    <t>GB00BYXG9T46</t>
  </si>
  <si>
    <t>MGTS AFH DA North American Equity R in GB</t>
  </si>
  <si>
    <t>GB00BFMYTC97</t>
  </si>
  <si>
    <t>MGTS AFH DA UK Alpha R in GB</t>
  </si>
  <si>
    <t>GB00BKX8BB88</t>
  </si>
  <si>
    <t>MGTS AFH DA UK Equity R Acc in GB</t>
  </si>
  <si>
    <t>GB00BYXG9W74</t>
  </si>
  <si>
    <t>MGTS AFH DA UK Multi-Cap Growth R in GB</t>
  </si>
  <si>
    <t>GB00BYXG9Y98</t>
  </si>
  <si>
    <t>MGTS AFH DA UK Smaller Companies R in GB</t>
  </si>
  <si>
    <t>GB00B5MGGT18</t>
  </si>
  <si>
    <t>MGTS AFH Tactical Core Acc in GB</t>
  </si>
  <si>
    <t>GB00B5M92V43</t>
  </si>
  <si>
    <t>MGTS AFH Tactical Core Inc TR in GB</t>
  </si>
  <si>
    <t>GB00B8KTVT88</t>
  </si>
  <si>
    <t>MGTS AFH Tactical Core R Acc in GB</t>
  </si>
  <si>
    <t>GB00B8K9HG76</t>
  </si>
  <si>
    <t>MGTS AFH Tactical Core R Inc TR in GB</t>
  </si>
  <si>
    <t>GB00BMT7VM45</t>
  </si>
  <si>
    <t>MGTS Clarion Explorer Portfolio P Acc in GB**</t>
  </si>
  <si>
    <t>GB00BMT7VL38</t>
  </si>
  <si>
    <t>MGTS Clarion Explorer Portfolio P Inc TR in GB**</t>
  </si>
  <si>
    <t>GB00B3D61351</t>
  </si>
  <si>
    <t>MGTS Clarion Explorer Portfolio R Acc in GB</t>
  </si>
  <si>
    <t>GB00B3D61245</t>
  </si>
  <si>
    <t>MGTS Clarion Explorer Portfolio R Inc TR in GB</t>
  </si>
  <si>
    <t>GB00BMT7VK21</t>
  </si>
  <si>
    <t>MGTS Clarion Meridian Portfolio P Acc in GB**</t>
  </si>
  <si>
    <t>GB00BMT7VJ16</t>
  </si>
  <si>
    <t>MGTS Clarion Meridian Portfolio P Inc TR in GB**</t>
  </si>
  <si>
    <t>GB00B2QKC562</t>
  </si>
  <si>
    <t>MGTS Clarion Meridian Portfolio R Acc in GB</t>
  </si>
  <si>
    <t>GB00B2QKC455</t>
  </si>
  <si>
    <t>MGTS Clarion Meridian Portfolio R Inc TR in GB</t>
  </si>
  <si>
    <t>GB00BMT82F76</t>
  </si>
  <si>
    <t>MGTS Clarion Navigator Portfolio P Acc in GB</t>
  </si>
  <si>
    <t>GB00BMT82D52</t>
  </si>
  <si>
    <t>MGTS Clarion Navigator Portfolio P Inc TR in GB</t>
  </si>
  <si>
    <t>GB00BMT82H90</t>
  </si>
  <si>
    <t>MGTS Clarion Prudence Portfolio P Acc in GB**</t>
  </si>
  <si>
    <t>GB00BMT82G83</t>
  </si>
  <si>
    <t>MGTS Clarion Prudence Portfolio P Inc TR in GB**</t>
  </si>
  <si>
    <t>GB00B2QKC349</t>
  </si>
  <si>
    <t>MGTS Clarion Prudence Portfolio R Acc in GB</t>
  </si>
  <si>
    <t>GB00B2QKC232</t>
  </si>
  <si>
    <t>MGTS Clarion Prudence Portfolio R Inc TR in GB</t>
  </si>
  <si>
    <t>GB00B3D1MQ06</t>
  </si>
  <si>
    <t>MGTS Future Money Dynamic Growth Acc in GB</t>
  </si>
  <si>
    <t>2.15</t>
  </si>
  <si>
    <t>23/03/2021</t>
  </si>
  <si>
    <t>GB00B8FFPK05</t>
  </si>
  <si>
    <t>MGTS Future Money Dynamic Growth R Acc in GB</t>
  </si>
  <si>
    <t>GB00BBL4SX65</t>
  </si>
  <si>
    <t>MGTS Future Money Dynamic Growth R Inc TR in GB</t>
  </si>
  <si>
    <t>GB00B3D1MS20</t>
  </si>
  <si>
    <t>MGTS Future Money Income Acc in GB</t>
  </si>
  <si>
    <t>GB00B3D1MR13</t>
  </si>
  <si>
    <t>MGTS Future Money Income Inc TR in GB</t>
  </si>
  <si>
    <t>GB00B8KBJC34</t>
  </si>
  <si>
    <t>MGTS Future Money Income R Acc in GB</t>
  </si>
  <si>
    <t>GB00B5MFQ093</t>
  </si>
  <si>
    <t>MGTS Future Money Income R Inc TR in GB</t>
  </si>
  <si>
    <t>GB00B3D1MP98</t>
  </si>
  <si>
    <t>MGTS Future Money Real Growth Acc in GB</t>
  </si>
  <si>
    <t>GB00B7WPBV97</t>
  </si>
  <si>
    <t>MGTS Future Money Real Growth R Acc in GB</t>
  </si>
  <si>
    <t>GB00BBL4SY72</t>
  </si>
  <si>
    <t>MGTS Future Money Real Growth R Inc TR in GB</t>
  </si>
  <si>
    <t>GB00B3D1MN74</t>
  </si>
  <si>
    <t>MGTS Future Money Real Value Acc in GB</t>
  </si>
  <si>
    <t>GB00B89JN484</t>
  </si>
  <si>
    <t>MGTS Future Money Real Value R Acc in GB</t>
  </si>
  <si>
    <t>GB00BBL4SZ89</t>
  </si>
  <si>
    <t>MGTS Future Money Real Value R Inc TR in GB</t>
  </si>
  <si>
    <t>GB00BD8R5D15</t>
  </si>
  <si>
    <t>MGTS IBOSS 1 R Acc GBP in GB</t>
  </si>
  <si>
    <t>GB00BD8R5F39</t>
  </si>
  <si>
    <t>MGTS IBOSS 1 R Inc GBP TR in GB</t>
  </si>
  <si>
    <t>GB00BD8R5G46</t>
  </si>
  <si>
    <t>MGTS IBOSS 2 R Acc GBP in GB</t>
  </si>
  <si>
    <t>GB00BD8R5H52</t>
  </si>
  <si>
    <t>MGTS IBOSS 2 R Inc GBP TR in GB</t>
  </si>
  <si>
    <t>GB00BD8R5J76</t>
  </si>
  <si>
    <t>MGTS IBOSS 4 R Acc GBP in GB</t>
  </si>
  <si>
    <t>GB00BD8R5K81</t>
  </si>
  <si>
    <t>MGTS IBOSS 6 R Acc GBP in GB</t>
  </si>
  <si>
    <t>GB00BJFDXM99</t>
  </si>
  <si>
    <t>MGTS St Johns Property Authorised Trust Acc in GB</t>
  </si>
  <si>
    <t>GB00BJFDXN07</t>
  </si>
  <si>
    <t>MGTS St Johns Property Authorised Trust Inc TR in GB</t>
  </si>
  <si>
    <t>GB00BLF9RQ38</t>
  </si>
  <si>
    <t>MI Brewin Dolphin Voyager Max 40% Equity A Acc in GB</t>
  </si>
  <si>
    <t>GB00BLF9TN47</t>
  </si>
  <si>
    <t>MI Brewin Dolphin Voyager Max 40% Equity A Inc TR in GB</t>
  </si>
  <si>
    <t>GB00BLF9TP60</t>
  </si>
  <si>
    <t>MI Brewin Dolphin Voyager Max 40% Equity B Acc in GB</t>
  </si>
  <si>
    <t>GB00BLF9TQ77</t>
  </si>
  <si>
    <t>MI Brewin Dolphin Voyager Max 40% Equity B Inc TR in GB</t>
  </si>
  <si>
    <t>GB00BLF9TW38</t>
  </si>
  <si>
    <t>MI Brewin Dolphin Voyager Max 60% Equity A Acc in GB</t>
  </si>
  <si>
    <t>GB00BLF9TX45</t>
  </si>
  <si>
    <t>MI Brewin Dolphin Voyager Max 60% Equity A Inc TR in GB</t>
  </si>
  <si>
    <t>GB00BLF9TY51</t>
  </si>
  <si>
    <t>MI Brewin Dolphin Voyager Max 60% Equity B Acc in GB</t>
  </si>
  <si>
    <t>GB00BLF9TZ68</t>
  </si>
  <si>
    <t>MI Brewin Dolphin Voyager Max 60% Equity B Inc TR in GB</t>
  </si>
  <si>
    <t>GB00BLF9V059</t>
  </si>
  <si>
    <t>MI Brewin Dolphin Voyager Max 70% Equity A Acc in GB</t>
  </si>
  <si>
    <t>GB00BLF9V166</t>
  </si>
  <si>
    <t>MI Brewin Dolphin Voyager Max 70% Equity A Inc TR in GB</t>
  </si>
  <si>
    <t>GB00BLF9V273</t>
  </si>
  <si>
    <t>MI Brewin Dolphin Voyager Max 70% Equity B Acc in GB</t>
  </si>
  <si>
    <t>GB00BLF9V380</t>
  </si>
  <si>
    <t>MI Brewin Dolphin Voyager Max 70% Equity B Inc TR in GB</t>
  </si>
  <si>
    <t>GB00BLF9V497</t>
  </si>
  <si>
    <t>MI Brewin Dolphin Voyager Max 80% Equity A Acc in GB</t>
  </si>
  <si>
    <t>GB00BLF9V505</t>
  </si>
  <si>
    <t>MI Brewin Dolphin Voyager Max 80% Equity A Inc TR in GB</t>
  </si>
  <si>
    <t>GB00BLF9V612</t>
  </si>
  <si>
    <t>MI Brewin Dolphin Voyager Max 80% Equity B Acc in GB</t>
  </si>
  <si>
    <t>GB00BLF9V729</t>
  </si>
  <si>
    <t>MI Brewin Dolphin Voyager Max 80% Equity B Inc TR in GB</t>
  </si>
  <si>
    <t>GB00BLF9V836</t>
  </si>
  <si>
    <t>MI Brewin Dolphin Voyager Max 90% Equity A Acc in GB</t>
  </si>
  <si>
    <t>GB00BLF9V943</t>
  </si>
  <si>
    <t>GB00BLF9VB62</t>
  </si>
  <si>
    <t>MI Brewin Dolphin Voyager Max 90% Equity B Acc in GB</t>
  </si>
  <si>
    <t>GB00BLF9VC79</t>
  </si>
  <si>
    <t>MI Brewin Dolphin Voyager Max 90% Equity B Inc TR in GB</t>
  </si>
  <si>
    <t>GB00B09DHH53</t>
  </si>
  <si>
    <t>MI Charles Stanley Equity A Acc in GB</t>
  </si>
  <si>
    <t>GB00B09CC449</t>
  </si>
  <si>
    <t>MI Charles Stanley Equity A Inc TR in GB</t>
  </si>
  <si>
    <t>GB00B93NZH07</t>
  </si>
  <si>
    <t>MI Charles Stanley Equity B Acc in GB**</t>
  </si>
  <si>
    <t>GB00B93Q5805</t>
  </si>
  <si>
    <t>MI Charles Stanley Equity B Inc TR in GB</t>
  </si>
  <si>
    <t>GB00B09CC332</t>
  </si>
  <si>
    <t>MI Charles Stanley Monthly High Income A Acc in GB</t>
  </si>
  <si>
    <t>GB00B09CC118</t>
  </si>
  <si>
    <t>MI Charles Stanley Monthly High Income A Inc TR in GB</t>
  </si>
  <si>
    <t>GB00B92V3044</t>
  </si>
  <si>
    <t>MI Charles Stanley Monthly High Income C Acc in GB</t>
  </si>
  <si>
    <t>GB00B92V3267</t>
  </si>
  <si>
    <t>MI Charles Stanley Monthly High Income C Inc TR in GB</t>
  </si>
  <si>
    <t>GB00BD89MM52</t>
  </si>
  <si>
    <t>MI Charles Stanley Multi Asset Adventurous A Acc in GB</t>
  </si>
  <si>
    <t>GB00BD89ML46</t>
  </si>
  <si>
    <t>MI Charles Stanley Multi Asset Adventurous A Inc TR in GB</t>
  </si>
  <si>
    <t>GB00BD89MF85</t>
  </si>
  <si>
    <t>MI Charles Stanley Multi Asset Cautious A Acc in GB</t>
  </si>
  <si>
    <t>GB00BD89MD61</t>
  </si>
  <si>
    <t>MI Charles Stanley Multi Asset Cautious A Inc TR in GB</t>
  </si>
  <si>
    <t>GB00BD89MK39</t>
  </si>
  <si>
    <t>MI Charles Stanley Multi Asset Growth A Acc in GB</t>
  </si>
  <si>
    <t>GB00BD89MJ24</t>
  </si>
  <si>
    <t>MI Charles Stanley Multi Asset Growth A Inc TR in GB</t>
  </si>
  <si>
    <t>GB00B61FYV40</t>
  </si>
  <si>
    <t>MI Charles Stanley Multi Asset Growth B Acc in GB</t>
  </si>
  <si>
    <t>GB00BD89MH00</t>
  </si>
  <si>
    <t>MI Charles Stanley Multi Asset Moderate A Acc in GB</t>
  </si>
  <si>
    <t>GB00BD89MG92</t>
  </si>
  <si>
    <t>MI Charles Stanley Multi Asset Moderate A Inc TR in GB</t>
  </si>
  <si>
    <t>GB00B3F2K236</t>
  </si>
  <si>
    <t>MI Charles Stanley UK &amp; International Growth A Acc in GB</t>
  </si>
  <si>
    <t>GB00BFNL2P39</t>
  </si>
  <si>
    <t>MI Chelverton European Select B Acc in GB</t>
  </si>
  <si>
    <t>GB00BFNL2N15</t>
  </si>
  <si>
    <t>MI Chelverton European Select B Inc TR in GB</t>
  </si>
  <si>
    <t>GB00BP855B75</t>
  </si>
  <si>
    <t>MI Chelverton UK Equity Growth B Acc in GB</t>
  </si>
  <si>
    <t>GB00BP855954</t>
  </si>
  <si>
    <t>MI Chelverton UK Equity Growth B Inc TR in GB</t>
  </si>
  <si>
    <t>GB00B1Y9J463</t>
  </si>
  <si>
    <t>MI Chelverton UK Equity Income A Acc in GB</t>
  </si>
  <si>
    <t>GB00B1FD6244</t>
  </si>
  <si>
    <t>MI Chelverton UK Equity Income A Inc TR in GB</t>
  </si>
  <si>
    <t>GB00B1Y9J570</t>
  </si>
  <si>
    <t>MI Chelverton UK Equity Income B Acc TR in GB**</t>
  </si>
  <si>
    <t>GB00B1FD6467</t>
  </si>
  <si>
    <t>MI Chelverton UK Equity Income B Inc TR in GB</t>
  </si>
  <si>
    <t>GB00B7L5TW76</t>
  </si>
  <si>
    <t>MI Hawksmoor Distribution B Acc GBP in GB</t>
  </si>
  <si>
    <t>GB00B7CPT937</t>
  </si>
  <si>
    <t>MI Hawksmoor Distribution B Inc GBP TR in GB</t>
  </si>
  <si>
    <t>GB00BJ4GVL48</t>
  </si>
  <si>
    <t>MI Hawksmoor Distribution C Acc in GB</t>
  </si>
  <si>
    <t>GB00BJ4GVM54</t>
  </si>
  <si>
    <t>MI Hawksmoor Distribution C Inc TR in GB</t>
  </si>
  <si>
    <t>GB00BG382281</t>
  </si>
  <si>
    <t>MI Hawksmoor Global Opportunities C Acc GBP in GB</t>
  </si>
  <si>
    <t>GB00B55SLB18</t>
  </si>
  <si>
    <t>MI Hawksmoor Vanbrugh A Inc GBP TR in GB</t>
  </si>
  <si>
    <t>GB00B55LY991</t>
  </si>
  <si>
    <t>MI Hawksmoor Vanbrugh B Acc GBP TR in GB</t>
  </si>
  <si>
    <t>GB00B62HV744</t>
  </si>
  <si>
    <t>MI Hawksmoor Vanbrugh B Inc GBP TR in GB</t>
  </si>
  <si>
    <t>GB00BJ4GVQ92</t>
  </si>
  <si>
    <t>MI Hawksmoor Vanbrugh C Acc TR in GB</t>
  </si>
  <si>
    <t>GB00BJ4GVR00</t>
  </si>
  <si>
    <t>MI Hawksmoor Vanbrugh C Inc TR in GB</t>
  </si>
  <si>
    <t>GB00B40M9847</t>
  </si>
  <si>
    <t>GB00B7W1TW44</t>
  </si>
  <si>
    <t>GB00B7GSHR29</t>
  </si>
  <si>
    <t>GB00BF09MZ03</t>
  </si>
  <si>
    <t>MI Select Managers Bond Institutional Inc TR in GB</t>
  </si>
  <si>
    <t>13/01/2021</t>
  </si>
  <si>
    <t>GB00BYWVFF80</t>
  </si>
  <si>
    <t>MI Select Managers North American Equity Institutional Inc TR in GB</t>
  </si>
  <si>
    <t>GB00BYWVFC59</t>
  </si>
  <si>
    <t>MI Select Managers UK Equity Income Institutional Inc TR in GB</t>
  </si>
  <si>
    <t>GB00BYWVF815</t>
  </si>
  <si>
    <t>MI Select Managers UK Equity Institutional Acc in GB</t>
  </si>
  <si>
    <t>GB00BYWVF922</t>
  </si>
  <si>
    <t>MI Select Managers UK Equity Institutional Inc TR in GB</t>
  </si>
  <si>
    <t>GB00BK5SP702</t>
  </si>
  <si>
    <t>MI Somerset Emerging Markets Discovery A Acc GBP in GB</t>
  </si>
  <si>
    <t>09/06/2020</t>
  </si>
  <si>
    <t>GB00B4Q07115</t>
  </si>
  <si>
    <t>MI Somerset Emerging Markets Dividend Growth A Acc GBP in GB</t>
  </si>
  <si>
    <t>04/06/2020</t>
  </si>
  <si>
    <t>GB00B4QKMK51</t>
  </si>
  <si>
    <t>MI Somerset Emerging Markets Dividend Growth A Inc GBP TR in GB</t>
  </si>
  <si>
    <t>GB00B3KL3W60</t>
  </si>
  <si>
    <t>MI Somerset Global Emerging Markets B Acc GBP in GB</t>
  </si>
  <si>
    <t>GB00B4XX5197</t>
  </si>
  <si>
    <t>MI Somerset Global Emerging Markets B Inc GBP TR in GB**</t>
  </si>
  <si>
    <t>GB00BDGNFM03</t>
  </si>
  <si>
    <t>MI Somerset Global Emerging Markets Screened A Acc GBP in GB</t>
  </si>
  <si>
    <t>2.38</t>
  </si>
  <si>
    <t>GB00B5TP8W88</t>
  </si>
  <si>
    <t>MI Thornbridge Global Opportunities C Acc in GB</t>
  </si>
  <si>
    <t>GB00B5SZCM77</t>
  </si>
  <si>
    <t>MI Thornbridge Global Opportunities C Inc TR in GB</t>
  </si>
  <si>
    <t>GB00BF2B0R27</t>
  </si>
  <si>
    <t>Morgan Stanley Global Brands Equity Income F Inc GBP TR in GB**</t>
  </si>
  <si>
    <t>GB00BZ4CG420</t>
  </si>
  <si>
    <t>Morgan Stanley Global Brands Equity Income I Acc GBP in GB</t>
  </si>
  <si>
    <t>GB00BZ4CG537</t>
  </si>
  <si>
    <t>Morgan Stanley Global Brands Equity Income I Inc GBP TR in GB</t>
  </si>
  <si>
    <t>GB00BJNQ8J24</t>
  </si>
  <si>
    <t>Morgan Stanley Global Brands I (Portfolio Hedged) Acc in GB</t>
  </si>
  <si>
    <t>GB00BJNQ8K39</t>
  </si>
  <si>
    <t>Morgan Stanley Global Brands I (Portfolio Hedged) Inc TR in GB</t>
  </si>
  <si>
    <t>GB0032482498</t>
  </si>
  <si>
    <t>Morgan Stanley Global Brands Inst Acc in GB</t>
  </si>
  <si>
    <t>GB00B45K0579</t>
  </si>
  <si>
    <t>Morgan Stanley Global Brands Inst Inc TR in GB**</t>
  </si>
  <si>
    <t>GB00BK0WFT91</t>
  </si>
  <si>
    <t>Morgan Stanley Global Sustain F (Portfolio Hedged) Acc in GB</t>
  </si>
  <si>
    <t>GB00BJNQ0W90</t>
  </si>
  <si>
    <t>Morgan Stanley Global Sustain F Acc in GB</t>
  </si>
  <si>
    <t>GB00BJNQ0X08</t>
  </si>
  <si>
    <t>Morgan Stanley Global Sustain F Inc TR in GB</t>
  </si>
  <si>
    <t>GB00BK0WFV14</t>
  </si>
  <si>
    <t>Morgan Stanley Global Sustain I (Portfolio Hedged) Acc in GB</t>
  </si>
  <si>
    <t>GB00BJNQ0V83</t>
  </si>
  <si>
    <t>Morgan Stanley Global Sustain I Acc in GB</t>
  </si>
  <si>
    <t>GB0004757497</t>
  </si>
  <si>
    <t>Morgan Stanley Sterling Corporate Bond I Acc in GB</t>
  </si>
  <si>
    <t>GB0032487331</t>
  </si>
  <si>
    <t>Morgan Stanley Sterling Corporate Bond I Inc TR in GB</t>
  </si>
  <si>
    <t>GB00BK0WFW21</t>
  </si>
  <si>
    <t>Morgan Stanley US Advantage F (Portfolio Hedged) Acc in GB**</t>
  </si>
  <si>
    <t>GB00BYYDFT68</t>
  </si>
  <si>
    <t>Morgan Stanley US Advantage F Acc GBP in GB</t>
  </si>
  <si>
    <t>GB00BK0WFX38</t>
  </si>
  <si>
    <t>Morgan Stanley US Advantage I (Portfolio Hedged) Acc in GB</t>
  </si>
  <si>
    <t>GB00BZ4CG750</t>
  </si>
  <si>
    <t>Morgan Stanley US Advantage I Acc GBP in GB</t>
  </si>
  <si>
    <t>GB00BFNXSF12</t>
  </si>
  <si>
    <t>Natixis H2O MultiReturns I/AG Gr Inc TR in GB</t>
  </si>
  <si>
    <t>GB00BFNXSG29</t>
  </si>
  <si>
    <t>Natixis H2O MultiReturns I/DG Gr Inc TR in GB</t>
  </si>
  <si>
    <t>GB00BFNXSH36</t>
  </si>
  <si>
    <t>Natixis H2O MultiReturns N/AG Gr Inc TR in GB</t>
  </si>
  <si>
    <t>GB00BFNXSJ59</t>
  </si>
  <si>
    <t>Natixis H2O MultiReturns N/DG Gr Inc TR in GB</t>
  </si>
  <si>
    <t>GB00BN405018</t>
  </si>
  <si>
    <t>Natixis Harris Associates Global Concentrated Equity N/A GBP in GB</t>
  </si>
  <si>
    <t>GB00B92F0M74</t>
  </si>
  <si>
    <t>Natixis Loomis Sayles Strategic Income H-N/DG Dis GBP TR in GB</t>
  </si>
  <si>
    <t>GB00B8NVD843</t>
  </si>
  <si>
    <t>Natixis Loomis Sayles Strategic Income H-N/DG GBP TR in GB</t>
  </si>
  <si>
    <t>GB00B97J2N98</t>
  </si>
  <si>
    <t>Natixis Loomis Sayles U.S. Equity Leaders I/A GBP in GB</t>
  </si>
  <si>
    <t>GB00B8L3WZ29</t>
  </si>
  <si>
    <t>Natixis Loomis Sayles U.S. Equity Leaders N/A GBP in GB</t>
  </si>
  <si>
    <t>GB00B8Y83Y02</t>
  </si>
  <si>
    <t>Natixis Loomis Sayles U.S. Equity Leaders Q/A GBP in GB</t>
  </si>
  <si>
    <t>GB00B5MF4S35</t>
  </si>
  <si>
    <t>GB00B1SVX803</t>
  </si>
  <si>
    <t>GB00B89QJK70</t>
  </si>
  <si>
    <t>GB00BGJZ1S25</t>
  </si>
  <si>
    <t>GB00B8KDLX41</t>
  </si>
  <si>
    <t>GB00B8KCZN97</t>
  </si>
  <si>
    <t>GB0006779101</t>
  </si>
  <si>
    <t>GB00B1XFJ342</t>
  </si>
  <si>
    <t>Ninety One American Franchise I Acc GBP in GB</t>
  </si>
  <si>
    <t>GB00B1XFJD49</t>
  </si>
  <si>
    <t>Ninety One Asia Pacific Franchise I Acc GBP in GB</t>
  </si>
  <si>
    <t>GB00B2Q1J816</t>
  </si>
  <si>
    <t>GB00B591W916</t>
  </si>
  <si>
    <t>GB00BQLDXC29</t>
  </si>
  <si>
    <t>GB00BD5J0R90</t>
  </si>
  <si>
    <t>GB00B1LB1T45</t>
  </si>
  <si>
    <t>GB00B6ZX2Q57</t>
  </si>
  <si>
    <t>GB00B7M0MB14</t>
  </si>
  <si>
    <t>GB00B2Q1J923</t>
  </si>
  <si>
    <t>Ninety One Diversified Income I Acc GBP in GB</t>
  </si>
  <si>
    <t>GB00B7700K18</t>
  </si>
  <si>
    <t>Ninety One Diversified Income I Inc-2 GBP TR in GB</t>
  </si>
  <si>
    <t>GB00BD5J0T15</t>
  </si>
  <si>
    <t>Ninety One Diversified Income J Acc GBP in GB**</t>
  </si>
  <si>
    <t>GB00BD5J0Y67</t>
  </si>
  <si>
    <t>Ninety One Diversified Income J Inc-2 GBP TR in GB**</t>
  </si>
  <si>
    <t>GB00BYXJPY07</t>
  </si>
  <si>
    <t>Ninety One Diversified Income K Acc GBP in GB**</t>
  </si>
  <si>
    <t>GB00BYXJPZ14</t>
  </si>
  <si>
    <t>Ninety One Diversified Income K Inc-2 GBP TR in GB**</t>
  </si>
  <si>
    <t>GB00BJFLDK12</t>
  </si>
  <si>
    <t>Ninety One Emerging Markets Blended Debt I Acc GBP in GB</t>
  </si>
  <si>
    <t>GB00B7PWB404</t>
  </si>
  <si>
    <t>Ninety One Emerging Markets Blended Debt I Inc-2 GBP TR in GB</t>
  </si>
  <si>
    <t>GB00B8HWDL62</t>
  </si>
  <si>
    <t>Ninety One Emerging Markets Equity I Acc in GB</t>
  </si>
  <si>
    <t>GB00B3TB1H89</t>
  </si>
  <si>
    <t>Ninety One Emerging Markets Local Currency Debt I Acc GBP in GB</t>
  </si>
  <si>
    <t>GB00B58SJV49</t>
  </si>
  <si>
    <t>Ninety One Emerging Markets Local Currency Debt I Inc-2 GBP TR in GB**</t>
  </si>
  <si>
    <t>GB00B01VDQ86</t>
  </si>
  <si>
    <t>Ninety One Global Dynamic A Acc GBP in GB</t>
  </si>
  <si>
    <t>GB00B2Q1JF81</t>
  </si>
  <si>
    <t>Ninety One Global Dynamic I Acc GBP in GB</t>
  </si>
  <si>
    <t>GB00BKT89K74</t>
  </si>
  <si>
    <t>Ninety One Global Environment I in GB</t>
  </si>
  <si>
    <t>GB00BLM1PL39</t>
  </si>
  <si>
    <t>Ninety One Global Environment K Dis GBP TR in GB**</t>
  </si>
  <si>
    <t>GB00BKT89L81</t>
  </si>
  <si>
    <t>Ninety One Global Environment K in GB</t>
  </si>
  <si>
    <t>GB00B01VDL32</t>
  </si>
  <si>
    <t>Ninety One Global Equity I Acc GBP in GB</t>
  </si>
  <si>
    <t>GB00B7VHRM91</t>
  </si>
  <si>
    <t>Ninety One Global Franchise I Acc in GB</t>
  </si>
  <si>
    <t>GB00BGPBS498</t>
  </si>
  <si>
    <t>Ninety One Global Franchise K Acc GBP in GB</t>
  </si>
  <si>
    <t>GB00B1XFGM25</t>
  </si>
  <si>
    <t>Ninety One Global Gold I Acc GBP in GB</t>
  </si>
  <si>
    <t>GB00B2Q1JB44</t>
  </si>
  <si>
    <t>Ninety One Global Macro Allocated I Acc GBP in GB</t>
  </si>
  <si>
    <t>GB00BYYXX703</t>
  </si>
  <si>
    <t>Ninety One Global Quality Equity Income I 2 Inc GBP TR in GB</t>
  </si>
  <si>
    <t>GB00BD0CV928</t>
  </si>
  <si>
    <t>Ninety One Global Quality Equity Income K 2 Inc GBP TR in GB</t>
  </si>
  <si>
    <t>GB00BD08F541</t>
  </si>
  <si>
    <t>Ninety One Global Quality Equity Income L 2 Inc GBP TR in GB</t>
  </si>
  <si>
    <t>GB00B29KP103</t>
  </si>
  <si>
    <t>Ninety One Global Special Situations I Acc GBP in GB</t>
  </si>
  <si>
    <t>GB00B5M3GK38</t>
  </si>
  <si>
    <t>Ninety One Global Special Situations I Inc GBP TR in GB</t>
  </si>
  <si>
    <t>GB00B1XFJ672</t>
  </si>
  <si>
    <t>Ninety One Global Strategic Equity I Acc GBP in GB</t>
  </si>
  <si>
    <t>GB00BDGV6C12</t>
  </si>
  <si>
    <t>GB00BFM7CQ35</t>
  </si>
  <si>
    <t>Ninety One Global Total Return Credit K Acc GBP in GB</t>
  </si>
  <si>
    <t>GB00B8FLYL21</t>
  </si>
  <si>
    <t>Ninety One Multi Asset Protector 2 I Acc GBP in GB</t>
  </si>
  <si>
    <t>GB00B3CHD226</t>
  </si>
  <si>
    <t>Ninety One Multi Asset Protector A Acc GBP in GB</t>
  </si>
  <si>
    <t>GB00B7LM4J06</t>
  </si>
  <si>
    <t>Ninety One UK Alpha I Acc GBP in GB</t>
  </si>
  <si>
    <t>GB0032558966</t>
  </si>
  <si>
    <t>Ninety One UK Alpha I Inc GBP TR in GB</t>
  </si>
  <si>
    <t>GB00BJFLDM36</t>
  </si>
  <si>
    <t>Ninety One UK Alpha J Acc GBP TR in GB**</t>
  </si>
  <si>
    <t>GB00BJFLDL29</t>
  </si>
  <si>
    <t>Ninety One UK Alpha J Inc GBP TR in GB**</t>
  </si>
  <si>
    <t>GB00BZ1LJ090</t>
  </si>
  <si>
    <t>Ninety One UK Alpha K Acc GBP TR in GB**</t>
  </si>
  <si>
    <t>GB00BRWQCH53</t>
  </si>
  <si>
    <t>Ninety One UK Equity Income I 2 Inc GBP TR in GB</t>
  </si>
  <si>
    <t>GB00BV9G3J51</t>
  </si>
  <si>
    <t>Ninety One UK Equity Income I Acc in GB</t>
  </si>
  <si>
    <t>GB00BYYK2R45</t>
  </si>
  <si>
    <t>Ninety One UK Equity Income L Net Acc GBP in GB**</t>
  </si>
  <si>
    <t>GB00BYYK2S51</t>
  </si>
  <si>
    <t>Ninety One UK Equity Income L Net Inc GBP TR in GB**</t>
  </si>
  <si>
    <t>GB0031417461</t>
  </si>
  <si>
    <t>Ninety One UK Smaller Companies A Inc GBP TR in GB</t>
  </si>
  <si>
    <t>GB00B5NR9271</t>
  </si>
  <si>
    <t>Ninety One UK Smaller Companies I Acc GBP in GB</t>
  </si>
  <si>
    <t>GB00B00LDP80</t>
  </si>
  <si>
    <t>Ninety One UK Smaller Companies I Inc GBP TR in GB</t>
  </si>
  <si>
    <t>GB00B1XFJS91</t>
  </si>
  <si>
    <t>Ninety One UK Special Situations I Acc GBP in GB</t>
  </si>
  <si>
    <t>GB00B61JXN13</t>
  </si>
  <si>
    <t>Ninety One UK Special Situations I Inc GBP TR in GB</t>
  </si>
  <si>
    <t>GB00BD5J0X50</t>
  </si>
  <si>
    <t>Ninety One UK Special Situations J Acc GBP in GB**</t>
  </si>
  <si>
    <t>GB00BGT37007</t>
  </si>
  <si>
    <t>Ninety One UK Sustainable Equity I Acc GBP in GB</t>
  </si>
  <si>
    <t>GB00BGT37114</t>
  </si>
  <si>
    <t>Ninety One UK Sustainable Equity K Acc GBP in GB</t>
  </si>
  <si>
    <t>GB00B75K5L91</t>
  </si>
  <si>
    <t>Oldfield Overstone Global Equity Income I Acc GBP in GB</t>
  </si>
  <si>
    <t>GB00B75LT544</t>
  </si>
  <si>
    <t>Oldfield Overstone Global Equity Income I Inc GBP TR in GB</t>
  </si>
  <si>
    <t>GB00BF1CW039</t>
  </si>
  <si>
    <t>Premier Miton Balanced Multi Asset F Acc GBP in GB</t>
  </si>
  <si>
    <t>GB00B60VQ061</t>
  </si>
  <si>
    <t>Premier Miton Cautious Monthly Income Acc GBP in GB</t>
  </si>
  <si>
    <t>GB00B7T13474</t>
  </si>
  <si>
    <t>Premier Miton Cautious Monthly Income B Acc GBP in GB</t>
  </si>
  <si>
    <t>GB00B79QBF93</t>
  </si>
  <si>
    <t>Premier Miton Cautious Monthly Income B Inc GBP TR in GB**</t>
  </si>
  <si>
    <t>GB00B031C923</t>
  </si>
  <si>
    <t>Premier Miton Cautious Multi Asset A GBP in GB</t>
  </si>
  <si>
    <t>GB00B0W1V856</t>
  </si>
  <si>
    <t>Premier Miton Cautious Multi Asset B GBP in GB</t>
  </si>
  <si>
    <t>GB0003893459</t>
  </si>
  <si>
    <t>Premier Miton Corporate Bond Monthly Income A Inc GBP TR in GB</t>
  </si>
  <si>
    <t>GB0003895496</t>
  </si>
  <si>
    <t>Premier Miton Corporate Bond Monthly Income C Inc GBP TR in GB</t>
  </si>
  <si>
    <t>GB00B4L2WQ20</t>
  </si>
  <si>
    <t>Premier Miton Defensive Growth B Inc GBP TR in GB</t>
  </si>
  <si>
    <t>GB00BTHH0518</t>
  </si>
  <si>
    <t>Premier Miton Defensive Growth C Acc GBP TR in GB</t>
  </si>
  <si>
    <t>GB00B832BD89</t>
  </si>
  <si>
    <t>Premier Miton Defensive Growth C Inc GBP TR in GB</t>
  </si>
  <si>
    <t>GB00B0525B66</t>
  </si>
  <si>
    <t>Premier Miton Defensive Multi Asset B GBP in GB</t>
  </si>
  <si>
    <t>GB00BHNWHC25</t>
  </si>
  <si>
    <t>Premier Miton Diversified Balanced Growth C Inc GBP TR in GB</t>
  </si>
  <si>
    <t>GB00BHNZ2N78</t>
  </si>
  <si>
    <t>Premier Miton Diversified Cautious Growth C Inc GBP TR in GB</t>
  </si>
  <si>
    <t>GB00BHNWH888</t>
  </si>
  <si>
    <t>Premier Miton Diversified Dynamic Growth C Inc GBP TR in GB</t>
  </si>
  <si>
    <t>GB00B60G8H29</t>
  </si>
  <si>
    <t>Premier Miton Diversified Growth B Inc GBP TR in GB</t>
  </si>
  <si>
    <t>GB00B8BJV423</t>
  </si>
  <si>
    <t>Premier Miton Diversified Growth D Inc GBP TR in GB</t>
  </si>
  <si>
    <t>GB00BYPDV970</t>
  </si>
  <si>
    <t>Premier Miton Diversified Income D Inc GBP TR in GB</t>
  </si>
  <si>
    <t>GB00B4VBB957</t>
  </si>
  <si>
    <t>GB0004072699</t>
  </si>
  <si>
    <t>GB0004080809</t>
  </si>
  <si>
    <t>GB00BTHH0625</t>
  </si>
  <si>
    <t>GB0004073002</t>
  </si>
  <si>
    <t>GB00BZ2K2M84</t>
  </si>
  <si>
    <t>Premier Miton European Opportunities B Acc GBP in GB</t>
  </si>
  <si>
    <t>GB00BYZ55N51</t>
  </si>
  <si>
    <t>Premier Miton European Opportunities F Acc GBP in GB</t>
  </si>
  <si>
    <t>GB00BD3H9L21</t>
  </si>
  <si>
    <t>Premier Miton Global Infrastructure Income B Acc GBP in GB</t>
  </si>
  <si>
    <t>GB00BD3H9M38</t>
  </si>
  <si>
    <t>Premier Miton Global Infrastructure Income B Inc GBP TR in GB</t>
  </si>
  <si>
    <t>GB00BD3H9P68</t>
  </si>
  <si>
    <t>Premier Miton Global Infrastructure Income F Inc GBP TR in GB</t>
  </si>
  <si>
    <t>GB00B6740K61</t>
  </si>
  <si>
    <t>Premier Miton Global Sustainable Growth C Acc GBP in GB</t>
  </si>
  <si>
    <t>GB00B68FGC22</t>
  </si>
  <si>
    <t>Premier Miton Global Sustainable Growth C Inc GBP TR in GB</t>
  </si>
  <si>
    <t>GB00BFZND652</t>
  </si>
  <si>
    <t>Premier Miton Global Sustainable Optimum Income C Inc GBP TR in GB</t>
  </si>
  <si>
    <t>GB0003884508</t>
  </si>
  <si>
    <t>Premier Miton Income A Inc GBP TR in GB</t>
  </si>
  <si>
    <t>GB00BTHH0849</t>
  </si>
  <si>
    <t>Premier Miton Income C Acc GBP TR in GB</t>
  </si>
  <si>
    <t>GB0003884722</t>
  </si>
  <si>
    <t>Premier Miton Income C Inc GBP TR in GB</t>
  </si>
  <si>
    <t>GB00B1PB0379</t>
  </si>
  <si>
    <t>Premier Miton Liberation IV A Acc GBP in GB</t>
  </si>
  <si>
    <t>GB00B5N42Z23</t>
  </si>
  <si>
    <t>Premier Miton Liberation IV C Acc GBP in GB</t>
  </si>
  <si>
    <t>GB00B55VCJ57</t>
  </si>
  <si>
    <t>Premier Miton Liberation IV C Inc GBP TR in GB</t>
  </si>
  <si>
    <t>GB00B0MT7M55</t>
  </si>
  <si>
    <t>Premier Miton Liberation V A Acc GBP in GB</t>
  </si>
  <si>
    <t>GB00B675ST41</t>
  </si>
  <si>
    <t>Premier Miton Liberation V C Acc GBP in GB</t>
  </si>
  <si>
    <t>GB00B3NZPP27</t>
  </si>
  <si>
    <t>Premier Miton Liberation V C Inc GBP TR in GB</t>
  </si>
  <si>
    <t>GB00B0MT7R01</t>
  </si>
  <si>
    <t>Premier Miton Liberation VI A Acc GBP in GB</t>
  </si>
  <si>
    <t>GB00B66WQ694</t>
  </si>
  <si>
    <t>Premier Miton Liberation VI C Acc GBP in GB</t>
  </si>
  <si>
    <t>GB00B0MT7X60</t>
  </si>
  <si>
    <t>Premier Miton Liberation VII A Acc GBP in GB</t>
  </si>
  <si>
    <t>GB00B644ZN79</t>
  </si>
  <si>
    <t>Premier Miton Liberation VII C Acc GBP in GB</t>
  </si>
  <si>
    <t>GB0003884946</t>
  </si>
  <si>
    <t>Premier Miton Monthly Income A Inc GBP TR in GB</t>
  </si>
  <si>
    <t>GB00BTHH0955</t>
  </si>
  <si>
    <t>Premier Miton Monthly Income C Acc GBP TR in GB</t>
  </si>
  <si>
    <t>GB0003886875</t>
  </si>
  <si>
    <t>Premier Miton Monthly Income C Inc GBP TR in GB</t>
  </si>
  <si>
    <t>GB00B1PB0593</t>
  </si>
  <si>
    <t>Premier Miton Multi-Asset Absolute Return A Acc GBP in GB</t>
  </si>
  <si>
    <t>25/03/2021</t>
  </si>
  <si>
    <t>GB00B5PXJK10</t>
  </si>
  <si>
    <t>Premier Miton Multi-Asset Absolute Return C Acc GBP in GB</t>
  </si>
  <si>
    <t>GB00B5NH9K57</t>
  </si>
  <si>
    <t>Premier Miton Multi-Asset Absolute Return C Inc GBP TR in GB</t>
  </si>
  <si>
    <t>GB0031107799</t>
  </si>
  <si>
    <t>Premier Miton Multi-Asset Distribution A Acc GBP in GB</t>
  </si>
  <si>
    <t>GB0031107575</t>
  </si>
  <si>
    <t>Premier Miton Multi-Asset Distribution A Inc GBP TR in GB</t>
  </si>
  <si>
    <t>GB00B80W1F31</t>
  </si>
  <si>
    <t>Premier Miton Multi-Asset Distribution B Inc GBP TR in GB</t>
  </si>
  <si>
    <t>GB00BTHH0B79</t>
  </si>
  <si>
    <t>Premier Miton Multi-Asset Distribution C Acc GBP in GB</t>
  </si>
  <si>
    <t>GB00B40RNW10</t>
  </si>
  <si>
    <t>Premier Miton Multi-Asset Distribution C Inc GBP TR in GB</t>
  </si>
  <si>
    <t>GB00B4K4MQ97</t>
  </si>
  <si>
    <t>Premier Miton Multi-Asset Global Growth B Inc GBP TR in GB</t>
  </si>
  <si>
    <t>GB00BTHH0G25</t>
  </si>
  <si>
    <t>Premier Miton Multi-Asset Global Growth C Acc GBP TR in GB</t>
  </si>
  <si>
    <t>GB00B7ZTRZ49</t>
  </si>
  <si>
    <t>Premier Miton Multi-Asset Global Growth C Inc GBP TR in GB</t>
  </si>
  <si>
    <t>GB00B1KST580</t>
  </si>
  <si>
    <t>Premier Miton Multi-Asset Growth &amp; Income A Acc GBP in GB</t>
  </si>
  <si>
    <t>GB00B1KSRR68</t>
  </si>
  <si>
    <t>Premier Miton Multi-Asset Growth &amp; Income A Inc GBP TR in GB</t>
  </si>
  <si>
    <t>GB00B8HDDJ77</t>
  </si>
  <si>
    <t>Premier Miton Multi-Asset Growth &amp; Income B Inc GBP TR in GB</t>
  </si>
  <si>
    <t>GB00BTHH0C86</t>
  </si>
  <si>
    <t>Premier Miton Multi-Asset Growth &amp; Income C Acc GBP in GB</t>
  </si>
  <si>
    <t>GB00B78H4K93</t>
  </si>
  <si>
    <t>Premier Miton Multi-Asset Growth &amp; Income C Inc GBP TR in GB</t>
  </si>
  <si>
    <t>GB00B3FQBC29</t>
  </si>
  <si>
    <t>Premier Miton Multi-Asset Monthly Income A Acc GBP in GB</t>
  </si>
  <si>
    <t>GB00B3FQB992</t>
  </si>
  <si>
    <t>Premier Miton Multi-Asset Monthly Income A Inc GBP TR in GB</t>
  </si>
  <si>
    <t>GB00B84CL591</t>
  </si>
  <si>
    <t>Premier Miton Multi-Asset Monthly Income B Inc GBP TR in GB</t>
  </si>
  <si>
    <t>GB00BTHH0D93</t>
  </si>
  <si>
    <t>Premier Miton Multi-Asset Monthly Income C Acc GBP TR in GB</t>
  </si>
  <si>
    <t>GB00B7GGPC79</t>
  </si>
  <si>
    <t>Premier Miton Multi-Asset Monthly Income C Inc GBP TR in GB</t>
  </si>
  <si>
    <t>GB0006641384</t>
  </si>
  <si>
    <t>Premier Miton Optimum Income A Inc GBP TR in GB</t>
  </si>
  <si>
    <t>GB00B3DDDX03</t>
  </si>
  <si>
    <t>Premier Miton Optimum Income C Inc GBP TR in GB</t>
  </si>
  <si>
    <t>GB0030599798</t>
  </si>
  <si>
    <t>Premier Miton Pan European Property Share A Inc GBP TR in GB</t>
  </si>
  <si>
    <t>GB00B65PFY02</t>
  </si>
  <si>
    <t>Premier Miton Pan European Property Share C Acc GBP TR in GB</t>
  </si>
  <si>
    <t>GB00B65PFX94</t>
  </si>
  <si>
    <t>Premier Miton Pan European Property Share C Inc GBP TR in GB</t>
  </si>
  <si>
    <t>GB0031639007</t>
  </si>
  <si>
    <t>Premier Miton UK Growth A Inc GBP TR in GB</t>
  </si>
  <si>
    <t>GB0031639221</t>
  </si>
  <si>
    <t>Premier Miton UK Growth C Inc GBP TR in GB</t>
  </si>
  <si>
    <t>GB0007061152</t>
  </si>
  <si>
    <t>Premier Miton UK Money Market A Acc GBP in GB</t>
  </si>
  <si>
    <t>GB0007061269</t>
  </si>
  <si>
    <t>Premier Miton UK Money Market A Inc GBP TR in GB</t>
  </si>
  <si>
    <t>GB00BTHH0F18</t>
  </si>
  <si>
    <t>Premier Miton UK Money Market B Acc GBP in GB</t>
  </si>
  <si>
    <t>GB00B8HDQ548</t>
  </si>
  <si>
    <t>Premier Miton UK Money Market B Inc GBP TR in GB</t>
  </si>
  <si>
    <t>GB00B6919195</t>
  </si>
  <si>
    <t>Premier Miton UK Multi Cap Income A Inc GBP TR in GB</t>
  </si>
  <si>
    <t>GB00B41NHD71</t>
  </si>
  <si>
    <t>Premier Miton UK Multi Cap Income B Inst Acc GBP in GB</t>
  </si>
  <si>
    <t>GB00B4M24M14</t>
  </si>
  <si>
    <t>Premier Miton UK Multi Cap Income B Inst Inc GBP TR in GB</t>
  </si>
  <si>
    <t>GB00B8JWZP29</t>
  </si>
  <si>
    <t>Premier Miton UK Smaller Companies B Acc GBP in GB</t>
  </si>
  <si>
    <t>GB00B74F2253</t>
  </si>
  <si>
    <t>Premier Miton UK Smaller Companies B Inc GBP TR in GB</t>
  </si>
  <si>
    <t>GB00B8QW1M42</t>
  </si>
  <si>
    <t>Premier Miton UK Value Opportunities B Inst Acc GBP in GB</t>
  </si>
  <si>
    <t>GB00B86X4W81</t>
  </si>
  <si>
    <t>Premier Miton UK Value Opportunities B Inst Inc GBP TR in GB</t>
  </si>
  <si>
    <t>GB00B8278F56</t>
  </si>
  <si>
    <t>Premier Miton US Opportunities B Acc GBP in GB</t>
  </si>
  <si>
    <t>GB00BF54H991</t>
  </si>
  <si>
    <t>Premier Miton US Smaller Companies B Acc GBP in GB</t>
  </si>
  <si>
    <t>GB00BF54HB10</t>
  </si>
  <si>
    <t>Premier Miton US Smaller Companies F Acc GBP in GB</t>
  </si>
  <si>
    <t>GB0031831026</t>
  </si>
  <si>
    <t>Premier Miton Worldwide Opportunities A GBP in GB</t>
  </si>
  <si>
    <t>GB0031831133</t>
  </si>
  <si>
    <t>Premier Miton Worldwide Opportunities B GBP in GB</t>
  </si>
  <si>
    <t>GB00BF2C6F56</t>
  </si>
  <si>
    <t>Quilter Investors Cirilium Adventurous Passive Portfolio R Acc GBP in GB</t>
  </si>
  <si>
    <t>0.38</t>
  </si>
  <si>
    <t>GB00BF2C6D33</t>
  </si>
  <si>
    <t>Quilter Investors Cirilium Adventurous Portfolio R Acc GBP in GB</t>
  </si>
  <si>
    <t>03/02/2020</t>
  </si>
  <si>
    <t>GB00B7VWLQ60</t>
  </si>
  <si>
    <t>Quilter Investors Cirilium Balanced Passive Portfolio R Acc GBP in GB</t>
  </si>
  <si>
    <t>GB00B2Q8V089</t>
  </si>
  <si>
    <t>Quilter Investors Cirilium Balanced Portfolio A Acc GBP in GB</t>
  </si>
  <si>
    <t>GB00B2Q8V204</t>
  </si>
  <si>
    <t>Quilter Investors Cirilium Balanced Portfolio R Acc GBP in GB</t>
  </si>
  <si>
    <t>GB00B8BKRY79</t>
  </si>
  <si>
    <t>Quilter Investors Cirilium Conservative Passive Portfolio R Acc GBP in GB</t>
  </si>
  <si>
    <t>GB00B4LTHW43</t>
  </si>
  <si>
    <t>Quilter Investors Cirilium Conservative Portfolio A Acc GBP in GB</t>
  </si>
  <si>
    <t>GB00B6XW5B09</t>
  </si>
  <si>
    <t>Quilter Investors Cirilium Conservative Portfolio R Acc GBP in GB</t>
  </si>
  <si>
    <t>GB00B909QP60</t>
  </si>
  <si>
    <t>Quilter Investors Cirilium Dynamic Passive Portfolio R Acc GBP in GB</t>
  </si>
  <si>
    <t>GB00B2Q8TV58</t>
  </si>
  <si>
    <t>Quilter Investors Cirilium Dynamic Portfolio A Acc GBP in GB</t>
  </si>
  <si>
    <t>GB00B2Q8TX72</t>
  </si>
  <si>
    <t>Quilter Investors Cirilium Dynamic Portfolio R Acc GBP in GB</t>
  </si>
  <si>
    <t>GB00BJV3LY15</t>
  </si>
  <si>
    <t>Quilter Investors Cirilium Moderate Blend Portfolio U1 Acc GBP TR in GB</t>
  </si>
  <si>
    <t>GB00B8Y8NJ51</t>
  </si>
  <si>
    <t>Quilter Investors Cirilium Moderate Passive Portfolio R Acc GBP in GB</t>
  </si>
  <si>
    <t>GB00B2Q8TP98</t>
  </si>
  <si>
    <t>Quilter Investors Cirilium Moderate Portfolio A Acc GBP in GB</t>
  </si>
  <si>
    <t>GB00B2Q8TQ06</t>
  </si>
  <si>
    <t>Quilter Investors Cirilium Moderate Portfolio R Acc GBP in GB</t>
  </si>
  <si>
    <t>GB00BZ4TK293</t>
  </si>
  <si>
    <t>Quilter Investors Creation Adventurous Portfolio R Acc GBP in GB</t>
  </si>
  <si>
    <t>GB00B2Q7WY69</t>
  </si>
  <si>
    <t>Quilter Investors Creation Balanced Portfolio A Acc GBP in GB</t>
  </si>
  <si>
    <t>GB00B83XQD69</t>
  </si>
  <si>
    <t>Quilter Investors Creation Balanced Portfolio R Acc GBP in GB</t>
  </si>
  <si>
    <t>GB00B2Q7X434</t>
  </si>
  <si>
    <t>Quilter Investors Creation Conservative Portfolio A Acc GBP in GB</t>
  </si>
  <si>
    <t>GB00B8RYMT36</t>
  </si>
  <si>
    <t>Quilter Investors Creation Conservative Portfolio R Acc GBP in GB</t>
  </si>
  <si>
    <t>GB00B2Q7X657</t>
  </si>
  <si>
    <t>Quilter Investors Creation Dynamic Portfolio A Acc GBP in GB</t>
  </si>
  <si>
    <t>GB00B8KS5L57</t>
  </si>
  <si>
    <t>Quilter Investors Creation Dynamic Portfolio R Acc GBP in GB</t>
  </si>
  <si>
    <t>GB00B2Q7WW46</t>
  </si>
  <si>
    <t>Quilter Investors Creation Moderate Portfolio A Acc GBP in GB</t>
  </si>
  <si>
    <t>GB00B8HHRQ45</t>
  </si>
  <si>
    <t>Quilter Investors Creation Moderate Portfolio R Acc GBP in GB</t>
  </si>
  <si>
    <t>GB0032763921</t>
  </si>
  <si>
    <t>Quilter Investors Diversified Portfolio A Acc GBP in GB</t>
  </si>
  <si>
    <t>GB00B83Y7L45</t>
  </si>
  <si>
    <t>Quilter Investors Diversified Portfolio R Acc GBP in GB</t>
  </si>
  <si>
    <t>GB00B0JZPC21</t>
  </si>
  <si>
    <t>Quilter Investors Ethical Equity A Acc GBP in GB</t>
  </si>
  <si>
    <t>GB00B8RZ2W99</t>
  </si>
  <si>
    <t>Quilter Investors Ethical Equity R Acc GBP in GB**</t>
  </si>
  <si>
    <t>GB00B55N9343</t>
  </si>
  <si>
    <t>Quilter Investors Global Dynamic Equity A Acc GBP in GB</t>
  </si>
  <si>
    <t>GB00B6SF6S87</t>
  </si>
  <si>
    <t>Quilter Investors Global Dynamic Equity R Acc GBP in GB</t>
  </si>
  <si>
    <t>GB00B0L4QH90</t>
  </si>
  <si>
    <t>Quilter Investors Global Property Securities A Portfolio Hedged Inc GBP TR in GB</t>
  </si>
  <si>
    <t>GB00B84XYZ39</t>
  </si>
  <si>
    <t>Quilter Investors Global Property Securities R Portfolio Hedged Inc GBP TR in GB</t>
  </si>
  <si>
    <t>GB00B13HMT78</t>
  </si>
  <si>
    <t>Quilter Investors Global Unconstrained Equity A Acc GBP in GB</t>
  </si>
  <si>
    <t>GB00B83QL189</t>
  </si>
  <si>
    <t>Quilter Investors Global Unconstrained Equity R Acc GBP in GB</t>
  </si>
  <si>
    <t>GB00BJMXH082</t>
  </si>
  <si>
    <t>Quilter Investors Monthly Income and Growth Portfolio U1 Acc GBP in GB</t>
  </si>
  <si>
    <t>GB00BJMXGY51</t>
  </si>
  <si>
    <t>Quilter Investors Monthly Income and Growth Portfolio U1 Inc GBP TR in GB</t>
  </si>
  <si>
    <t>GB00BZ00WM01</t>
  </si>
  <si>
    <t>Quilter Investors Monthly Income Portfolio F Inc GBP TR in GB</t>
  </si>
  <si>
    <t>GB00BJMXGV21</t>
  </si>
  <si>
    <t>Quilter Investors Monthly Income Portfolio U1 Acc GBP in GB</t>
  </si>
  <si>
    <t>GB00BJMXGW38</t>
  </si>
  <si>
    <t>Quilter Investors Monthly Income Portfolio U1 Inc GBP TR in GB</t>
  </si>
  <si>
    <t>GB0033747352</t>
  </si>
  <si>
    <t>Quilter Investors Strategic Bond A Inc GBP TR in GB</t>
  </si>
  <si>
    <t>GB00B83NTX72</t>
  </si>
  <si>
    <t>Quilter Investors Strategic Bond R Inc GBP TR in GB</t>
  </si>
  <si>
    <t>GB00B5NBX831</t>
  </si>
  <si>
    <t>Rathbone Enhanced Growth Portfolio R Acc GBP in GB</t>
  </si>
  <si>
    <t>GB00B7ZPKY25</t>
  </si>
  <si>
    <t>Rathbone Enhanced Growth Portfolio S Acc GBP in GB</t>
  </si>
  <si>
    <t>GB00B77DQT14</t>
  </si>
  <si>
    <t>Rathbone Ethical Bond Fund I Acc GBP in GB</t>
  </si>
  <si>
    <t>GB00B7FQJT36</t>
  </si>
  <si>
    <t>Rathbone Ethical Bond Fund I Inc GBP TR in GB</t>
  </si>
  <si>
    <t>GB0030957137</t>
  </si>
  <si>
    <t>Rathbone Ethical Bond Fund R Acc GBP in GB</t>
  </si>
  <si>
    <t>GB0030957020</t>
  </si>
  <si>
    <t>Rathbone Ethical Bond Fund R Inc GBP TR in GB</t>
  </si>
  <si>
    <t>GB00BDD0RN99</t>
  </si>
  <si>
    <t>Rathbone Ethical Bond Fund S Acc GBP in GB</t>
  </si>
  <si>
    <t>GB00BDD0RM82</t>
  </si>
  <si>
    <t>Rathbone Ethical Bond Fund S Inc GBP TR in GB**</t>
  </si>
  <si>
    <t>GB00B7FQLN12</t>
  </si>
  <si>
    <t>Rathbone Global Opportunities Fund I Acc GBP in GB</t>
  </si>
  <si>
    <t>GB0030349095</t>
  </si>
  <si>
    <t>Rathbone Global Opportunities Fund R Acc GBP in GB</t>
  </si>
  <si>
    <t>GB00B8CJW049</t>
  </si>
  <si>
    <t>Rathbone Heritage Fund I Acc GBP in GB</t>
  </si>
  <si>
    <t>GB00B6SCP824</t>
  </si>
  <si>
    <t>Rathbone Heritage Fund I Inc GBP TR in GB</t>
  </si>
  <si>
    <t>GB00BD5DN500</t>
  </si>
  <si>
    <t>Rathbone High Quality Bond Fund I Acc GBP in GB</t>
  </si>
  <si>
    <t>GB00BD5DN492</t>
  </si>
  <si>
    <t>Rathbone High Quality Bond Fund I Inc GBP TR in GB</t>
  </si>
  <si>
    <t>GB00B3Q9WG18</t>
  </si>
  <si>
    <t>Rathbone Income Fund I Acc GBP in GB</t>
  </si>
  <si>
    <t>GB00B7FQLQ43</t>
  </si>
  <si>
    <t>Rathbone Income Fund I Inc GBP TR in GB</t>
  </si>
  <si>
    <t>GB00B06ZVC73</t>
  </si>
  <si>
    <t>Rathbone Income Fund R Acc GBP in GB</t>
  </si>
  <si>
    <t>GB0001229045</t>
  </si>
  <si>
    <t>Rathbone Income Fund R Inc GBP TR in GB</t>
  </si>
  <si>
    <t>GB00B6ZS2486</t>
  </si>
  <si>
    <t>Rathbone Strategic Bond Fund I Acc GBP in GB</t>
  </si>
  <si>
    <t>GB00B6ZS1L87</t>
  </si>
  <si>
    <t>Rathbone Strategic Bond Fund I Inc GBP TR in GB</t>
  </si>
  <si>
    <t>GB00B543P606</t>
  </si>
  <si>
    <t>Rathbone Strategic Growth Portfolio R Acc GBP TR in GB</t>
  </si>
  <si>
    <t>GB00B543S725</t>
  </si>
  <si>
    <t>Rathbone Strategic Growth Portfolio R Inc GBP TR in GB</t>
  </si>
  <si>
    <t>GB00B86QF242</t>
  </si>
  <si>
    <t>Rathbone Strategic Growth Portfolio S Acc GBP TR in GB</t>
  </si>
  <si>
    <t>GB00B86NX655</t>
  </si>
  <si>
    <t>Rathbone Strategic Growth Portfolio S Inc GBP TR in GB</t>
  </si>
  <si>
    <t>GB00BY9BT482</t>
  </si>
  <si>
    <t>Rathbone Strategic Income Portfolio Acc GBP in GB</t>
  </si>
  <si>
    <t>GB00BY9BSL83</t>
  </si>
  <si>
    <t>Rathbone Strategic Income Portfolio Inc GBP TR in GB</t>
  </si>
  <si>
    <t>GB00B543TC49</t>
  </si>
  <si>
    <t>Rathbone Total Return Portfolio R Acc GBP TR in GB</t>
  </si>
  <si>
    <t>GB00B543NZ55</t>
  </si>
  <si>
    <t>Rathbone Total Return Portfolio R Inc GBP TR in GB</t>
  </si>
  <si>
    <t>GB00B8JBXD38</t>
  </si>
  <si>
    <t>Rathbone Total Return Portfolio S Acc GBP TR in GB</t>
  </si>
  <si>
    <t>GB00B86SVM24</t>
  </si>
  <si>
    <t>Rathbone Total Return Portfolio S Inc GBP TR in GB</t>
  </si>
  <si>
    <t>GB00B7FQM503</t>
  </si>
  <si>
    <t>Rathbone UK Opportunities Fund I Acc GBP in GB</t>
  </si>
  <si>
    <t>GB00B77H7W31</t>
  </si>
  <si>
    <t>Rathbone UK Opportunities Fund I Inc GBP TR in GB</t>
  </si>
  <si>
    <t>GB0030430804</t>
  </si>
  <si>
    <t>Rathbone UK Opportunities Fund R Acc GBP in GB</t>
  </si>
  <si>
    <t>GB0005062293</t>
  </si>
  <si>
    <t>Rathbone UK Opportunities Fund R Inc GBP TR in GB</t>
  </si>
  <si>
    <t>GB00B68SHD90</t>
  </si>
  <si>
    <t>GB00B545JR59</t>
  </si>
  <si>
    <t>Royal London Cash Plus M Inc TR in GB**</t>
  </si>
  <si>
    <t>GB00BMNR1H58</t>
  </si>
  <si>
    <t>Royal London Cash Plus Y Acc TR in GB**</t>
  </si>
  <si>
    <t>GB00BMNR1F35</t>
  </si>
  <si>
    <t>Royal London Cash Plus Y Inc TR in GB**</t>
  </si>
  <si>
    <t>GB00B3P2K895</t>
  </si>
  <si>
    <t>Royal London Corporate Bond A Inc TR in GB</t>
  </si>
  <si>
    <t>GB00B87FJ401</t>
  </si>
  <si>
    <t>Royal London Corporate Bond M Acc TR in GB</t>
  </si>
  <si>
    <t>GB00B6XZQT43</t>
  </si>
  <si>
    <t>Royal London Corporate Bond M Inc TR in GB**</t>
  </si>
  <si>
    <t>GB0033583427</t>
  </si>
  <si>
    <t>Royal London Corporate Bond Monthly Income Trust A Inc TR in GB</t>
  </si>
  <si>
    <t>GB00B3MBXC47</t>
  </si>
  <si>
    <t>Royal London Corporate Bond Z Inc TR in GB**</t>
  </si>
  <si>
    <t>GB00B4K6P774</t>
  </si>
  <si>
    <t>Royal London Diversified Asset-Backed Securities Z Acc in GB</t>
  </si>
  <si>
    <t>GB00BZ8FWL65</t>
  </si>
  <si>
    <t>Royal London Emerging Markets ESG Leaders Equity Tracker Z Acc in GB**</t>
  </si>
  <si>
    <t>GB00BVYV8H85</t>
  </si>
  <si>
    <t>Royal London Enhanced Cash Plus Y Acc in GB</t>
  </si>
  <si>
    <t>GB00BVYV8J00</t>
  </si>
  <si>
    <t>Royal London Enhanced Cash Plus Y Inc TR in GB</t>
  </si>
  <si>
    <t>GB00BJ4KSX76</t>
  </si>
  <si>
    <t>Royal London Ethical Bond M Acc TR in GB</t>
  </si>
  <si>
    <t>GB00BJ4KSY83</t>
  </si>
  <si>
    <t>Royal London Ethical Bond M Inc TR in GB**</t>
  </si>
  <si>
    <t>GB00B52VBP79</t>
  </si>
  <si>
    <t>Royal London European Growth M Acc in GB</t>
  </si>
  <si>
    <t>GB0009537407</t>
  </si>
  <si>
    <t>Royal London European Growth Trust Inc TR in GB</t>
  </si>
  <si>
    <t>GB00B523MH29</t>
  </si>
  <si>
    <t>Royal London Global Index Linked M Inc TR in GB</t>
  </si>
  <si>
    <t>GB00B53R4H74</t>
  </si>
  <si>
    <t>Royal London Global Index Linked Z Inc TR in GB</t>
  </si>
  <si>
    <t>GB00BL6V0581</t>
  </si>
  <si>
    <t>Royal London Global Sustainable Equity M Acc in GB</t>
  </si>
  <si>
    <t>GB00BD8RSG53</t>
  </si>
  <si>
    <t>Royal London GMAP Adventurous M Acc in GB</t>
  </si>
  <si>
    <t>GB00BD8RSF47</t>
  </si>
  <si>
    <t>Royal London GMAP Adventurous M Inc TR in GB</t>
  </si>
  <si>
    <t>GB00BD8RSQ51</t>
  </si>
  <si>
    <t>Royal London GMAP Balanced M Acc in GB</t>
  </si>
  <si>
    <t>GB00BD8RSP45</t>
  </si>
  <si>
    <t>Royal London GMAP Balanced M Inc TR in GB</t>
  </si>
  <si>
    <t>GB00BD8RSS75</t>
  </si>
  <si>
    <t>Royal London GMAP Conservative M Acc in GB</t>
  </si>
  <si>
    <t>GB00BD8RSR68</t>
  </si>
  <si>
    <t>Royal London GMAP Conservative M Inc TR in GB</t>
  </si>
  <si>
    <t>GB00BD8RSJ84</t>
  </si>
  <si>
    <t>Royal London GMAP Defensive M Acc in GB</t>
  </si>
  <si>
    <t>GB00BD8RSH60</t>
  </si>
  <si>
    <t>Royal London GMAP Defensive M Inc TR in GB</t>
  </si>
  <si>
    <t>GB00BD8RSL07</t>
  </si>
  <si>
    <t>Royal London GMAP Dynamic M Acc in GB</t>
  </si>
  <si>
    <t>GB00BD8RSK99</t>
  </si>
  <si>
    <t>Royal London GMAP Dynamic M Inc TR in GB</t>
  </si>
  <si>
    <t>GB00BD8RSN21</t>
  </si>
  <si>
    <t>Royal London GMAP Growth M Acc in GB</t>
  </si>
  <si>
    <t>GB00BD8RSM14</t>
  </si>
  <si>
    <t>Royal London GMAP Growth M Inc TR in GB</t>
  </si>
  <si>
    <t>GB00B3MYR659</t>
  </si>
  <si>
    <t>Royal London Index Linked A Inc TR in GB</t>
  </si>
  <si>
    <t>GB00B8DDWW71</t>
  </si>
  <si>
    <t>Royal London Index Linked M Acc TR in GB</t>
  </si>
  <si>
    <t>GB00B3MZ2071</t>
  </si>
  <si>
    <t>Royal London Index Linked M Inc TR in GB**</t>
  </si>
  <si>
    <t>GB00B45XHL18</t>
  </si>
  <si>
    <t>Royal London International Government Bond M Inc TR in GB</t>
  </si>
  <si>
    <t>GB00BYQTH296</t>
  </si>
  <si>
    <t>Royal London Investment Grade Short Dated Credit Z TR in GB</t>
  </si>
  <si>
    <t>GB00B52R6496</t>
  </si>
  <si>
    <t>GB00BJ4KW792</t>
  </si>
  <si>
    <t>Royal London Short Duration Credit M Acc TR in GB**</t>
  </si>
  <si>
    <t>GB00BJ4KW800</t>
  </si>
  <si>
    <t>Royal London Short Duration Credit M Inc TR in GB</t>
  </si>
  <si>
    <t>GB00BJ4KW917</t>
  </si>
  <si>
    <t>Royal London Short Duration Credit Z Acc TR in GB**</t>
  </si>
  <si>
    <t>GB00BJ4KSV52</t>
  </si>
  <si>
    <t>Royal London Short Duration Credit Z Inc TR in GB</t>
  </si>
  <si>
    <t>GB00BD050C73</t>
  </si>
  <si>
    <t>Royal London Short Duration Gilts M Inc TR in GB</t>
  </si>
  <si>
    <t>GB00BD050D80</t>
  </si>
  <si>
    <t>Royal London Short Duration Gilts Z Inc TR in GB</t>
  </si>
  <si>
    <t>GB00BD050F05</t>
  </si>
  <si>
    <t>Royal London Short Duration Global Index Linked M Inc TR in GB</t>
  </si>
  <si>
    <t>GB00BD050G12</t>
  </si>
  <si>
    <t>Royal London Short Duration Global Index Linked Z Inc TR in GB</t>
  </si>
  <si>
    <t>GB00B8XYYQ86</t>
  </si>
  <si>
    <t>Royal London Short Term Money Market Y Acc TR in GB</t>
  </si>
  <si>
    <t>GB00B3P2RZ52</t>
  </si>
  <si>
    <t>Royal London Short Term Money Market Y Inc TR in GB</t>
  </si>
  <si>
    <t>GB00B8GJ8S05</t>
  </si>
  <si>
    <t>Royal London Sterling Credit M Acc TR in GB**</t>
  </si>
  <si>
    <t>GB00B6X6GB98</t>
  </si>
  <si>
    <t>Royal London Sterling Credit M Inc TR in GB**</t>
  </si>
  <si>
    <t>Royal London Sterling Credit Z Acc in GB**</t>
  </si>
  <si>
    <t>GB00B4W1ZT22</t>
  </si>
  <si>
    <t>Royal London Sterling Credit Z Inc TR in GB</t>
  </si>
  <si>
    <t>GB00B3PXJV84</t>
  </si>
  <si>
    <t>Royal London Sustainable Diversified Trust A Inc TR in GB</t>
  </si>
  <si>
    <t>GB00B79LTQ12</t>
  </si>
  <si>
    <t>Royal London Sustainable Diversified Trust C Acc TR in GB**</t>
  </si>
  <si>
    <t>GB00B844WJ68</t>
  </si>
  <si>
    <t>Royal London Sustainable Diversified Trust C Inc TR in GB</t>
  </si>
  <si>
    <t>GB00B826H339</t>
  </si>
  <si>
    <t>Royal London Sustainable Diversified Trust D Acc TR in GB**</t>
  </si>
  <si>
    <t>GB00B8DR6Y90</t>
  </si>
  <si>
    <t>Royal London Sustainable Diversified Trust D Inc TR in GB**</t>
  </si>
  <si>
    <t>GB0001615102</t>
  </si>
  <si>
    <t>Royal London Sustainable Leaders Trust A Inc TR in GB</t>
  </si>
  <si>
    <t>GB00B7V23Z99</t>
  </si>
  <si>
    <t>Royal London Sustainable Leaders Trust C Acc TR in GB</t>
  </si>
  <si>
    <t>GB00B8HTH592</t>
  </si>
  <si>
    <t>Royal London Sustainable Leaders Trust C Inc TR in GB**</t>
  </si>
  <si>
    <t>GB00B7SGTR82</t>
  </si>
  <si>
    <t>Royal London Sustainable Leaders Trust D Acc TR in GB**</t>
  </si>
  <si>
    <t>GB00B8C0JY03</t>
  </si>
  <si>
    <t>Royal London Sustainable Leaders Trust D Inc TR in GB**</t>
  </si>
  <si>
    <t>GB00B8H7XS88</t>
  </si>
  <si>
    <t>Royal London Sustainable Managed Growth Trust C Acc in GB</t>
  </si>
  <si>
    <t>GB00B8K34M44</t>
  </si>
  <si>
    <t>Royal London Sustainable Managed Growth Trust C Inc TR in GB</t>
  </si>
  <si>
    <t>GB00B6ZNVX59</t>
  </si>
  <si>
    <t>Royal London Sustainable Managed Growth Trust D Acc in GB</t>
  </si>
  <si>
    <t>GB00B7MXGZ25</t>
  </si>
  <si>
    <t>Royal London Sustainable Managed Growth Trust D Inc TR in GB</t>
  </si>
  <si>
    <t>GB00B8HNKY10</t>
  </si>
  <si>
    <t>Royal London Sustainable Managed Income Trust C Acc in GB</t>
  </si>
  <si>
    <t>GB00B84PHQ15</t>
  </si>
  <si>
    <t>Royal London Sustainable Managed Income Trust C Inc TR in GB</t>
  </si>
  <si>
    <t>GB00B8GJ0284</t>
  </si>
  <si>
    <t>Royal London Sustainable Managed Income Trust D Acc in GB</t>
  </si>
  <si>
    <t>GB00B3PXJX09</t>
  </si>
  <si>
    <t>Royal London Sustainable World Trust A Inc TR in GB</t>
  </si>
  <si>
    <t>GB00B882H241</t>
  </si>
  <si>
    <t>Royal London Sustainable World Trust C Acc TR in GB</t>
  </si>
  <si>
    <t>GB00B8GG6326</t>
  </si>
  <si>
    <t>Royal London Sustainable World Trust C Inc TR in GB**</t>
  </si>
  <si>
    <t>GB00B8GHTZ84</t>
  </si>
  <si>
    <t>Royal London Sustainable World Trust D Acc TR in GB**</t>
  </si>
  <si>
    <t>GB00B8N25693</t>
  </si>
  <si>
    <t>Royal London Sustainable World Trust D Inc TR in GB**</t>
  </si>
  <si>
    <t>GB00B533V415</t>
  </si>
  <si>
    <t>Royal London UK All Share Tracker Z Acc in GB</t>
  </si>
  <si>
    <t>GB00B63DTG61</t>
  </si>
  <si>
    <t>Royal London UK Dividend Growth M Acc in GB</t>
  </si>
  <si>
    <t>GB00B67N8655</t>
  </si>
  <si>
    <t>Royal London UK Equity Income A Inc TR in GB</t>
  </si>
  <si>
    <t>GB00B8Y4ZB91</t>
  </si>
  <si>
    <t>Royal London UK Equity Income M Acc TR in GB</t>
  </si>
  <si>
    <t>GB00B3M9JJ78</t>
  </si>
  <si>
    <t>Royal London UK Equity Income M Inc TR in GB</t>
  </si>
  <si>
    <t>GB00B67MDN40</t>
  </si>
  <si>
    <t>Royal London UK Equity M Acc in GB</t>
  </si>
  <si>
    <t>GB00B3Q6WZ18</t>
  </si>
  <si>
    <t>Royal London UK Government Bond A Inc TR in GB</t>
  </si>
  <si>
    <t>GB00B881TW52</t>
  </si>
  <si>
    <t>Royal London UK Government Bond M Acc TR in GB</t>
  </si>
  <si>
    <t>GB00B7QFPL36</t>
  </si>
  <si>
    <t>Royal London UK Government Bond M Inc TR in GB**</t>
  </si>
  <si>
    <t>GB00B63M5F42</t>
  </si>
  <si>
    <t>Royal London UK Government Bond Z Inc TR in GB**</t>
  </si>
  <si>
    <t>GB0001597979</t>
  </si>
  <si>
    <t>Royal London UK Growth Trust Inc TR in GB</t>
  </si>
  <si>
    <t>GB0001598050</t>
  </si>
  <si>
    <t>Royal London UK Income With Growth Trust Inc TR in GB</t>
  </si>
  <si>
    <t>GB00B5BRW420</t>
  </si>
  <si>
    <t>Royal London UK Mid-Cap Growth M Acc in GB</t>
  </si>
  <si>
    <t>GB00B5BRWC09</t>
  </si>
  <si>
    <t>Royal London UK Opportunities M Acc in GB</t>
  </si>
  <si>
    <t>GB00B3NQHL55</t>
  </si>
  <si>
    <t>Royal London UK Smaller Companies M Acc in GB</t>
  </si>
  <si>
    <t>GB0030038359</t>
  </si>
  <si>
    <t>Royal London US Growth Trust Inc TR in GB</t>
  </si>
  <si>
    <t>GB00B5172X16</t>
  </si>
  <si>
    <t>GB00B8350522</t>
  </si>
  <si>
    <t>GB00BGHQ0W49</t>
  </si>
  <si>
    <t>S&amp;W Saltus Fixed Income I Inc TR in GB</t>
  </si>
  <si>
    <t>GB00B6W08N84</t>
  </si>
  <si>
    <t>S&amp;W Saltus Global Equity I Acc in GB</t>
  </si>
  <si>
    <t>GB00B74V6098</t>
  </si>
  <si>
    <t>S&amp;W Saltus Global Equity I Inc TR in GB</t>
  </si>
  <si>
    <t>GB00BZ0WWJ33</t>
  </si>
  <si>
    <t>S&amp;W Saltus Growth Assets I TR in GB</t>
  </si>
  <si>
    <t>GB00B6RPF480</t>
  </si>
  <si>
    <t>S&amp;W Saltus Multi Asset Class X Acc in GB</t>
  </si>
  <si>
    <t>GB00B6S5RJ64</t>
  </si>
  <si>
    <t>S&amp;W Saltus Multi Asset Class X Inc TR in GB</t>
  </si>
  <si>
    <t>GB00BGHQ1098</t>
  </si>
  <si>
    <t>S&amp;W Saltus Real Return I Inc TR in GB</t>
  </si>
  <si>
    <t>GB00B6RLZP73</t>
  </si>
  <si>
    <t>S&amp;W Saltus Wealth X Acc in GB</t>
  </si>
  <si>
    <t>GB00B6RYXB84</t>
  </si>
  <si>
    <t>S&amp;W Saltus Wealth X Inc TR in GB</t>
  </si>
  <si>
    <t>GB00B4WX4803</t>
  </si>
  <si>
    <t>Santander Atlas Income Portfolio IA in GB**</t>
  </si>
  <si>
    <t>GB00B4WX4C46</t>
  </si>
  <si>
    <t>Santander Atlas Income Portfolio II TR in GB**</t>
  </si>
  <si>
    <t>GB00BD3CW185</t>
  </si>
  <si>
    <t>Santander Atlas Portfolio 3 IA in GB</t>
  </si>
  <si>
    <t>GB00BD3CW292</t>
  </si>
  <si>
    <t>Santander Atlas Portfolio 4 IA in GB</t>
  </si>
  <si>
    <t>GB00BD3CW300</t>
  </si>
  <si>
    <t>Santander Atlas Portfolio 5 IA in GB</t>
  </si>
  <si>
    <t>GB00BD3CW524</t>
  </si>
  <si>
    <t>Santander Atlas Portfolio 6 IA in GB</t>
  </si>
  <si>
    <t>GB00BD3CW417</t>
  </si>
  <si>
    <t>Santander Atlas Portfolio 7 IA in GB</t>
  </si>
  <si>
    <t>GB00BSTLRG49</t>
  </si>
  <si>
    <t>GB00BSTLRF32</t>
  </si>
  <si>
    <t>GB00BWXBPQ49</t>
  </si>
  <si>
    <t>Santander Enhanced Income Portfolio IA TR in GB</t>
  </si>
  <si>
    <t>GB00B3RJG579</t>
  </si>
  <si>
    <t>Santander Enhanced Income Portfolio II TR in GB</t>
  </si>
  <si>
    <t>GB00BWX61H22</t>
  </si>
  <si>
    <t>Santander Equity Income Unit Trust RA TR in GB</t>
  </si>
  <si>
    <t>GB0002789047</t>
  </si>
  <si>
    <t>Santander Europe (Excluding UK) Equities A in GB</t>
  </si>
  <si>
    <t>GB00B3KKXR82</t>
  </si>
  <si>
    <t>GB0002791233</t>
  </si>
  <si>
    <t>Santander Japan Equities A in GB</t>
  </si>
  <si>
    <t>GB00B3KKY195</t>
  </si>
  <si>
    <t>Santander Max 50% Shares Portfolio RA in GB</t>
  </si>
  <si>
    <t>GB00B3KKWJ34</t>
  </si>
  <si>
    <t>Santander Max 70% Shares Portfolio RA in GB</t>
  </si>
  <si>
    <t>GB00BVDPJ781</t>
  </si>
  <si>
    <t>Santander Max 70% Shares Portfolio SA in GB</t>
  </si>
  <si>
    <t>GB0006069255</t>
  </si>
  <si>
    <t>Santander Max 70% Shares Unit Trust RA in GB</t>
  </si>
  <si>
    <t>GB0002792199</t>
  </si>
  <si>
    <t>Santander Pacific Basin (Excluding Japan) Equities A in GB</t>
  </si>
  <si>
    <t>GB0002792314</t>
  </si>
  <si>
    <t>Santander Sterling Bond A in GB</t>
  </si>
  <si>
    <t>GB00BSTLRD18</t>
  </si>
  <si>
    <t>Santander Sterling Government Bond IA TR in GB</t>
  </si>
  <si>
    <t>GB00BSTLRC01</t>
  </si>
  <si>
    <t>Santander Sterling Government Bond II TR in GB</t>
  </si>
  <si>
    <t>GB0002795101</t>
  </si>
  <si>
    <t>Santander UK Equities A in GB</t>
  </si>
  <si>
    <t>GB0000353259</t>
  </si>
  <si>
    <t>Santander UK Growth Unit Trust RA in GB</t>
  </si>
  <si>
    <t>GB0002824448</t>
  </si>
  <si>
    <t>Santander United States Equities A in GB</t>
  </si>
  <si>
    <t>GB00BMZNCQ73</t>
  </si>
  <si>
    <t>Sarasin Digital Opportunities L Acc in GB</t>
  </si>
  <si>
    <t>GB00BMZNCR80</t>
  </si>
  <si>
    <t>Sarasin Digital Opportunities L Inc TR in GB</t>
  </si>
  <si>
    <t>GB00BJP50G80</t>
  </si>
  <si>
    <t>Sarasin Digital Opportunities P Acc in GB</t>
  </si>
  <si>
    <t>GB00BJP50F73</t>
  </si>
  <si>
    <t>Sarasin Digital Opportunities P Inc TR in GB</t>
  </si>
  <si>
    <t>GB00B2Q8L643</t>
  </si>
  <si>
    <t>Sarasin Food &amp; Agriculture Opportunities A Acc in GB</t>
  </si>
  <si>
    <t>GB00B2Q8L536</t>
  </si>
  <si>
    <t>Sarasin Food &amp; Agriculture Opportunities A Inc TR in GB</t>
  </si>
  <si>
    <t>GB00B77DTQ97</t>
  </si>
  <si>
    <t>Sarasin Food &amp; Agriculture Opportunities P Acc in GB</t>
  </si>
  <si>
    <t>GB00B8GJCL12</t>
  </si>
  <si>
    <t>Sarasin Food &amp; Agriculture Opportunities P Inc TR in GB**</t>
  </si>
  <si>
    <t>GB00BGDF8F44</t>
  </si>
  <si>
    <t>Sarasin Global Dividend P Acc in GB</t>
  </si>
  <si>
    <t>GB00BGDF8D20</t>
  </si>
  <si>
    <t>Sarasin Global Dividend P Inc TR in GB</t>
  </si>
  <si>
    <t>GB00B13GW945</t>
  </si>
  <si>
    <t>Sarasin Global Equity Real Return A Acc in GB</t>
  </si>
  <si>
    <t>GB00B13GWB69</t>
  </si>
  <si>
    <t>Sarasin Global Equity Real Return A Inc TR in GB</t>
  </si>
  <si>
    <t>GB00B7W4B053</t>
  </si>
  <si>
    <t>Sarasin Global Equity Real Return P Acc in GB</t>
  </si>
  <si>
    <t>GB00B7SZSV27</t>
  </si>
  <si>
    <t>Sarasin Global Equity Real Return P Inc TR in GB**</t>
  </si>
  <si>
    <t>GB00B13GWH22</t>
  </si>
  <si>
    <t>Sarasin Global Higher Dividend A Acc GBP in GB</t>
  </si>
  <si>
    <t>GB00B13GWJ46</t>
  </si>
  <si>
    <t>Sarasin Global Higher Dividend A Inc GBP TR in GB</t>
  </si>
  <si>
    <t>GB00B84ZSV39</t>
  </si>
  <si>
    <t>Sarasin Global Higher Dividend P Acc GBP in GB</t>
  </si>
  <si>
    <t>GB00BLB2NJ11</t>
  </si>
  <si>
    <t>Sarasin Global Higher Dividend P Hedged Inc GBP TR in GB</t>
  </si>
  <si>
    <t>GB00B850BN01</t>
  </si>
  <si>
    <t>Sarasin Global Higher Dividend P Inc GBP TR in GB**</t>
  </si>
  <si>
    <t>GB0009341768</t>
  </si>
  <si>
    <t>GB00B8DPZ138</t>
  </si>
  <si>
    <t>GB00B7V4BG27</t>
  </si>
  <si>
    <t>GB00BYMB5T28</t>
  </si>
  <si>
    <t>Sarasin Responsible Corporate Bond P Acc in GB</t>
  </si>
  <si>
    <t>GB00BYMB5S11</t>
  </si>
  <si>
    <t>Sarasin Responsible Corporate Bond P Inc TR in GB</t>
  </si>
  <si>
    <t>GB00B4N86553</t>
  </si>
  <si>
    <t>Sarasin Responsible Global Equity I Inc GBP TR in GB</t>
  </si>
  <si>
    <t>GB00B8369M57</t>
  </si>
  <si>
    <t>Sarasin Responsible Global Equity P Acc in GB</t>
  </si>
  <si>
    <t>GB00BLB2NF72</t>
  </si>
  <si>
    <t>Sarasin Responsible Global Equity P Hedged Acc GBP in GB</t>
  </si>
  <si>
    <t>GB00B75JDT07</t>
  </si>
  <si>
    <t>GB00B13GWF08</t>
  </si>
  <si>
    <t>Sarasin Sterling Bond I Acc in GB</t>
  </si>
  <si>
    <t>GB00B13GWG15</t>
  </si>
  <si>
    <t>Sarasin Sterling Bond I Inc TR in GB</t>
  </si>
  <si>
    <t>GB0009341214</t>
  </si>
  <si>
    <t>Sarasin Thematic Global Equity A Acc in GB</t>
  </si>
  <si>
    <t>GB0009340919</t>
  </si>
  <si>
    <t>Sarasin Thematic Global Equity A Inc TR in GB</t>
  </si>
  <si>
    <t>GB0009341651</t>
  </si>
  <si>
    <t>Sarasin Thematic Global Equity I Acc in GB</t>
  </si>
  <si>
    <t>GB00B8BPJF77</t>
  </si>
  <si>
    <t>Sarasin Thematic Global Equity P Acc in GB</t>
  </si>
  <si>
    <t>GB00BLB2NL33</t>
  </si>
  <si>
    <t>Sarasin Thematic Global Equity P Hedged Acc GBP in GB</t>
  </si>
  <si>
    <t>GB00B7MSZ499</t>
  </si>
  <si>
    <t>Sarasin Thematic Global Equity P Inc TR in GB**</t>
  </si>
  <si>
    <t>GB00B7XS1T58</t>
  </si>
  <si>
    <t>Sarasin UK Thematic Smaller Companies P Acc in GB</t>
  </si>
  <si>
    <t>GB00B887BV65</t>
  </si>
  <si>
    <t>Sarasin UK Thematic Smaller Companies P Inc TR in GB**</t>
  </si>
  <si>
    <t>GB0007905945</t>
  </si>
  <si>
    <t>Schroder Absolute Return Bond A Acc in GB</t>
  </si>
  <si>
    <t>GB0007905721</t>
  </si>
  <si>
    <t>Schroder Absolute Return Bond A Inc TR in GB</t>
  </si>
  <si>
    <t>GB00B57BFC79</t>
  </si>
  <si>
    <t>Schroder Absolute Return Bond Z Acc in GB</t>
  </si>
  <si>
    <t>GB00B5W01T86</t>
  </si>
  <si>
    <t>Schroder Absolute Return Bond Z Inc TR in GB</t>
  </si>
  <si>
    <t>GB00B55K8Z03</t>
  </si>
  <si>
    <t>Schroder All Maturities Corporate Bond A Inc TR in GB</t>
  </si>
  <si>
    <t>GB00B4V0R051</t>
  </si>
  <si>
    <t>Schroder All Maturities Corporate Bond Z Acc in GB**</t>
  </si>
  <si>
    <t>GB00B4V0R507</t>
  </si>
  <si>
    <t>Schroder All Maturities Corporate Bond Z Inc TR in GB**</t>
  </si>
  <si>
    <t>GB00B284G093</t>
  </si>
  <si>
    <t>Schroder Asian Alpha Plus A Acc in GB</t>
  </si>
  <si>
    <t>GB00B284G325</t>
  </si>
  <si>
    <t>Schroder Asian Alpha Plus A Inc TR in GB</t>
  </si>
  <si>
    <t>GB00BDD27J12</t>
  </si>
  <si>
    <t>Schroder Asian Alpha Plus L Acc in GB</t>
  </si>
  <si>
    <t>GB00BDD27K27</t>
  </si>
  <si>
    <t>Schroder Asian Alpha Plus L Inc TR in GB</t>
  </si>
  <si>
    <t>GB00B5BG4980</t>
  </si>
  <si>
    <t>Schroder Asian Alpha Plus Z Acc in GB</t>
  </si>
  <si>
    <t>GB00B5V2VR34</t>
  </si>
  <si>
    <t>Schroder Asian Alpha Plus Z Inc TR in GB</t>
  </si>
  <si>
    <t>GB0007809600</t>
  </si>
  <si>
    <t>Schroder Asian Income A Acc in GB</t>
  </si>
  <si>
    <t>GB0007809592</t>
  </si>
  <si>
    <t>Schroder Asian Income A Inc TR in GB</t>
  </si>
  <si>
    <t>GB00BDD29732</t>
  </si>
  <si>
    <t>Schroder Asian Income L Acc in GB</t>
  </si>
  <si>
    <t>GB00BDD29849</t>
  </si>
  <si>
    <t>Schroder Asian Income L Inc TR in GB</t>
  </si>
  <si>
    <t>GB00B3SF6658</t>
  </si>
  <si>
    <t>Schroder Asian Income Maximiser A Acc in GB</t>
  </si>
  <si>
    <t>GB00B3SB3287</t>
  </si>
  <si>
    <t>Schroder Asian Income Maximiser A Inc TR in GB</t>
  </si>
  <si>
    <t>GB00BDD29F14</t>
  </si>
  <si>
    <t>Schroder Asian Income Maximiser L Inc TR in GB</t>
  </si>
  <si>
    <t>GB00B581S493</t>
  </si>
  <si>
    <t>Schroder Asian Income Maximiser Z Acc in GB</t>
  </si>
  <si>
    <t>GB00B52QVQ30</t>
  </si>
  <si>
    <t>Schroder Asian Income Maximiser Z Inc TR in GB</t>
  </si>
  <si>
    <t>Schroder Asian Income Z Acc in GB</t>
  </si>
  <si>
    <t>GB00B559X853</t>
  </si>
  <si>
    <t>Schroder Asian Income Z Inc TR in GB</t>
  </si>
  <si>
    <t>GB0032312505</t>
  </si>
  <si>
    <t>GB0032312497</t>
  </si>
  <si>
    <t>GB0032312729</t>
  </si>
  <si>
    <t>GB0032312612</t>
  </si>
  <si>
    <t>GB00B2Q1N560</t>
  </si>
  <si>
    <t>Schroder Dynamic Multi Asset Z Acc in GB</t>
  </si>
  <si>
    <t>GB00B2Q1N909</t>
  </si>
  <si>
    <t>Schroder Dynamic Multi Asset Z Inc TR in GB</t>
  </si>
  <si>
    <t>GB00B68H8S84</t>
  </si>
  <si>
    <t>Schroder European A Acc in GB</t>
  </si>
  <si>
    <t>GB00B9GTQ502</t>
  </si>
  <si>
    <t>GB00B94WQJ53</t>
  </si>
  <si>
    <t>GB00B6S00Y77</t>
  </si>
  <si>
    <t>GB00B9DLYT99</t>
  </si>
  <si>
    <t>GB00B7FHV230</t>
  </si>
  <si>
    <t>GB0033302877</t>
  </si>
  <si>
    <t>Schroder European Alpha Plus A Acc in GB</t>
  </si>
  <si>
    <t>GB0033302760</t>
  </si>
  <si>
    <t>Schroder European Alpha Plus A Inc TR in GB</t>
  </si>
  <si>
    <t>GB00B7LDKR32</t>
  </si>
  <si>
    <t>Schroder European Alpha Plus Z Acc in GB</t>
  </si>
  <si>
    <t>GB00B91WD971</t>
  </si>
  <si>
    <t>Schroder European Alpha Plus Z Hedged Acc GBP in GB**</t>
  </si>
  <si>
    <t>GB00B91YVB14</t>
  </si>
  <si>
    <t>Schroder European Alpha Plus Z Hedged Inc GBP TR in GB**</t>
  </si>
  <si>
    <t>GB00B7LDKT55</t>
  </si>
  <si>
    <t>Schroder European Alpha Plus Z Inc TR in GB</t>
  </si>
  <si>
    <t>GB00BDD2CK71</t>
  </si>
  <si>
    <t>Schroder European L Inc TR in GB</t>
  </si>
  <si>
    <t>GB0031093353</t>
  </si>
  <si>
    <t>Schroder European Recovery A Acc in GB</t>
  </si>
  <si>
    <t>GB0007221772</t>
  </si>
  <si>
    <t>Schroder European Recovery C Acc in GB</t>
  </si>
  <si>
    <t>GB0007221889</t>
  </si>
  <si>
    <t>Schroder European Recovery Z Acc in GB</t>
  </si>
  <si>
    <t>GB00B60BTP24</t>
  </si>
  <si>
    <t>Schroder European Recovery Z Inc TR in GB</t>
  </si>
  <si>
    <t>GB0007648891</t>
  </si>
  <si>
    <t>Schroder European Smaller Companies A Acc in GB</t>
  </si>
  <si>
    <t>GB00B76V5M20</t>
  </si>
  <si>
    <t>Schroder European Smaller Companies Z Acc in GB</t>
  </si>
  <si>
    <t>GB00B76V5P50</t>
  </si>
  <si>
    <t>Schroder European Smaller Companies Z Inc TR in GB</t>
  </si>
  <si>
    <t>GB00B76V8C37</t>
  </si>
  <si>
    <t>Schroder European Z Acc in GB</t>
  </si>
  <si>
    <t>GB00B7Y9XK24</t>
  </si>
  <si>
    <t>Schroder European Z Hedged Acc GBP in GB**</t>
  </si>
  <si>
    <t>GB00B8FGLQ10</t>
  </si>
  <si>
    <t>Schroder European Z Hedged Inc GBP TR in GB**</t>
  </si>
  <si>
    <t>GB00B76V8D44</t>
  </si>
  <si>
    <t>Schroder European Z Inc TR in GB</t>
  </si>
  <si>
    <t>GB0007647489</t>
  </si>
  <si>
    <t>Schroder Gilt &amp; Fixed Interest A Acc in GB</t>
  </si>
  <si>
    <t>GB0007647372</t>
  </si>
  <si>
    <t>Schroder Gilt &amp; Fixed Interest A Inc TR in GB</t>
  </si>
  <si>
    <t>GB00BYTQ7F09</t>
  </si>
  <si>
    <t>Schroder Gilt &amp; Fixed Interest Z Acc in GB</t>
  </si>
  <si>
    <t>GB00BYTQ7D84</t>
  </si>
  <si>
    <t>Schroder Gilt &amp; Fixed Interest Z Inc TR in GB</t>
  </si>
  <si>
    <t>GB00B0LGSD59</t>
  </si>
  <si>
    <t>Schroder Global Cities Real Estate A Acc in GB</t>
  </si>
  <si>
    <t>GB00B0LGTF49</t>
  </si>
  <si>
    <t>Schroder Global Cities Real Estate A Inc TR in GB</t>
  </si>
  <si>
    <t>GB00B4XCGK27</t>
  </si>
  <si>
    <t>Schroder Global Cities Real Estate Income A Acc in GB</t>
  </si>
  <si>
    <t>GB00B52V9F34</t>
  </si>
  <si>
    <t>Schroder Global Cities Real Estate Income A Inc TR in GB</t>
  </si>
  <si>
    <t>GB00BDD2DK47</t>
  </si>
  <si>
    <t>Schroder Global Cities Real Estate Income L Inc TR in GB</t>
  </si>
  <si>
    <t>GB00B50MLC91</t>
  </si>
  <si>
    <t>Schroder Global Cities Real Estate Income Z Acc in GB</t>
  </si>
  <si>
    <t>GB00B53VQ629</t>
  </si>
  <si>
    <t>Schroder Global Cities Real Estate Income Z Inc TR in GB</t>
  </si>
  <si>
    <t>GB00BDD2DQ09</t>
  </si>
  <si>
    <t>Schroder Global Cities Real Estate L Acc in GB</t>
  </si>
  <si>
    <t>GB00BF785Q25</t>
  </si>
  <si>
    <t>Schroder Global Cities Real Estate L Hedged Acc in GB</t>
  </si>
  <si>
    <t>GB00BDD2DR16</t>
  </si>
  <si>
    <t>Schroder Global Cities Real Estate L Inc TR in GB</t>
  </si>
  <si>
    <t>GB00B1VPTY75</t>
  </si>
  <si>
    <t>Schroder Global Cities Real Estate Z Acc in GB</t>
  </si>
  <si>
    <t>GB00B1VPTW51</t>
  </si>
  <si>
    <t>Schroder Global Cities Real Estate Z Inc TR in GB</t>
  </si>
  <si>
    <t>GB0007906463</t>
  </si>
  <si>
    <t>Schroder Global Emerging Markets A Acc in GB</t>
  </si>
  <si>
    <t>GB0007906356</t>
  </si>
  <si>
    <t>Schroder Global Emerging Markets A Inc TR in GB</t>
  </si>
  <si>
    <t>GB00B76V5Q67</t>
  </si>
  <si>
    <t>Schroder Global Emerging Markets Z Acc in GB</t>
  </si>
  <si>
    <t>GB00B76V5R74</t>
  </si>
  <si>
    <t>Schroder Global Emerging Markets Z Inc TR in GB</t>
  </si>
  <si>
    <t>GB00BF781D16</t>
  </si>
  <si>
    <t>GB00BF781K82</t>
  </si>
  <si>
    <t>GB0007646309</t>
  </si>
  <si>
    <t>GB0007659781</t>
  </si>
  <si>
    <t>GB00BD8RLG68</t>
  </si>
  <si>
    <t>GB00BD8RLF51</t>
  </si>
  <si>
    <t>GB00BD8RLD38</t>
  </si>
  <si>
    <t>GB00B1N91F21</t>
  </si>
  <si>
    <t>Schroder Global Equity Income A Acc in GB</t>
  </si>
  <si>
    <t>GB00B1N91C99</t>
  </si>
  <si>
    <t>Schroder Global Equity Income A Inc TR in GB</t>
  </si>
  <si>
    <t>GB00BDD2CM95</t>
  </si>
  <si>
    <t>Schroder Global Equity Income L Inc TR in GB</t>
  </si>
  <si>
    <t>GB00B76V7M69</t>
  </si>
  <si>
    <t>Schroder Global Equity Income Z Acc in GB</t>
  </si>
  <si>
    <t>GB00B76V7N76</t>
  </si>
  <si>
    <t>Schroder Global Equity Income Z Inc TR in GB</t>
  </si>
  <si>
    <t>GB0003880183</t>
  </si>
  <si>
    <t>Schroder Global Healthcare A Acc in GB</t>
  </si>
  <si>
    <t>GB0003880290</t>
  </si>
  <si>
    <t>Schroder Global Healthcare A Inc TR in GB</t>
  </si>
  <si>
    <t>GB00B76V7Q08</t>
  </si>
  <si>
    <t>Schroder Global Healthcare Z Acc in GB</t>
  </si>
  <si>
    <t>GB00B76V7R15</t>
  </si>
  <si>
    <t>Schroder Global Healthcare Z Inc TR in GB</t>
  </si>
  <si>
    <t>GB00BYRJXP30</t>
  </si>
  <si>
    <t>Schroder Global Recovery L Acc in GB</t>
  </si>
  <si>
    <t>GB00BYRJXL91</t>
  </si>
  <si>
    <t>Schroder Global Recovery Z Acc in GB</t>
  </si>
  <si>
    <t>GB00BYRJXM09</t>
  </si>
  <si>
    <t>Schroder Global Recovery Z Inc TR in GB</t>
  </si>
  <si>
    <t>GB00BF781R51</t>
  </si>
  <si>
    <t>Schroder Global Sustainable Growth Z Acc in GB</t>
  </si>
  <si>
    <t>19/01/2021</t>
  </si>
  <si>
    <t>GB00BF781Q45</t>
  </si>
  <si>
    <t>GB0009505693</t>
  </si>
  <si>
    <t>Schroder High Yield Opportunities A Acc in GB</t>
  </si>
  <si>
    <t>GB0009505586</t>
  </si>
  <si>
    <t>Schroder High Yield Opportunities A Inc TR in GB</t>
  </si>
  <si>
    <t>GB00B83RDY83</t>
  </si>
  <si>
    <t>Schroder High Yield Opportunities Z Acc in GB</t>
  </si>
  <si>
    <t>GB00B5143284</t>
  </si>
  <si>
    <t>Schroder High Yield Opportunities Z Inc TR in GB</t>
  </si>
  <si>
    <t>GB0007649196</t>
  </si>
  <si>
    <t>Schroder Income A Acc in GB</t>
  </si>
  <si>
    <t>GB0007648909</t>
  </si>
  <si>
    <t>Schroder Income A Inc TR in GB</t>
  </si>
  <si>
    <t>GB00B0HWHK75</t>
  </si>
  <si>
    <t>Schroder Income Maximiser A Acc in GB</t>
  </si>
  <si>
    <t>GB00B0HWJ904</t>
  </si>
  <si>
    <t>Schroder Income Maximiser A Inc TR in GB</t>
  </si>
  <si>
    <t>GB00BDD2F083</t>
  </si>
  <si>
    <t>Schroder Income Maximiser L Inc TR in GB</t>
  </si>
  <si>
    <t>GB00B5B0KM51</t>
  </si>
  <si>
    <t>Schroder Income Maximiser Z Acc in GB</t>
  </si>
  <si>
    <t>GB00B53FRD82</t>
  </si>
  <si>
    <t>Schroder Income Maximiser Z Inc TR in GB</t>
  </si>
  <si>
    <t>GB00B3PM1190</t>
  </si>
  <si>
    <t>Schroder Income Z Acc in GB</t>
  </si>
  <si>
    <t>GB00B5WJCB41</t>
  </si>
  <si>
    <t>Schroder Income Z Inc TR in GB</t>
  </si>
  <si>
    <t>Schroder Institutional Pacific I Acc in GB</t>
  </si>
  <si>
    <t>GB0009569327</t>
  </si>
  <si>
    <t>Schroder Long Dated Corporate Bond I Acc in GB</t>
  </si>
  <si>
    <t>GB00BF77ZL43</t>
  </si>
  <si>
    <t>Schroder Long Dated Corporate Bond Y Acc in GB</t>
  </si>
  <si>
    <t>GB00B1G5TD15</t>
  </si>
  <si>
    <t>Schroder Managed Balanced A Acc in GB</t>
  </si>
  <si>
    <t>GB00BDZDTG38</t>
  </si>
  <si>
    <t>Schroder Managed Balanced Z Acc in GB</t>
  </si>
  <si>
    <t>GB00BDZDTH45</t>
  </si>
  <si>
    <t>Schroder Managed Balanced Z Inc TR in GB</t>
  </si>
  <si>
    <t>GB0007897308</t>
  </si>
  <si>
    <t>Schroder Managed Wealth Portfolio A Acc in GB</t>
  </si>
  <si>
    <t>GB0007897290</t>
  </si>
  <si>
    <t>Schroder Managed Wealth Portfolio A Inc TR in GB</t>
  </si>
  <si>
    <t>GB00B84YNB54</t>
  </si>
  <si>
    <t>Schroder Managed Wealth Portfolio Z Acc in GB</t>
  </si>
  <si>
    <t>GB00B7134X76</t>
  </si>
  <si>
    <t>Schroder Managed Wealth Portfolio Z Inc TR in GB</t>
  </si>
  <si>
    <t>GB0031549263</t>
  </si>
  <si>
    <t>Schroder MM Diversity A Acc in GB</t>
  </si>
  <si>
    <t>GB0031537300</t>
  </si>
  <si>
    <t>Schroder MM Diversity A Inc TR in GB</t>
  </si>
  <si>
    <t>GB00B432ML56</t>
  </si>
  <si>
    <t>GB00B41LY520</t>
  </si>
  <si>
    <t>GB00B4K1MN77</t>
  </si>
  <si>
    <t>GB00B418R656</t>
  </si>
  <si>
    <t>GB00B60CZD52</t>
  </si>
  <si>
    <t>Schroder MM Diversity Z Acc in GB</t>
  </si>
  <si>
    <t>GB00B602JM21</t>
  </si>
  <si>
    <t>Schroder MM Diversity Z Inc TR in GB</t>
  </si>
  <si>
    <t>GB0031548745</t>
  </si>
  <si>
    <t>GB00B5ZZ8006</t>
  </si>
  <si>
    <t>GB00B6Y7N654</t>
  </si>
  <si>
    <t>GB00B78ST188</t>
  </si>
  <si>
    <t>Schroder Monthly Income Z Acc in GB</t>
  </si>
  <si>
    <t>GB00B66FVB83</t>
  </si>
  <si>
    <t>Schroder Monthly Income Z Inc TR in GB</t>
  </si>
  <si>
    <t>GB00BYXYVZ82</t>
  </si>
  <si>
    <t>Schroder Multi-Asset Total Return Z Acc in GB</t>
  </si>
  <si>
    <t>GB00BYXYVX68</t>
  </si>
  <si>
    <t>Schroder Multi-Asset Total Return Z Inc TR in GB</t>
  </si>
  <si>
    <t>GB00BF780N49</t>
  </si>
  <si>
    <t>GB00BF780P62</t>
  </si>
  <si>
    <t>GB00BF780Q79</t>
  </si>
  <si>
    <t>GB00BF780R86</t>
  </si>
  <si>
    <t>GB00BF780S93</t>
  </si>
  <si>
    <t>GB00BF780T01</t>
  </si>
  <si>
    <t>GB00B0QQ0W32</t>
  </si>
  <si>
    <t>Schroder QEP Global Active Value A Acc in GB</t>
  </si>
  <si>
    <t>GB00B76V8G74</t>
  </si>
  <si>
    <t>Schroder QEP Global Active Value Z Acc in GB</t>
  </si>
  <si>
    <t>GB00B76V8H81</t>
  </si>
  <si>
    <t>Schroder QEP Global Active Value Z Inc TR in GB</t>
  </si>
  <si>
    <t>GB00B5310487</t>
  </si>
  <si>
    <t>Schroder QEP Global Core A Acc in GB</t>
  </si>
  <si>
    <t>GB00B53G9Z70</t>
  </si>
  <si>
    <t>Schroder QEP Global Core A Inc TR in GB</t>
  </si>
  <si>
    <t>GB00BNGY5232</t>
  </si>
  <si>
    <t>Schroder QEP Global Emerging Markets Z Acc in GB</t>
  </si>
  <si>
    <t>GB0007648347</t>
  </si>
  <si>
    <t>Schroder QEP US Core Inst Acc in GB</t>
  </si>
  <si>
    <t>GB0007648230</t>
  </si>
  <si>
    <t>Schroder QEP US Core Inst Inc TR in GB</t>
  </si>
  <si>
    <t>GB0007893760</t>
  </si>
  <si>
    <t>Schroder Recovery A Acc in GB</t>
  </si>
  <si>
    <t>GB0007809824</t>
  </si>
  <si>
    <t>Schroder Recovery A Inc TR in GB</t>
  </si>
  <si>
    <t>GB00BDD2F190</t>
  </si>
  <si>
    <t>Schroder Recovery L Acc in GB**</t>
  </si>
  <si>
    <t>GB00B3VVG600</t>
  </si>
  <si>
    <t>Schroder Recovery Z Acc in GB</t>
  </si>
  <si>
    <t>GB00B3W2HM55</t>
  </si>
  <si>
    <t>Schroder Recovery Z Inc TR in GB</t>
  </si>
  <si>
    <t>GB00BF783V38</t>
  </si>
  <si>
    <t>GB00B5NX4423</t>
  </si>
  <si>
    <t>Schroder Small Cap Discovery A Acc in GB</t>
  </si>
  <si>
    <t>GB00B4ZV6P20</t>
  </si>
  <si>
    <t>Schroder Small Cap Discovery A Inc TR in GB</t>
  </si>
  <si>
    <t>GB00B5ZS9V71</t>
  </si>
  <si>
    <t>Schroder Small Cap Discovery Z Acc in GB</t>
  </si>
  <si>
    <t>GB00B4Y8PY67</t>
  </si>
  <si>
    <t>Schroder Small Cap Discovery Z Inc TR in GB</t>
  </si>
  <si>
    <t>GB00BDV0KY38</t>
  </si>
  <si>
    <t>Schroder Sterling Corporate Bond A Acc in GB</t>
  </si>
  <si>
    <t>GB0031093247</t>
  </si>
  <si>
    <t>Schroder Sterling Corporate Bond A Inc TR in GB</t>
  </si>
  <si>
    <t>GB0007220584</t>
  </si>
  <si>
    <t>Schroder Sterling Corporate Bond C Inc TR in GB</t>
  </si>
  <si>
    <t>GB0009379370</t>
  </si>
  <si>
    <t>Schroder Sterling Corporate Bond Z Acc TR in GB**</t>
  </si>
  <si>
    <t>GB00B7458508</t>
  </si>
  <si>
    <t>Schroder Sterling Corporate Bond Z Inc TR in GB</t>
  </si>
  <si>
    <t>GB00B7FPS593</t>
  </si>
  <si>
    <t>Schroder Strategic Bond Z Acc in GB</t>
  </si>
  <si>
    <t>GB00B717KH50</t>
  </si>
  <si>
    <t>Schroder Strategic Bond Z Inc TR in GB</t>
  </si>
  <si>
    <t>GB00B11DNZ00</t>
  </si>
  <si>
    <t>Schroder Strategic Credit A Acc in GB</t>
  </si>
  <si>
    <t>GB00B11DNY92</t>
  </si>
  <si>
    <t>Schroder Strategic Credit A Inc TR in GB</t>
  </si>
  <si>
    <t>GB00B11DP106</t>
  </si>
  <si>
    <t>Schroder Strategic Credit L Acc in GB</t>
  </si>
  <si>
    <t>GB00B11DP098</t>
  </si>
  <si>
    <t>Schroder Strategic Credit L Inc TR in GB</t>
  </si>
  <si>
    <t>GB00BJZ2ZC09</t>
  </si>
  <si>
    <t>Schroder Strategic Credit Z Acc in GB</t>
  </si>
  <si>
    <t>GB00BJZ2ZK82</t>
  </si>
  <si>
    <t>Schroder Strategic Credit Z Inc TR in GB**</t>
  </si>
  <si>
    <t>GB0007650640</t>
  </si>
  <si>
    <t>Schroder Tokyo A Acc in GB</t>
  </si>
  <si>
    <t>GB0007650533</t>
  </si>
  <si>
    <t>Schroder Tokyo A Inc TR in GB</t>
  </si>
  <si>
    <t>GB00BDD2J846</t>
  </si>
  <si>
    <t>Schroder Tokyo L Inc TR in GB</t>
  </si>
  <si>
    <t>GB00B4SZR818</t>
  </si>
  <si>
    <t>Schroder Tokyo Z Acc in GB</t>
  </si>
  <si>
    <t>GB00B8BJDX53</t>
  </si>
  <si>
    <t>Schroder Tokyo Z Hedged Acc GBP in GB**</t>
  </si>
  <si>
    <t>GB00B8V8R746</t>
  </si>
  <si>
    <t>Schroder Tokyo Z Hedged Inc GBP TR in GB**</t>
  </si>
  <si>
    <t>GB00B58VQH84</t>
  </si>
  <si>
    <t>Schroder Tokyo Z Inc TR in GB</t>
  </si>
  <si>
    <t>GB00B073JG03</t>
  </si>
  <si>
    <t>Schroder UK Alpha Income A Inc TR in GB</t>
  </si>
  <si>
    <t>GB00B073HX38</t>
  </si>
  <si>
    <t>Schroder UK Alpha Income C TR in GB</t>
  </si>
  <si>
    <t>GB00B7F32Y08</t>
  </si>
  <si>
    <t>Schroder UK Alpha Income Z Acc TR in GB**</t>
  </si>
  <si>
    <t>GB00B073JS25</t>
  </si>
  <si>
    <t>Schroder UK Alpha Income Z Inc TR in GB</t>
  </si>
  <si>
    <t>GB0031440133</t>
  </si>
  <si>
    <t>Schroder UK Alpha Plus A Acc in GB</t>
  </si>
  <si>
    <t>GB0031440026</t>
  </si>
  <si>
    <t>Schroder UK Alpha Plus A Inc TR in GB</t>
  </si>
  <si>
    <t>GB00B5L33N61</t>
  </si>
  <si>
    <t>Schroder UK Alpha Plus Z Acc in GB</t>
  </si>
  <si>
    <t>GB00B60R7N45</t>
  </si>
  <si>
    <t>Schroder UK Alpha Plus Z Inc TR in GB</t>
  </si>
  <si>
    <t>GB00B3N53472</t>
  </si>
  <si>
    <t>Schroder UK Dynamic Absolute Return P2 Acc GBP in GB</t>
  </si>
  <si>
    <t>GB0031092942</t>
  </si>
  <si>
    <t>Schroder UK Dynamic Smaller Companies A in GB</t>
  </si>
  <si>
    <t>GB0007219362</t>
  </si>
  <si>
    <t>Schroder UK Dynamic Smaller Companies C Acc in GB</t>
  </si>
  <si>
    <t>GB0007219818</t>
  </si>
  <si>
    <t>Schroder UK Dynamic Smaller Companies C Inc TR in GB</t>
  </si>
  <si>
    <t>GB0007220360</t>
  </si>
  <si>
    <t>Schroder UK Dynamic Smaller Companies Z Acc in GB</t>
  </si>
  <si>
    <t>GB00B5VQ0123</t>
  </si>
  <si>
    <t>Schroder UK Dynamic Smaller Companies Z Inc TR in GB</t>
  </si>
  <si>
    <t>GB0007648784</t>
  </si>
  <si>
    <t>Schroder UK Equity A Acc in GB</t>
  </si>
  <si>
    <t>GB0007648677</t>
  </si>
  <si>
    <t>Schroder UK Equity A Inc TR in GB</t>
  </si>
  <si>
    <t>GB00B3VQSZ80</t>
  </si>
  <si>
    <t>Schroder UK Equity Z Acc in GB</t>
  </si>
  <si>
    <t>GB00B44B2999</t>
  </si>
  <si>
    <t>Schroder UK Equity Z Inc TR in GB</t>
  </si>
  <si>
    <t>GB0008528696</t>
  </si>
  <si>
    <t>Schroder UK Mid 250 A Acc in GB</t>
  </si>
  <si>
    <t>GB0008528589</t>
  </si>
  <si>
    <t>Schroder UK Mid 250 A Inc TR in GB</t>
  </si>
  <si>
    <t>GB00B76V7S22</t>
  </si>
  <si>
    <t>Schroder UK Mid 250 Z Acc in GB</t>
  </si>
  <si>
    <t>GB00B76V7X74</t>
  </si>
  <si>
    <t>Schroder UK Mid 250 Z Inc TR in GB</t>
  </si>
  <si>
    <t>GB0031092728</t>
  </si>
  <si>
    <t>Schroder UK Opportunities A in GB</t>
  </si>
  <si>
    <t>GB0007218398</t>
  </si>
  <si>
    <t>Schroder UK Opportunities Z in GB</t>
  </si>
  <si>
    <t>GB00B6ZH3F37</t>
  </si>
  <si>
    <t>Schroder UK Opportunities Z Inc TR in GB</t>
  </si>
  <si>
    <t>GB0007649535</t>
  </si>
  <si>
    <t>Schroder UK Smaller Companies A Acc in GB</t>
  </si>
  <si>
    <t>GB0007649311</t>
  </si>
  <si>
    <t>Schroder UK Smaller Companies A Inc TR in GB</t>
  </si>
  <si>
    <t>GB00B76V7Z98</t>
  </si>
  <si>
    <t>Schroder UK Smaller Companies Z Acc in GB</t>
  </si>
  <si>
    <t>GB00B76V8019</t>
  </si>
  <si>
    <t>Schroder UK Smaller Companies Z Inc TR in GB</t>
  </si>
  <si>
    <t>GB00BYP25698</t>
  </si>
  <si>
    <t>Schroder US Equity Income Maximiser L Inc TR in GB</t>
  </si>
  <si>
    <t>GB00BYP25144</t>
  </si>
  <si>
    <t>Schroder US Equity Income Maximiser Z Acc in GB</t>
  </si>
  <si>
    <t>GB00BYP24Z16</t>
  </si>
  <si>
    <t>Schroder US Equity Income Maximiser Z Inc TR in GB</t>
  </si>
  <si>
    <t>GB0030347271</t>
  </si>
  <si>
    <t>Schroder US Mid Cap A Acc in GB</t>
  </si>
  <si>
    <t>GB0030347057</t>
  </si>
  <si>
    <t>Schroder US Mid Cap A Inc in GB</t>
  </si>
  <si>
    <t>GB00BDD2JX95</t>
  </si>
  <si>
    <t>Schroder US Mid Cap L Acc in GB</t>
  </si>
  <si>
    <t>GB00BDD2JZ10</t>
  </si>
  <si>
    <t>Schroder US Mid Cap L Inc TR in GB</t>
  </si>
  <si>
    <t>GB00B7LDLV43</t>
  </si>
  <si>
    <t>Schroder US Mid Cap Z Acc in GB</t>
  </si>
  <si>
    <t>GB00B7M4CS05</t>
  </si>
  <si>
    <t>Schroder US Mid Cap Z Inc TR in GB</t>
  </si>
  <si>
    <t>GB0007810152</t>
  </si>
  <si>
    <t>Schroder US Smaller Companies A Acc in GB</t>
  </si>
  <si>
    <t>GB0007810046</t>
  </si>
  <si>
    <t>Schroder US Smaller Companies A Inc TR in GB</t>
  </si>
  <si>
    <t>GB00B7LDL923</t>
  </si>
  <si>
    <t>Schroder US Smaller Companies Z Acc in GB</t>
  </si>
  <si>
    <t>GB00B7LDLC53</t>
  </si>
  <si>
    <t>Schroder US Smaller Companies Z Inc TR in GB</t>
  </si>
  <si>
    <t>GB00B0706C66</t>
  </si>
  <si>
    <t>Slater Growth A Acc in GB</t>
  </si>
  <si>
    <t>18/01/2021</t>
  </si>
  <si>
    <t>GB00B8YPGL91</t>
  </si>
  <si>
    <t>Slater Growth B Acc in GB</t>
  </si>
  <si>
    <t>Slater Growth P Acc in GB</t>
  </si>
  <si>
    <t>GB00B6YSXJ10</t>
  </si>
  <si>
    <t>Slater Income A Inc TR in GB</t>
  </si>
  <si>
    <t>GB00BYV2HQ78</t>
  </si>
  <si>
    <t>Slater Income P Acc TR in GB**</t>
  </si>
  <si>
    <t>GB00B905XJ71</t>
  </si>
  <si>
    <t>Slater Income P Inc TR in GB</t>
  </si>
  <si>
    <t>GB0031554248</t>
  </si>
  <si>
    <t>Slater Recovery A Acc in GB</t>
  </si>
  <si>
    <t>GB00B90KTC71</t>
  </si>
  <si>
    <t>Slater Recovery P Acc in GB</t>
  </si>
  <si>
    <t>GB00B3RJHY30</t>
  </si>
  <si>
    <t>06/02/2020</t>
  </si>
  <si>
    <t>GB00B43LJX34</t>
  </si>
  <si>
    <t>Smith &amp; Williamson MM Endurance Balanced B Inc TR in GB</t>
  </si>
  <si>
    <t>GB00B89C3K35</t>
  </si>
  <si>
    <t>Smith &amp; Williamson MM Global Investment B Inc TR in GB</t>
  </si>
  <si>
    <t>GB00BYPHPB97</t>
  </si>
  <si>
    <t>GB00BYPHPD12</t>
  </si>
  <si>
    <t>GB00BYPHP973</t>
  </si>
  <si>
    <t>GB0033874214</t>
  </si>
  <si>
    <t>Stewart Investors Asia Pacific Leaders Sustainability A GBP Acc in GB</t>
  </si>
  <si>
    <t>GB00B54S3722</t>
  </si>
  <si>
    <t>Stewart Investors Asia Pacific Leaders Sustainability A GBP Inc TR in GB</t>
  </si>
  <si>
    <t>Stewart Investors Asia Pacific Leaders Sustainability B Acc GBP in GB</t>
  </si>
  <si>
    <t>GB00B57S0V20</t>
  </si>
  <si>
    <t>Stewart Investors Asia Pacific Leaders Sustainability B Inc GBP TR in GB**</t>
  </si>
  <si>
    <t>GB00B0TY6S22</t>
  </si>
  <si>
    <t>Stewart Investors Asia Pacific Sustainab. A GBP Acc in GB</t>
  </si>
  <si>
    <t>GB00B0TY6V50</t>
  </si>
  <si>
    <t>Stewart Investors Asia Pacific Sustainab. B GBP Acc in GB</t>
  </si>
  <si>
    <t>GB0030183890</t>
  </si>
  <si>
    <t>Stewart Investors Asia Pcfic and Japan Sustblty A GBP Acc in GB</t>
  </si>
  <si>
    <t>GB00B50G1435</t>
  </si>
  <si>
    <t>Stewart Investors Asia Pcfic and Japan Sustblty A GBP Inc TR in GB</t>
  </si>
  <si>
    <t>GB0030184088</t>
  </si>
  <si>
    <t>Stewart Investors Asia Pcfic and Japan Sustblty B GBP Acc in GB**</t>
  </si>
  <si>
    <t>GB00B57XX416</t>
  </si>
  <si>
    <t>Stewart Investors Asia Pcfic and Japan Sustblty B GBP Inc TR in GB**</t>
  </si>
  <si>
    <t>GB0030190366</t>
  </si>
  <si>
    <t>Stewart Investors Global Emerging Markets A GBP Acc in GB</t>
  </si>
  <si>
    <t>GB0030187438</t>
  </si>
  <si>
    <t>Stewart Investors Global Emerging Markets B GBP Acc in GB**</t>
  </si>
  <si>
    <t>GB0033873919</t>
  </si>
  <si>
    <t>Stewart Investors Global Emerging Markets Leaders A GBP Acc in GB</t>
  </si>
  <si>
    <t>GB0033874545</t>
  </si>
  <si>
    <t>Stewart Investors Global Emerging Markets Leaders B GBP Acc in GB</t>
  </si>
  <si>
    <t>GB00B8DJC361</t>
  </si>
  <si>
    <t>Stewart Investors Global Emerging Markets Leaders B GBP Inc TR in GB**</t>
  </si>
  <si>
    <t>GB00B64TS881</t>
  </si>
  <si>
    <t>Stewart Investors Global Emerging Markets Sustainability A GBP Acc in GB</t>
  </si>
  <si>
    <t>GB00B64TS998</t>
  </si>
  <si>
    <t>Stewart Investors Global Emerging Markets Sustainability B GBP Acc in GB</t>
  </si>
  <si>
    <t>GB00B1FXTF86</t>
  </si>
  <si>
    <t>Stewart Investors Indian Subcontinent Sustainability A GBP Acc in GB</t>
  </si>
  <si>
    <t>GB00B1FXTG93</t>
  </si>
  <si>
    <t>Stewart Investors Indian Subcontinent Sustainability B Acc GBP in GB**</t>
  </si>
  <si>
    <t>GB00B64TSD33</t>
  </si>
  <si>
    <t>Stewart Investors Latin America A GBP Acc in GB</t>
  </si>
  <si>
    <t>GB00B64TSF56</t>
  </si>
  <si>
    <t>Stewart Investors Latin America B GBP Acc in GB</t>
  </si>
  <si>
    <t>GB0030978612</t>
  </si>
  <si>
    <t>Stewart Investors Worldw. Lead. Sust. A Acc GBP in GB</t>
  </si>
  <si>
    <t>GB0030978729</t>
  </si>
  <si>
    <t>Stewart Investors Worldw. Lead. Sust. B GBP Acc in GB**</t>
  </si>
  <si>
    <t>GB00B7W30613</t>
  </si>
  <si>
    <t>Stewart Investors Worldwide Sustainab. B Acc GBP in GB</t>
  </si>
  <si>
    <t>GB00B8319S60</t>
  </si>
  <si>
    <t>Stewart Investors Worldwide Sustainab. B Inc GBP TR in GB</t>
  </si>
  <si>
    <t>GB00B1FL7S17</t>
  </si>
  <si>
    <t>SVM All Europe SRI A in GB</t>
  </si>
  <si>
    <t>GB00B1FL7V46</t>
  </si>
  <si>
    <t>SVM All Europe SRI B in GB</t>
  </si>
  <si>
    <t>GB0032094954</t>
  </si>
  <si>
    <t>SVM Continental Europe B in GB</t>
  </si>
  <si>
    <t>GB0032064635</t>
  </si>
  <si>
    <t>SVM UK Growth A in GB</t>
  </si>
  <si>
    <t>GB0032084708</t>
  </si>
  <si>
    <t>SVM UK Growth B in GB</t>
  </si>
  <si>
    <t>GB0032064304</t>
  </si>
  <si>
    <t>SVM UK Opportunities A in GB</t>
  </si>
  <si>
    <t>GB0032084815</t>
  </si>
  <si>
    <t>SVM UK Opportunities B in GB</t>
  </si>
  <si>
    <t>GB00B0KXRB86</t>
  </si>
  <si>
    <t>SVM World Equity A in GB</t>
  </si>
  <si>
    <t>GB00B0KXSK43</t>
  </si>
  <si>
    <t>SVM World Equity B in GB</t>
  </si>
  <si>
    <t>24/01/2019</t>
  </si>
  <si>
    <t>GB00B5448K84</t>
  </si>
  <si>
    <t>SVS BambuBlack Asia ex-Japan All-Cap B in GB</t>
  </si>
  <si>
    <t>GB00B4NXPJ75</t>
  </si>
  <si>
    <t>SVS BambuBlack Asia Income &amp; Growth B Inc TR in GB</t>
  </si>
  <si>
    <t>07/02/2019</t>
  </si>
  <si>
    <t>GB00BNBNRC95</t>
  </si>
  <si>
    <t>SVS Church House Balanced Equity Income B Acc TR in GB**</t>
  </si>
  <si>
    <t>16/02/2021</t>
  </si>
  <si>
    <t>GB00BNBNRB88</t>
  </si>
  <si>
    <t>SVS Church House Balanced Equity Income B Inc TR in GB**</t>
  </si>
  <si>
    <t>GB00BNBNRH41</t>
  </si>
  <si>
    <t>SVS Church House Esk Global Equity B Acc TR in GB**</t>
  </si>
  <si>
    <t>GB00BNBNRG34</t>
  </si>
  <si>
    <t>SVS Church House Esk Global Equity B Inc TR in GB**</t>
  </si>
  <si>
    <t>GB00B11DPK96</t>
  </si>
  <si>
    <t>SVS Church House Investment Grade Fixed Interest Acc TR in GB**</t>
  </si>
  <si>
    <t>GB0004743828</t>
  </si>
  <si>
    <t>SVS Church House Investment Grade Fixed Interest TR in GB</t>
  </si>
  <si>
    <t>GB00B28KSK12</t>
  </si>
  <si>
    <t>SVS Church House Tenax Absolute Return Strategies B Acc in GB</t>
  </si>
  <si>
    <t>GB00BNBNRF27</t>
  </si>
  <si>
    <t>SVS Church House Tenax Absolute Return Strategies C Acc GBP in GB**</t>
  </si>
  <si>
    <t>GB00BNBNRD03</t>
  </si>
  <si>
    <t>SVS Church House Tenax Absolute Return Strategies C Inc GBP TR in GB**</t>
  </si>
  <si>
    <t>GB00BNBNR962</t>
  </si>
  <si>
    <t>SVS Church House UK Equity Growth B Acc in GB**</t>
  </si>
  <si>
    <t>GB00BNBNR855</t>
  </si>
  <si>
    <t>SVS Church House UK Equity Growth B Inc TR in GB**</t>
  </si>
  <si>
    <t>GB00BLY2BF03</t>
  </si>
  <si>
    <t>SVS Church House UK Smaller Companies B in GB**</t>
  </si>
  <si>
    <t>GB0008192840</t>
  </si>
  <si>
    <t>SVS Sanlam European Equity A Inc TR in GB</t>
  </si>
  <si>
    <t>GB00B4LLXV18</t>
  </si>
  <si>
    <t>SVS Sanlam European Equity B Inc TR in GB</t>
  </si>
  <si>
    <t>GB0008193038</t>
  </si>
  <si>
    <t>SVS Sanlam Fixed Interest A Inc TR in GB</t>
  </si>
  <si>
    <t>GB00BF7TH924</t>
  </si>
  <si>
    <t>SVS Sanlam Fixed Interest B Acc TR in GB**</t>
  </si>
  <si>
    <t>GB00B3T5LK39</t>
  </si>
  <si>
    <t>SVS Sanlam Fixed Interest B Inc TR in GB</t>
  </si>
  <si>
    <t>GB0007655698</t>
  </si>
  <si>
    <t>SVS Sanlam North American Equity A Inc TR in GB</t>
  </si>
  <si>
    <t>GB00B40T1C34</t>
  </si>
  <si>
    <t>SVS Sanlam North American Equity B Inc TR in GB</t>
  </si>
  <si>
    <t>GB00BHHMSJ25</t>
  </si>
  <si>
    <t>SVS Sanlam UK Equity Growth B Acc TR in GB**</t>
  </si>
  <si>
    <t>GB00B43KQL71</t>
  </si>
  <si>
    <t>SVS Sanlam UK Equity Growth B Inc TR in GB</t>
  </si>
  <si>
    <t>GB00B1LB2Z79</t>
  </si>
  <si>
    <t>T. Bailey Dynamic A Acc TR in GB**</t>
  </si>
  <si>
    <t>GB00B1385S07</t>
  </si>
  <si>
    <t>T. Bailey Dynamic A Inc TR in GB</t>
  </si>
  <si>
    <t>GB00B796C343</t>
  </si>
  <si>
    <t>T. Bailey Fund Srvs Ltd (ACD) Aptus Global Financials B Acc GBP in GB</t>
  </si>
  <si>
    <t>GB00B8DYMW03</t>
  </si>
  <si>
    <t>T. Bailey Fund Srvs Ltd (ACD) Aptus Global Financials B Inc GBP TR in GB</t>
  </si>
  <si>
    <t>GB00B92M1L47</t>
  </si>
  <si>
    <t>1.81</t>
  </si>
  <si>
    <t>GB00B92M7160</t>
  </si>
  <si>
    <t>T. Bailey Fund Srvs Ltd (ACD) TB Doherty Balanced Managed B Acc GBP in GB</t>
  </si>
  <si>
    <t>GB00B92M8572</t>
  </si>
  <si>
    <t>T. Bailey Fund Srvs Ltd (ACD) TB Doherty Cautious Managed B Acc GBP in GB</t>
  </si>
  <si>
    <t>GB00BYQ06472</t>
  </si>
  <si>
    <t>T. Bailey Fund Srvs Ltd (ACD) TB Doherty Distribution B Acc in GB</t>
  </si>
  <si>
    <t>1.95</t>
  </si>
  <si>
    <t>GB00BYQ06589</t>
  </si>
  <si>
    <t>T. Bailey Fund Srvs Ltd (ACD) TB Doherty Distribution B Inc TR in GB</t>
  </si>
  <si>
    <t>GB0009346486</t>
  </si>
  <si>
    <t>T. Bailey Growth A Acc in GB</t>
  </si>
  <si>
    <t>GB00BF0S8S26</t>
  </si>
  <si>
    <t>T. Rowe Price Asian Opportunities Equity C Acc in GB</t>
  </si>
  <si>
    <t>GB00BD3RT239</t>
  </si>
  <si>
    <t>T. Rowe Price Continental European Equity C Acc GBP in GB</t>
  </si>
  <si>
    <t>GB00BHNDVL29</t>
  </si>
  <si>
    <t>T. Rowe Price Continental European Equity C9 Acc GBP in GB**</t>
  </si>
  <si>
    <t>GB00BD0NLR34</t>
  </si>
  <si>
    <t>T. Rowe Price Dynamic Global Bond C Acc in GB</t>
  </si>
  <si>
    <t>GB00BD446774</t>
  </si>
  <si>
    <t>T. Rowe Price Global Focused Growth Equity C Acc in GB</t>
  </si>
  <si>
    <t>GB00BF0S8Y85</t>
  </si>
  <si>
    <t>T. Rowe Price Global Focused Growth Equity C9 Acc in GB</t>
  </si>
  <si>
    <t>GB00BD446J95</t>
  </si>
  <si>
    <t>T. Rowe Price Global Natural Resources Equity C Acc in GB</t>
  </si>
  <si>
    <t>GB00BD446K01</t>
  </si>
  <si>
    <t>T. Rowe Price Global Technology Equity C Acc in GB</t>
  </si>
  <si>
    <t>GB00BM638Z78</t>
  </si>
  <si>
    <t>T. Rowe Price Japanese Equity C 10 Acc in GB**</t>
  </si>
  <si>
    <t>GB00BF0S8W61</t>
  </si>
  <si>
    <t>T. Rowe Price Japanese Equity C 9 Acc in GB</t>
  </si>
  <si>
    <t>GB00BD446L18</t>
  </si>
  <si>
    <t>T. Rowe Price Japanese Equity C Acc in GB</t>
  </si>
  <si>
    <t>GB00BD8G5832</t>
  </si>
  <si>
    <t>T. Rowe Price US Equity C Acc GBP in GB</t>
  </si>
  <si>
    <t>GB00BD5FHW12</t>
  </si>
  <si>
    <t>T. Rowe Price US Large Cap Growth Equity C Acc in GB</t>
  </si>
  <si>
    <t>GB00BD5FHX29</t>
  </si>
  <si>
    <t>T. Rowe Price US Large Cap Growth Equity C9 Acc in GB</t>
  </si>
  <si>
    <t>GB00BD446M25</t>
  </si>
  <si>
    <t>T. Rowe Price US Large Cap Value Equity C Acc in GB</t>
  </si>
  <si>
    <t>GB00BD446P55</t>
  </si>
  <si>
    <t>T. Rowe Price US Smaller Companies Equity C Acc in GB</t>
  </si>
  <si>
    <t>GB00BYW8MW59</t>
  </si>
  <si>
    <t>Tavistock Wealth Limited ACUMEN Income Portfolio X Acc in GB</t>
  </si>
  <si>
    <t>GB00BYW8MX66</t>
  </si>
  <si>
    <t>Tavistock Wealth Limited ACUMEN Income Portfolio X Inc TR in GB</t>
  </si>
  <si>
    <t>GB00BZ3T3D26</t>
  </si>
  <si>
    <t>Tavistock Wealth Limited ACUMEN Portfolio 3 X Acc GBP in GB</t>
  </si>
  <si>
    <t>GB00B84LZT89</t>
  </si>
  <si>
    <t>Tavistock Wealth Limited ACUMEN Portfolio 4 X Acc in GB</t>
  </si>
  <si>
    <t>GB00B87LP737</t>
  </si>
  <si>
    <t>Tavistock Wealth Limited ACUMEN Portfolio 5 X Acc in GB</t>
  </si>
  <si>
    <t>GB00B7NJ0M49</t>
  </si>
  <si>
    <t>Tavistock Wealth Limited ACUMEN Portfolio 6 X Acc in GB</t>
  </si>
  <si>
    <t>GB00BZ3T3H63</t>
  </si>
  <si>
    <t>Tavistock Wealth Limited ACUMEN Portfolio 7 X Acc GBP in GB</t>
  </si>
  <si>
    <t>GB00BZ3T3L00</t>
  </si>
  <si>
    <t>Tavistock Wealth Limited ACUMEN Portfolio 8 X Acc GBP in GB</t>
  </si>
  <si>
    <t>GB00BF1QMV61</t>
  </si>
  <si>
    <t>TB Evenlode Global Income B Acc GBP in GB</t>
  </si>
  <si>
    <t>GB00BF1QNC48</t>
  </si>
  <si>
    <t>TB Evenlode Global Income B Inc GBP TR in GB</t>
  </si>
  <si>
    <t>GB00BF1QNN52</t>
  </si>
  <si>
    <t>TB Evenlode Global Income F Acc GBP in GB</t>
  </si>
  <si>
    <t>GB00BF1QNR90</t>
  </si>
  <si>
    <t>TB Evenlode Global Income F Inc GBP TR in GB</t>
  </si>
  <si>
    <t>GB00BD0B7C49</t>
  </si>
  <si>
    <t>TB Evenlode Income B Acc in GB</t>
  </si>
  <si>
    <t>GB00BD0B7D55</t>
  </si>
  <si>
    <t>TB Evenlode Income B Inc TR in GB</t>
  </si>
  <si>
    <t>GB00BD0B7F79</t>
  </si>
  <si>
    <t>TB Evenlode Income C Acc TR in GB**</t>
  </si>
  <si>
    <t>GB00BD0B7G86</t>
  </si>
  <si>
    <t>TB Evenlode Income C Inc TR in GB**</t>
  </si>
  <si>
    <t>GB00B56FW078</t>
  </si>
  <si>
    <t>TB Guinness Global Energy I Acc in GB</t>
  </si>
  <si>
    <t>GB00B5640222</t>
  </si>
  <si>
    <t>TB Guinness Global Energy R Acc in GB</t>
  </si>
  <si>
    <t>GB00B5B35X02</t>
  </si>
  <si>
    <t>TB Saracen Global Income &amp; Growth B Acc in GB</t>
  </si>
  <si>
    <t>GB00B3XPLG55</t>
  </si>
  <si>
    <t>TB Saracen Global Income &amp; Growth B Dist TR in GB</t>
  </si>
  <si>
    <t>GB0005711196</t>
  </si>
  <si>
    <t>TB Saracen UK Alpha B Acc in GB</t>
  </si>
  <si>
    <t>GB00BW9H1K24</t>
  </si>
  <si>
    <t>TB Saracen UK Income B Acc in GB</t>
  </si>
  <si>
    <t>GB00BW9H1L31</t>
  </si>
  <si>
    <t>GB00B2NG4P15</t>
  </si>
  <si>
    <t>TB TB Amati UK Smaller Companies A Acc in GB</t>
  </si>
  <si>
    <t>GB00B2NG4R39</t>
  </si>
  <si>
    <t>TB TB Amati UK Smaller Companies B Acc in GB**</t>
  </si>
  <si>
    <t>GB00B7MZ0J00</t>
  </si>
  <si>
    <t>GB00B7K6LK38</t>
  </si>
  <si>
    <t>GB00BBM4VB49</t>
  </si>
  <si>
    <t>GB00BBM4VD62</t>
  </si>
  <si>
    <t>GB00BKT0HX25</t>
  </si>
  <si>
    <t>GB00B617LX19</t>
  </si>
  <si>
    <t>GB00B3K3HX15</t>
  </si>
  <si>
    <t>GB00B5QHLR34</t>
  </si>
  <si>
    <t>GB00B4S5LT06</t>
  </si>
  <si>
    <t>Thesis Libero Balanced B Acc in GB</t>
  </si>
  <si>
    <t>GB00B4PR8439</t>
  </si>
  <si>
    <t>Thesis Libero Balanced B Inc TR in GB</t>
  </si>
  <si>
    <t>GB00B4PX5395</t>
  </si>
  <si>
    <t>Thesis Libero Cautious B Acc in GB**</t>
  </si>
  <si>
    <t>GB00B4RLNB59</t>
  </si>
  <si>
    <t>Thesis Libero Cautious B Inc TR in GB**</t>
  </si>
  <si>
    <t>GB00B4S3L509</t>
  </si>
  <si>
    <t>Thesis Libero Strategic B Acc in GB**</t>
  </si>
  <si>
    <t>GB00B4PR9957</t>
  </si>
  <si>
    <t>Thesis Libero Strategic B Inc TR in GB**</t>
  </si>
  <si>
    <t>GB00B0JX3Z52</t>
  </si>
  <si>
    <t>Thesis Stonehage Fleming AIM B TR in GB</t>
  </si>
  <si>
    <t>GB0032211095</t>
  </si>
  <si>
    <t>Thesis Stonehage Fleming International B Inc TR in GB</t>
  </si>
  <si>
    <t>GB0032211103</t>
  </si>
  <si>
    <t>Thesis Stonehage Fleming Opportunities B TR in GB</t>
  </si>
  <si>
    <t>GB00B9F9Z985</t>
  </si>
  <si>
    <t>Thesis Stonehage Fleming Opportunities C Acc TR in GB**</t>
  </si>
  <si>
    <t>GB00BF3VRJ22</t>
  </si>
  <si>
    <t>Thesis TM Equity Exposure B Acc in GB</t>
  </si>
  <si>
    <t>GB00BFMXJ599</t>
  </si>
  <si>
    <t>Thesis TM Neuberger Berman Absolute Alpha F Acc in GB</t>
  </si>
  <si>
    <t>GB00BFMXJ821</t>
  </si>
  <si>
    <t>Thesis TM Neuberger Berman Absolute Alpha F Inc in GB</t>
  </si>
  <si>
    <t>GB00BFMXJ482</t>
  </si>
  <si>
    <t>Thesis TM Neuberger Berman Absolute Alpha P Acc in GB</t>
  </si>
  <si>
    <t>GB00B74XT179</t>
  </si>
  <si>
    <t>Thesis TM New Court A 2011 TR in GB</t>
  </si>
  <si>
    <t>GB00BK0S4Q74</t>
  </si>
  <si>
    <t>Thesis TM New Court A 2014 Acc TR in GB**</t>
  </si>
  <si>
    <t>GB00BMFKHT64</t>
  </si>
  <si>
    <t>Thesis TM P1 Sustainable World Class A Acc in GB</t>
  </si>
  <si>
    <t>GB00BMFKHV86</t>
  </si>
  <si>
    <t>Thesis TM P1 Sustainable World Class A Inc TR in GB</t>
  </si>
  <si>
    <t>GB00BMBQN909</t>
  </si>
  <si>
    <t>Thesis TM RWC Global Equity Income L Acc GBP in GB</t>
  </si>
  <si>
    <t>GB00BMBQNB23</t>
  </si>
  <si>
    <t>Thesis TM RWC Global Equity Income L Inc GBP TR in GB</t>
  </si>
  <si>
    <t>GB00BNY7YM73</t>
  </si>
  <si>
    <t>Thesis TM Tellworth UK Select A Acc in GB</t>
  </si>
  <si>
    <t>GB00BNY7YL66</t>
  </si>
  <si>
    <t>Thesis TM Tellworth UK Select A Inc in GB</t>
  </si>
  <si>
    <t>GB00B28BBW75</t>
  </si>
  <si>
    <t>Threadneedle American Extended Alpha INA GBP in GB</t>
  </si>
  <si>
    <t>30/01/2020</t>
  </si>
  <si>
    <t>GB00B28B7B81</t>
  </si>
  <si>
    <t>Threadneedle American Extended Alpha RNA GBP in GB</t>
  </si>
  <si>
    <t>GB0001530566</t>
  </si>
  <si>
    <t>Threadneedle American RNA GBP in GB</t>
  </si>
  <si>
    <t>GB00B0GDGF93</t>
  </si>
  <si>
    <t>Threadneedle American RNI GBP TR in GB</t>
  </si>
  <si>
    <t>01/09/2020</t>
  </si>
  <si>
    <t>GB0001447597</t>
  </si>
  <si>
    <t>Threadneedle American Select INA GBP in GB</t>
  </si>
  <si>
    <t>GB0001529238</t>
  </si>
  <si>
    <t>Threadneedle American Select RNA GBP in GB</t>
  </si>
  <si>
    <t>GB00B0GDXT21</t>
  </si>
  <si>
    <t>Threadneedle American Select RNI GBP in GB</t>
  </si>
  <si>
    <t>GB00B7HJLD86</t>
  </si>
  <si>
    <t>Threadneedle American Select ZNA GBP in GB</t>
  </si>
  <si>
    <t>GB00B8BC1961</t>
  </si>
  <si>
    <t>Threadneedle American Select ZNI GBP TR in GB</t>
  </si>
  <si>
    <t>13/02/2020</t>
  </si>
  <si>
    <t>GB0001530459</t>
  </si>
  <si>
    <t>Threadneedle American Smaller Companies (US) INA GBP in GB</t>
  </si>
  <si>
    <t>GB0001530129</t>
  </si>
  <si>
    <t>Threadneedle American Smaller Companies (US) RNA GBP in GB</t>
  </si>
  <si>
    <t>GB00B0GDXX66</t>
  </si>
  <si>
    <t>Threadneedle American Smaller Companies (US) RNI GBP in GB</t>
  </si>
  <si>
    <t>GB00B8358Z89</t>
  </si>
  <si>
    <t>Threadneedle American Smaller Companies (US) ZNA GBP in GB</t>
  </si>
  <si>
    <t>GB00B88YT359</t>
  </si>
  <si>
    <t>Threadneedle American Smaller Companies (US) ZNI GBP TR in GB</t>
  </si>
  <si>
    <t>GB00B7T2FK07</t>
  </si>
  <si>
    <t>Threadneedle American ZNA GBP in GB</t>
  </si>
  <si>
    <t>GB00B6WD1G18</t>
  </si>
  <si>
    <t>Threadneedle American ZNI GBP TR in GB</t>
  </si>
  <si>
    <t>GB0001441020</t>
  </si>
  <si>
    <t>Threadneedle Asia INA GBP in GB</t>
  </si>
  <si>
    <t>GB0001441137</t>
  </si>
  <si>
    <t>Threadneedle Asia RNA GBP in GB</t>
  </si>
  <si>
    <t>GB00B83BWC19</t>
  </si>
  <si>
    <t>Threadneedle Asia ZNA GBP in GB</t>
  </si>
  <si>
    <t>GB00B1PRW734</t>
  </si>
  <si>
    <t>Threadneedle China Opportunities RNA GBP in GB</t>
  </si>
  <si>
    <t>GB00B846CP88</t>
  </si>
  <si>
    <t>Threadneedle China Opportunities ZNA GBP in GB</t>
  </si>
  <si>
    <t>GB00B87D9990</t>
  </si>
  <si>
    <t>Threadneedle Dollar Bond ZGA GBP in GB</t>
  </si>
  <si>
    <t>GB00B9BRCL73</t>
  </si>
  <si>
    <t>Threadneedle Dollar Bond ZNI GBP TR in GB</t>
  </si>
  <si>
    <t>GB00BWWC6P48</t>
  </si>
  <si>
    <t>Threadneedle Dynamic Real Return SNA GBP in GB</t>
  </si>
  <si>
    <t>GB00B93TQ868</t>
  </si>
  <si>
    <t>Threadneedle Dynamic Real Return ZNA GBP in GB</t>
  </si>
  <si>
    <t>GB00B93MKD82</t>
  </si>
  <si>
    <t>Threadneedle Dynamic Real Return ZNI GBP TR in GB</t>
  </si>
  <si>
    <t>GB0002773652</t>
  </si>
  <si>
    <t>Threadneedle Emerging Market Bond RGA GBP in GB</t>
  </si>
  <si>
    <t>GB0033749408</t>
  </si>
  <si>
    <t>Threadneedle Emerging Market Bond RGI GBP TR in GB</t>
  </si>
  <si>
    <t>GB0002365608</t>
  </si>
  <si>
    <t>Threadneedle Emerging Market Bond RNI GBP TR in GB</t>
  </si>
  <si>
    <t>GB00B8Q77S73</t>
  </si>
  <si>
    <t>Threadneedle Emerging Market Bond ZGA GBP in GB</t>
  </si>
  <si>
    <t>GB00B82D7569</t>
  </si>
  <si>
    <t>Threadneedle Emerging Market Bond ZGI GBP TR in GB</t>
  </si>
  <si>
    <t>GB00B817DW83</t>
  </si>
  <si>
    <t>Threadneedle Emerging Market Bond ZNI GBP TR in GB</t>
  </si>
  <si>
    <t>GB00B2B3NW43</t>
  </si>
  <si>
    <t>Threadneedle Emerging Market Local RNI GBP TR in GB</t>
  </si>
  <si>
    <t>18/02/2020</t>
  </si>
  <si>
    <t>GB00B80NJR42</t>
  </si>
  <si>
    <t>Threadneedle Emerging Market Local ZGA GBP in GB</t>
  </si>
  <si>
    <t>GB00B88S8291</t>
  </si>
  <si>
    <t>Threadneedle Emerging Market Local ZNI GBP TR in GB</t>
  </si>
  <si>
    <t>GB00B990YR84</t>
  </si>
  <si>
    <t>Threadneedle European Bond ZNI GBP TR in GB</t>
  </si>
  <si>
    <t>GB00BDZYJC21</t>
  </si>
  <si>
    <t>Threadneedle European LI Ex Hedged GBP TR in GB</t>
  </si>
  <si>
    <t>GB0001440949</t>
  </si>
  <si>
    <t>Threadneedle European RNA GBP in GB</t>
  </si>
  <si>
    <t>GB0001445229</t>
  </si>
  <si>
    <t>Threadneedle European Select INA GBP in GB</t>
  </si>
  <si>
    <t>GB0001529345</t>
  </si>
  <si>
    <t>Threadneedle European Select RNA GBP in GB</t>
  </si>
  <si>
    <t>GB00B8BC5H23</t>
  </si>
  <si>
    <t>Threadneedle European Select ZNA GBP in GB</t>
  </si>
  <si>
    <t>GB00B98WQ465</t>
  </si>
  <si>
    <t>Threadneedle European Select ZNI GBP TR in GB**</t>
  </si>
  <si>
    <t>GB0001531531</t>
  </si>
  <si>
    <t>Threadneedle European Smaller Companies INA GBP in GB</t>
  </si>
  <si>
    <t>GB0001531424</t>
  </si>
  <si>
    <t>Threadneedle European Smaller Companies RNA GBP in GB</t>
  </si>
  <si>
    <t>GB00B0GHCC05</t>
  </si>
  <si>
    <t>Threadneedle European Smaller Companies RNI GBP TR in GB</t>
  </si>
  <si>
    <t>GB00B84CYY92</t>
  </si>
  <si>
    <t>Threadneedle European Smaller Companies ZNA GBP in GB</t>
  </si>
  <si>
    <t>GB00B978SQ14</t>
  </si>
  <si>
    <t>Threadneedle European Smaller Companies ZNI GBP TR in GB</t>
  </si>
  <si>
    <t>GB00B8C2LS47</t>
  </si>
  <si>
    <t>Threadneedle European ZNA GBP in GB</t>
  </si>
  <si>
    <t>GB0033749622</t>
  </si>
  <si>
    <t>Threadneedle Global Bond RGI GBP TR in GB</t>
  </si>
  <si>
    <t>GB0001533685</t>
  </si>
  <si>
    <t>Threadneedle Global Bond RNI GBP TR in GB</t>
  </si>
  <si>
    <t>GB00B8844J65</t>
  </si>
  <si>
    <t>Threadneedle Global Bond ZGI GBP TR in GB</t>
  </si>
  <si>
    <t>GB00B8C2M701</t>
  </si>
  <si>
    <t>Threadneedle Global Bond ZNI GBP TR in GB</t>
  </si>
  <si>
    <t>GB00B10SJD63</t>
  </si>
  <si>
    <t>Threadneedle Global Emerging Market Equity RNA GBP in GB</t>
  </si>
  <si>
    <t>Threadneedle Global Emerging Market Equity ZNA GBP in GB</t>
  </si>
  <si>
    <t>GB00B1Z2MX45</t>
  </si>
  <si>
    <t>Threadneedle Global Equity Income Ini GBP TR in GB</t>
  </si>
  <si>
    <t>GB00B1YW3W13</t>
  </si>
  <si>
    <t>Threadneedle Global Equity Income RNA GBP in GB</t>
  </si>
  <si>
    <t>GB00B1Z2MW38</t>
  </si>
  <si>
    <t>Threadneedle Global Equity Income RNI GBP TR in GB</t>
  </si>
  <si>
    <t>GB00B99MQF62</t>
  </si>
  <si>
    <t>Threadneedle Global Equity Income ZNA GBP in GB</t>
  </si>
  <si>
    <t>GB00B7S8N055</t>
  </si>
  <si>
    <t>Threadneedle Global Equity Income ZNI GBP TR in GB</t>
  </si>
  <si>
    <t>GB00B3B0F606</t>
  </si>
  <si>
    <t>Threadneedle Global Extended Alpha INA GBP in GB</t>
  </si>
  <si>
    <t>GB00B3B0FF94</t>
  </si>
  <si>
    <t>Threadneedle Global Extended Alpha RNA GBP in GB</t>
  </si>
  <si>
    <t>GB00BF0Q8K85</t>
  </si>
  <si>
    <t>Threadneedle Global Focus Z in GB</t>
  </si>
  <si>
    <t>GB00BNG64558</t>
  </si>
  <si>
    <t>Threadneedle Global Multi Asset Income ZNA GBP in GB</t>
  </si>
  <si>
    <t>GB00BNG64665</t>
  </si>
  <si>
    <t>Threadneedle Global Multi Asset Income ZNI GBP TR in GB</t>
  </si>
  <si>
    <t>GB0001444701</t>
  </si>
  <si>
    <t>Threadneedle Global Select RNA GBP in GB</t>
  </si>
  <si>
    <t>GB00B8C2TM45</t>
  </si>
  <si>
    <t>Threadneedle Global Select ZNA GBP in GB</t>
  </si>
  <si>
    <t>GB0033884791</t>
  </si>
  <si>
    <t>Threadneedle High Yield Bond IGA GBP in GB</t>
  </si>
  <si>
    <t>GB00B39QB844</t>
  </si>
  <si>
    <t>Threadneedle High Yield Bond IGI GBP TR in GB</t>
  </si>
  <si>
    <t>GB0008371121</t>
  </si>
  <si>
    <t>Threadneedle High Yield Bond INI GBP TR in GB</t>
  </si>
  <si>
    <t>GB0033884809</t>
  </si>
  <si>
    <t>Threadneedle High Yield Bond RGI GBP TR in GB</t>
  </si>
  <si>
    <t>GB0008371014</t>
  </si>
  <si>
    <t>Threadneedle High Yield Bond RNI GBP TR in GB</t>
  </si>
  <si>
    <t>GB00B82VC222</t>
  </si>
  <si>
    <t>Threadneedle High Yield Bond ZGA GBP TR in GB**</t>
  </si>
  <si>
    <t>GB00B99MVQ21</t>
  </si>
  <si>
    <t>Threadneedle High Yield Bond ZGI GBP TR in GB</t>
  </si>
  <si>
    <t>GB00B7SGDT88</t>
  </si>
  <si>
    <t>Threadneedle High Yield Bond ZNI GBP TR in GB</t>
  </si>
  <si>
    <t>GB0001529121</t>
  </si>
  <si>
    <t>Threadneedle Japan RNA GBP in GB</t>
  </si>
  <si>
    <t>GB00B7TRT705</t>
  </si>
  <si>
    <t>Threadneedle Japan ZNA GBP in GB</t>
  </si>
  <si>
    <t>GB0001531754</t>
  </si>
  <si>
    <t>Threadneedle Latin America RNA GBP in GB</t>
  </si>
  <si>
    <t>GB00B8BQ6V57</t>
  </si>
  <si>
    <t>Threadneedle Latin America ZNA GBP in GB</t>
  </si>
  <si>
    <t>GB0008370826</t>
  </si>
  <si>
    <t>Threadneedle Monthly Extra Income RNI GBP TR in GB</t>
  </si>
  <si>
    <t>GB00BP8S6244</t>
  </si>
  <si>
    <t>Threadneedle Monthly Extra Income ZNA GBP TR in GB**</t>
  </si>
  <si>
    <t>GB00B8BZ3226</t>
  </si>
  <si>
    <t>Threadneedle Monthly Extra Income ZNI GBP TR in GB</t>
  </si>
  <si>
    <t>GB00B01CWZ36</t>
  </si>
  <si>
    <t>Threadneedle Pan European Focus RNA GBP in GB</t>
  </si>
  <si>
    <t>GB00B60L2M02</t>
  </si>
  <si>
    <t>Threadneedle Pan European Focus ZNA GBP in GB</t>
  </si>
  <si>
    <t>GB0002777745</t>
  </si>
  <si>
    <t>Threadneedle Sterling Bond RGA GBP in GB</t>
  </si>
  <si>
    <t>GB0002703642</t>
  </si>
  <si>
    <t>Threadneedle Sterling Bond RNI GBP TR in GB</t>
  </si>
  <si>
    <t>GB00B836MP96</t>
  </si>
  <si>
    <t>Threadneedle Sterling Bond ZGA GBP in GB</t>
  </si>
  <si>
    <t>GB00B7SH5738</t>
  </si>
  <si>
    <t>Threadneedle Sterling Bond ZNI GBP TR in GB</t>
  </si>
  <si>
    <t>GB0033885327</t>
  </si>
  <si>
    <t>Threadneedle Sterling Corporate Bond IGA GBP in GB</t>
  </si>
  <si>
    <t>GB0001451508</t>
  </si>
  <si>
    <t>Threadneedle Sterling Corporate Bond INI GBP TR in GB</t>
  </si>
  <si>
    <t>GB0033749739</t>
  </si>
  <si>
    <t>Threadneedle Sterling Corporate Bond RGI GBP TR in GB</t>
  </si>
  <si>
    <t>GB0031109738</t>
  </si>
  <si>
    <t>Threadneedle Sterling Corporate Bond RNI GBP TR in GB</t>
  </si>
  <si>
    <t>GB00BYQFJT88</t>
  </si>
  <si>
    <t>Threadneedle Sterling Short Dated Corporate Bond IGA GBP in GB</t>
  </si>
  <si>
    <t>GB00BD8GMC64</t>
  </si>
  <si>
    <t>Threadneedle Sterling Short Dated Corporate Bond IGI GBP TR in GB</t>
  </si>
  <si>
    <t>GB00BD8GMB57</t>
  </si>
  <si>
    <t>Threadneedle Sterling Short Dated Corporate Bond Ini GBP TR in GB</t>
  </si>
  <si>
    <t>GB00B2NBDK41</t>
  </si>
  <si>
    <t>Threadneedle Sterling Short-Term Money Market Ret Inc GBP TR in GB</t>
  </si>
  <si>
    <t>GB0033884684</t>
  </si>
  <si>
    <t>Threadneedle Strategic Bond RGI GBP TR in GB</t>
  </si>
  <si>
    <t>GB0031022378</t>
  </si>
  <si>
    <t>Threadneedle Strategic Bond RNI GBP TR in GB</t>
  </si>
  <si>
    <t>GB00B8863D91</t>
  </si>
  <si>
    <t>Threadneedle Strategic Bond ZGA GBP TR in GB**</t>
  </si>
  <si>
    <t>GB00B882KH00</t>
  </si>
  <si>
    <t>Threadneedle Strategic Bond ZGI GBP TR in GB</t>
  </si>
  <si>
    <t>GB00B882QB67</t>
  </si>
  <si>
    <t>Threadneedle Strategic Bond ZNI GBP TR in GB</t>
  </si>
  <si>
    <t>GB00B12WJV48</t>
  </si>
  <si>
    <t>Threadneedle UK Equity Alpha Income INI GBP TR in GB</t>
  </si>
  <si>
    <t>GB00B12WJY78</t>
  </si>
  <si>
    <t>Threadneedle UK Equity Alpha Income RNI GBP TR in GB</t>
  </si>
  <si>
    <t>GB00B88P6D76</t>
  </si>
  <si>
    <t>Threadneedle UK Equity Alpha Income ZNI GBP TR in GB</t>
  </si>
  <si>
    <t>GB0001448785</t>
  </si>
  <si>
    <t>Threadneedle UK Equity Income INI GBP TR in GB</t>
  </si>
  <si>
    <t>GB00BDZYJV10</t>
  </si>
  <si>
    <t>Threadneedle UK Equity Income LI GBP TR in GB</t>
  </si>
  <si>
    <t>GB00B60SM090</t>
  </si>
  <si>
    <t>Threadneedle UK Equity Income RNA GBP in GB</t>
  </si>
  <si>
    <t>GB0001448900</t>
  </si>
  <si>
    <t>Threadneedle UK Equity Income RNI GBP TR in GB</t>
  </si>
  <si>
    <t>GB00B888FR33</t>
  </si>
  <si>
    <t>Threadneedle UK Equity Income ZNA GBP in GB</t>
  </si>
  <si>
    <t>GB00B8169Q14</t>
  </si>
  <si>
    <t>Threadneedle UK Equity Income ZNI GBP TR in GB</t>
  </si>
  <si>
    <t>GB0033027474</t>
  </si>
  <si>
    <t>Threadneedle UK Extended Alpha INA GBP in GB</t>
  </si>
  <si>
    <t>GB00B02QB917</t>
  </si>
  <si>
    <t>Threadneedle UK Extended Alpha RNA GBP in GB</t>
  </si>
  <si>
    <t>GB0001647246</t>
  </si>
  <si>
    <t>Threadneedle UK Growth and Income INI GBP TR in GB</t>
  </si>
  <si>
    <t>GB0001529675</t>
  </si>
  <si>
    <t>Threadneedle UK Growth and Income RNI GBP TR in GB</t>
  </si>
  <si>
    <t>GB00BYQFJZ49</t>
  </si>
  <si>
    <t>Threadneedle UK Growth and Income ZGA GBP TR in GB**</t>
  </si>
  <si>
    <t>GB00B8848T44</t>
  </si>
  <si>
    <t>Threadneedle UK Growth and Income ZNI GBP TR in GB</t>
  </si>
  <si>
    <t>GB0001439610</t>
  </si>
  <si>
    <t>Threadneedle UK INI GBP TR in GB</t>
  </si>
  <si>
    <t>GB0001451615</t>
  </si>
  <si>
    <t>Threadneedle UK Institutional INA GBP in GB</t>
  </si>
  <si>
    <t>GB0031833394</t>
  </si>
  <si>
    <t>Threadneedle UK Institutional RNA GBP in GB</t>
  </si>
  <si>
    <t>GB0033547604</t>
  </si>
  <si>
    <t>Threadneedle UK Mid 250 RNA GBP in GB</t>
  </si>
  <si>
    <t>GB00B8BX5X11</t>
  </si>
  <si>
    <t>Threadneedle UK Mid 250 ZNA GBP in GB</t>
  </si>
  <si>
    <t>GB0001529568</t>
  </si>
  <si>
    <t>Threadneedle UK Monthly Income RNI GBP TR in GB</t>
  </si>
  <si>
    <t>GB00B8BV4509</t>
  </si>
  <si>
    <t>Threadneedle UK Monthly Income ZNI GBP TR in GB</t>
  </si>
  <si>
    <t>GB00BQ3G0Y06</t>
  </si>
  <si>
    <t>Threadneedle UK Property Authorised Trust INST Acc GBP in GB</t>
  </si>
  <si>
    <t>GB00BQ3G0Z13</t>
  </si>
  <si>
    <t>Threadneedle UK Property Authorised Trust INST Inc GBP TR in GB</t>
  </si>
  <si>
    <t>GB00BQ3G1143</t>
  </si>
  <si>
    <t>Threadneedle UK Property Authorised Trust Retail Acc GBP in GB</t>
  </si>
  <si>
    <t>GB00BQ3G0X98</t>
  </si>
  <si>
    <t>Threadneedle UK Property Authorised Trust Retail Inc GBP TR in GB</t>
  </si>
  <si>
    <t>GB0001529782</t>
  </si>
  <si>
    <t>Threadneedle UK RNI GBP TR in GB</t>
  </si>
  <si>
    <t>GB0001530343</t>
  </si>
  <si>
    <t>Threadneedle UK Smaller Companies RNI GBP TR in GB</t>
  </si>
  <si>
    <t>GB00B7JL4Y45</t>
  </si>
  <si>
    <t>Threadneedle UK Smaller Companies ZNI GBP TR in GB</t>
  </si>
  <si>
    <t>GB00BF233G82</t>
  </si>
  <si>
    <t>Threadneedle UK Social Bond IGI GBP TR in GB</t>
  </si>
  <si>
    <t>GB00BF233C45</t>
  </si>
  <si>
    <t>Threadneedle UK Social Bond INA GBP in GB</t>
  </si>
  <si>
    <t>GB00BF233808</t>
  </si>
  <si>
    <t>Threadneedle UK Social Bond ZGA GBP in GB</t>
  </si>
  <si>
    <t>GB00BF233B38</t>
  </si>
  <si>
    <t>Threadneedle UK Social Bond ZGI GBP TR in GB</t>
  </si>
  <si>
    <t>GB00BF233790</t>
  </si>
  <si>
    <t>Threadneedle UK Social Bond ZNA GBP in GB</t>
  </si>
  <si>
    <t>GB00BF233915</t>
  </si>
  <si>
    <t>Threadneedle UK Social Bond ZNI GBP TR in GB</t>
  </si>
  <si>
    <t>GB00BZ21SS97</t>
  </si>
  <si>
    <t>Threadneedle UK Sustainable Equity ZNA GBP in GB</t>
  </si>
  <si>
    <t>GB00B84PM559</t>
  </si>
  <si>
    <t>Threadneedle UK ZNA GBP TR in GB**</t>
  </si>
  <si>
    <t>GB00B84PMM20</t>
  </si>
  <si>
    <t>Threadneedle UK ZNI GBP TR in GB</t>
  </si>
  <si>
    <t>GB00BZ563T77</t>
  </si>
  <si>
    <t>Threadneedle US Equity Income LNI GBP TR in GB</t>
  </si>
  <si>
    <t>GB00BZ563P30</t>
  </si>
  <si>
    <t>Threadneedle US Equity Income ZNI GBP TR in GB</t>
  </si>
  <si>
    <t>GB00BJJPTT09</t>
  </si>
  <si>
    <t>TIME Investments ARC TIME Commercial Long Income Feeder Trust I Net Acc in GB</t>
  </si>
  <si>
    <t>GB00BJJPV945</t>
  </si>
  <si>
    <t>TIME Investments ARC TIME Commercial Long Income Feeder Trust J Net Inc TR in GB</t>
  </si>
  <si>
    <t>GB00BJJPVD86</t>
  </si>
  <si>
    <t>TIME Investments ARC TIME Commercial Long Income Feeder Trust Q Net Acc in GB**</t>
  </si>
  <si>
    <t>GB00BJJPVF01</t>
  </si>
  <si>
    <t>TIME Investments ARC TIME Commercial Long Income Feeder Trust R Net Inc TR in GB**</t>
  </si>
  <si>
    <t>GB00B94RFB51</t>
  </si>
  <si>
    <t>TIME Investments ARC TIME Freehold Income Authorised Feeder Trust I Net Acc in GB</t>
  </si>
  <si>
    <t>GB00B94RFF99</t>
  </si>
  <si>
    <t>TIME Investments ARC TIME Freehold Income Authorised Feeder Trust J Net Inc TR in GB</t>
  </si>
  <si>
    <t>GB00B94RFG07</t>
  </si>
  <si>
    <t>TIME Investments ARC TIME Freehold Income Authorised Feeder Trust K Net Acc in GB</t>
  </si>
  <si>
    <t>GB00B94RFN73</t>
  </si>
  <si>
    <t>TIME Investments ARC TIME Freehold Income Authorised Feeder Trust L Net Inc TR in GB</t>
  </si>
  <si>
    <t>GB00BJK12P40</t>
  </si>
  <si>
    <t>TIME Investments ARC TIME Social Long Income Feeder Trust I in GB</t>
  </si>
  <si>
    <t>GB00BZ17GL78</t>
  </si>
  <si>
    <t>TIME Investments ARC TIME UK Infrastructure Income C Acc in GB</t>
  </si>
  <si>
    <t>GB00BF00QK62</t>
  </si>
  <si>
    <t>TM Cerno Global Leaders A GBP Acc in GB</t>
  </si>
  <si>
    <t>GB00BF00QJ57</t>
  </si>
  <si>
    <t>TM Cerno Global Leaders A GBP Inc TR in GB</t>
  </si>
  <si>
    <t>GB00BDCJB138</t>
  </si>
  <si>
    <t>TM Cerno Pacific B Acc GBP in GB</t>
  </si>
  <si>
    <t>GB00BDCJB021</t>
  </si>
  <si>
    <t>TM Cerno Pacific B Inc GBP in GB</t>
  </si>
  <si>
    <t>GB00BCZXTP59</t>
  </si>
  <si>
    <t>TM Cerno Select C Acc in GB</t>
  </si>
  <si>
    <t>GB00BYQJX435</t>
  </si>
  <si>
    <t>TM CRUX European I Acc GBP in GB</t>
  </si>
  <si>
    <t>GB00BYQJX104</t>
  </si>
  <si>
    <t>TM CRUX European I Inc GBP TR in GB</t>
  </si>
  <si>
    <t>GB00BTJRQ064</t>
  </si>
  <si>
    <t>TM CRUX European Special Situations I Acc GBP in GB</t>
  </si>
  <si>
    <t>GB00BTJRPZ43</t>
  </si>
  <si>
    <t>TM CRUX European Special Situations I Inc GBP TR in GB</t>
  </si>
  <si>
    <t>GB00B5839S67</t>
  </si>
  <si>
    <t>TM CRUX UK Core B Acc GBP in GB</t>
  </si>
  <si>
    <t>GB00B05MF837</t>
  </si>
  <si>
    <t>TM CRUX UK Core B Inc GBP TR in GB</t>
  </si>
  <si>
    <t>GB00BG5Q5X24</t>
  </si>
  <si>
    <t>TM CRUX UK Special Situations I Acc in GB</t>
  </si>
  <si>
    <t>GB00BG5Q5V00</t>
  </si>
  <si>
    <t>TM CRUX UK Special Situations I Inc TR in GB</t>
  </si>
  <si>
    <t>GB00BG5Q5Z48</t>
  </si>
  <si>
    <t>TM CRUX UK Special Situations S Acc in GB</t>
  </si>
  <si>
    <t>GB00B7N2VD17</t>
  </si>
  <si>
    <t>TM Fulcrum Diversified Absolute Return C Acc GBP in GB</t>
  </si>
  <si>
    <t>GB00BRTNY847</t>
  </si>
  <si>
    <t>TM Fulcrum Diversified Core Absolute Return C Acc GBP in GB</t>
  </si>
  <si>
    <t>GB00B622XS49</t>
  </si>
  <si>
    <t>TM Fulcrum Diversified Growth C GBP in GB**</t>
  </si>
  <si>
    <t>GB00BD5GC076</t>
  </si>
  <si>
    <t>TM Fulcrum Income F Acc GBP in GB</t>
  </si>
  <si>
    <t>GB00BF8F7115</t>
  </si>
  <si>
    <t>TM Fulcrum Income F Inc GBP TR in GB</t>
  </si>
  <si>
    <t>GB00B95V2K41</t>
  </si>
  <si>
    <t>TM Home Investor Feeder Unbundled Ret in GB</t>
  </si>
  <si>
    <t>GB00BG342D73</t>
  </si>
  <si>
    <t>GB00BG342F97</t>
  </si>
  <si>
    <t>GB00BG341295</t>
  </si>
  <si>
    <t>GB00BG342939</t>
  </si>
  <si>
    <t>GB00BG342B59</t>
  </si>
  <si>
    <t>GB00BG342C66</t>
  </si>
  <si>
    <t>GB00BCV7T629</t>
  </si>
  <si>
    <t>TM UBS (UK) Global Balanced F Acc in GB**</t>
  </si>
  <si>
    <t>GB00BCV7T397</t>
  </si>
  <si>
    <t>TM UBS (UK) Global Balanced F Inc TR in GB**</t>
  </si>
  <si>
    <t>GB00BCV7T280</t>
  </si>
  <si>
    <t>TM UBS (UK) Global Equity F Acc in GB**</t>
  </si>
  <si>
    <t>GB00B8HMPV01</t>
  </si>
  <si>
    <t>TM UBS (UK) Global Fixed Income E Acc in GB</t>
  </si>
  <si>
    <t>GB00B7JC9M01</t>
  </si>
  <si>
    <t>TM UBS (UK) Global Fixed Income E Inc TR in GB</t>
  </si>
  <si>
    <t>GB00BCV7T066</t>
  </si>
  <si>
    <t>TM UBS (UK) Global Growth F Acc in GB**</t>
  </si>
  <si>
    <t>GB00BCV7SZ42</t>
  </si>
  <si>
    <t>TM UBS (UK) Global Growth F Inc TR in GB**</t>
  </si>
  <si>
    <t>GB00BCV7SY35</t>
  </si>
  <si>
    <t>TM UBS (UK) Global Yield F Acc in GB**</t>
  </si>
  <si>
    <t>GB00BCV7SX28</t>
  </si>
  <si>
    <t>TM UBS (UK) Global Yield F Inc TR in GB**</t>
  </si>
  <si>
    <t>GB00BCV7SW11</t>
  </si>
  <si>
    <t>GB00BCV7ST81</t>
  </si>
  <si>
    <t>TM UBS (UK) UK Equity F Acc in GB**</t>
  </si>
  <si>
    <t>GB00BCV7SR67</t>
  </si>
  <si>
    <t>GB00BCV7SP44</t>
  </si>
  <si>
    <t>GB00BCV7SN20</t>
  </si>
  <si>
    <t>GB00B2990B27</t>
  </si>
  <si>
    <t>Troy Asset Management Ltd Spectrum O Acc in GB</t>
  </si>
  <si>
    <t>GB00B2996V43</t>
  </si>
  <si>
    <t>Troy Asset Management Ltd Spectrum O Inc TR in GB</t>
  </si>
  <si>
    <t>GB00BYMLFK38</t>
  </si>
  <si>
    <t>Troy Asset Management Ltd Trojan Ethical Income O Acc in GB</t>
  </si>
  <si>
    <t>GB00BYMLFL45</t>
  </si>
  <si>
    <t>Troy Asset Management Ltd Trojan Ethical Income O Inc TR in GB</t>
  </si>
  <si>
    <t>GB00BKTW4T37</t>
  </si>
  <si>
    <t>Troy Asset Management Ltd Trojan Ethical Income X Acc in GB**</t>
  </si>
  <si>
    <t>GB00BKTW4V58</t>
  </si>
  <si>
    <t>Troy Asset Management Ltd Trojan Ethical Income X Inc TR in GB**</t>
  </si>
  <si>
    <t>GB00BJP0XX17</t>
  </si>
  <si>
    <t>Troy Asset Management Ltd Trojan Ethical O Acc in GB</t>
  </si>
  <si>
    <t>GB00BJP0XY24</t>
  </si>
  <si>
    <t>Troy Asset Management Ltd Trojan Ethical O Inc TR in GB</t>
  </si>
  <si>
    <t>GB00BKTW4R13</t>
  </si>
  <si>
    <t>Troy Asset Management Ltd Trojan Ethical X Acc in GB**</t>
  </si>
  <si>
    <t>GB00BKTW4S20</t>
  </si>
  <si>
    <t>Troy Asset Management Ltd Trojan Ethical X Inc TR in GB**</t>
  </si>
  <si>
    <t>GB00B0ZJNL30</t>
  </si>
  <si>
    <t>Troy Asset Management Ltd Trojan Global Equity I Acc in GB</t>
  </si>
  <si>
    <t>GB00B0ZJ5S47</t>
  </si>
  <si>
    <t>Troy Asset Management Ltd Trojan Global Equity O Acc in GB</t>
  </si>
  <si>
    <t>GB00B0ZJ0230</t>
  </si>
  <si>
    <t>Troy Asset Management Ltd Trojan Global Equity O Inc TR in GB</t>
  </si>
  <si>
    <t>GB00BD82KP33</t>
  </si>
  <si>
    <t>Troy Asset Management Ltd Trojan Global Income O Acc in GB</t>
  </si>
  <si>
    <t>GB00BD82KQ40</t>
  </si>
  <si>
    <t>Troy Asset Management Ltd Trojan Global Income O Inc TR in GB</t>
  </si>
  <si>
    <t>GB00B05KY352</t>
  </si>
  <si>
    <t>Troy Asset Management Ltd Trojan I Acc in GB</t>
  </si>
  <si>
    <t>GB00B05KY469</t>
  </si>
  <si>
    <t>Troy Asset Management Ltd Trojan I Inc TR in GB</t>
  </si>
  <si>
    <t>GB00B05K0N75</t>
  </si>
  <si>
    <t>Troy Asset Management Ltd Trojan Income I Acc in GB</t>
  </si>
  <si>
    <t>GB00B05K0Q07</t>
  </si>
  <si>
    <t>Troy Asset Management Ltd Trojan Income I Inc TR in GB</t>
  </si>
  <si>
    <t>GB00B01BP176</t>
  </si>
  <si>
    <t>Troy Asset Management Ltd Trojan Income O Acc in GB</t>
  </si>
  <si>
    <t>GB00B01BNW49</t>
  </si>
  <si>
    <t>Troy Asset Management Ltd Trojan Income O Inc TR in GB</t>
  </si>
  <si>
    <t>GB00BZ6CQ390</t>
  </si>
  <si>
    <t>Troy Asset Management Ltd Trojan Income X Acc in GB</t>
  </si>
  <si>
    <t>GB00BZ6CQ176</t>
  </si>
  <si>
    <t>Troy Asset Management Ltd Trojan Income X Inc TR in GB</t>
  </si>
  <si>
    <t>GB00B01BP952</t>
  </si>
  <si>
    <t>Troy Asset Management Ltd Trojan O Acc TR in GB**</t>
  </si>
  <si>
    <t>GB0034243732</t>
  </si>
  <si>
    <t>Troy Asset Management Ltd Trojan O Inc TR in GB</t>
  </si>
  <si>
    <t>GB00BZ6CNS31</t>
  </si>
  <si>
    <t>Troy Asset Management Ltd Trojan X Acc in GB</t>
  </si>
  <si>
    <t>GB00BZ6CQ069</t>
  </si>
  <si>
    <t>Troy Asset Management Ltd Trojan X Inc TR in GB</t>
  </si>
  <si>
    <t>GB00B5M01B05</t>
  </si>
  <si>
    <t>TwentyFour Dynamic Bond A Gr Inc GBP TR in GB</t>
  </si>
  <si>
    <t>GB00B5KPRZ34</t>
  </si>
  <si>
    <t>TwentyFour Dynamic Bond A Net Acc GBP in GB</t>
  </si>
  <si>
    <t>GB00B5VNH238</t>
  </si>
  <si>
    <t>TwentyFour Dynamic Bond I Gr Acc GBP in GB</t>
  </si>
  <si>
    <t>GB00B57GX403</t>
  </si>
  <si>
    <t>TwentyFour Dynamic Bond I Gr Inc GBP TR in GB</t>
  </si>
  <si>
    <t>GB00B5VRV677</t>
  </si>
  <si>
    <t>TwentyFour Dynamic Bond I Net Acc GBP in GB</t>
  </si>
  <si>
    <t>GB00B57TXN82</t>
  </si>
  <si>
    <t>TwentyFour Dynamic Bond I Net Inc GBP TR in GB</t>
  </si>
  <si>
    <t>GB00B8BG8H54</t>
  </si>
  <si>
    <t>TwentyFour Dynamic Bond M Gr Inc GBP TR in GB**</t>
  </si>
  <si>
    <t>GB00B3VH8W86</t>
  </si>
  <si>
    <t>TwentyFour Monument Bond A Net Acc GBP in GB</t>
  </si>
  <si>
    <t>GB00B4XMPS34</t>
  </si>
  <si>
    <t>TwentyFour Monument Bond I Gr Acc GBP in GB</t>
  </si>
  <si>
    <t>GB00B4XCQT18</t>
  </si>
  <si>
    <t>TwentyFour Monument Bond I Gr Inc GBP TR in GB</t>
  </si>
  <si>
    <t>GB00B3V5V897</t>
  </si>
  <si>
    <t>TwentyFour Monument Bond I Net Acc GBP in GB</t>
  </si>
  <si>
    <t>GB00B3XVTT21</t>
  </si>
  <si>
    <t>TwentyFour Monument Bond I Net Inc GBP TR in GB</t>
  </si>
  <si>
    <t>GB00BDD9NG10</t>
  </si>
  <si>
    <t>TwentyFour Monument Bond L Acc GBP in GB**</t>
  </si>
  <si>
    <t>GB00BDD9NJ41</t>
  </si>
  <si>
    <t>TwentyFour Monument Bond L Gr Acc GBP in GB**</t>
  </si>
  <si>
    <t>GB00BDD9NH27</t>
  </si>
  <si>
    <t>TwentyFour Monument Bond L Gr Inc GBP TR in GB**</t>
  </si>
  <si>
    <t>GB00BDD9NF03</t>
  </si>
  <si>
    <t>TwentyFour Monument Bond L Inc GBP TR in GB**</t>
  </si>
  <si>
    <t>04/02/2021</t>
  </si>
  <si>
    <t>GB00BX9C1L56</t>
  </si>
  <si>
    <t>UBS FTSE RAFI Developed 1000 Index C Acc TR in GB**</t>
  </si>
  <si>
    <t>GB00B4MGDQ07</t>
  </si>
  <si>
    <t>UBS Global Allocation UK C Acc in GB</t>
  </si>
  <si>
    <t>GB00BKMDQ539</t>
  </si>
  <si>
    <t>UBS Global Diversified Income R Acc in GB**</t>
  </si>
  <si>
    <t>GB00BKMDQ646</t>
  </si>
  <si>
    <t>UBS Global Diversified Income R Inc TR in GB**</t>
  </si>
  <si>
    <t>UBS Global Emerging Markets Equity C Acc in GB</t>
  </si>
  <si>
    <t>GB00BL0RSN63</t>
  </si>
  <si>
    <t>GB00BL0RSP87</t>
  </si>
  <si>
    <t>GB00B89NPX39</t>
  </si>
  <si>
    <t>UBS Global Optimal C Acc in GB</t>
  </si>
  <si>
    <t>GB00BX9C1N70</t>
  </si>
  <si>
    <t>UBS MSCI World Minimum Volatility Index C Acc in GB</t>
  </si>
  <si>
    <t>GB00B7SQL276</t>
  </si>
  <si>
    <t>UBS Multi Asset Income C Gr Acc in GB**</t>
  </si>
  <si>
    <t>GB00B804TT93</t>
  </si>
  <si>
    <t>UBS Multi Asset Income C Gr Inc TR in GB**</t>
  </si>
  <si>
    <t>GB00BMN91T34</t>
  </si>
  <si>
    <t>UBS S&amp;P 500 Index C Acc in GB</t>
  </si>
  <si>
    <t>GB00BMN91V55</t>
  </si>
  <si>
    <t>UBS S&amp;P 500 Index C Inc TR in GB</t>
  </si>
  <si>
    <t>GB00B95J1785</t>
  </si>
  <si>
    <t>UBS Sterling Corporate Bond Indexed C Grs Acc TR in GB**</t>
  </si>
  <si>
    <t>GB00B9LD6X50</t>
  </si>
  <si>
    <t>UBS Sterling Corporate Bond Indexed C Grs Inc TR in GB**</t>
  </si>
  <si>
    <t>GB00B4W58959</t>
  </si>
  <si>
    <t>UBS UK Equity Income C Acc in GB</t>
  </si>
  <si>
    <t>GB00B8034464</t>
  </si>
  <si>
    <t>UBS UK Equity Income C Inc TR in GB**</t>
  </si>
  <si>
    <t>GB00B7V68L26</t>
  </si>
  <si>
    <t>UBS US Equity C Acc in GB</t>
  </si>
  <si>
    <t>GB00B7VHZX64</t>
  </si>
  <si>
    <t>UBS US Growth C Acc in GB</t>
  </si>
  <si>
    <t>GB0031269367</t>
  </si>
  <si>
    <t>Unicorn Mastertrust A TR in GB</t>
  </si>
  <si>
    <t>22/02/2021</t>
  </si>
  <si>
    <t>GB0031218018</t>
  </si>
  <si>
    <t>Unicorn Mastertrust B TR in GB</t>
  </si>
  <si>
    <t>GB00B1GFWW16</t>
  </si>
  <si>
    <t>Unicorn Outstanding British Companies A in GB</t>
  </si>
  <si>
    <t>GB00B1GGDH66</t>
  </si>
  <si>
    <t>Unicorn Outstanding British Companies B in GB</t>
  </si>
  <si>
    <t>GB00BYQCS257</t>
  </si>
  <si>
    <t>Unicorn UK Ethical Income B Acc in GB</t>
  </si>
  <si>
    <t>GB00BYP2Y515</t>
  </si>
  <si>
    <t>Unicorn UK Ethical Income B Inc TR in GB</t>
  </si>
  <si>
    <t>GB0031269250</t>
  </si>
  <si>
    <t>Unicorn UK Growth A Inc TR in GB</t>
  </si>
  <si>
    <t>GB0031217937</t>
  </si>
  <si>
    <t>Unicorn UK Growth B TR in GB</t>
  </si>
  <si>
    <t>GB00B00Z1S94</t>
  </si>
  <si>
    <t>Unicorn UK Income A TR in GB</t>
  </si>
  <si>
    <t>GB00B9XQFY62</t>
  </si>
  <si>
    <t>Unicorn UK Income B Acc TR in GB**</t>
  </si>
  <si>
    <t>GB00B00Z1R87</t>
  </si>
  <si>
    <t>Unicorn UK Income B Inc TR in GB</t>
  </si>
  <si>
    <t>GB0031791238</t>
  </si>
  <si>
    <t>Unicorn UK Smaller Companies A TR in GB</t>
  </si>
  <si>
    <t>GB0031785065</t>
  </si>
  <si>
    <t>Unicorn UK Smaller Companies B TR in GB</t>
  </si>
  <si>
    <t>GB00BK1XRK60</t>
  </si>
  <si>
    <t>Vanguard Active U.K. Equity A Acc GBP in GB</t>
  </si>
  <si>
    <t>02/04/2020</t>
  </si>
  <si>
    <t>GB00BLLZQL34</t>
  </si>
  <si>
    <t>Vanguard ESG Developed World All Cap Equity Index A Acc GBP in GB</t>
  </si>
  <si>
    <t>GB00BLLXGT55</t>
  </si>
  <si>
    <t>Vanguard ESG Developed World All Cap Equity Index A Inc GBP TR in GB</t>
  </si>
  <si>
    <t>GB00BLLZQQ88</t>
  </si>
  <si>
    <t>Vanguard ESG Developed World All Cap Equity Index Institutional Plus Inc GBP TR in GB</t>
  </si>
  <si>
    <t>GB00BD3RZ368</t>
  </si>
  <si>
    <t>Vanguard FTSE 100 Index Unit Trust Acc GBP in GB</t>
  </si>
  <si>
    <t>05/12/2018</t>
  </si>
  <si>
    <t>GB00BD3RZ251</t>
  </si>
  <si>
    <t>Vanguard FTSE 100 Index Unit Trust Inc GBP TR in GB</t>
  </si>
  <si>
    <t>GB00B5B71H80</t>
  </si>
  <si>
    <t>Vanguard FTSE Developed Europe ex-UK Equity Index Acc GBP in GB</t>
  </si>
  <si>
    <t>GB00B5B74N55</t>
  </si>
  <si>
    <t>Vanguard FTSE Developed Europe ex-UK Equity Index Inc GBP TR in GB</t>
  </si>
  <si>
    <t>GB00BPN5NZ22</t>
  </si>
  <si>
    <t>Vanguard FTSE Developed Europe ex-UK Equity Index Institutional Plus Inc GBP TR in GB</t>
  </si>
  <si>
    <t>23/10/2019</t>
  </si>
  <si>
    <t>GB00B59G4Q73</t>
  </si>
  <si>
    <t>Vanguard FTSE Developed World ex-UK Equity Index Acc GBP in GB</t>
  </si>
  <si>
    <t>GB00B5B74F71</t>
  </si>
  <si>
    <t>Vanguard FTSE Developed World ex-UK Equity Index Inc GBP TR in GB</t>
  </si>
  <si>
    <t>GB00BPN5NY15</t>
  </si>
  <si>
    <t>Vanguard FTSE Developed World ex-UK Equity Index Institutional Plus Acc GBP in GB</t>
  </si>
  <si>
    <t>GB00BPN5NX08</t>
  </si>
  <si>
    <t>Vanguard FTSE Developed World ex-UK Equity Index Institutional Plus Inc GBP TR in GB</t>
  </si>
  <si>
    <t>GB00BD3RZ475</t>
  </si>
  <si>
    <t>Vanguard FTSE Global All Cap Index Inc GBP TR in GB</t>
  </si>
  <si>
    <t>GB00BD3RZ582</t>
  </si>
  <si>
    <t>Vanguard FTSE Global All Cap Index Investor Acc GBP in GB</t>
  </si>
  <si>
    <t>GB00B3X7QG63</t>
  </si>
  <si>
    <t>Vanguard FTSE U.K. All Share Index Unit Trust A Acc GBP in GB</t>
  </si>
  <si>
    <t>GB00BPN5P782</t>
  </si>
  <si>
    <t>Vanguard FTSE U.K. All Share Index Unit Trust A Inc GBP TR in GB</t>
  </si>
  <si>
    <t>GB00BPN5P907</t>
  </si>
  <si>
    <t>Vanguard FTSE U.K. All Share Index Unit Trust Institutional Plus Acc GBP in GB</t>
  </si>
  <si>
    <t>GB00BPN5P899</t>
  </si>
  <si>
    <t>Vanguard FTSE U.K. All Share Index Unit Trust Institutional Plus Inc GBP TR in GB</t>
  </si>
  <si>
    <t>GB00B59G4H82</t>
  </si>
  <si>
    <t>Vanguard FTSE UK Equity Income Index Acc GBP in GB</t>
  </si>
  <si>
    <t>GB00B5B74684</t>
  </si>
  <si>
    <t>Vanguard FTSE UK Equity Income Index Inc GBP TR in GB</t>
  </si>
  <si>
    <t>GB00BZ830054</t>
  </si>
  <si>
    <t>19/06/2019</t>
  </si>
  <si>
    <t>GB00BZ82ZZ20</t>
  </si>
  <si>
    <t>GB00BZ82ZY13</t>
  </si>
  <si>
    <t>Vanguard Global Emerging Markets Acc in GB</t>
  </si>
  <si>
    <t>GB00BZ82ZX06</t>
  </si>
  <si>
    <t>Vanguard Global Emerging Markets Inc TR in GB</t>
  </si>
  <si>
    <t>GB00BZ82ZT69</t>
  </si>
  <si>
    <t>Vanguard Global Equity Acc in GB</t>
  </si>
  <si>
    <t>GB00BZ82ZS52</t>
  </si>
  <si>
    <t>Vanguard Global Equity Inc TR in GB</t>
  </si>
  <si>
    <t>GB00BZ82ZW98</t>
  </si>
  <si>
    <t>Vanguard Global Equity Income Acc in GB</t>
  </si>
  <si>
    <t>GB00BZ82ZV81</t>
  </si>
  <si>
    <t>Vanguard Global Equity Income Inc TR in GB</t>
  </si>
  <si>
    <t>GB00B41XG308</t>
  </si>
  <si>
    <t>Vanguard LifeStrategy 100% Equity A Acc in GB</t>
  </si>
  <si>
    <t>GB00B545NX97</t>
  </si>
  <si>
    <t>Vanguard LifeStrategy 100% Equity A Inc TR in GB</t>
  </si>
  <si>
    <t>GB00B4NXY349</t>
  </si>
  <si>
    <t>Vanguard LifeStrategy 20% Equity A Gross Acc GBP in GB</t>
  </si>
  <si>
    <t>GB00B4620290</t>
  </si>
  <si>
    <t>Vanguard LifeStrategy 20% Equity A Gross Inc GBP TR in GB</t>
  </si>
  <si>
    <t>GB00B3ZHN960</t>
  </si>
  <si>
    <t>Vanguard LifeStrategy 40% Equity A Acc in GB</t>
  </si>
  <si>
    <t>GB00B41F6L43</t>
  </si>
  <si>
    <t>Vanguard LifeStrategy 40% Equity A Inc TR in GB</t>
  </si>
  <si>
    <t>GB00B3TYHH97</t>
  </si>
  <si>
    <t>Vanguard LifeStrategy 60% Equity A Acc in GB</t>
  </si>
  <si>
    <t>GB00B4R2F348</t>
  </si>
  <si>
    <t>Vanguard LifeStrategy 60% Equity A Inc TR in GB</t>
  </si>
  <si>
    <t>GB00B4PQW151</t>
  </si>
  <si>
    <t>Vanguard LifeStrategy 80% Equity A in GB</t>
  </si>
  <si>
    <t>GB00B4KWNF91</t>
  </si>
  <si>
    <t>Vanguard LifeStrategy 80% Equity A Inc TR in GB</t>
  </si>
  <si>
    <t>GB00B45Q9038</t>
  </si>
  <si>
    <t>Vanguard UK Inflation-Linked Gilt Index Gross Acc GBP in GB</t>
  </si>
  <si>
    <t>GB00B467FS56</t>
  </si>
  <si>
    <t>Vanguard UK Inflation-Linked Gilt Index Inc GBP TR in GB</t>
  </si>
  <si>
    <t>GB00B4M89245</t>
  </si>
  <si>
    <t>Vanguard UK Long Duration Gilt Index Gross Acc GBP in GB</t>
  </si>
  <si>
    <t>GB00B44DQC62</t>
  </si>
  <si>
    <t>Vanguard UK Long Duration Gilt Index Inc GBP TR in GB</t>
  </si>
  <si>
    <t>Vanguard US Equity Index Acc GBP in GB</t>
  </si>
  <si>
    <t>GB00B5B74S01</t>
  </si>
  <si>
    <t>Vanguard US Equity Index Inc GBP TR in GB</t>
  </si>
  <si>
    <t>GB00BPN5P121</t>
  </si>
  <si>
    <t>Vanguard US Equity Index Inst Plus Inc GBP TR in GB</t>
  </si>
  <si>
    <t>GB00BYV0VQ98</t>
  </si>
  <si>
    <t>VT Active Portfolio Overlay C in GB</t>
  </si>
  <si>
    <t>GB00BYV0VR06</t>
  </si>
  <si>
    <t>VT Aggressive Portfolio Overlay C in GB</t>
  </si>
  <si>
    <t>GB00B7MC0R90</t>
  </si>
  <si>
    <t>VT Argonaut Absolute Return A Acc GBP in GB</t>
  </si>
  <si>
    <t>GB00B79NKW03</t>
  </si>
  <si>
    <t>VT Argonaut Absolute Return I Acc GBP in GB</t>
  </si>
  <si>
    <t>GB00B7FT1K78</t>
  </si>
  <si>
    <t>VT Argonaut Absolute Return R Acc GBP in GB</t>
  </si>
  <si>
    <t>GB00B4ZRCD05</t>
  </si>
  <si>
    <t>VT Argonaut European Alpha A Acc GBP in GB</t>
  </si>
  <si>
    <t>GB00B5LJR434</t>
  </si>
  <si>
    <t>VT Argonaut European Alpha A Inc GBP TR in GB</t>
  </si>
  <si>
    <t>GB00BVYPB156</t>
  </si>
  <si>
    <t>VT Argonaut European Alpha I Hedged Acc GBP in GB</t>
  </si>
  <si>
    <t>GB00B7MW8T72</t>
  </si>
  <si>
    <t>VT Argonaut European Alpha R Acc GBP in GB</t>
  </si>
  <si>
    <t>GB00B7JXMD51</t>
  </si>
  <si>
    <t>VT Argonaut European Alpha R Inc GBP TR in GB</t>
  </si>
  <si>
    <t>GB00BDSFHH38</t>
  </si>
  <si>
    <t>GB00BDSFHG21</t>
  </si>
  <si>
    <t>GB00BKWGB574</t>
  </si>
  <si>
    <t>VT Astute Balanced A Acc in GB</t>
  </si>
  <si>
    <t>GB00BKWGB467</t>
  </si>
  <si>
    <t>VT Astute Conservative A Acc in GB</t>
  </si>
  <si>
    <t>GB00BKWGB681</t>
  </si>
  <si>
    <t>VT Astute Growth A Acc in GB</t>
  </si>
  <si>
    <t>GB00BYV0VP81</t>
  </si>
  <si>
    <t>VT Balanced Portfolio Overlay C in GB</t>
  </si>
  <si>
    <t>GB00BKMPSP30</t>
  </si>
  <si>
    <t>VT Blackfinch Balanced Portfolio F Acc in GB</t>
  </si>
  <si>
    <t>GB00BKMPSN16</t>
  </si>
  <si>
    <t>VT Blackfinch Balanced Portfolio F Inc TR in GB</t>
  </si>
  <si>
    <t>GB00BKP3DX73</t>
  </si>
  <si>
    <t>VT Blackfinch Cautious Portfolio F Acc in GB</t>
  </si>
  <si>
    <t>GB00BKP3DW66</t>
  </si>
  <si>
    <t>GB00BKP3DS21</t>
  </si>
  <si>
    <t>VT Blackfinch Defensive Portfolio F Acc in GB</t>
  </si>
  <si>
    <t>GB00BKP3DR14</t>
  </si>
  <si>
    <t>GB00BKMPST77</t>
  </si>
  <si>
    <t>VT Blackfinch Income Portfolio F Acc in GB</t>
  </si>
  <si>
    <t>GB00BKMPSS60</t>
  </si>
  <si>
    <t>VT Blackfinch Income Portfolio F Inc TR in GB</t>
  </si>
  <si>
    <t>GB00BG211654</t>
  </si>
  <si>
    <t>VT Cantab Balanced C Acc GBP in GB</t>
  </si>
  <si>
    <t>GB00BG211548</t>
  </si>
  <si>
    <t>VT Cantab Balanced C Inc GBP TR in GB</t>
  </si>
  <si>
    <t>GB00BG210J19</t>
  </si>
  <si>
    <t>VT Cantab Moderate C Acc GBP in GB</t>
  </si>
  <si>
    <t>GB00BG210H94</t>
  </si>
  <si>
    <t>VT Cantab Moderate C Inc GBP TR in GB</t>
  </si>
  <si>
    <t>GB00BK5XL008</t>
  </si>
  <si>
    <t>VT Cantab Sustainable Global Equity A Acc in GB</t>
  </si>
  <si>
    <t>GB00BK5XKZ82</t>
  </si>
  <si>
    <t>VT Cantab Sustainable Global Equity A Inc TR in GB</t>
  </si>
  <si>
    <t>GB00BV0LF607</t>
  </si>
  <si>
    <t>VT Castlebay UK Equity A Acc in GB</t>
  </si>
  <si>
    <t>GB00BV0LF599</t>
  </si>
  <si>
    <t>VT Castlebay UK Equity A Inc TR in GB</t>
  </si>
  <si>
    <t>GB00BV0LFB59</t>
  </si>
  <si>
    <t>VT Castlebay UK Equity C Acc in GB</t>
  </si>
  <si>
    <t>GB00BV0LF938</t>
  </si>
  <si>
    <t>VT Castlebay UK Equity C Inc TR in GB</t>
  </si>
  <si>
    <t>GB00BYV0VN67</t>
  </si>
  <si>
    <t>VT Cautious Portfolio Overlay C in GB</t>
  </si>
  <si>
    <t>GB00B3QF3G69</t>
  </si>
  <si>
    <t>VT De Lisle America B GBP in GB</t>
  </si>
  <si>
    <t>GB00BYV0VM50</t>
  </si>
  <si>
    <t>VT Defensive Portfolio Overlay C in GB</t>
  </si>
  <si>
    <t>GB00B92M6Y21</t>
  </si>
  <si>
    <t>VT Discovery Balanced B Acc GBP in GB</t>
  </si>
  <si>
    <t>GB00B92M7J45</t>
  </si>
  <si>
    <t>VT Discovery Balanced B Inc GBP TR in GB</t>
  </si>
  <si>
    <t>GB00B92MKL75</t>
  </si>
  <si>
    <t>VT Discovery Growth B GBP in GB</t>
  </si>
  <si>
    <t>GB00B61JRG28</t>
  </si>
  <si>
    <t>GB00B625QM82</t>
  </si>
  <si>
    <t>GB00BN2BTG06</t>
  </si>
  <si>
    <t>VT Elston Multi-Asset Income A Acc GBP in GB</t>
  </si>
  <si>
    <t>GB00BN2BTH13</t>
  </si>
  <si>
    <t>VT Elston Multi-Asset Income A Inc GBP TR in GB</t>
  </si>
  <si>
    <t>GB00BHD62Q31</t>
  </si>
  <si>
    <t>VT Garraway Diversified Income R Acc GBP in GB</t>
  </si>
  <si>
    <t>GB00BHD62R48</t>
  </si>
  <si>
    <t>VT Garraway Diversified Income R Inc GBP TR in GB</t>
  </si>
  <si>
    <t>GB00B28CC613</t>
  </si>
  <si>
    <t>VT Garraway Multi Asset Balanced A Acc GBP in GB</t>
  </si>
  <si>
    <t>2.46</t>
  </si>
  <si>
    <t>GB00B84XK441</t>
  </si>
  <si>
    <t>VT Garraway Multi Asset Balanced I Acc GBP in GB</t>
  </si>
  <si>
    <t>GB00B89R1H14</t>
  </si>
  <si>
    <t>VT Garraway Multi Asset Balanced I Inc GBP TR in GB</t>
  </si>
  <si>
    <t>GB00BF2H6830</t>
  </si>
  <si>
    <t>VT Garraway Multi Asset Balanced R Acc GBP in GB**</t>
  </si>
  <si>
    <t>GB00BF2H6723</t>
  </si>
  <si>
    <t>VT Garraway Multi Asset Balanced R Inc GBP TR in GB**</t>
  </si>
  <si>
    <t>GB00BDZTGT30</t>
  </si>
  <si>
    <t>VT Garraway Multi Asset Growth I Acc GBP in GB</t>
  </si>
  <si>
    <t>GB00BDZTGV51</t>
  </si>
  <si>
    <t>VT Garraway Multi Asset Growth I Inc GBP TR in GB</t>
  </si>
  <si>
    <t>GB00BDZTGW68</t>
  </si>
  <si>
    <t>VT Garraway Multi Asset Growth R Acc GBP in GB**</t>
  </si>
  <si>
    <t>GB00BDZTGX75</t>
  </si>
  <si>
    <t>VT Garraway Multi Asset Growth R Inc GBP TR in GB**</t>
  </si>
  <si>
    <t>GB00BFN4H792</t>
  </si>
  <si>
    <t>VT Gravis Clean Energy Income C Acc GBP in GB</t>
  </si>
  <si>
    <t>GB00BFN4H461</t>
  </si>
  <si>
    <t>VT Gravis Clean Energy Income C Inc GBP TR in GB</t>
  </si>
  <si>
    <t>GB00BFN4HF75</t>
  </si>
  <si>
    <t>VT Gravis Clean Energy Income I Acc GBP in GB</t>
  </si>
  <si>
    <t>GB00BFN4HB38</t>
  </si>
  <si>
    <t>VT Gravis Clean Energy Income I Inc GBP TR in GB**</t>
  </si>
  <si>
    <t>GB00BYVB3M28</t>
  </si>
  <si>
    <t>VT Gravis UK Infrastructure Income C Acc GBP in GB</t>
  </si>
  <si>
    <t>GB00BYVB3J98</t>
  </si>
  <si>
    <t>VT Gravis UK Infrastructure Income C Inc GBP TR in GB</t>
  </si>
  <si>
    <t>GB00BYVB3T96</t>
  </si>
  <si>
    <t>VT Gravis UK Infrastructure Income I Acc GBP in GB</t>
  </si>
  <si>
    <t>GB00BYVB3Q65</t>
  </si>
  <si>
    <t>VT Gravis UK Infrastructure Income I Inc GBP TR in GB</t>
  </si>
  <si>
    <t>GB00BKDZ8Y17</t>
  </si>
  <si>
    <t>VT Gravis UK Listed Property (Feeder) F Acc GBP in GB</t>
  </si>
  <si>
    <t>GB00BKDZ8V85</t>
  </si>
  <si>
    <t>VT Gravis UK Listed Property (Feeder) F Inc GBP TR in GB</t>
  </si>
  <si>
    <t>GB00B82VQ206</t>
  </si>
  <si>
    <t>VT Greystone Balanced Managed R Acc in GB</t>
  </si>
  <si>
    <t>GB00B8HLJX73</t>
  </si>
  <si>
    <t>VT Greystone Balanced Managed R Inc TR in GB</t>
  </si>
  <si>
    <t>GB00B84ZNJ63</t>
  </si>
  <si>
    <t>VT Greystone Cautious Managed R Acc in GB</t>
  </si>
  <si>
    <t>GB00B8JTXR16</t>
  </si>
  <si>
    <t>VT Greystone Cautious Managed R Inc TR in GB</t>
  </si>
  <si>
    <t>GB00B8FBGX88</t>
  </si>
  <si>
    <t>VT Greystone Conservative Managed R Acc in GB</t>
  </si>
  <si>
    <t>GB00B79FLP68</t>
  </si>
  <si>
    <t>VT Greystone Global Growth R Acc in GB</t>
  </si>
  <si>
    <t>GB0031467631</t>
  </si>
  <si>
    <t>VT Momentum Diversified Growth A Acc in GB</t>
  </si>
  <si>
    <t>GB00B7FPW579</t>
  </si>
  <si>
    <t>VT Momentum Diversified Growth B Acc in GB</t>
  </si>
  <si>
    <t>GB0031467961</t>
  </si>
  <si>
    <t>VT Momentum Diversified Income A Inc TR in GB</t>
  </si>
  <si>
    <t>GB00B7JTF560</t>
  </si>
  <si>
    <t>VT Momentum Diversified Income B Inc TR in GB</t>
  </si>
  <si>
    <t>GB00B1Z8LM43</t>
  </si>
  <si>
    <t>VT Munro Smart-Beta UK X Acc in GB</t>
  </si>
  <si>
    <t>GB00B1Z8L916</t>
  </si>
  <si>
    <t>VT Munro Smart-Beta UK X Inc TR in GB</t>
  </si>
  <si>
    <t>GB00BDZZSM84</t>
  </si>
  <si>
    <t>VT PEF Global Multi-Asset A Acc in GB</t>
  </si>
  <si>
    <t>GB00BM9GNG93</t>
  </si>
  <si>
    <t>VT PortfolioMetrix GBP Core Assertive in GB</t>
  </si>
  <si>
    <t>GB00BM9GNH01</t>
  </si>
  <si>
    <t>VT PortfolioMetrix GBP Core Balanced in GB</t>
  </si>
  <si>
    <t>GB00BM9GNJ25</t>
  </si>
  <si>
    <t>VT PortfolioMetrix GBP Core Cautious in GB</t>
  </si>
  <si>
    <t>GB00BWZMTX09</t>
  </si>
  <si>
    <t>VT Price Value Portfolio A GBP in GB</t>
  </si>
  <si>
    <t>GB00BD8PLW60</t>
  </si>
  <si>
    <t>VT Price Value Portfolio A Inc GBP TR in GB**</t>
  </si>
  <si>
    <t>GB00BWZMV016</t>
  </si>
  <si>
    <t>VT Price Value Portfolio B GBP in GB</t>
  </si>
  <si>
    <t>GB00BD8PLY84</t>
  </si>
  <si>
    <t>VT Price Value Portfolio B Inc GBP TR in GB**</t>
  </si>
  <si>
    <t>GB00BF4J8R02</t>
  </si>
  <si>
    <t>VT Protean Capital PROCSI CoRE A Acc in GB</t>
  </si>
  <si>
    <t>GB00BDVK8722</t>
  </si>
  <si>
    <t>VT Redlands Equity Portfolio A GBP in GB</t>
  </si>
  <si>
    <t>GB00BDVK8615</t>
  </si>
  <si>
    <t>VT Redlands Fixed Income Portfolio A GBP in GB</t>
  </si>
  <si>
    <t>GB00BDVK8839</t>
  </si>
  <si>
    <t>VT Redlands Multi-Asset Portfolio A GBP in GB</t>
  </si>
  <si>
    <t>GB00BZ3T9R81</t>
  </si>
  <si>
    <t>VT Redlands Property Portfolio A GBP in GB</t>
  </si>
  <si>
    <t>GB00BGV7K905</t>
  </si>
  <si>
    <t>VT RM Alternative Income F Acc GBP in GB**</t>
  </si>
  <si>
    <t>GB00BGV7KB23</t>
  </si>
  <si>
    <t>VT RM Alternative Income F Inc GBP TR in GB**</t>
  </si>
  <si>
    <t>GB00BDZRYK47</t>
  </si>
  <si>
    <t>VT SG UK Defined Return Assets A in GB</t>
  </si>
  <si>
    <t>GB00BYXFB401</t>
  </si>
  <si>
    <t>VT Sorbus Vector A TR in GB</t>
  </si>
  <si>
    <t>GB00BFFXRK73</t>
  </si>
  <si>
    <t>VT Tatton Blended Active A Acc in GB</t>
  </si>
  <si>
    <t>GB00BL3NDR00</t>
  </si>
  <si>
    <t>VT Tatton Blended Aggressive Retail Acc in GB</t>
  </si>
  <si>
    <t>GB00BFFXRF21</t>
  </si>
  <si>
    <t>VT Tatton Blended Balanced A Acc in GB</t>
  </si>
  <si>
    <t>GB00BFFXR968</t>
  </si>
  <si>
    <t>VT Tatton Blended Cautious A Acc in GB</t>
  </si>
  <si>
    <t>GB00BL3NDV46</t>
  </si>
  <si>
    <t>VT Tatton Blended Defensive Retail Acc in GB</t>
  </si>
  <si>
    <t>GB00BL3NDW52</t>
  </si>
  <si>
    <t>VT Tatton Blended Defensive Retail Inc TR in GB</t>
  </si>
  <si>
    <t>GB00B63B9J39</t>
  </si>
  <si>
    <t>VT Tatton Oak Capital Growth A in GB</t>
  </si>
  <si>
    <t>GB00B63B9K44</t>
  </si>
  <si>
    <t>VT Tatton Oak Capital Growth B in GB</t>
  </si>
  <si>
    <t>GB00B63B9L50</t>
  </si>
  <si>
    <t>VT Tatton Oak Cautious Growth A in GB</t>
  </si>
  <si>
    <t>GB00B63B9M67</t>
  </si>
  <si>
    <t>VT Tatton Oak Cautious Growth B in GB</t>
  </si>
  <si>
    <t>GB00BF6X2124</t>
  </si>
  <si>
    <t>VT Teviot UK Smaller Companies Acc in GB</t>
  </si>
  <si>
    <t>GB00BF6X2231</t>
  </si>
  <si>
    <t>VT Teviot UK Smaller Companies Inc TR in GB</t>
  </si>
  <si>
    <t>GB00BGRCF499</t>
  </si>
  <si>
    <t>VT Tyndall Global Select B Inc GBP TR in GB</t>
  </si>
  <si>
    <t>GB00BYPZY050</t>
  </si>
  <si>
    <t>VT Tyndall North American F Acc GBP in GB</t>
  </si>
  <si>
    <t>GB00BDG28F12</t>
  </si>
  <si>
    <t>VT Tyndall North American F Hedged Acc GBP in GB</t>
  </si>
  <si>
    <t>GB00BDG28G29</t>
  </si>
  <si>
    <t>VT Tyndall North American F Hedged Inc GBP in GB</t>
  </si>
  <si>
    <t>GB00BDH3R348</t>
  </si>
  <si>
    <t>VT Tyndall North American F Inc GBP in GB**</t>
  </si>
  <si>
    <t>GB00BYX0D612</t>
  </si>
  <si>
    <t>VT Tyndall Real Income Acc in GB</t>
  </si>
  <si>
    <t>GB00BYX0D836</t>
  </si>
  <si>
    <t>VT Tyndall Real Income Inc TR in GB</t>
  </si>
  <si>
    <t>GB00BJ4G2B16</t>
  </si>
  <si>
    <t>VT Vanneck Equity B Acc GBP in GB**</t>
  </si>
  <si>
    <t>GB00BJ4G2C23</t>
  </si>
  <si>
    <t>VT Vanneck Equity B Inc GBP TR in GB**</t>
  </si>
  <si>
    <t>GB0006989007</t>
  </si>
  <si>
    <t>WAY Flexible Global Growth Portfolio A Acc in GB</t>
  </si>
  <si>
    <t>GB00B96VT465</t>
  </si>
  <si>
    <t>WAY Flexible Global Growth Portfolio E Acc in GB</t>
  </si>
  <si>
    <t>GB00B970YR05</t>
  </si>
  <si>
    <t>WAY Flexible Global Growth Portfolio E Inc TR in GB</t>
  </si>
  <si>
    <t>GB0006989221</t>
  </si>
  <si>
    <t>WAY Global Balanced Portfolio A Acc in GB</t>
  </si>
  <si>
    <t>GB00B96WY448</t>
  </si>
  <si>
    <t>WAY Global Balanced Portfolio E Acc in GB</t>
  </si>
  <si>
    <t>GB00B9720012</t>
  </si>
  <si>
    <t>WAY Global Balanced Portfolio E Inc in GB</t>
  </si>
  <si>
    <t>GB00B06G2Q19</t>
  </si>
  <si>
    <t>WAY Global Cautious Portfolio B Acc in GB</t>
  </si>
  <si>
    <t>GB00B971ZJ29</t>
  </si>
  <si>
    <t>WAY Global Cautious Portfolio E Acc in GB</t>
  </si>
  <si>
    <t>GB00B8T10T87</t>
  </si>
  <si>
    <t>WAY Global Growth Portfolio E Acc in GB</t>
  </si>
  <si>
    <t>GB00B6065718</t>
  </si>
  <si>
    <t>WAY Global Momentum A Acc in GB</t>
  </si>
  <si>
    <t>GB00B62SHJ17</t>
  </si>
  <si>
    <t>WAY Global Momentum A Inc TR in GB</t>
  </si>
  <si>
    <t>GB00B64Q7V56</t>
  </si>
  <si>
    <t>WAY Global Momentum D Way Inst Net Inc TR in GB</t>
  </si>
  <si>
    <t>GB00B57W7682</t>
  </si>
  <si>
    <t>WAY Global Momentum E Acc in GB</t>
  </si>
  <si>
    <t>GB00B8XD0909</t>
  </si>
  <si>
    <t>WAY Global Momentum E Inc TR in GB</t>
  </si>
  <si>
    <t>GB00B87X8G93</t>
  </si>
  <si>
    <t>WAY MA Cautious Portfolio E Acc in GB</t>
  </si>
  <si>
    <t>GB00B8JGQM80</t>
  </si>
  <si>
    <t>WAY MA Cautious Portfolio E Inc TR in GB</t>
  </si>
  <si>
    <t>GB0034272533</t>
  </si>
  <si>
    <t>GB00B0LJ1M47</t>
  </si>
  <si>
    <t>Wise Funds Limited TB Wise Multi-Asset Income B Acc in GB</t>
  </si>
  <si>
    <t>GB00B0LJ0160</t>
  </si>
  <si>
    <t>Wise Funds Limited TB Wise Multi-Asset Income B Inc TR in GB</t>
  </si>
  <si>
    <t>GB00BV8VPH36</t>
  </si>
  <si>
    <t>WS Charteris Global Macro A Acc in GB</t>
  </si>
  <si>
    <t>GB00BYQ2JS82</t>
  </si>
  <si>
    <t>WS Charteris Gold &amp; Precious Metals A Acc in GB**</t>
  </si>
  <si>
    <t>GB00BYQ2JT99</t>
  </si>
  <si>
    <t>WS Charteris Gold &amp; Precious Metals A Inc TR in GB**</t>
  </si>
  <si>
    <t>GB00BYQ2JY43</t>
  </si>
  <si>
    <t>WS Charteris Gold &amp; Precious Metals I Acc in GB</t>
  </si>
  <si>
    <t>GB00BD9GLM88</t>
  </si>
  <si>
    <t>WS Charteris Strategic Bond I Acc in GB</t>
  </si>
  <si>
    <t>GB00BD9GLN95</t>
  </si>
  <si>
    <t>WS Charteris Strategic Bond I Inc TR in GB</t>
  </si>
  <si>
    <t>GB00B4W2H776</t>
  </si>
  <si>
    <t>WS Verbatim Multi-Index Portfolio 3 in GB</t>
  </si>
  <si>
    <t>GB00B4N5YW98</t>
  </si>
  <si>
    <t>WS Verbatim Multi-Index Portfolio 4 in GB</t>
  </si>
  <si>
    <t>GB00B4WHDG30</t>
  </si>
  <si>
    <t>WS Verbatim Multi-Index Portfolio 5 in GB</t>
  </si>
  <si>
    <t>GB00B4W0ZG69</t>
  </si>
  <si>
    <t>WS Verbatim Multi-Index Portfolio 6 in GB</t>
  </si>
  <si>
    <t>Federated Hermes Global Emerging Markets F Acc</t>
  </si>
  <si>
    <t>IA Global Emerging Markets</t>
  </si>
  <si>
    <t>Vanguard UK Short-Term Investment Grade Bond Index Acc</t>
  </si>
  <si>
    <t>IA Sterling Corporate Bond</t>
  </si>
  <si>
    <t>Jupiter Gold &amp; Silver I Acc</t>
  </si>
  <si>
    <t>IA Specialist</t>
  </si>
  <si>
    <t>IE00B59G6L68</t>
  </si>
  <si>
    <t>Federated Hermes Europe ex UK Equity F Acc</t>
  </si>
  <si>
    <t>IA Europe Excluding UK</t>
  </si>
  <si>
    <t>Asset Class</t>
  </si>
  <si>
    <t>Fixed Int - GBP Short/ Medium Maturity</t>
  </si>
  <si>
    <t>FO Absolute Return</t>
  </si>
  <si>
    <t>FO Commodity &amp; Energy</t>
  </si>
  <si>
    <t>FO Convertible</t>
  </si>
  <si>
    <t>Unclassified</t>
  </si>
  <si>
    <t>FO Currency - US Dollar</t>
  </si>
  <si>
    <t>FO Equity - Asia Pacific ex Japan</t>
  </si>
  <si>
    <t>FO Equity - Asia Pacific inc Japan</t>
  </si>
  <si>
    <t>FO Equity - China</t>
  </si>
  <si>
    <t>FO Equity - Emerging Markets</t>
  </si>
  <si>
    <t>FO Equity - Ethical</t>
  </si>
  <si>
    <t>FO Equity - Europe ex UK</t>
  </si>
  <si>
    <t>FO Equity - Europe inc UK</t>
  </si>
  <si>
    <t>FO Equity - Greater China</t>
  </si>
  <si>
    <t>FO Equity - India</t>
  </si>
  <si>
    <t>FO Equity - International</t>
  </si>
  <si>
    <t>FO Equity - Japan</t>
  </si>
  <si>
    <t>FO Equity - Latin America</t>
  </si>
  <si>
    <t>FO Equity - MENA</t>
  </si>
  <si>
    <t>FO Equity - Pharma Health &amp; Biotech</t>
  </si>
  <si>
    <t>FO Equity - Small Cap Japan</t>
  </si>
  <si>
    <t>FO Equity - Small Cap USA</t>
  </si>
  <si>
    <t>FO Equity - Tech Media &amp; Telecom</t>
  </si>
  <si>
    <t>FO Equity - UK</t>
  </si>
  <si>
    <t>FO Equity - USA</t>
  </si>
  <si>
    <t>FO Fixed Int - Asia Pacific</t>
  </si>
  <si>
    <t>FO Fixed Int - Emerging Markets</t>
  </si>
  <si>
    <t>FO Fixed Int - EUR High Yield</t>
  </si>
  <si>
    <t>FO Fixed Int - Global</t>
  </si>
  <si>
    <t>FO Fixed Int - Other Single Currenc</t>
  </si>
  <si>
    <t>Fixed Interest</t>
  </si>
  <si>
    <t>FO Hedge/Stru Prod - Mixed</t>
  </si>
  <si>
    <t>FO Mixed Asset - Cautious</t>
  </si>
  <si>
    <t>Mixed 20%-60%</t>
  </si>
  <si>
    <t>Gbl ETF Equity - Europe Single Coun</t>
  </si>
  <si>
    <t>Gbl ETF Equity - Other Specialist</t>
  </si>
  <si>
    <t>IA Asia Pacific Excluding Japan</t>
  </si>
  <si>
    <t>LON Not Yet Assigned</t>
  </si>
  <si>
    <t>IA Asia Pacific Including Japan</t>
  </si>
  <si>
    <t>LON Real estate</t>
  </si>
  <si>
    <t>IA China/Greater China</t>
  </si>
  <si>
    <t>LON Funds and Trusts</t>
  </si>
  <si>
    <t>LON Alternative fuels</t>
  </si>
  <si>
    <t>IA Europe Including UK</t>
  </si>
  <si>
    <t>LON Investments</t>
  </si>
  <si>
    <t>IA European Smaller Companies</t>
  </si>
  <si>
    <t>LON Medical equipment</t>
  </si>
  <si>
    <t>IA Flexible Investment</t>
  </si>
  <si>
    <t>Flexible</t>
  </si>
  <si>
    <t>LON Retail</t>
  </si>
  <si>
    <t>IA Global</t>
  </si>
  <si>
    <t>LON Insurance</t>
  </si>
  <si>
    <t>IA Global Bonds</t>
  </si>
  <si>
    <t>LON Construction</t>
  </si>
  <si>
    <t>IA Global Emerging Market Bond</t>
  </si>
  <si>
    <t>LON Business services</t>
  </si>
  <si>
    <t>LON Fixed cable</t>
  </si>
  <si>
    <t>IA Global Equity Income</t>
  </si>
  <si>
    <t>LON Software</t>
  </si>
  <si>
    <t>IA Japan</t>
  </si>
  <si>
    <t>LON Consumable Products</t>
  </si>
  <si>
    <t>IA Japanese Smaller Companies</t>
  </si>
  <si>
    <t>LON Healthcare services</t>
  </si>
  <si>
    <t>IA Mixed Investment 0%-35% Shares</t>
  </si>
  <si>
    <t>Mixed 0%-35%</t>
  </si>
  <si>
    <t>LON Transportation</t>
  </si>
  <si>
    <t>IA Mixed Investment 20%-60% Shares</t>
  </si>
  <si>
    <t>LON Banking</t>
  </si>
  <si>
    <t>IA Mixed Investment 40%-85% Shares</t>
  </si>
  <si>
    <t>Mixed 40%-85%</t>
  </si>
  <si>
    <t>LON Data centres</t>
  </si>
  <si>
    <t>IA Money Market</t>
  </si>
  <si>
    <t>LON Fabrication</t>
  </si>
  <si>
    <t>IA North America</t>
  </si>
  <si>
    <t>LON Chemicals</t>
  </si>
  <si>
    <t>IA North American Smaller Companies</t>
  </si>
  <si>
    <t>LON Gas and Electricity</t>
  </si>
  <si>
    <t>IA Property</t>
  </si>
  <si>
    <t>LON Consumer services</t>
  </si>
  <si>
    <t>IA Protected</t>
  </si>
  <si>
    <t>Protected</t>
  </si>
  <si>
    <t>LON Media &amp; entertainment</t>
  </si>
  <si>
    <t>IA Short Term Money Market</t>
  </si>
  <si>
    <t>LON Water</t>
  </si>
  <si>
    <t>&lt;---- Have changed to Asia due to Stewart Asia Pacific Leaders.  Should be IA Specialist</t>
  </si>
  <si>
    <t>LON Components</t>
  </si>
  <si>
    <t>LON Household goods</t>
  </si>
  <si>
    <t>IA Sterling High Yield</t>
  </si>
  <si>
    <t>LON Wireless</t>
  </si>
  <si>
    <t>IA Sterling Strategic Bond</t>
  </si>
  <si>
    <t>IA Targeted Absolute Return</t>
  </si>
  <si>
    <t>IA Technology &amp; Telecoms</t>
  </si>
  <si>
    <t>IA UK All Companies</t>
  </si>
  <si>
    <t>IA UK Equity &amp; Bond Income</t>
  </si>
  <si>
    <t>IA UK Equity Income</t>
  </si>
  <si>
    <t>IA UK Gilts</t>
  </si>
  <si>
    <t>IA UK Index - Linked Gilts</t>
  </si>
  <si>
    <t>IA UK Smaller Companies</t>
  </si>
  <si>
    <t>IA Unclassified</t>
  </si>
  <si>
    <t>IT Asia Pacific excluding Japan Equ</t>
  </si>
  <si>
    <t>IT Infrastructure</t>
  </si>
  <si>
    <t>MM Global</t>
  </si>
  <si>
    <t>MM Income &amp; Bond</t>
  </si>
  <si>
    <t>MM Managed</t>
  </si>
  <si>
    <t>Managed 40%-85%</t>
  </si>
  <si>
    <t>OR Commodity &amp; Energy</t>
  </si>
  <si>
    <t>OR Convertible</t>
  </si>
  <si>
    <t>OR Currency - Sterling</t>
  </si>
  <si>
    <t>OR Equity - International</t>
  </si>
  <si>
    <t>OR Fixed Int - Emerging Markets</t>
  </si>
  <si>
    <t>OR Fixed Int - Europe</t>
  </si>
  <si>
    <t>OR Hedge/Stru Prod - Mixed</t>
  </si>
  <si>
    <t>UK RTMA Insufficient track record</t>
  </si>
  <si>
    <t>UK RTMA Risk band 1 (FE risk &lt; 30)</t>
  </si>
  <si>
    <t>Mixed Investment 0%-35%</t>
  </si>
  <si>
    <t>UK RTMA Risk band 2 (FE risk 30-50)</t>
  </si>
  <si>
    <t>Mixed Investment 20%-60%</t>
  </si>
  <si>
    <t>UK RTMA Risk band 3 (FE risk 50-70)</t>
  </si>
  <si>
    <t>Mixed Investment 40%-85%</t>
  </si>
  <si>
    <t>UK RTMA Risk band 4 (FE risk 70-85)</t>
  </si>
  <si>
    <t>UK RTMA Risk band 5 (FE risk 85+)</t>
  </si>
  <si>
    <t>FO Fixed Int - GBP Short/ Medium Ma</t>
  </si>
  <si>
    <t>Investment Trust</t>
  </si>
  <si>
    <t>Listed Security</t>
  </si>
  <si>
    <t>UT Global Emerging Market Bond</t>
  </si>
  <si>
    <t>UT Money Market</t>
  </si>
  <si>
    <t>UT Property</t>
  </si>
  <si>
    <t>UT Protected</t>
  </si>
  <si>
    <t>UT Technology &amp; Telecoms</t>
  </si>
  <si>
    <t>ISIN</t>
  </si>
  <si>
    <t>FUND NAME</t>
  </si>
  <si>
    <t>Sector2</t>
  </si>
  <si>
    <t>Allianz UK Listed Equity Income E Inc GBP</t>
  </si>
  <si>
    <t>GB00BJ04K711</t>
  </si>
  <si>
    <t>Invesco Tactical Bond (UK) X Acc in GB</t>
  </si>
  <si>
    <t>Royal London Sterling Credit Fund - M (Acc) share class used on Transact (GB00B8GJ8S05)</t>
  </si>
  <si>
    <t>IE00BFLR2202</t>
  </si>
  <si>
    <t>Atlantic House Defined Returns B Acc in GB</t>
  </si>
  <si>
    <t>31/05/2021</t>
  </si>
  <si>
    <t>30/09/2021</t>
  </si>
  <si>
    <t>Aegon Ethical Equity B Acc in GB</t>
  </si>
  <si>
    <t>Aegon Sterling Corporate Bond B Acc in GB</t>
  </si>
  <si>
    <t>Aegon Sustainable Diversified Growth B Acc in GB</t>
  </si>
  <si>
    <t>Aegon Sustainable Equity B Acc GBP in GB</t>
  </si>
  <si>
    <t>Aegon UK Equity B Acc GBP in GB</t>
  </si>
  <si>
    <t>Allianz UK Listed Equity Income A TR in GB</t>
  </si>
  <si>
    <t>Allianz UK Listed Equity Income C Inc TR in GB</t>
  </si>
  <si>
    <t>07/05/2021</t>
  </si>
  <si>
    <t>Allianz UK Listed Opportunities A in GB</t>
  </si>
  <si>
    <t>Allianz UK Listed Opportunities C in GB</t>
  </si>
  <si>
    <t>Allianz UK Listed Opportunities I Acc in GB**</t>
  </si>
  <si>
    <t>16/09/2021</t>
  </si>
  <si>
    <t>31/10/2021</t>
  </si>
  <si>
    <t>31/07/2021</t>
  </si>
  <si>
    <t>ASI (SLI) Corporate Bond Platform 1 Acc GBP TR in GB**</t>
  </si>
  <si>
    <t>ASI (SLI) Corporate Bond Platform 1 Inc GBP TR in GB**</t>
  </si>
  <si>
    <t>ASI (SLI) Emerging Markets Equity Ret Platform 1 Acc GBP in GB</t>
  </si>
  <si>
    <t>ASI (SLI) Strategic Bond Platform 1 Acc GBP in GB</t>
  </si>
  <si>
    <t>ASI (SLI) Strategic Bond Platform 1 Inc GBP TR in GB</t>
  </si>
  <si>
    <t>ASI (SLI) Strategic Bond Ret Acc GBP in GB</t>
  </si>
  <si>
    <t>ASI (SLI) Strategic Bond Ret Inc GBP TR in GB</t>
  </si>
  <si>
    <t>ASI AAA Bond Ret Acc GBP in GB</t>
  </si>
  <si>
    <t>ASI AAA Bond Ret Inc GBP TR in GB</t>
  </si>
  <si>
    <t>ASI AAA Bond Ret Platform 1 Acc GBP in GB</t>
  </si>
  <si>
    <t>ASI AAA Bond Ret Platform 1 Inc GBP TR in GB</t>
  </si>
  <si>
    <t>ASI American Unconstrained Equity Ret Acc GBP in GB</t>
  </si>
  <si>
    <t>ASI American Unconstrained Equity Ret Platform 1 Acc GBP in GB</t>
  </si>
  <si>
    <t>ASI Asian Pacific Growth Equity Ret Acc GBP in GB</t>
  </si>
  <si>
    <t>ASI Asian Pacific Growth Equity Ret Platform 1 Acc GBP in GB</t>
  </si>
  <si>
    <t>ASI Dynamic Distribution Platform 1 Acc GBP in GB</t>
  </si>
  <si>
    <t>ASI Dynamic Distribution Platform 1 Inc GBP TR in GB</t>
  </si>
  <si>
    <t>ASI Dynamic Distribution Ret Acc GBP in GB</t>
  </si>
  <si>
    <t>ASI Dynamic Distribution Ret Inc GBP TR in GB</t>
  </si>
  <si>
    <t>ASI Dynamic Multi Asset Growth Platform Acc GBP in GB</t>
  </si>
  <si>
    <t>ASI Emerging Markets Income Equity Ret Platform 1 Acc GBP in GB</t>
  </si>
  <si>
    <t>ASI Emerging Markets Income Equity Ret Platform 1 Inc GBP TR in GB</t>
  </si>
  <si>
    <t>ASI Ethical Corporate Bond Inst Acc GBP in GB</t>
  </si>
  <si>
    <t>ASI Ethical Corporate Bond Inst Inc GBP TR in GB</t>
  </si>
  <si>
    <t>ASI Ethical Corporate Bond Platform 1 Acc GBP in GB</t>
  </si>
  <si>
    <t>ASI Ethical Corporate Bond Platform 1 Inc GBP TR in GB</t>
  </si>
  <si>
    <t>ASI Ethical Corporate Bond Ret Acc GBP in GB</t>
  </si>
  <si>
    <t>ASI Ethical Corporate Bond Ret Inc GBP TR in GB</t>
  </si>
  <si>
    <t>ASI Europe ex UK Ethical Equity Inst Acc GBP in GB</t>
  </si>
  <si>
    <t>ASI Europe ex UK Ethical Equity Platform 1 Acc GBP in GB</t>
  </si>
  <si>
    <t>ASI Europe ex UK Ethical Equity Ret Acc GBP in GB</t>
  </si>
  <si>
    <t>ASI Europe ex UK Growth Equity Inst Acc GBP in GB</t>
  </si>
  <si>
    <t>ASI Europe ex UK Growth Equity Ret Acc GBP in GB</t>
  </si>
  <si>
    <t>ASI Europe ex UK Growth Equity Ret Platform 1 Acc GBP in GB</t>
  </si>
  <si>
    <t>ASI Europe ex UK Income Equity Inst Acc GBP in GB</t>
  </si>
  <si>
    <t>ASI Europe ex UK Income Equity Inst Inc GBP TR in GB</t>
  </si>
  <si>
    <t>ASI Europe ex UK Income Equity Ret Acc GBP in GB</t>
  </si>
  <si>
    <t>ASI Europe ex UK Income Equity Ret Inc GBP TR in GB</t>
  </si>
  <si>
    <t>ASI Europe ex UK Income Equity Ret Platform 1 Acc GBP in GB</t>
  </si>
  <si>
    <t>ASI Europe ex UK Income Equity Ret Platform 1 Inc GBP TR in GB</t>
  </si>
  <si>
    <t>ASI Europe ex UK Smaller Companies Platform 1 Acc GBP in GB</t>
  </si>
  <si>
    <t>ASI Global Absolute Return Strategies Inst Acc GBP in GB</t>
  </si>
  <si>
    <t>ASI Global Absolute Return Strategies Platform 1 Acc GBP in GB</t>
  </si>
  <si>
    <t>ASI Global Absolute Return Strategies Ret Acc GBP in GB**</t>
  </si>
  <si>
    <t>ASI Global Balanced Growth Ret Acc GBP in GB</t>
  </si>
  <si>
    <t>ASI Global Balanced Growth Ret CAT Acc GBP in GB</t>
  </si>
  <si>
    <t>ASI Global Balanced Growth Ret Platform 1 Acc GBP in GB</t>
  </si>
  <si>
    <t>ASI Global Balanced Growth Ret Platform 1 Inc GBP TR in GB</t>
  </si>
  <si>
    <t>ASI Global Focused Equity Ret Acc GBP in GB</t>
  </si>
  <si>
    <t>ASI Global Focused Equity Ret Platform 1 Acc GBP in GB</t>
  </si>
  <si>
    <t>ASI Global Income Equity Ret Founder Acc GBP in GB</t>
  </si>
  <si>
    <t>ASI Global Income Equity Ret Platform 1 Acc GBP in GB</t>
  </si>
  <si>
    <t>ASI Global Income Equity Ret Platform 1 Inc GBP TR in GB</t>
  </si>
  <si>
    <t>ASI Global Inflation Linked Bond Inst Acc GBP in GB</t>
  </si>
  <si>
    <t>ASI Global Inflation Linked Bond Inst Inc GBP TR in GB</t>
  </si>
  <si>
    <t>ASI Global Inflation Linked Bond Platform 1 Acc GBP in GB</t>
  </si>
  <si>
    <t>ASI Global Inflation Linked Bond Platform 1 Inc GBP TR in GB</t>
  </si>
  <si>
    <t>ASI Global Inflation Linked Bond Ret Acc GBP in GB</t>
  </si>
  <si>
    <t>ASI Global Inflation Linked Bond Ret Inc GBP TR in GB</t>
  </si>
  <si>
    <t>ASI Global Real Estate Inst Acc GBP in GB</t>
  </si>
  <si>
    <t>ASI Global Real Estate Inst Inc GBP TR in GB</t>
  </si>
  <si>
    <t>ASI Global Real Estate Platform 1 Acc GBP in GB</t>
  </si>
  <si>
    <t>ASI Global Real Estate Platform 1 Inc GBP TR in GB</t>
  </si>
  <si>
    <t>ASI Global Real Estate Ret Acc GBP in GB</t>
  </si>
  <si>
    <t>ASI Global Real Estate Ret Inc GBP TR in GB</t>
  </si>
  <si>
    <t>ASI Global Real Estate Share Inst Inc GBP TR in GB</t>
  </si>
  <si>
    <t>ASI Global Real Estate Share Platform 1 Acc GBP in GB</t>
  </si>
  <si>
    <t>ASI Global Real Estate Share Platform 1 Inc GBP TR in GB</t>
  </si>
  <si>
    <t>ASI Global Real Estate Share Ret Acc GBP in GB</t>
  </si>
  <si>
    <t>ASI Global Real Estate Share Ret Inc GBP TR in GB</t>
  </si>
  <si>
    <t>ASI Global Smaller Companies Ret Acc GBP in GB</t>
  </si>
  <si>
    <t>ASI Global Smaller Companies Ret Platform 1 Acc GBP in GB</t>
  </si>
  <si>
    <t>ASI Global Sustainable and Responsible Investment Equity A Acc in GB</t>
  </si>
  <si>
    <t>ASI Global Sustainable and Responsible Investment Equity A Inc TR in GB</t>
  </si>
  <si>
    <t>ASI Global Sustainable and Responsible Investment Equity I Acc in GB</t>
  </si>
  <si>
    <t>ASI Global Sustainable and Responsible Investment Equity I Inc TR in GB</t>
  </si>
  <si>
    <t>ASI High Yield Bond Inst Acc GBP in GB</t>
  </si>
  <si>
    <t>ASI High Yield Bond Ret Acc GBP in GB</t>
  </si>
  <si>
    <t>ASI High Yield Bond Ret Inc GBP TR in GB</t>
  </si>
  <si>
    <t>ASI High Yield Bond Ret Platform 1 Acc GBP in GB</t>
  </si>
  <si>
    <t>ASI High Yield Bond Ret Platform 1 Inc GBP TR in GB</t>
  </si>
  <si>
    <t>ASI Investment Grade Corporate Bond Ret Acc GBP in GB</t>
  </si>
  <si>
    <t>ASI Investment Grade Corporate Bond Ret Inc GBP TR in GB</t>
  </si>
  <si>
    <t>ASI Investment Grade Corporate Bond Ret Platform 1 Acc GBP in GB</t>
  </si>
  <si>
    <t>ASI Investment Grade Corporate Bond Ret Platform 1 Inc GBP TR in GB</t>
  </si>
  <si>
    <t>UT Latin America</t>
  </si>
  <si>
    <t>ASI MyFolio Managed I Platform 1 Acc GBP in GB</t>
  </si>
  <si>
    <t>31/12/2021</t>
  </si>
  <si>
    <t>ASI MyFolio Managed I Platform 1 Inc GBP TR in GB**</t>
  </si>
  <si>
    <t>30/06/2021</t>
  </si>
  <si>
    <t>ASI MyFolio Managed I Ret Acc GBP in GB</t>
  </si>
  <si>
    <t>ASI MyFolio Managed II Platform 1 Acc GBP in GB</t>
  </si>
  <si>
    <t>ASI MyFolio Managed II Platform 1 Inc GBP TR in GB**</t>
  </si>
  <si>
    <t>ASI MyFolio Managed II Ret Acc GBP in GB</t>
  </si>
  <si>
    <t>ASI MyFolio Managed III Inst Acc GBP in GB</t>
  </si>
  <si>
    <t>ASI MyFolio Managed III Platform 1 Acc GBP in GB</t>
  </si>
  <si>
    <t>ASI MyFolio Managed III Platform 1 Inc GBP TR in GB**</t>
  </si>
  <si>
    <t>ASI MyFolio Managed III Ret Acc GBP in GB</t>
  </si>
  <si>
    <t>ASI MyFolio Managed IV Platform 1 Acc GBP in GB</t>
  </si>
  <si>
    <t>ASI MyFolio Managed IV Platform 1 Inc GBP TR in GB**</t>
  </si>
  <si>
    <t>ASI MyFolio Managed IV Ret Acc GBP in GB</t>
  </si>
  <si>
    <t>ASI MyFolio Managed V Platform 1 Acc GBP in GB</t>
  </si>
  <si>
    <t>ASI MyFolio Market I Platform 1 Acc GBP in GB</t>
  </si>
  <si>
    <t>ASI MyFolio Market I Ret Acc GBP in GB</t>
  </si>
  <si>
    <t>ASI MyFolio Market II Platform 1 Acc GBP in GB</t>
  </si>
  <si>
    <t>ASI MyFolio Market II Ret Acc GBP in GB</t>
  </si>
  <si>
    <t>ASI MyFolio Market III Platform 1 Acc GBP in GB</t>
  </si>
  <si>
    <t>ASI MyFolio Market III Ret Acc GBP in GB</t>
  </si>
  <si>
    <t>ASI MyFolio Market IV Platform 1 Acc GBP in GB</t>
  </si>
  <si>
    <t>ASI MyFolio Market IV Ret Acc GBP in GB</t>
  </si>
  <si>
    <t>ASI MyFolio Market V Platform 1 Acc GBP in GB</t>
  </si>
  <si>
    <t>ASI MyFolio Monthly Income II Platform 1 Acc GBP in GB</t>
  </si>
  <si>
    <t>ASI MyFolio Monthly Income II Platform 1 Inc GBP TR in GB</t>
  </si>
  <si>
    <t>ASI MyFolio Monthly Income III Platform 1 Acc GBP in GB</t>
  </si>
  <si>
    <t>ASI MyFolio Monthly Income III Platform 1 Inc GBP TR in GB</t>
  </si>
  <si>
    <t>ASI MyFolio Monthly Income III Ret Inc GBP TR in GB</t>
  </si>
  <si>
    <t>ASI MyFolio Monthly Income IV Platform 1 Acc GBP in GB</t>
  </si>
  <si>
    <t>ASI MyFolio Monthly Income IV Platform 1 Inc GBP TR in GB</t>
  </si>
  <si>
    <t>ASI MyFolio Multi Manager I Platform 1 Acc GBP in GB</t>
  </si>
  <si>
    <t>ASI MyFolio Multi Manager I Ret Acc GBP in GB</t>
  </si>
  <si>
    <t>ASI MyFolio Multi Manager II Platform 1 Acc GBP in GB</t>
  </si>
  <si>
    <t>ASI MyFolio Multi Manager II Ret Acc GBP in GB</t>
  </si>
  <si>
    <t>ASI MyFolio Multi Manager III Platform 1 Acc GBP in GB</t>
  </si>
  <si>
    <t>ASI MyFolio Multi Manager III Ret Acc GBP in GB</t>
  </si>
  <si>
    <t>ASI MyFolio Multi Manager IV Platform 1 Acc GBP in GB</t>
  </si>
  <si>
    <t>ASI MyFolio Multi Manager IV Ret Acc GBP in GB</t>
  </si>
  <si>
    <t>ASI MyFolio Multi Manager V Platform 1 Acc GBP in GB</t>
  </si>
  <si>
    <t>ASI MyFolio Multi Manager V Platform 1 Inc GBP TR in GB**</t>
  </si>
  <si>
    <t>ASI MyFolio Sustainable I Platform P Fixed Acc GBP in GB</t>
  </si>
  <si>
    <t>ASI MyFolio Sustainable II Platform P Fixed Acc GBP in GB</t>
  </si>
  <si>
    <t>ASI MyFolio Sustainable III Platform P Fixed Acc GBP in GB</t>
  </si>
  <si>
    <t>ASI MyFolio Sustainable IV Platform P Fixed Acc GBP in GB</t>
  </si>
  <si>
    <t>ASI MyFolio Sustainable V Platform P Fixed Acc GBP in GB</t>
  </si>
  <si>
    <t>ASI Short Dated Corporate Bond Platform 1 Inc GBP TR in GB</t>
  </si>
  <si>
    <t>ASI Short Duration Credit Inst Acc GBP in GB</t>
  </si>
  <si>
    <t>ASI Short Duration Credit Ret Acc GBP in GB</t>
  </si>
  <si>
    <t>ASI Short Duration Credit Ret Inc GBP TR in GB</t>
  </si>
  <si>
    <t>ASI Short Duration Credit Ret Platform 1 Acc GBP in GB</t>
  </si>
  <si>
    <t>ASI Short Duration Credit Ret Platform 1 Inc GBP TR in GB</t>
  </si>
  <si>
    <t>ASI Short Duration Global Inflation-Linked Bond Inst S Acc GBP in GB</t>
  </si>
  <si>
    <t>ASI Short Duration Global Inflation-Linked Bond Inst S Inc GBP TR in GB</t>
  </si>
  <si>
    <t>ASI Short Duration Global Inflation-Linked Bond Platform 1 Acc GBP in GB</t>
  </si>
  <si>
    <t>ASI Short Duration Global Inflation-Linked Bond Platform 1 Inc GBP TR in GB</t>
  </si>
  <si>
    <t>ASI UK Ethical Equity Inst Acc GBP in GB**</t>
  </si>
  <si>
    <t>ASI UK Ethical Equity Ret Acc GBP in GB</t>
  </si>
  <si>
    <t>ASI UK Ethical Equity Ret Platform 1 Acc GBP in GB</t>
  </si>
  <si>
    <t>ASI UK Ethical Equity Ret Platform Inc GBP TR in GB**</t>
  </si>
  <si>
    <t>ASI UK Government Bond Ret Acc GBP TR in GB**</t>
  </si>
  <si>
    <t>01/06/2021</t>
  </si>
  <si>
    <t>ASI UK Government Bond Ret Inc GBP TR in GB</t>
  </si>
  <si>
    <t>ASI UK Government Bond Ret Platform 1 Acc GBP in GB</t>
  </si>
  <si>
    <t>ASI UK Government Bond Ret Platform 1 Inc GBP TR in GB</t>
  </si>
  <si>
    <t>ASI UK Growth Equity Ret Acc GBP in GB</t>
  </si>
  <si>
    <t>ASI UK Growth Equity Ret Platform 1 Acc GBP in GB</t>
  </si>
  <si>
    <t>ASI UK High Alpha Equity Ret Acc GBP in GB</t>
  </si>
  <si>
    <t>ASI UK High Alpha Equity Ret Inc GBP TR in GB</t>
  </si>
  <si>
    <t>ASI UK High Alpha Equity Ret Platform 1 Acc GBP in GB</t>
  </si>
  <si>
    <t>ASI UK High Alpha Equity Ret Platform 1 Inc GBP TR in GB</t>
  </si>
  <si>
    <t>ASI UK High Income Equity Inst Inc GBP TR in GB**</t>
  </si>
  <si>
    <t>ASI UK High Income Equity Ret Acc GBP in GB</t>
  </si>
  <si>
    <t>ASI UK High Income Equity Ret Inc GBP TR in GB</t>
  </si>
  <si>
    <t>ASI UK High Income Equity Ret Platform 1 Acc GBP in GB</t>
  </si>
  <si>
    <t>ASI UK High Income Equity Ret Platform 1 Inc GBP TR in GB</t>
  </si>
  <si>
    <t>ASI UK Income Unconstrained Equity Inst Acc GBP in GB</t>
  </si>
  <si>
    <t>ASI UK Income Unconstrained Equity Inst Inc GBP TR in GB</t>
  </si>
  <si>
    <t>ASI UK Income Unconstrained Equity Platform 1 Acc GBP in GB</t>
  </si>
  <si>
    <t>ASI UK Income Unconstrained Equity Platform 1 Inc GBP TR in GB</t>
  </si>
  <si>
    <t>ASI UK Income Unconstrained Equity Ret Acc GBP in GB</t>
  </si>
  <si>
    <t>ASI UK Income Unconstrained Equity Ret Inc GBP TR in GB</t>
  </si>
  <si>
    <t>ASI UK Opportunities Equity Ret Acc GBP in GB</t>
  </si>
  <si>
    <t>ASI UK Opportunities Equity Ret Platform 1 Acc GBP in GB</t>
  </si>
  <si>
    <t>ASI UK Opportunities Equity Ret Platform 1 Inc GBP TR in GB</t>
  </si>
  <si>
    <t>ASI UK Smaller Companies Inst Acc GBP in GB**</t>
  </si>
  <si>
    <t>ASI UK Smaller Companies Ret Acc GBP in GB</t>
  </si>
  <si>
    <t>ASI UK Smaller Companies Ret Platform 1 Acc GBP in GB</t>
  </si>
  <si>
    <t>ASI UK Sustainable and Responsible Investment Equity A Acc in GB</t>
  </si>
  <si>
    <t>ASI UK Sustainable and Responsible Investment Equity A Inc TR in GB</t>
  </si>
  <si>
    <t>ASI UK Sustainable and Responsible Investment Equity I Acc in GB</t>
  </si>
  <si>
    <t>ASI UK Sustainable and Responsible Investment Equity I Inc TR in GB**</t>
  </si>
  <si>
    <t>ASI UK Unconstrained Equity Inst Acc GBP in GB</t>
  </si>
  <si>
    <t>ASI UK Unconstrained Equity Ret Acc GBP in GB</t>
  </si>
  <si>
    <t>ASI UK Unconstrained Equity Ret Platform 1 Acc GBP in GB</t>
  </si>
  <si>
    <t>01/12/2021</t>
  </si>
  <si>
    <t>Aviva Inv AI Multi-asset Plus I 1 in GB</t>
  </si>
  <si>
    <t>Aviva Inv AI Multi-asset Plus I 2 in GB</t>
  </si>
  <si>
    <t>Aviva Inv AI Multi-asset Plus II 1 in GB</t>
  </si>
  <si>
    <t>Aviva Inv AI Multi-asset Plus II 2 in GB</t>
  </si>
  <si>
    <t>Aviva Inv AI Multi-asset Plus III 1 in GB</t>
  </si>
  <si>
    <t>Aviva Inv AI Multi-asset Plus III 2 in GB</t>
  </si>
  <si>
    <t>Aviva Inv AI Multi-asset Plus IV 1 in GB</t>
  </si>
  <si>
    <t>Aviva Inv AI Multi-asset Plus IV 2 in GB</t>
  </si>
  <si>
    <t>Aviva Inv AI Multi-asset Plus V 1 in GB</t>
  </si>
  <si>
    <t>Aviva Inv AI Multi-asset Plus V 2 in GB</t>
  </si>
  <si>
    <t>02/08/2021</t>
  </si>
  <si>
    <t>AXA ACT Framlington Clean Economy R Acc in GB</t>
  </si>
  <si>
    <t>AXA ACT Framlington Clean Economy Z Acc in GB</t>
  </si>
  <si>
    <t>01/01/2022</t>
  </si>
  <si>
    <t>UT Financials and Financial Innovat</t>
  </si>
  <si>
    <t>UT Healthcare</t>
  </si>
  <si>
    <t>AXA Framlington UK Smaller Companies R Acc in GB</t>
  </si>
  <si>
    <t>AXA Framlington UK Smaller Companies Z Acc in GB</t>
  </si>
  <si>
    <t>AXA Framlington UK Smaller Companies Z Inc TR in GB**</t>
  </si>
  <si>
    <t>AXA Framlington UK Sustainable Equity R Acc in GB</t>
  </si>
  <si>
    <t>AXA Framlington UK Sustainable Equity R Inc TR in GB</t>
  </si>
  <si>
    <t>AXA Framlington UK Sustainable Equity Z Acc in GB</t>
  </si>
  <si>
    <t>AXA Framlington UK Sustainable Equity Z Inc TR in GB</t>
  </si>
  <si>
    <t>Baillie Gifford American W3 Acc in GB**</t>
  </si>
  <si>
    <t>Baillie Gifford Japanese W3 Acc in GB**</t>
  </si>
  <si>
    <t>Baillie Gifford Managed B Acc in GB</t>
  </si>
  <si>
    <t>30/08/2021</t>
  </si>
  <si>
    <t>UT Commodity/Natural Resources</t>
  </si>
  <si>
    <t>14/04/2021</t>
  </si>
  <si>
    <t>16/08/2021</t>
  </si>
  <si>
    <t>BlackRock Cash A Acc TR in GB</t>
  </si>
  <si>
    <t>BlackRock Cash D Acc TR in GB</t>
  </si>
  <si>
    <t>BlackRock Corporate Bond 1 to 10 Year A TR in GB</t>
  </si>
  <si>
    <t>BlackRock Corporate Bond A Acc TR in GB</t>
  </si>
  <si>
    <t>BlackRock Corporate Bond D Acc TR in GB</t>
  </si>
  <si>
    <t>BlackRock Developed Markets Sustainable Equity A Acc in GB</t>
  </si>
  <si>
    <t>BlackRock Developed Markets Sustainable Equity A Inc TR in GB</t>
  </si>
  <si>
    <t>BlackRock Developed Markets Sustainable Equity D Acc in GB</t>
  </si>
  <si>
    <t>BlackRock Developed Markets Sustainable Equity D Inc TR in GB</t>
  </si>
  <si>
    <t>BlackRock Market Advantage D Acc TR in GB</t>
  </si>
  <si>
    <t>25/07/2021</t>
  </si>
  <si>
    <t>08/11/2021</t>
  </si>
  <si>
    <t>BNY Mellon Absolute Insight AP Acc in GB</t>
  </si>
  <si>
    <t>21/12/2021</t>
  </si>
  <si>
    <t>BNY Mellon Absolute Insight Fp TR in GB</t>
  </si>
  <si>
    <t>BNY Mellon Absolute Insight W TR in GB</t>
  </si>
  <si>
    <t>UT Infrastructure</t>
  </si>
  <si>
    <t>BNY Mellon Managed Targeted Return Institutional W Acc in GB</t>
  </si>
  <si>
    <t>BNY Mellon Responsible Horizons UK Corporate Bond Inst W Acc GBP TR in GB</t>
  </si>
  <si>
    <t>BNY Mellon Responsible Horizons UK Corporate Bond Inst W Inc GBP TR in GB</t>
  </si>
  <si>
    <t>BNY Mellon Responsible Horizons UK Corporate Bond Sterling TR in GB</t>
  </si>
  <si>
    <t>BNY Mellon Sustainable European Opportunities Inst W Acc GBP TR in GB</t>
  </si>
  <si>
    <t>BNY Mellon Sustainable European Opportunities Inst W Inc GBP TR in GB</t>
  </si>
  <si>
    <t>BNY Mellon Sustainable European Opportunities Sterling GBP TR in GB</t>
  </si>
  <si>
    <t>BNY Mellon Sustainable UK Opportunities Inst W Acc TR in GB</t>
  </si>
  <si>
    <t>BNY Mellon Sustainable UK Opportunities Inst W Inc TR in GB</t>
  </si>
  <si>
    <t>BNY Mellon Sustainable UK Opportunities Sterling Inc TR in GB</t>
  </si>
  <si>
    <t>31/08/2021</t>
  </si>
  <si>
    <t>15/04/2021</t>
  </si>
  <si>
    <t>0.47</t>
  </si>
  <si>
    <t>04/05/2021</t>
  </si>
  <si>
    <t>EdenTree Responsible &amp; Sustainable Managed Income A TR in GB</t>
  </si>
  <si>
    <t>EdenTree Responsible &amp; Sustainable Managed Income B TR in GB</t>
  </si>
  <si>
    <t>EF 8AM Balanced A TR in GB</t>
  </si>
  <si>
    <t>EF 8AM Balanced B Inc TR in GB</t>
  </si>
  <si>
    <t>EF 8AM Cautious A TR in GB</t>
  </si>
  <si>
    <t>EF 8AM Cautious B Inc TR in GB</t>
  </si>
  <si>
    <t>EF 8AM Growth A TR in GB</t>
  </si>
  <si>
    <t>EF 8AM Growth B Inc TR in GB</t>
  </si>
  <si>
    <t>2.34</t>
  </si>
  <si>
    <t>30/04/2021</t>
  </si>
  <si>
    <t>ES AllianceBernstein Europe (ex UK) Equity F Inc GBP TR in GB</t>
  </si>
  <si>
    <t>07/06/2021</t>
  </si>
  <si>
    <t>ES AllianceBernstein Europe (ex UK) Equity I Inc GBP TR in GB</t>
  </si>
  <si>
    <t>12/07/2021</t>
  </si>
  <si>
    <t>11/01/2022</t>
  </si>
  <si>
    <t>Fidelity Sustainable Asia Equity W Acc in GB</t>
  </si>
  <si>
    <t>30/11/2021</t>
  </si>
  <si>
    <t>02/12/2021</t>
  </si>
  <si>
    <t>23/10/2021</t>
  </si>
  <si>
    <t>20/11/2021</t>
  </si>
  <si>
    <t>13/08/2021</t>
  </si>
  <si>
    <t>FTF Brandywine Global Income Optimiser X Acc TR in GB**</t>
  </si>
  <si>
    <t>FTF Brandywine Global Income Optimiser X Inc TR in GB</t>
  </si>
  <si>
    <t>FTF ClearBridge Global Equity Income X Acc TR in GB**</t>
  </si>
  <si>
    <t>FTF ClearBridge Global Equity Income X Inc TR in GB</t>
  </si>
  <si>
    <t>FTF ClearBridge Global Infrastructure Income X Acc GBP in GB</t>
  </si>
  <si>
    <t>FTF ClearBridge Global Infrastructure Income X Hedged Acc in GB</t>
  </si>
  <si>
    <t>FTF ClearBridge Global Infrastructure Income X Hedged Inc TR in GB</t>
  </si>
  <si>
    <t>FTF ClearBridge Global Infrastructure Income X Inc GBP TR in GB</t>
  </si>
  <si>
    <t>FTF ClearBridge US Equity Income X Acc in GB</t>
  </si>
  <si>
    <t>FTF ClearBridge US Equity Income X Hedged Inc TR in GB</t>
  </si>
  <si>
    <t>FTF ClearBridge US Equity Income X Inc TR in GB</t>
  </si>
  <si>
    <t>FTF ClearBridge US Value X in GB</t>
  </si>
  <si>
    <t>FTF Martin Currie Asia Unconstrained X Acc in GB</t>
  </si>
  <si>
    <t>FTF Martin Currie Emerging Markets S in GB**</t>
  </si>
  <si>
    <t>FTF Martin Currie Emerging Markets X in GB</t>
  </si>
  <si>
    <t>FTF Martin Currie European Unconstrained S Acc in GB**</t>
  </si>
  <si>
    <t>FTF Martin Currie European Unconstrained X Acc in GB</t>
  </si>
  <si>
    <t>FTF Martin Currie European Unconstrained X Inc TR in GB**</t>
  </si>
  <si>
    <t>FTF Martin Currie Global Unconstrained X Inc TR in GB</t>
  </si>
  <si>
    <t>FTF Martin Currie Japan Equity X in GB</t>
  </si>
  <si>
    <t>FTF Martin Currie Japan Equity X Hedged in GB</t>
  </si>
  <si>
    <t>FTF Martin Currie US Unconstrained X in GB</t>
  </si>
  <si>
    <t>FTF Royce US Smaller Companies X in GB</t>
  </si>
  <si>
    <t>FTF Western Asset Global Multi Strategy Bond I Inc TR in GB**</t>
  </si>
  <si>
    <t>FTF Western Asset Global Multi Strategy Bond X Inc TR in GB</t>
  </si>
  <si>
    <t>FTF Western Asset Retirement Income Bond X Inc TR in GB</t>
  </si>
  <si>
    <t>FTF Franklin Sterling Corporate Bond W Acc in GB</t>
  </si>
  <si>
    <t>FTF Franklin Sterling Corporate Bond W Inc TR in GB</t>
  </si>
  <si>
    <t>FTF Franklin Systematic UK Equity X in GB</t>
  </si>
  <si>
    <t>FTF Franklin UK Equity Income W Acc TR in GB</t>
  </si>
  <si>
    <t>FTF Franklin UK Equity Income W Inc TR in GB</t>
  </si>
  <si>
    <t>FTF Franklin UK Gilt W Acc in GB</t>
  </si>
  <si>
    <t>FTF Franklin UK Gilt W Inc TR in GB</t>
  </si>
  <si>
    <t>FTF Franklin UK Managers Focus S Acc in GB</t>
  </si>
  <si>
    <t>FTF Franklin UK Managers Focus W Acc in GB</t>
  </si>
  <si>
    <t>FTF Franklin UK Mid Cap W Acc TR in GB</t>
  </si>
  <si>
    <t>FTF Franklin UK Mid Cap W Inc TR in GB</t>
  </si>
  <si>
    <t>FTF Franklin UK Opportunities W Acc TR in GB</t>
  </si>
  <si>
    <t>FTF Franklin UK Opportunities W Inc TR in GB</t>
  </si>
  <si>
    <t>FTF Franklin UK Rising Dividends W Acc TR in GB</t>
  </si>
  <si>
    <t>FTF Franklin UK Rising Dividends W Inc TR in GB**</t>
  </si>
  <si>
    <t>FTF Franklin UK Smaller Companies W Acc TR in GB</t>
  </si>
  <si>
    <t>FTF Franklin UK Smaller Companies W Inc TR in GB</t>
  </si>
  <si>
    <t>FTF Franklin US Opportunities W Acc in GB</t>
  </si>
  <si>
    <t>FTF Templeton Global Emerging Markets W Acc in GB</t>
  </si>
  <si>
    <t>FTF Templeton Global Leaders W Acc in GB</t>
  </si>
  <si>
    <t>FTF Templeton Global Total Return Bond W Acc in GB</t>
  </si>
  <si>
    <t>FTF Templeton Global Total Return Bond W Inc TR in GB**</t>
  </si>
  <si>
    <t>FTF Templeton Global Total Return Bond WH3 Acc in GB</t>
  </si>
  <si>
    <t>FTF Templeton Global Total Return Bond WH3 Inc TR in GB</t>
  </si>
  <si>
    <t>01/10/2021</t>
  </si>
  <si>
    <t>11/11/2021</t>
  </si>
  <si>
    <t>12/05/2021</t>
  </si>
  <si>
    <t>16/07/2021</t>
  </si>
  <si>
    <t>Handelsbanken Balanced Multi Asset D Acc in GB**</t>
  </si>
  <si>
    <t>Handelsbanken Balanced Multi Asset I Acc NAV in GB</t>
  </si>
  <si>
    <t>Handelsbanken Balanced Multi Asset I Inc NAV TR in GB</t>
  </si>
  <si>
    <t>Handelsbanken Balanced Sustainable Multi Asset I Acc in GB</t>
  </si>
  <si>
    <t>Handelsbanken Cautious Multi Asset D Acc in GB**</t>
  </si>
  <si>
    <t>Handelsbanken Cautious Multi Asset I Acc NAV in GB**</t>
  </si>
  <si>
    <t>Handelsbanken Cautious Multi Asset I Inc NAV TR in GB**</t>
  </si>
  <si>
    <t>Handelsbanken Cautious Sustainable Multi Asset I Acc in GB</t>
  </si>
  <si>
    <t>Handelsbanken Defensive Multi Asset D Acc in GB**</t>
  </si>
  <si>
    <t>Handelsbanken Defensive Multi Asset I Acc in GB</t>
  </si>
  <si>
    <t>Handelsbanken Growth Multi Asset I Acc NAV in GB**</t>
  </si>
  <si>
    <t>Handelsbanken Growth Sustainable Multi Asset D Acc in GB</t>
  </si>
  <si>
    <t>Handelsbanken Growth Sustainable Multi Asset I Acc in GB</t>
  </si>
  <si>
    <t>Handelsbanken Income Plus Multi Asset I Inc NAV TR in GB</t>
  </si>
  <si>
    <t>15/05/2021</t>
  </si>
  <si>
    <t>01/11/2021</t>
  </si>
  <si>
    <t>IFSL Marlborough Balanced A Acc in GB</t>
  </si>
  <si>
    <t>2.18</t>
  </si>
  <si>
    <t>IFSL Marlborough Balanced P Acc in GB</t>
  </si>
  <si>
    <t>IFSL Marlborough Bond Income A TR in GB</t>
  </si>
  <si>
    <t>IFSL Marlborough Bond Income P Inc TR in GB</t>
  </si>
  <si>
    <t>IFSL Marlborough Cautious A Acc in GB</t>
  </si>
  <si>
    <t>IFSL Marlborough Cautious A Inc TR in GB</t>
  </si>
  <si>
    <t>IFSL Marlborough Cautious P Acc in GB</t>
  </si>
  <si>
    <t>IFSL Marlborough Cautious P Inc TR in GB</t>
  </si>
  <si>
    <t>IFSL Marlborough Emerging Markets Trust A TR in GB</t>
  </si>
  <si>
    <t>10/09/2021</t>
  </si>
  <si>
    <t>IFSL Marlborough Emerging Markets Trust P Inc TR in GB</t>
  </si>
  <si>
    <t>IFSL Marlborough European Special Situations A TR in GB</t>
  </si>
  <si>
    <t>IFSL Marlborough European Special Situations P Inc TR in GB</t>
  </si>
  <si>
    <t>IFSL Marlborough Extra Income A TR in GB</t>
  </si>
  <si>
    <t>20/04/2021</t>
  </si>
  <si>
    <t>IFSL Marlborough Extra Income P Inc TR in GB</t>
  </si>
  <si>
    <t>IFSL Marlborough Far East Growth A Acc in GB</t>
  </si>
  <si>
    <t>IFSL Marlborough Far East Growth A Inc TR in GB</t>
  </si>
  <si>
    <t>IFSL Marlborough Far East Growth P Acc in GB</t>
  </si>
  <si>
    <t>IFSL Marlborough Far East Growth P Inc TR in GB</t>
  </si>
  <si>
    <t>IFSL Marlborough Global A Acc in GB</t>
  </si>
  <si>
    <t>IFSL Marlborough Global Bond A Acc in GB</t>
  </si>
  <si>
    <t>20/08/2021</t>
  </si>
  <si>
    <t>IFSL Marlborough Global Bond A Inc TR in GB</t>
  </si>
  <si>
    <t>IFSL Marlborough Global Bond P Acc in GB</t>
  </si>
  <si>
    <t>IFSL Marlborough Global Bond P Inc TR in GB</t>
  </si>
  <si>
    <t>IFSL Marlborough Global P Acc in GB</t>
  </si>
  <si>
    <t>IFSL Marlborough High Yield Fixed Interest A TR in GB</t>
  </si>
  <si>
    <t>IFSL Marlborough High Yield Fixed Interest P Inc TR in GB</t>
  </si>
  <si>
    <t>IFSL Marlborough Multi Cap Income A Acc in GB</t>
  </si>
  <si>
    <t>IFSL Marlborough Multi Cap Income A Inc TR in GB</t>
  </si>
  <si>
    <t>IFSL Marlborough Multi Cap Income P Acc in GB</t>
  </si>
  <si>
    <t>IFSL Marlborough Multi Cap Income P Inc TR in GB</t>
  </si>
  <si>
    <t>IFSL Marlborough Multi-Cap Growth A Inc TR in GB</t>
  </si>
  <si>
    <t>20/09/2021</t>
  </si>
  <si>
    <t>IFSL Marlborough Multi-Cap Growth P Inc TR in GB</t>
  </si>
  <si>
    <t>IFSL Marlborough Nano-Cap Growth P in GB</t>
  </si>
  <si>
    <t>IFSL Marlborough Special Situations A Acc in GB</t>
  </si>
  <si>
    <t>20/06/2021</t>
  </si>
  <si>
    <t>IFSL Marlborough Special Situations P Acc in GB</t>
  </si>
  <si>
    <t>IFSL Marlborough UK Micro-Cap Growth A in GB</t>
  </si>
  <si>
    <t>IFSL Marlborough UK Micro-Cap Growth P Acc in GB</t>
  </si>
  <si>
    <t>IFSL Marlborough US Multi-Cap Income A TR in GB</t>
  </si>
  <si>
    <t>IFSL Marlborough US Multi-Cap Income P Inc TR in GB</t>
  </si>
  <si>
    <t>IFSL RC Brown UK Primary Opportunities A Acc in GB</t>
  </si>
  <si>
    <t>IFSL RC Brown UK Primary Opportunities A Inc TR in GB</t>
  </si>
  <si>
    <t>IFSL RC Brown UK Primary Opportunities P Acc in GB</t>
  </si>
  <si>
    <t>IFSL RC Brown UK Primary Opportunities P Inc TR in GB</t>
  </si>
  <si>
    <t>Invesco Corporate Bond (UK) No Trail Acc TR in GB**</t>
  </si>
  <si>
    <t>Invesco Corporate Bond (UK) Z Acc TR in GB</t>
  </si>
  <si>
    <t>Invesco Emerging European (UK) Acc TR in GB</t>
  </si>
  <si>
    <t>Invesco European Equity (UK) Acc TR in GB**</t>
  </si>
  <si>
    <t>Invesco European Equity Income (UK) Acc GBP TR in GB</t>
  </si>
  <si>
    <t>Invesco Global Emerging Markets (UK) Acc TR in GB</t>
  </si>
  <si>
    <t>Invesco Global Equity Income (UK) Acc TR in GB</t>
  </si>
  <si>
    <t>Invesco Global Equity Income (UK) No Trail Acc TR in GB</t>
  </si>
  <si>
    <t>Invesco Global Financial Capital (UK) Acc TR in GB</t>
  </si>
  <si>
    <t>Invesco Global Financial Capital (UK) Z Acc TR in GB</t>
  </si>
  <si>
    <t>Invesco Global Focus (UK) Acc TR in GB</t>
  </si>
  <si>
    <t>19/03/2021</t>
  </si>
  <si>
    <t>Invesco Global Targeted Returns (UK) Z Acc TR in GB</t>
  </si>
  <si>
    <t>Invesco High Yield (UK) Acc TR in GB</t>
  </si>
  <si>
    <t>Invesco High Yield (UK) Z Acc TR in GB</t>
  </si>
  <si>
    <t>Invesco Income &amp; Growth (UK) Acc TR in GB</t>
  </si>
  <si>
    <t>Invesco Latin American (UK) Z Acc TR in GB</t>
  </si>
  <si>
    <t>Invesco Managed Growth (UK) Acc TR in GB</t>
  </si>
  <si>
    <t>Invesco Managed Growth (UK) Z Acc TR in GB</t>
  </si>
  <si>
    <t>Invesco Managed Income (UK) Acc TR in GB</t>
  </si>
  <si>
    <t>04/08/2021</t>
  </si>
  <si>
    <t>Invesco Responsible Japanese Equity Value Discovery (UK) Acc TR in GB</t>
  </si>
  <si>
    <t>21/06/2021</t>
  </si>
  <si>
    <t>Invesco Responsible Japanese Equity Value Discovery (UK) Z Acc TR in GB</t>
  </si>
  <si>
    <t>Invesco Tactical Bond (UK) Acc TR in GB</t>
  </si>
  <si>
    <t>Invesco Tactical Bond (UK) Z Acc TR in GB</t>
  </si>
  <si>
    <t>Invesco UK Companies (UK) Z Acc TR in GB</t>
  </si>
  <si>
    <t>Invesco UK Opportunities (UK) Acc TR in GB</t>
  </si>
  <si>
    <t>Invesco UK Smaller Companies Equity (UK) Z Acc TR in GB</t>
  </si>
  <si>
    <t>02/07/2021</t>
  </si>
  <si>
    <t>iShares Index Linked Gilt Index (UK) D Acc TR in GB</t>
  </si>
  <si>
    <t>iShares UK Gilts All Stocks Index (UK) D Acc TR in GB</t>
  </si>
  <si>
    <t>iShares UK Gilts All Stocks Index (UK) L Acc TR in GB</t>
  </si>
  <si>
    <t>Janus Henderson European Selected Opportunities G Acc in GB**</t>
  </si>
  <si>
    <t>07/07/2021</t>
  </si>
  <si>
    <t>Janus Henderson Global Responsible Managed I Acc in GB</t>
  </si>
  <si>
    <t>Janus Henderson Multi-Manager Diversified I Inc TR in GB**</t>
  </si>
  <si>
    <t>Janus Henderson Inst Long Dated Credit I Acc in GB</t>
  </si>
  <si>
    <t>Janus Henderson Inst UK Index Opportunities Trust I Acc in GB**</t>
  </si>
  <si>
    <t>08/07/2021</t>
  </si>
  <si>
    <t>JPM Europe (ex-UK) Sustainable Equity A Acc in GB</t>
  </si>
  <si>
    <t>JPM Europe (ex-UK) Sustainable Equity A Inc TR in GB</t>
  </si>
  <si>
    <t>JPM Europe (ex-UK) Sustainable Equity C Acc in GB</t>
  </si>
  <si>
    <t>JPM Europe (ex-UK) Sustainable Equity C Inc TR in GB**</t>
  </si>
  <si>
    <t>Jupiter Flexible Macro I Acc in GB</t>
  </si>
  <si>
    <t>Jupiter Flexible Macro L Acc in GB</t>
  </si>
  <si>
    <t>UT India/Indian Subcontinent</t>
  </si>
  <si>
    <t>Jupiter Multi-Asset Income and Growth I Inc TR in GB</t>
  </si>
  <si>
    <t>08/09/2021</t>
  </si>
  <si>
    <t>Jupiter Multi-Asset Income and Growth L Inc TR in GB</t>
  </si>
  <si>
    <t>Jupiter Multi-Asset Income I Acc in GB</t>
  </si>
  <si>
    <t>Jupiter Multi-Asset Income I Inc TR in GB**</t>
  </si>
  <si>
    <t>Jupiter Multi-Asset Income L Acc in GB</t>
  </si>
  <si>
    <t>Jupiter Multi-Asset Income L Inc TR in GB</t>
  </si>
  <si>
    <t>Jupiter Strategic Bond X Acc in GB**</t>
  </si>
  <si>
    <t>Jupiter Strategic Bond X Inc TR in GB**</t>
  </si>
  <si>
    <t>L&amp;G Active Global High Yield Bond I Acc in GB</t>
  </si>
  <si>
    <t>L&amp;G Active Global High Yield Bond I Inc TR in GB</t>
  </si>
  <si>
    <t>L&amp;G Active Global High Yield Bond R Acc TR in GB</t>
  </si>
  <si>
    <t>L&amp;G Active Global High Yield Bond R Inc TR in GB</t>
  </si>
  <si>
    <t>L&amp;G Fixed Interest Trust R Acc TR in GB**</t>
  </si>
  <si>
    <t>28/05/2021</t>
  </si>
  <si>
    <t>23/06/2021</t>
  </si>
  <si>
    <t>Liontrust Global Innovation A Acc GBP in GB</t>
  </si>
  <si>
    <t>Liontrust Global Innovation A Inc GBP TR in GB</t>
  </si>
  <si>
    <t>Liontrust Global Innovation B Acc GBP in GB</t>
  </si>
  <si>
    <t>Liontrust Global Innovation C Acc GBP in GB</t>
  </si>
  <si>
    <t>Liontrust Global Innovation C Inc GBP TR in GB</t>
  </si>
  <si>
    <t>13/07/2021</t>
  </si>
  <si>
    <t>M&amp;G European Sustain Paris Aligned A Acc GBP in GB</t>
  </si>
  <si>
    <t>M&amp;G European Sustain Paris Aligned A Inc GBP TR in GB</t>
  </si>
  <si>
    <t>M&amp;G European Sustain Paris Aligned I Acc GBP in GB</t>
  </si>
  <si>
    <t>M&amp;G European Sustain Paris Aligned I Inc GBP TR in GB</t>
  </si>
  <si>
    <t>M&amp;G Global Sustain Paris Aligned A Acc GBP in GB</t>
  </si>
  <si>
    <t>M&amp;G Global Sustain Paris Aligned A Inc GBP TR in GB</t>
  </si>
  <si>
    <t>M&amp;G Global Sustain Paris Aligned I Acc GBP in GB</t>
  </si>
  <si>
    <t>M&amp;G Global Sustain Paris Aligned I Inc GBP TR in GB</t>
  </si>
  <si>
    <t>M&amp;G Global Sustain Paris Aligned X Inc GBP TR in GB</t>
  </si>
  <si>
    <t>Margetts MGTS Sentinel Enterprise B Acc in GB</t>
  </si>
  <si>
    <t>02/11/2021</t>
  </si>
  <si>
    <t>MGTS St Johns Balanced Retail Acc in GB</t>
  </si>
  <si>
    <t>19/04/2021</t>
  </si>
  <si>
    <t>MGTS St Johns Balanced Retail Inc TR in GB</t>
  </si>
  <si>
    <t>MGTS St Johns Cautious Retail Acc in GB</t>
  </si>
  <si>
    <t>MGTS St Johns Cautious Retail Inc TR in GB</t>
  </si>
  <si>
    <t>MGTS St Johns Growth Retail Acc in GB</t>
  </si>
  <si>
    <t>MGTS St Johns Growth Retail Inc TR in GB</t>
  </si>
  <si>
    <t>05/10/2021</t>
  </si>
  <si>
    <t>11/10/2021</t>
  </si>
  <si>
    <t>MI Brewin Dolphin Voyager Max 90% Equity A Inc TR in GB</t>
  </si>
  <si>
    <t>09/07/2021</t>
  </si>
  <si>
    <t>15/09/2021</t>
  </si>
  <si>
    <t>01/07/2021</t>
  </si>
  <si>
    <t>22/10/2021</t>
  </si>
  <si>
    <t>MI Somerset Asia Income I Inc TR in GB</t>
  </si>
  <si>
    <t>26/08/2021</t>
  </si>
  <si>
    <t>MI Somerset Asia Income R Inc TR in GB</t>
  </si>
  <si>
    <t>Ninety One Global Income Opportunities I Acc GBP in GB</t>
  </si>
  <si>
    <t>Ninety One Global Income Opportunities I Inc GBP TR in GB</t>
  </si>
  <si>
    <t>Ninety One Global Income Opportunities J 2 Inc GBP TR in GB**</t>
  </si>
  <si>
    <t>Ninety One Global Income Opportunities J Acc GBP in GB**</t>
  </si>
  <si>
    <t>Ninety One Global Multi-Asset Sustainable Growth A Inc GBP TR in GB</t>
  </si>
  <si>
    <t>Ninety One Global Multi-Asset Sustainable Growth I Acc GBP TR in GB</t>
  </si>
  <si>
    <t>Ninety One Global Multi-Asset Sustainable Growth I Inc GBP TR in GB</t>
  </si>
  <si>
    <t>Ninety One Global Strategic Equity I Hedged (Portfolio AC) Acc GBP in GB**</t>
  </si>
  <si>
    <t>19/10/2021</t>
  </si>
  <si>
    <t>24/09/2021</t>
  </si>
  <si>
    <t>Premier Miton Responsible UK Equity A Acc GBP in GB</t>
  </si>
  <si>
    <t>Premier Miton Responsible UK Equity A Inc GBP TR in GB</t>
  </si>
  <si>
    <t>Premier Miton Responsible UK Equity B Inc GBP TR in GB</t>
  </si>
  <si>
    <t>Premier Miton Responsible UK Equity C Acc GBP TR in GB</t>
  </si>
  <si>
    <t>Premier Miton Responsible UK Equity C Inc GBP TR in GB</t>
  </si>
  <si>
    <t>3.02</t>
  </si>
  <si>
    <t>2.27</t>
  </si>
  <si>
    <t>Quilter Cheviot Climate Assets B Acc in GB</t>
  </si>
  <si>
    <t>Quilter Cheviot Climate Assets B Inc TR in GB**</t>
  </si>
  <si>
    <t>Royal London Asia Pacific ex Japan Equity Tilt Z Acc in GB</t>
  </si>
  <si>
    <t>Royal London Japan Equity Tilt Z Acc in GB</t>
  </si>
  <si>
    <t>Royal London UK Core Equity Tilt Z Acc in GB</t>
  </si>
  <si>
    <t>Royal London US Equity Tilt Z Acc in GB</t>
  </si>
  <si>
    <t>S&amp;W Revera UK Dynamic Corporate in GB</t>
  </si>
  <si>
    <t>15/08/2021</t>
  </si>
  <si>
    <t>Santander Sterling Bond Portfolio RA in GB</t>
  </si>
  <si>
    <t>Santander Sterling Corporate Bond IA in GB</t>
  </si>
  <si>
    <t>20/07/2021</t>
  </si>
  <si>
    <t>Santander Sterling Corporate Bond II TR in GB</t>
  </si>
  <si>
    <t>15/10/2021</t>
  </si>
  <si>
    <t>Sarasin Multi Asset Strategic A Inc TR in GB</t>
  </si>
  <si>
    <t>Sarasin Multi Asset Strategic P Acc in GB</t>
  </si>
  <si>
    <t>Sarasin Multi Asset Strategic P Inc TR in GB**</t>
  </si>
  <si>
    <t>Sarasin Responsible Global Equity P Inc TR in GB</t>
  </si>
  <si>
    <t>08/12/2021</t>
  </si>
  <si>
    <t>21/04/2021</t>
  </si>
  <si>
    <t>Schroder Blended Portfolio 3 Z Acc GBP in GB</t>
  </si>
  <si>
    <t>Schroder Blended Portfolio 4 Z Acc GBP in GB</t>
  </si>
  <si>
    <t>Schroder Blended Portfolio 5 Z Acc GBP in GB</t>
  </si>
  <si>
    <t>Schroder Blended Portfolio 6 Z Acc GBP in GB**</t>
  </si>
  <si>
    <t>Schroder Blended Portfolio 7 Z Acc GBP in GB</t>
  </si>
  <si>
    <t>Schroder Blended Portfolio 8 Z Acc GBP in GB</t>
  </si>
  <si>
    <t>17/08/2021</t>
  </si>
  <si>
    <t>Schroder European Sustainable Equity L Acc in GB</t>
  </si>
  <si>
    <t>Schroder European Sustainable Equity L Inc TR in GB</t>
  </si>
  <si>
    <t>Schroder European Sustainable Equity Z Acc in GB</t>
  </si>
  <si>
    <t>Schroder European Sustainable Equity Z Hedged Inc TR in GB</t>
  </si>
  <si>
    <t>Schroder European Sustainable Equity Z Inc TR in GB</t>
  </si>
  <si>
    <t>21/10/2021</t>
  </si>
  <si>
    <t>Schroder Global Energy Transition Q1 Inc GBP TR in GB</t>
  </si>
  <si>
    <t>Schroder Global Energy Transition Z Acc GBP in GB</t>
  </si>
  <si>
    <t>Schroder Global Equity I Acc in GB</t>
  </si>
  <si>
    <t>Schroder Global Equity I Inc TR in GB</t>
  </si>
  <si>
    <t>Schroder Global Equity L Inc TR in GB**</t>
  </si>
  <si>
    <t>Schroder Global Equity Z Acc in GB</t>
  </si>
  <si>
    <t>Schroder Global Equity Z Inc TR in GB</t>
  </si>
  <si>
    <t>Schroder Global Sustainable Growth Z Dis TR in GB**</t>
  </si>
  <si>
    <t>Schroder Global Sustainable Value Equity Z in GB</t>
  </si>
  <si>
    <t>Schroder Income Portfolio A Acc in GB</t>
  </si>
  <si>
    <t>24/11/2021</t>
  </si>
  <si>
    <t>Schroder Income Portfolio A Inc TR in GB</t>
  </si>
  <si>
    <t>Schroder Income Portfolio Z Acc in GB</t>
  </si>
  <si>
    <t>Schroder Income Portfolio Z Inc TR in GB</t>
  </si>
  <si>
    <t>24/05/2021</t>
  </si>
  <si>
    <t>Schroder Sustainable UK Equity A Acc in GB</t>
  </si>
  <si>
    <t>Schroder Sustainable UK Equity A Inc TR in GB</t>
  </si>
  <si>
    <t>Schroder Sustainable UK Equity Z Acc in GB</t>
  </si>
  <si>
    <t>Schroder Sustainable UK Equity Z Inc TR in GB</t>
  </si>
  <si>
    <t>08/10/2021</t>
  </si>
  <si>
    <t>Schroder UK Multi-Cap Income A Acc in GB</t>
  </si>
  <si>
    <t>16/12/2021</t>
  </si>
  <si>
    <t>Schroder UK Multi-Cap Income Z Acc in GB</t>
  </si>
  <si>
    <t>Schroder UK Multi-Cap Income Z Inc TR in GB</t>
  </si>
  <si>
    <t>30/07/2021</t>
  </si>
  <si>
    <t>Standard Life Investments UK Real Estate Feeder Inst Acc GBP in GB</t>
  </si>
  <si>
    <t>Standard Life Investments UK Real Estate Feeder Platform 1 Acc GBP in GB**</t>
  </si>
  <si>
    <t>Standard Life Investments UK Real Estate Feeder Ret Acc GBP in GB</t>
  </si>
  <si>
    <t>SVS Aubrey Global Conviction B Retail in GB**</t>
  </si>
  <si>
    <t>SVS SVS Brooks Macdonald Blueprint Balanced A Acc in GB</t>
  </si>
  <si>
    <t>20/12/2021</t>
  </si>
  <si>
    <t>SVS SVS Brooks Macdonald Blueprint Balanced B Acc in GB</t>
  </si>
  <si>
    <t>SVS SVS Brooks Macdonald Blueprint Cautious Growth A Acc TR in GB**</t>
  </si>
  <si>
    <t>SVS SVS Brooks Macdonald Blueprint Cautious Growth A Inc TR in GB</t>
  </si>
  <si>
    <t>SVS SVS Brooks Macdonald Blueprint Cautious Growth B Acc in GB</t>
  </si>
  <si>
    <t>SVS SVS Brooks Macdonald Blueprint Defensive Income A Inc TR in GB</t>
  </si>
  <si>
    <t>SVS SVS Brooks Macdonald Blueprint Defensive Income B Inc TR in GB</t>
  </si>
  <si>
    <t>SVS SVS Brooks Macdonald Blueprint Strategic Growth A Acc in GB</t>
  </si>
  <si>
    <t>SVS SVS Brooks Macdonald Defensive Capital A Acc in GB</t>
  </si>
  <si>
    <t>SVS SVS Brooks Macdonald Defensive Capital B in GB</t>
  </si>
  <si>
    <t>SVS SVS Brooks Macdonald Defensive Capital C Acc in GB</t>
  </si>
  <si>
    <t>29/10/2021</t>
  </si>
  <si>
    <t>06/12/2021</t>
  </si>
  <si>
    <t>SVS Sanlam Global Gold &amp; Resources B Inc TR in GB</t>
  </si>
  <si>
    <t>T. Bailey Fund Srvs Ltd (ACD) TB Calibre Equity B Acc GBP in GB</t>
  </si>
  <si>
    <t>TB Saracen UK Income B Dis TR in GB</t>
  </si>
  <si>
    <t>04/11/2021</t>
  </si>
  <si>
    <t>11/05/2021</t>
  </si>
  <si>
    <t>27/11/2021</t>
  </si>
  <si>
    <t>07/03/2021</t>
  </si>
  <si>
    <t>25/05/2021</t>
  </si>
  <si>
    <t>TM RWC UK Equity Income L Acc GBP in GB</t>
  </si>
  <si>
    <t>TM RWC UK Equity Income L Inc GBP TR in GB</t>
  </si>
  <si>
    <t>TM RWC UK Equity Income R Acc GBP in GB</t>
  </si>
  <si>
    <t>TM RWC UK Equity Income R Inc GBP TR in GB</t>
  </si>
  <si>
    <t>TM RWC UK Equity Income S Acc GBP in GB</t>
  </si>
  <si>
    <t>TM RWC UK Equity Income S Inc GBP TR in GB</t>
  </si>
  <si>
    <t>TM UBS (UK) Balanced F Acc in GB**</t>
  </si>
  <si>
    <t>27/09/2021</t>
  </si>
  <si>
    <t>TM UBS (UK) Growth F Acc in GB**</t>
  </si>
  <si>
    <t>TM UBS (UK) Income Focus F Acc in GB**</t>
  </si>
  <si>
    <t>TM UBS (UK) Income Focus F Inc TR in GB**</t>
  </si>
  <si>
    <t>29/12/2021</t>
  </si>
  <si>
    <t>UBS Global Enhanced Equity Income Sustainable C Acc in GB</t>
  </si>
  <si>
    <t>UBS Global Enhanced Equity Income Sustainable C Inc TR in GB</t>
  </si>
  <si>
    <t>14/12/2021</t>
  </si>
  <si>
    <t>Vanguard SustainableLife 60-70% Equity Acc in GB</t>
  </si>
  <si>
    <t>Vanguard SustainableLife 60-70% Equity Inc TR in GB</t>
  </si>
  <si>
    <t>18/06/2021</t>
  </si>
  <si>
    <t>VT Argonaut Equity Income R Acc GBP in GB</t>
  </si>
  <si>
    <t>VT Argonaut Equity Income R Inc GBP TR in GB</t>
  </si>
  <si>
    <t>VT Blackfinch Cautious Portfolio F Inc TR in GB</t>
  </si>
  <si>
    <t>VT Blackfinch Defensive Portfolio F Inc TR in GB</t>
  </si>
  <si>
    <t>VT Downing Small &amp; Mid-Cap Income Acc in GB</t>
  </si>
  <si>
    <t>VT Downing Small &amp; Mid-Cap Income Inc TR in GB</t>
  </si>
  <si>
    <t>06/04/2021</t>
  </si>
  <si>
    <t>VT Sinfonia Adventurous Growth Portfolio A Acc in GB</t>
  </si>
  <si>
    <t>20/05/2021</t>
  </si>
  <si>
    <t>VT Sinfonia Balanced Managed Portfolio A Acc in GB</t>
  </si>
  <si>
    <t>VT Sinfonia Balanced Managed Portfolio B Acc in GB</t>
  </si>
  <si>
    <t>VT Sinfonia Cautious Managed Portfolio A Acc in GB</t>
  </si>
  <si>
    <t>VT Sinfonia Cautious Managed Portfolio B Acc in GB</t>
  </si>
  <si>
    <t>VT Sinfonia Income &amp; Growth Portfolio A Acc in GB</t>
  </si>
  <si>
    <t>VT Sinfonia Income &amp; Growth Portfolio A Inc TR in GB</t>
  </si>
  <si>
    <t>VT Sinfonia Income &amp; Growth Portfolio B Inc TR in GB</t>
  </si>
  <si>
    <t>VT Sinfonia Income Portfolio A Acc in GB</t>
  </si>
  <si>
    <t>VT Sinfonia Income Portfolio A Inc TR in GB</t>
  </si>
  <si>
    <t>VT Sinfonia Income Portfolio B Acc in GB</t>
  </si>
  <si>
    <t>VT Sinfonia Income Portfolio B Inc TR in GB</t>
  </si>
  <si>
    <t>VT Momentum Diversified Balanced A Acc in GB</t>
  </si>
  <si>
    <t>VT Momentum Diversified Cautious A Acc in GB</t>
  </si>
  <si>
    <t>VT Momentum Diversified Moderate A Acc in GB</t>
  </si>
  <si>
    <t>2.88</t>
  </si>
  <si>
    <t>2.86</t>
  </si>
  <si>
    <t>Wise Funds Limited TB Wise Multi-Asset Growth B Acc TR in GB</t>
  </si>
  <si>
    <t>WS Verbatim Portfolio 3 B Acc in GB</t>
  </si>
  <si>
    <t>WS Verbatim Portfolio 4 B Acc in GB</t>
  </si>
  <si>
    <t>WS Verbatim Portfolio 5 Growth B Acc in GB</t>
  </si>
  <si>
    <t>WS Verbatim Portfolio 5 Income B Inc TR in GB</t>
  </si>
  <si>
    <t>WS Verbatim Portfolio 6 B Acc in GB</t>
  </si>
  <si>
    <t>WS Verbatim Portfolio 7 B Acc in GB</t>
  </si>
  <si>
    <t>Artemis Target Return Bond Fund F Acc</t>
  </si>
  <si>
    <t xml:space="preserve">Allianz UK Listed Equity Income - C (Acc) share class used on Transact (GB00BP5X3981) </t>
  </si>
  <si>
    <t>Global Investment Grade</t>
  </si>
  <si>
    <t>UK Index Linked Gilts</t>
  </si>
  <si>
    <t>Sterling Corporate Bonds</t>
  </si>
  <si>
    <t>Global High Yield</t>
  </si>
  <si>
    <t>TOTALS</t>
  </si>
  <si>
    <t>GB00BHBX7Y96</t>
  </si>
  <si>
    <t>Money Market</t>
  </si>
  <si>
    <t>Liquid Property</t>
  </si>
  <si>
    <t>Alternatives</t>
  </si>
  <si>
    <t>2% cash taken from EM</t>
  </si>
  <si>
    <t>GB00BYXQXR07</t>
  </si>
  <si>
    <t>IE00BLNMYC90</t>
  </si>
  <si>
    <t xml:space="preserve">IE00BRHZ0398 </t>
  </si>
  <si>
    <t>Allianz Gilt Yield Y Acc</t>
  </si>
  <si>
    <t>Xtrackers S&amp;P 500 Equal Weight UCITS ETF</t>
  </si>
  <si>
    <t>iShares MSCI Target UK Real Estate UCITS ETF GBP</t>
  </si>
  <si>
    <t>IE00B1FZSD53</t>
  </si>
  <si>
    <t>iShares £ Index-Linked Gilts UCITS ETF</t>
  </si>
  <si>
    <t>30% of Asia Allocation</t>
  </si>
  <si>
    <t>20% of Asia Allocation</t>
  </si>
  <si>
    <t>15% of Asia Allocation</t>
  </si>
  <si>
    <t>30% of EM Allocation</t>
  </si>
  <si>
    <t>20% of EM Allocation</t>
  </si>
  <si>
    <t>IE00BJSFQX44</t>
  </si>
  <si>
    <t>iShares Global High Yield Corp Bond UCITS ETF</t>
  </si>
  <si>
    <t>Neutral</t>
  </si>
  <si>
    <t>Agreed</t>
  </si>
  <si>
    <t>Agreed Allocation</t>
  </si>
  <si>
    <t>Total</t>
  </si>
  <si>
    <t>GB00BG08N399</t>
  </si>
  <si>
    <t>IE00B4WXJK79</t>
  </si>
  <si>
    <t>iShares UK Gilts 0-5yr UCITS ETF</t>
  </si>
  <si>
    <t>ASI Short Dated Global Corporate Bond Tracker B Acc</t>
  </si>
  <si>
    <t>2% cash taken from High Yield Bond (should be 4%)</t>
  </si>
  <si>
    <t>2% cash taken from High Yield Bond, should be 4%</t>
  </si>
  <si>
    <t>RULES</t>
  </si>
  <si>
    <t xml:space="preserve">        If the neutral is 0-9.9% then the variance cannot be more than 3% above or below the neutral</t>
  </si>
  <si>
    <t xml:space="preserve">        If the neutral is 10-19.99% then the variance cannot be more than 5% above or below the neutral</t>
  </si>
  <si>
    <t xml:space="preserve">        If the neutral is 20+% then the variance cannot be more than 8% above or below the neutral</t>
  </si>
  <si>
    <t>2) Overall equity must not be more than 5% above or below the neutral</t>
  </si>
  <si>
    <t>3) Overall bonds must not be more than 5% above or below the neutral</t>
  </si>
  <si>
    <t>4) Overall cash must not be 5% above or below the neutral</t>
  </si>
  <si>
    <t>5) For sub asset classes:</t>
  </si>
  <si>
    <t>1) There must be a minimum 2% cash holding in the portfolios</t>
  </si>
  <si>
    <t>Current Allocation</t>
  </si>
  <si>
    <t>Proposed Allocation</t>
  </si>
  <si>
    <t>Proposed Models</t>
  </si>
  <si>
    <t>Proposed funds and fund split</t>
  </si>
  <si>
    <t>End Stage</t>
  </si>
  <si>
    <t>Current</t>
  </si>
  <si>
    <t>Stage 1</t>
  </si>
  <si>
    <t>Stage 2</t>
  </si>
  <si>
    <t>Stage 3</t>
  </si>
  <si>
    <t>Stage 4</t>
  </si>
  <si>
    <t>Stage3</t>
  </si>
  <si>
    <t>Name</t>
  </si>
  <si>
    <t>Sum of Deals</t>
  </si>
  <si>
    <t>Bond</t>
  </si>
  <si>
    <t>Settlement_Day</t>
  </si>
  <si>
    <t>Starting Pos</t>
  </si>
  <si>
    <t>Deal</t>
  </si>
  <si>
    <t>End Pos</t>
  </si>
  <si>
    <t>Fund_Size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</si>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</sst>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£&quot;#,##0.00"/>
  </numFmts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indexed="8"/>
      <name val="Arial"/>
      <family val="2"/>
    </font>
    <font>
      <b/>
      <sz val="24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8"/>
      <name val="Arial"/>
      <family val="2"/>
      <scheme val="minor"/>
    </font>
    <font>
      <b/>
      <sz val="11"/>
      <color indexed="8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indexed="10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6" tint="0.59999389629810485"/>
        <bgColor indexed="64"/>
      </patternFill>
    </fill>
  </fills>
  <borders count="289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8"/>
      </top>
      <bottom/>
      <diagonal/>
    </border>
    <border>
      <left/>
      <right/>
      <top style="thin">
        <color theme="0" tint="-0.499984740745262"/>
      </top>
      <bottom style="thick">
        <color theme="9"/>
      </bottom>
      <diagonal/>
    </border>
    <border>
      <left/>
      <right/>
      <top style="thin">
        <color theme="0" tint="-0.499984740745262"/>
      </top>
      <bottom style="thick">
        <color theme="9" tint="-0.499984740745262"/>
      </bottom>
      <diagonal/>
    </border>
    <border>
      <left/>
      <right/>
      <top style="thin">
        <color theme="0" tint="-0.499984740745262"/>
      </top>
      <bottom style="thick">
        <color rgb="FFEE0000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9"/>
      </left>
      <right/>
      <top style="medium">
        <color theme="9"/>
      </top>
      <bottom style="thick">
        <color theme="9"/>
      </bottom>
      <diagonal/>
    </border>
    <border>
      <left/>
      <right/>
      <top style="medium">
        <color theme="9"/>
      </top>
      <bottom style="thick">
        <color theme="9"/>
      </bottom>
      <diagonal/>
    </border>
    <border>
      <left/>
      <right style="medium">
        <color theme="9"/>
      </right>
      <top style="medium">
        <color theme="9"/>
      </top>
      <bottom style="thick">
        <color theme="9"/>
      </bottom>
      <diagonal/>
    </border>
    <border>
      <left style="medium">
        <color theme="9"/>
      </left>
      <right/>
      <top/>
      <bottom style="thin">
        <color theme="0" tint="-0.499984740745262"/>
      </bottom>
      <diagonal/>
    </border>
    <border>
      <left style="medium">
        <color theme="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9"/>
      </right>
      <top/>
      <bottom style="thin">
        <color theme="0" tint="-0.499984740745262"/>
      </bottom>
      <diagonal/>
    </border>
    <border>
      <left/>
      <right style="medium">
        <color theme="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9"/>
      </left>
      <right/>
      <top style="thin">
        <color theme="0" tint="-0.499984740745262"/>
      </top>
      <bottom style="thick">
        <color theme="9"/>
      </bottom>
      <diagonal/>
    </border>
    <border>
      <left/>
      <right style="medium">
        <color theme="9"/>
      </right>
      <top/>
      <bottom style="thick">
        <color theme="9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medium">
        <color theme="8"/>
      </right>
      <top style="hair">
        <color theme="8"/>
      </top>
      <bottom style="hair">
        <color theme="8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9" tint="-0.499984740745262"/>
      </left>
      <right/>
      <top style="medium">
        <color theme="9" tint="-0.499984740745262"/>
      </top>
      <bottom style="thick">
        <color theme="9" tint="-0.499984740745262"/>
      </bottom>
      <diagonal/>
    </border>
    <border>
      <left/>
      <right/>
      <top style="medium">
        <color theme="9" tint="-0.499984740745262"/>
      </top>
      <bottom style="thick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ck">
        <color theme="9" tint="-0.499984740745262"/>
      </bottom>
      <diagonal/>
    </border>
    <border>
      <left style="medium">
        <color theme="9" tint="-0.499984740745262"/>
      </left>
      <right/>
      <top/>
      <bottom style="thin">
        <color theme="0" tint="-0.499984740745262"/>
      </bottom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9" tint="-0.499984740745262"/>
      </right>
      <top/>
      <bottom style="thin">
        <color theme="0" tint="-0.499984740745262"/>
      </bottom>
      <diagonal/>
    </border>
    <border>
      <left/>
      <right style="medium">
        <color theme="9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9" tint="-0.499984740745262"/>
      </left>
      <right/>
      <top style="thin">
        <color theme="0" tint="-0.499984740745262"/>
      </top>
      <bottom style="thick">
        <color theme="9" tint="-0.499984740745262"/>
      </bottom>
      <diagonal/>
    </border>
    <border>
      <left/>
      <right style="medium">
        <color theme="9" tint="-0.499984740745262"/>
      </right>
      <top/>
      <bottom style="thick">
        <color theme="9" tint="-0.499984740745262"/>
      </bottom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rgb="FFFF0000"/>
      </left>
      <right/>
      <top style="medium">
        <color rgb="FFFF0000"/>
      </top>
      <bottom style="thick">
        <color rgb="FFEE0000"/>
      </bottom>
      <diagonal/>
    </border>
    <border>
      <left/>
      <right/>
      <top style="medium">
        <color rgb="FFFF0000"/>
      </top>
      <bottom style="thick">
        <color rgb="FFEE0000"/>
      </bottom>
      <diagonal/>
    </border>
    <border>
      <left/>
      <right style="medium">
        <color rgb="FFFF0000"/>
      </right>
      <top style="medium">
        <color rgb="FFFF0000"/>
      </top>
      <bottom style="thick">
        <color rgb="FFEE0000"/>
      </bottom>
      <diagonal/>
    </border>
    <border>
      <left style="medium">
        <color rgb="FFFF0000"/>
      </left>
      <right/>
      <top/>
      <bottom style="thin">
        <color theme="0" tint="-0.499984740745262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rgb="FFFF0000"/>
      </right>
      <top/>
      <bottom style="thin">
        <color theme="0" tint="-0.499984740745262"/>
      </bottom>
      <diagonal/>
    </border>
    <border>
      <left/>
      <right style="medium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FF0000"/>
      </left>
      <right/>
      <top style="thin">
        <color theme="0" tint="-0.499984740745262"/>
      </top>
      <bottom style="thick">
        <color rgb="FFEE0000"/>
      </bottom>
      <diagonal/>
    </border>
    <border>
      <left/>
      <right style="medium">
        <color rgb="FFFF0000"/>
      </right>
      <top/>
      <bottom style="thick">
        <color rgb="FFEE0000"/>
      </bottom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theme="5"/>
      </left>
      <right/>
      <top/>
      <bottom style="thin">
        <color theme="0" tint="-0.499984740745262"/>
      </bottom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5"/>
      </right>
      <top/>
      <bottom style="thin">
        <color theme="0" tint="-0.499984740745262"/>
      </bottom>
      <diagonal/>
    </border>
    <border>
      <left/>
      <right style="medium">
        <color theme="5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5"/>
      </left>
      <right/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4"/>
      </left>
      <right/>
      <top/>
      <bottom style="thin">
        <color theme="0" tint="-0.499984740745262"/>
      </bottom>
      <diagonal/>
    </border>
    <border>
      <left style="medium">
        <color theme="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4"/>
      </right>
      <top/>
      <bottom style="thin">
        <color theme="0" tint="-0.499984740745262"/>
      </bottom>
      <diagonal/>
    </border>
    <border>
      <left/>
      <right style="medium">
        <color theme="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dotted">
        <color theme="9"/>
      </left>
      <right style="dotted">
        <color theme="9"/>
      </right>
      <top/>
      <bottom style="dotted">
        <color theme="9"/>
      </bottom>
      <diagonal/>
    </border>
    <border>
      <left style="dotted">
        <color theme="9"/>
      </left>
      <right style="dotted">
        <color theme="9"/>
      </right>
      <top style="dotted">
        <color theme="9"/>
      </top>
      <bottom style="dotted">
        <color theme="9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medium">
        <color theme="9"/>
      </right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 style="dotted">
        <color theme="9"/>
      </right>
      <top/>
      <bottom style="dotted">
        <color theme="9"/>
      </bottom>
      <diagonal/>
    </border>
    <border>
      <left style="dotted">
        <color theme="9"/>
      </left>
      <right style="thick">
        <color theme="9"/>
      </right>
      <top/>
      <bottom style="dotted">
        <color theme="9"/>
      </bottom>
      <diagonal/>
    </border>
    <border>
      <left style="thick">
        <color theme="9"/>
      </left>
      <right style="dotted">
        <color theme="9"/>
      </right>
      <top style="dotted">
        <color theme="9"/>
      </top>
      <bottom style="dotted">
        <color theme="9"/>
      </bottom>
      <diagonal/>
    </border>
    <border>
      <left style="dotted">
        <color theme="9"/>
      </left>
      <right style="thick">
        <color theme="9"/>
      </right>
      <top style="dotted">
        <color theme="9"/>
      </top>
      <bottom style="dotted">
        <color theme="9"/>
      </bottom>
      <diagonal/>
    </border>
    <border>
      <left style="medium">
        <color theme="9"/>
      </left>
      <right style="dotted">
        <color theme="9"/>
      </right>
      <top style="dotted">
        <color theme="9"/>
      </top>
      <bottom style="dotted">
        <color theme="9"/>
      </bottom>
      <diagonal/>
    </border>
    <border>
      <left style="dotted">
        <color theme="9"/>
      </left>
      <right/>
      <top style="dotted">
        <color theme="9"/>
      </top>
      <bottom style="dotted">
        <color theme="9"/>
      </bottom>
      <diagonal/>
    </border>
    <border>
      <left/>
      <right style="dotted">
        <color theme="9"/>
      </right>
      <top style="dotted">
        <color theme="9"/>
      </top>
      <bottom/>
      <diagonal/>
    </border>
    <border>
      <left style="dotted">
        <color theme="9"/>
      </left>
      <right style="dotted">
        <color theme="9"/>
      </right>
      <top style="dotted">
        <color theme="9"/>
      </top>
      <bottom/>
      <diagonal/>
    </border>
    <border>
      <left style="dotted">
        <color theme="9"/>
      </left>
      <right/>
      <top style="dotted">
        <color theme="9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theme="8" tint="0.59996337778862885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9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theme="6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theme="9"/>
      </bottom>
      <diagonal/>
    </border>
    <border>
      <left style="medium">
        <color theme="9"/>
      </left>
      <right style="hair">
        <color auto="1"/>
      </right>
      <top style="thick">
        <color theme="9"/>
      </top>
      <bottom/>
      <diagonal/>
    </border>
    <border>
      <left style="hair">
        <color auto="1"/>
      </left>
      <right style="hair">
        <color auto="1"/>
      </right>
      <top style="thick">
        <color theme="9"/>
      </top>
      <bottom/>
      <diagonal/>
    </border>
    <border>
      <left style="hair">
        <color auto="1"/>
      </left>
      <right style="hair">
        <color auto="1"/>
      </right>
      <top style="thick">
        <color theme="9"/>
      </top>
      <bottom style="hair">
        <color theme="8" tint="0.59996337778862885"/>
      </bottom>
      <diagonal/>
    </border>
    <border>
      <left style="hair">
        <color auto="1"/>
      </left>
      <right style="medium">
        <color theme="9"/>
      </right>
      <top style="thick">
        <color theme="9"/>
      </top>
      <bottom style="hair">
        <color theme="8" tint="0.59996337778862885"/>
      </bottom>
      <diagonal/>
    </border>
    <border>
      <left style="medium">
        <color theme="9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theme="9"/>
      </right>
      <top style="hair">
        <color theme="8" tint="0.59996337778862885"/>
      </top>
      <bottom style="hair">
        <color auto="1"/>
      </bottom>
      <diagonal/>
    </border>
    <border>
      <left style="medium">
        <color theme="9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theme="9"/>
      </right>
      <top style="hair">
        <color auto="1"/>
      </top>
      <bottom style="hair">
        <color auto="1"/>
      </bottom>
      <diagonal/>
    </border>
    <border>
      <left style="medium">
        <color theme="9"/>
      </left>
      <right style="hair">
        <color auto="1"/>
      </right>
      <top style="hair">
        <color auto="1"/>
      </top>
      <bottom style="hair">
        <color theme="9"/>
      </bottom>
      <diagonal/>
    </border>
    <border>
      <left style="hair">
        <color auto="1"/>
      </left>
      <right style="medium">
        <color theme="9"/>
      </right>
      <top style="hair">
        <color auto="1"/>
      </top>
      <bottom style="hair">
        <color theme="9"/>
      </bottom>
      <diagonal/>
    </border>
    <border>
      <left style="medium">
        <color theme="9"/>
      </left>
      <right style="hair">
        <color auto="1"/>
      </right>
      <top style="hair">
        <color theme="9"/>
      </top>
      <bottom style="hair">
        <color theme="9"/>
      </bottom>
      <diagonal/>
    </border>
    <border>
      <left style="hair">
        <color auto="1"/>
      </left>
      <right style="hair">
        <color auto="1"/>
      </right>
      <top style="hair">
        <color theme="9"/>
      </top>
      <bottom style="hair">
        <color theme="9"/>
      </bottom>
      <diagonal/>
    </border>
    <border>
      <left style="hair">
        <color auto="1"/>
      </left>
      <right style="medium">
        <color theme="9"/>
      </right>
      <top style="hair">
        <color theme="9"/>
      </top>
      <bottom style="hair">
        <color theme="9"/>
      </bottom>
      <diagonal/>
    </border>
    <border>
      <left style="medium">
        <color theme="9"/>
      </left>
      <right style="hair">
        <color auto="1"/>
      </right>
      <top style="hair">
        <color theme="9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theme="9"/>
      </top>
      <bottom style="hair">
        <color auto="1"/>
      </bottom>
      <diagonal/>
    </border>
    <border>
      <left style="hair">
        <color auto="1"/>
      </left>
      <right style="medium">
        <color theme="9"/>
      </right>
      <top style="hair">
        <color theme="9"/>
      </top>
      <bottom style="hair">
        <color auto="1"/>
      </bottom>
      <diagonal/>
    </border>
    <border>
      <left style="medium">
        <color theme="9"/>
      </left>
      <right style="hair">
        <color auto="1"/>
      </right>
      <top/>
      <bottom style="thick">
        <color theme="9"/>
      </bottom>
      <diagonal/>
    </border>
    <border>
      <left style="hair">
        <color auto="1"/>
      </left>
      <right style="hair">
        <color auto="1"/>
      </right>
      <top/>
      <bottom style="thick">
        <color theme="9"/>
      </bottom>
      <diagonal/>
    </border>
    <border>
      <left style="hair">
        <color auto="1"/>
      </left>
      <right style="hair">
        <color auto="1"/>
      </right>
      <top style="hair">
        <color theme="8" tint="0.59996337778862885"/>
      </top>
      <bottom style="thick">
        <color theme="9"/>
      </bottom>
      <diagonal/>
    </border>
    <border>
      <left style="hair">
        <color auto="1"/>
      </left>
      <right style="medium">
        <color theme="9"/>
      </right>
      <top style="hair">
        <color theme="8" tint="0.59996337778862885"/>
      </top>
      <bottom style="thick">
        <color theme="9"/>
      </bottom>
      <diagonal/>
    </border>
    <border>
      <left style="hair">
        <color auto="1"/>
      </left>
      <right style="medium">
        <color theme="9"/>
      </right>
      <top/>
      <bottom style="hair">
        <color auto="1"/>
      </bottom>
      <diagonal/>
    </border>
    <border>
      <left style="thick">
        <color theme="5"/>
      </left>
      <right style="hair">
        <color theme="5"/>
      </right>
      <top style="thick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 style="thick">
        <color theme="5"/>
      </top>
      <bottom style="hair">
        <color theme="5"/>
      </bottom>
      <diagonal/>
    </border>
    <border>
      <left style="hair">
        <color theme="5"/>
      </left>
      <right style="thick">
        <color theme="5"/>
      </right>
      <top style="thick">
        <color theme="5"/>
      </top>
      <bottom style="hair">
        <color theme="5"/>
      </bottom>
      <diagonal/>
    </border>
    <border>
      <left style="thick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thick">
        <color theme="5"/>
      </right>
      <top style="hair">
        <color theme="5"/>
      </top>
      <bottom style="hair">
        <color theme="5"/>
      </bottom>
      <diagonal/>
    </border>
    <border>
      <left style="thick">
        <color theme="5"/>
      </left>
      <right style="hair">
        <color theme="5"/>
      </right>
      <top style="hair">
        <color theme="5"/>
      </top>
      <bottom style="thick">
        <color theme="5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thick">
        <color theme="5"/>
      </bottom>
      <diagonal/>
    </border>
    <border>
      <left style="hair">
        <color theme="5"/>
      </left>
      <right style="thick">
        <color theme="5"/>
      </right>
      <top style="hair">
        <color theme="5"/>
      </top>
      <bottom style="thick">
        <color theme="5"/>
      </bottom>
      <diagonal/>
    </border>
    <border>
      <left style="thick">
        <color theme="4"/>
      </left>
      <right style="hair">
        <color theme="4"/>
      </right>
      <top style="thick">
        <color theme="4"/>
      </top>
      <bottom style="hair">
        <color theme="4"/>
      </bottom>
      <diagonal/>
    </border>
    <border>
      <left style="hair">
        <color theme="4"/>
      </left>
      <right style="hair">
        <color theme="4"/>
      </right>
      <top style="thick">
        <color theme="4"/>
      </top>
      <bottom style="hair">
        <color theme="4"/>
      </bottom>
      <diagonal/>
    </border>
    <border>
      <left style="hair">
        <color theme="4"/>
      </left>
      <right style="thick">
        <color theme="4"/>
      </right>
      <top style="thick">
        <color theme="4"/>
      </top>
      <bottom style="hair">
        <color theme="4"/>
      </bottom>
      <diagonal/>
    </border>
    <border>
      <left style="thick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  <border>
      <left style="hair">
        <color theme="4"/>
      </left>
      <right style="thick">
        <color theme="4"/>
      </right>
      <top style="hair">
        <color theme="4"/>
      </top>
      <bottom style="hair">
        <color theme="4"/>
      </bottom>
      <diagonal/>
    </border>
    <border>
      <left style="thick">
        <color theme="4"/>
      </left>
      <right style="hair">
        <color theme="4"/>
      </right>
      <top style="hair">
        <color theme="4"/>
      </top>
      <bottom style="thick">
        <color theme="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thick">
        <color theme="4"/>
      </bottom>
      <diagonal/>
    </border>
    <border>
      <left style="hair">
        <color theme="4"/>
      </left>
      <right style="thick">
        <color theme="4"/>
      </right>
      <top style="hair">
        <color theme="4"/>
      </top>
      <bottom style="thick">
        <color theme="4"/>
      </bottom>
      <diagonal/>
    </border>
    <border>
      <left style="thick">
        <color theme="8" tint="-0.499984740745262"/>
      </left>
      <right style="hair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 style="thick">
        <color theme="8" tint="-0.499984740745262"/>
      </top>
      <bottom style="hair">
        <color theme="8" tint="-0.499984740745262"/>
      </bottom>
      <diagonal/>
    </border>
    <border>
      <left style="thick">
        <color theme="8" tint="-0.499984740745262"/>
      </left>
      <right style="hair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 style="hair">
        <color theme="8" tint="-0.499984740745262"/>
      </top>
      <bottom style="hair">
        <color theme="8" tint="-0.499984740745262"/>
      </bottom>
      <diagonal/>
    </border>
    <border>
      <left style="thick">
        <color theme="8" tint="-0.499984740745262"/>
      </left>
      <right style="hair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hair">
        <color theme="8" tint="-0.499984740745262"/>
      </left>
      <right style="thick">
        <color theme="8" tint="-0.499984740745262"/>
      </right>
      <top style="hair">
        <color theme="8" tint="-0.499984740745262"/>
      </top>
      <bottom style="thick">
        <color theme="8" tint="-0.499984740745262"/>
      </bottom>
      <diagonal/>
    </border>
    <border>
      <left style="thick">
        <color theme="8"/>
      </left>
      <right style="hair">
        <color theme="8"/>
      </right>
      <top style="thick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thick">
        <color theme="8"/>
      </top>
      <bottom style="hair">
        <color theme="8"/>
      </bottom>
      <diagonal/>
    </border>
    <border>
      <left style="hair">
        <color theme="8"/>
      </left>
      <right style="thick">
        <color theme="8"/>
      </right>
      <top style="thick">
        <color theme="8"/>
      </top>
      <bottom style="hair">
        <color theme="8"/>
      </bottom>
      <diagonal/>
    </border>
    <border>
      <left style="thick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thick">
        <color theme="8"/>
      </right>
      <top style="hair">
        <color theme="8"/>
      </top>
      <bottom style="hair">
        <color theme="8"/>
      </bottom>
      <diagonal/>
    </border>
    <border>
      <left style="thick">
        <color theme="8"/>
      </left>
      <right style="hair">
        <color theme="8"/>
      </right>
      <top style="hair">
        <color theme="8"/>
      </top>
      <bottom style="thick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thick">
        <color theme="8"/>
      </bottom>
      <diagonal/>
    </border>
    <border>
      <left style="hair">
        <color theme="8"/>
      </left>
      <right style="thick">
        <color theme="8"/>
      </right>
      <top style="hair">
        <color theme="8"/>
      </top>
      <bottom style="thick">
        <color theme="8"/>
      </bottom>
      <diagonal/>
    </border>
    <border>
      <left style="thick">
        <color rgb="FFFF0000"/>
      </left>
      <right style="hair">
        <color rgb="FFFF0000"/>
      </right>
      <top style="thick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thick">
        <color rgb="FFFF0000"/>
      </top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 style="thick">
        <color rgb="FFFF0000"/>
      </top>
      <bottom style="hair">
        <color rgb="FFFF0000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hair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hair">
        <color rgb="FFFF0000"/>
      </bottom>
      <diagonal/>
    </border>
    <border>
      <left style="thick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hair">
        <color rgb="FFFF0000"/>
      </right>
      <top style="hair">
        <color rgb="FFFF0000"/>
      </top>
      <bottom style="thick">
        <color rgb="FFFF0000"/>
      </bottom>
      <diagonal/>
    </border>
    <border>
      <left style="hair">
        <color rgb="FFFF0000"/>
      </left>
      <right style="thick">
        <color rgb="FFFF0000"/>
      </right>
      <top style="hair">
        <color rgb="FFFF0000"/>
      </top>
      <bottom style="thick">
        <color rgb="FFFF0000"/>
      </bottom>
      <diagonal/>
    </border>
    <border>
      <left style="thick">
        <color theme="9" tint="-0.499984740745262"/>
      </left>
      <right style="hair">
        <color theme="9" tint="-0.499984740745262"/>
      </right>
      <top style="thick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thick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 style="thick">
        <color theme="9" tint="-0.499984740745262"/>
      </right>
      <top style="thick">
        <color theme="9" tint="-0.499984740745262"/>
      </top>
      <bottom style="hair">
        <color theme="9" tint="-0.499984740745262"/>
      </bottom>
      <diagonal/>
    </border>
    <border>
      <left style="thick">
        <color theme="9" tint="-0.499984740745262"/>
      </left>
      <right style="hair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hair">
        <color theme="9" tint="-0.499984740745262"/>
      </left>
      <right style="thick">
        <color theme="9" tint="-0.499984740745262"/>
      </right>
      <top style="hair">
        <color theme="9" tint="-0.499984740745262"/>
      </top>
      <bottom style="hair">
        <color theme="9" tint="-0.499984740745262"/>
      </bottom>
      <diagonal/>
    </border>
    <border>
      <left style="thick">
        <color theme="9" tint="-0.499984740745262"/>
      </left>
      <right style="hair">
        <color theme="9" tint="-0.499984740745262"/>
      </right>
      <top style="hair">
        <color theme="9" tint="-0.499984740745262"/>
      </top>
      <bottom style="thick">
        <color theme="9" tint="-0.499984740745262"/>
      </bottom>
      <diagonal/>
    </border>
    <border>
      <left style="hair">
        <color theme="9" tint="-0.499984740745262"/>
      </left>
      <right style="hair">
        <color theme="9" tint="-0.499984740745262"/>
      </right>
      <top style="hair">
        <color theme="9" tint="-0.499984740745262"/>
      </top>
      <bottom style="thick">
        <color theme="9" tint="-0.499984740745262"/>
      </bottom>
      <diagonal/>
    </border>
    <border>
      <left style="hair">
        <color theme="9" tint="-0.499984740745262"/>
      </left>
      <right style="thick">
        <color theme="9" tint="-0.499984740745262"/>
      </right>
      <top style="hair">
        <color theme="9" tint="-0.499984740745262"/>
      </top>
      <bottom style="thick">
        <color theme="9" tint="-0.499984740745262"/>
      </bottom>
      <diagonal/>
    </border>
    <border>
      <left style="thick">
        <color theme="0" tint="-0.34998626667073579"/>
      </left>
      <right style="hair">
        <color theme="0" tint="-0.34998626667073579"/>
      </right>
      <top style="thick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ck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hair">
        <color theme="0" tint="-0.34998626667073579"/>
      </bottom>
      <diagonal/>
    </border>
    <border>
      <left style="thick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ck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ck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ck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ck">
        <color theme="0" tint="-0.34998626667073579"/>
      </bottom>
      <diagonal/>
    </border>
    <border>
      <left style="hair">
        <color theme="0" tint="-0.34998626667073579"/>
      </left>
      <right style="thick">
        <color theme="0" tint="-0.34998626667073579"/>
      </right>
      <top style="hair">
        <color theme="0" tint="-0.34998626667073579"/>
      </top>
      <bottom style="thick">
        <color theme="0" tint="-0.34998626667073579"/>
      </bottom>
      <diagonal/>
    </border>
    <border>
      <left/>
      <right style="dotted">
        <color theme="9"/>
      </right>
      <top style="dotted">
        <color rgb="FF70AD47"/>
      </top>
      <bottom/>
      <diagonal/>
    </border>
    <border>
      <left style="dotted">
        <color theme="9"/>
      </left>
      <right style="dotted">
        <color theme="9"/>
      </right>
      <top style="dotted">
        <color rgb="FF70AD47"/>
      </top>
      <bottom/>
      <diagonal/>
    </border>
    <border>
      <left style="thick">
        <color theme="4"/>
      </left>
      <right/>
      <top style="thick">
        <color theme="4"/>
      </top>
      <bottom style="hair">
        <color theme="4"/>
      </bottom>
      <diagonal/>
    </border>
    <border>
      <left style="thick">
        <color theme="4"/>
      </left>
      <right/>
      <top/>
      <bottom style="hair">
        <color theme="4"/>
      </bottom>
      <diagonal/>
    </border>
    <border>
      <left style="thick">
        <color theme="4"/>
      </left>
      <right/>
      <top style="hair">
        <color theme="4"/>
      </top>
      <bottom style="hair">
        <color theme="4"/>
      </bottom>
      <diagonal/>
    </border>
    <border>
      <left style="mediumDashed">
        <color theme="5"/>
      </left>
      <right/>
      <top style="mediumDashed">
        <color theme="5"/>
      </top>
      <bottom/>
      <diagonal/>
    </border>
    <border>
      <left/>
      <right style="mediumDashed">
        <color theme="5"/>
      </right>
      <top style="mediumDashed">
        <color theme="5"/>
      </top>
      <bottom/>
      <diagonal/>
    </border>
    <border>
      <left style="mediumDashed">
        <color theme="5"/>
      </left>
      <right/>
      <top/>
      <bottom/>
      <diagonal/>
    </border>
    <border>
      <left/>
      <right style="mediumDashed">
        <color theme="5"/>
      </right>
      <top/>
      <bottom/>
      <diagonal/>
    </border>
    <border>
      <left style="thick">
        <color theme="4"/>
      </left>
      <right/>
      <top style="hair">
        <color theme="4"/>
      </top>
      <bottom/>
      <diagonal/>
    </border>
    <border>
      <left style="thick">
        <color theme="5"/>
      </left>
      <right style="hair">
        <color theme="4"/>
      </right>
      <top style="thick">
        <color theme="5"/>
      </top>
      <bottom style="thick">
        <color theme="5"/>
      </bottom>
      <diagonal/>
    </border>
    <border>
      <left/>
      <right/>
      <top style="thick">
        <color theme="5"/>
      </top>
      <bottom style="thick">
        <color theme="5"/>
      </bottom>
      <diagonal/>
    </border>
    <border>
      <left style="thick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8" tint="-0.499984740745262"/>
      </left>
      <right style="hair">
        <color theme="8" tint="-0.499984740745262"/>
      </right>
      <top style="hair">
        <color theme="8" tint="-0.499984740745262"/>
      </top>
      <bottom/>
      <diagonal/>
    </border>
    <border>
      <left style="hair">
        <color theme="4"/>
      </left>
      <right style="hair">
        <color theme="4"/>
      </right>
      <top style="hair">
        <color theme="4"/>
      </top>
      <bottom/>
      <diagonal/>
    </border>
    <border>
      <left style="hair">
        <color theme="8" tint="-0.499984740745262"/>
      </left>
      <right style="thick">
        <color theme="8" tint="-0.499984740745262"/>
      </right>
      <top style="hair">
        <color theme="8" tint="-0.499984740745262"/>
      </top>
      <bottom/>
      <diagonal/>
    </border>
    <border>
      <left style="thick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8" tint="-0.499984740745262"/>
      </left>
      <right style="hair">
        <color theme="8" tint="-0.499984740745262"/>
      </right>
      <top/>
      <bottom style="hair">
        <color theme="8" tint="-0.499984740745262"/>
      </bottom>
      <diagonal/>
    </border>
    <border>
      <left style="hair">
        <color theme="4"/>
      </left>
      <right style="hair">
        <color theme="4"/>
      </right>
      <top/>
      <bottom style="hair">
        <color theme="4"/>
      </bottom>
      <diagonal/>
    </border>
    <border>
      <left style="hair">
        <color theme="8" tint="-0.499984740745262"/>
      </left>
      <right style="thick">
        <color theme="8" tint="-0.499984740745262"/>
      </right>
      <top/>
      <bottom style="hair">
        <color theme="8" tint="-0.499984740745262"/>
      </bottom>
      <diagonal/>
    </border>
    <border>
      <left/>
      <right style="dotted">
        <color theme="9"/>
      </right>
      <top/>
      <bottom/>
      <diagonal/>
    </border>
    <border>
      <left style="dotted">
        <color theme="9"/>
      </left>
      <right style="dotted">
        <color theme="9"/>
      </right>
      <top/>
      <bottom/>
      <diagonal/>
    </border>
    <border>
      <left style="dotted">
        <color theme="9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ck">
        <color theme="8"/>
      </left>
      <right/>
      <top style="thick">
        <color theme="8"/>
      </top>
      <bottom style="dotted">
        <color theme="8"/>
      </bottom>
      <diagonal/>
    </border>
    <border>
      <left/>
      <right/>
      <top style="thick">
        <color theme="8"/>
      </top>
      <bottom style="dotted">
        <color theme="8"/>
      </bottom>
      <diagonal/>
    </border>
    <border>
      <left/>
      <right style="thick">
        <color theme="8"/>
      </right>
      <top style="thick">
        <color theme="8"/>
      </top>
      <bottom style="dotted">
        <color theme="8"/>
      </bottom>
      <diagonal/>
    </border>
    <border>
      <left style="thick">
        <color theme="8"/>
      </left>
      <right/>
      <top style="dotted">
        <color theme="8"/>
      </top>
      <bottom style="dotted">
        <color theme="8"/>
      </bottom>
      <diagonal/>
    </border>
    <border>
      <left/>
      <right/>
      <top style="dotted">
        <color theme="8"/>
      </top>
      <bottom style="dotted">
        <color theme="8"/>
      </bottom>
      <diagonal/>
    </border>
    <border>
      <left/>
      <right style="thick">
        <color theme="8"/>
      </right>
      <top style="dotted">
        <color theme="8"/>
      </top>
      <bottom style="dotted">
        <color theme="8"/>
      </bottom>
      <diagonal/>
    </border>
    <border>
      <left style="thick">
        <color theme="8"/>
      </left>
      <right/>
      <top style="dotted">
        <color theme="8"/>
      </top>
      <bottom style="thick">
        <color theme="8"/>
      </bottom>
      <diagonal/>
    </border>
    <border>
      <left/>
      <right/>
      <top style="dotted">
        <color theme="8"/>
      </top>
      <bottom style="thick">
        <color theme="8"/>
      </bottom>
      <diagonal/>
    </border>
    <border>
      <left/>
      <right style="thick">
        <color theme="8"/>
      </right>
      <top style="dotted">
        <color theme="8"/>
      </top>
      <bottom style="thick">
        <color theme="8"/>
      </bottom>
      <diagonal/>
    </border>
    <border>
      <left style="thick">
        <color theme="6"/>
      </left>
      <right style="dotted">
        <color theme="6"/>
      </right>
      <top style="dotted">
        <color theme="6"/>
      </top>
      <bottom style="dotted">
        <color theme="6"/>
      </bottom>
      <diagonal/>
    </border>
    <border>
      <left style="dotted">
        <color theme="6"/>
      </left>
      <right style="dotted">
        <color theme="6"/>
      </right>
      <top style="dotted">
        <color theme="6"/>
      </top>
      <bottom style="dotted">
        <color theme="6"/>
      </bottom>
      <diagonal/>
    </border>
    <border>
      <left style="dotted">
        <color theme="6"/>
      </left>
      <right style="thick">
        <color theme="6"/>
      </right>
      <top style="dotted">
        <color theme="6"/>
      </top>
      <bottom style="dotted">
        <color theme="6"/>
      </bottom>
      <diagonal/>
    </border>
    <border>
      <left style="thick">
        <color theme="6"/>
      </left>
      <right style="dotted">
        <color theme="6"/>
      </right>
      <top style="dotted">
        <color theme="6"/>
      </top>
      <bottom style="thick">
        <color theme="6"/>
      </bottom>
      <diagonal/>
    </border>
    <border>
      <left style="dotted">
        <color theme="6"/>
      </left>
      <right style="dotted">
        <color theme="6"/>
      </right>
      <top style="dotted">
        <color theme="6"/>
      </top>
      <bottom style="thick">
        <color theme="6"/>
      </bottom>
      <diagonal/>
    </border>
    <border>
      <left style="dotted">
        <color theme="6"/>
      </left>
      <right style="thick">
        <color theme="6"/>
      </right>
      <top style="dotted">
        <color theme="6"/>
      </top>
      <bottom style="thick">
        <color theme="6"/>
      </bottom>
      <diagonal/>
    </border>
    <border>
      <left style="thick">
        <color theme="6"/>
      </left>
      <right/>
      <top style="thick">
        <color theme="6"/>
      </top>
      <bottom style="dotted">
        <color theme="6"/>
      </bottom>
      <diagonal/>
    </border>
    <border>
      <left/>
      <right/>
      <top style="thick">
        <color theme="6"/>
      </top>
      <bottom style="dotted">
        <color theme="6"/>
      </bottom>
      <diagonal/>
    </border>
    <border>
      <left/>
      <right style="thick">
        <color theme="6"/>
      </right>
      <top style="thick">
        <color theme="6"/>
      </top>
      <bottom style="dotted">
        <color theme="6"/>
      </bottom>
      <diagonal/>
    </border>
    <border>
      <left style="dotted">
        <color theme="6"/>
      </left>
      <right/>
      <top style="dotted">
        <color theme="6"/>
      </top>
      <bottom style="dotted">
        <color theme="6"/>
      </bottom>
      <diagonal/>
    </border>
    <border>
      <left/>
      <right/>
      <top style="dotted">
        <color theme="6"/>
      </top>
      <bottom style="dotted">
        <color theme="6"/>
      </bottom>
      <diagonal/>
    </border>
    <border>
      <left/>
      <right style="thick">
        <color theme="6"/>
      </right>
      <top style="dotted">
        <color theme="6"/>
      </top>
      <bottom style="dotted">
        <color theme="6"/>
      </bottom>
      <diagonal/>
    </border>
    <border>
      <left style="medium">
        <color theme="4"/>
      </left>
      <right/>
      <top style="thin">
        <color theme="8"/>
      </top>
      <bottom/>
      <diagonal/>
    </border>
    <border>
      <left style="medium">
        <color theme="4"/>
      </left>
      <right/>
      <top style="thin">
        <color theme="0" tint="-0.499984740745262"/>
      </top>
      <bottom style="medium">
        <color theme="4"/>
      </bottom>
      <diagonal/>
    </border>
    <border>
      <left/>
      <right/>
      <top style="thin">
        <color theme="0" tint="-0.499984740745262"/>
      </top>
      <bottom style="medium">
        <color theme="4"/>
      </bottom>
      <diagonal/>
    </border>
    <border>
      <left style="medium">
        <color rgb="FF002060"/>
      </left>
      <right/>
      <top style="medium">
        <color rgb="FF002060"/>
      </top>
      <bottom style="dotted">
        <color rgb="FF002060"/>
      </bottom>
      <diagonal/>
    </border>
    <border>
      <left/>
      <right/>
      <top style="medium">
        <color rgb="FF002060"/>
      </top>
      <bottom style="dotted">
        <color rgb="FF002060"/>
      </bottom>
      <diagonal/>
    </border>
    <border>
      <left/>
      <right style="medium">
        <color rgb="FF002060"/>
      </right>
      <top style="medium">
        <color rgb="FF002060"/>
      </top>
      <bottom style="dotted">
        <color rgb="FF002060"/>
      </bottom>
      <diagonal/>
    </border>
    <border>
      <left style="medium">
        <color rgb="FF002060"/>
      </left>
      <right/>
      <top style="dotted">
        <color rgb="FF002060"/>
      </top>
      <bottom style="dotted">
        <color rgb="FF002060"/>
      </bottom>
      <diagonal/>
    </border>
    <border>
      <left/>
      <right/>
      <top style="dotted">
        <color rgb="FF002060"/>
      </top>
      <bottom style="dotted">
        <color rgb="FF002060"/>
      </bottom>
      <diagonal/>
    </border>
    <border>
      <left/>
      <right style="medium">
        <color rgb="FF002060"/>
      </right>
      <top style="dotted">
        <color rgb="FF002060"/>
      </top>
      <bottom style="dotted">
        <color rgb="FF002060"/>
      </bottom>
      <diagonal/>
    </border>
    <border>
      <left style="medium">
        <color rgb="FF002060"/>
      </left>
      <right/>
      <top style="dotted">
        <color rgb="FF002060"/>
      </top>
      <bottom style="medium">
        <color rgb="FF002060"/>
      </bottom>
      <diagonal/>
    </border>
    <border>
      <left/>
      <right/>
      <top style="dotted">
        <color rgb="FF002060"/>
      </top>
      <bottom style="medium">
        <color rgb="FF002060"/>
      </bottom>
      <diagonal/>
    </border>
    <border>
      <left/>
      <right style="medium">
        <color rgb="FF002060"/>
      </right>
      <top style="dotted">
        <color rgb="FF002060"/>
      </top>
      <bottom style="medium">
        <color rgb="FF002060"/>
      </bottom>
      <diagonal/>
    </border>
    <border>
      <left style="medium">
        <color theme="5"/>
      </left>
      <right/>
      <top style="thin">
        <color theme="0" tint="-0.499984740745262"/>
      </top>
      <bottom style="medium">
        <color theme="5"/>
      </bottom>
      <diagonal/>
    </border>
    <border>
      <left/>
      <right/>
      <top style="thin">
        <color theme="0" tint="-0.499984740745262"/>
      </top>
      <bottom style="medium">
        <color theme="5"/>
      </bottom>
      <diagonal/>
    </border>
    <border>
      <left/>
      <right style="medium">
        <color theme="5"/>
      </right>
      <top style="thin">
        <color theme="0" tint="-0.499984740745262"/>
      </top>
      <bottom style="medium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tted">
        <color theme="8"/>
      </top>
      <bottom style="dotted">
        <color theme="8"/>
      </bottom>
      <diagonal/>
    </border>
    <border>
      <left style="medium">
        <color indexed="64"/>
      </left>
      <right/>
      <top style="dotted">
        <color theme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43" fontId="1" fillId="0" borderId="0" applyFont="0" applyFill="0" applyBorder="0" applyAlignment="0" applyProtection="0"/>
  </cellStyleXfs>
  <cellXfs count="851">
    <xf numFmtId="0" fontId="0" fillId="0" borderId="0" xfId="0"/>
    <xf numFmtId="9" fontId="0" fillId="0" borderId="0" xfId="0" applyNumberFormat="1"/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5" borderId="0" xfId="0" applyFont="1" applyFill="1"/>
    <xf numFmtId="14" fontId="2" fillId="5" borderId="0" xfId="0" applyNumberFormat="1" applyFont="1" applyFill="1" applyAlignment="1">
      <alignment horizontal="left"/>
    </xf>
    <xf numFmtId="10" fontId="0" fillId="0" borderId="0" xfId="0" applyNumberFormat="1"/>
    <xf numFmtId="0" fontId="0" fillId="0" borderId="2" xfId="0" applyBorder="1"/>
    <xf numFmtId="10" fontId="8" fillId="8" borderId="1" xfId="0" applyNumberFormat="1" applyFont="1" applyFill="1" applyBorder="1" applyAlignment="1" applyProtection="1">
      <alignment horizontal="center"/>
      <protection locked="0"/>
    </xf>
    <xf numFmtId="10" fontId="8" fillId="15" borderId="1" xfId="0" applyNumberFormat="1" applyFont="1" applyFill="1" applyBorder="1" applyAlignment="1" applyProtection="1">
      <alignment horizontal="center"/>
      <protection locked="0"/>
    </xf>
    <xf numFmtId="10" fontId="2" fillId="9" borderId="10" xfId="0" applyNumberFormat="1" applyFont="1" applyFill="1" applyBorder="1" applyAlignment="1">
      <alignment wrapText="1"/>
    </xf>
    <xf numFmtId="10" fontId="2" fillId="12" borderId="9" xfId="0" applyNumberFormat="1" applyFont="1" applyFill="1" applyBorder="1" applyAlignment="1">
      <alignment wrapText="1"/>
    </xf>
    <xf numFmtId="10" fontId="2" fillId="14" borderId="6" xfId="0" applyNumberFormat="1" applyFont="1" applyFill="1" applyBorder="1" applyAlignment="1">
      <alignment wrapText="1"/>
    </xf>
    <xf numFmtId="10" fontId="8" fillId="17" borderId="1" xfId="0" applyNumberFormat="1" applyFont="1" applyFill="1" applyBorder="1" applyAlignment="1" applyProtection="1">
      <alignment horizontal="center"/>
      <protection locked="0"/>
    </xf>
    <xf numFmtId="0" fontId="8" fillId="17" borderId="23" xfId="0" applyFont="1" applyFill="1" applyBorder="1" applyProtection="1">
      <protection locked="0"/>
    </xf>
    <xf numFmtId="0" fontId="8" fillId="17" borderId="40" xfId="0" applyFont="1" applyFill="1" applyBorder="1" applyProtection="1">
      <protection locked="0"/>
    </xf>
    <xf numFmtId="0" fontId="8" fillId="17" borderId="53" xfId="0" applyFont="1" applyFill="1" applyBorder="1" applyProtection="1">
      <protection locked="0"/>
    </xf>
    <xf numFmtId="0" fontId="8" fillId="17" borderId="70" xfId="0" applyFont="1" applyFill="1" applyBorder="1" applyProtection="1">
      <protection locked="0"/>
    </xf>
    <xf numFmtId="0" fontId="8" fillId="17" borderId="92" xfId="0" applyFont="1" applyFill="1" applyBorder="1" applyProtection="1">
      <protection locked="0"/>
    </xf>
    <xf numFmtId="0" fontId="8" fillId="15" borderId="92" xfId="0" applyFont="1" applyFill="1" applyBorder="1" applyProtection="1">
      <protection locked="0"/>
    </xf>
    <xf numFmtId="14" fontId="8" fillId="2" borderId="1" xfId="0" applyNumberFormat="1" applyFont="1" applyFill="1" applyBorder="1"/>
    <xf numFmtId="0" fontId="8" fillId="2" borderId="1" xfId="0" applyFont="1" applyFill="1" applyBorder="1"/>
    <xf numFmtId="0" fontId="8" fillId="0" borderId="1" xfId="0" applyFont="1" applyBorder="1"/>
    <xf numFmtId="10" fontId="8" fillId="2" borderId="1" xfId="0" applyNumberFormat="1" applyFont="1" applyFill="1" applyBorder="1" applyAlignment="1">
      <alignment horizontal="center" vertical="center"/>
    </xf>
    <xf numFmtId="10" fontId="8" fillId="2" borderId="1" xfId="1" applyNumberFormat="1" applyFont="1" applyFill="1" applyBorder="1" applyAlignment="1" applyProtection="1">
      <alignment horizontal="center"/>
    </xf>
    <xf numFmtId="10" fontId="8" fillId="2" borderId="25" xfId="1" applyNumberFormat="1" applyFont="1" applyFill="1" applyBorder="1" applyAlignment="1" applyProtection="1">
      <alignment horizontal="center"/>
    </xf>
    <xf numFmtId="10" fontId="8" fillId="2" borderId="72" xfId="1" applyNumberFormat="1" applyFont="1" applyFill="1" applyBorder="1" applyAlignment="1" applyProtection="1">
      <alignment horizontal="center"/>
    </xf>
    <xf numFmtId="10" fontId="8" fillId="2" borderId="55" xfId="1" applyNumberFormat="1" applyFont="1" applyFill="1" applyBorder="1" applyAlignment="1" applyProtection="1">
      <alignment horizontal="center"/>
    </xf>
    <xf numFmtId="10" fontId="8" fillId="2" borderId="94" xfId="1" applyNumberFormat="1" applyFont="1" applyFill="1" applyBorder="1" applyAlignment="1" applyProtection="1">
      <alignment horizontal="center"/>
    </xf>
    <xf numFmtId="0" fontId="8" fillId="17" borderId="103" xfId="0" applyFont="1" applyFill="1" applyBorder="1" applyProtection="1">
      <protection locked="0"/>
    </xf>
    <xf numFmtId="10" fontId="8" fillId="2" borderId="105" xfId="1" applyNumberFormat="1" applyFont="1" applyFill="1" applyBorder="1" applyAlignment="1" applyProtection="1">
      <alignment horizontal="center"/>
    </xf>
    <xf numFmtId="0" fontId="7" fillId="0" borderId="22" xfId="0" applyFont="1" applyBorder="1"/>
    <xf numFmtId="0" fontId="0" fillId="0" borderId="14" xfId="0" applyBorder="1"/>
    <xf numFmtId="0" fontId="0" fillId="0" borderId="15" xfId="0" applyBorder="1"/>
    <xf numFmtId="0" fontId="7" fillId="0" borderId="68" xfId="0" applyFont="1" applyBorder="1"/>
    <xf numFmtId="10" fontId="4" fillId="6" borderId="1" xfId="0" applyNumberFormat="1" applyFont="1" applyFill="1" applyBorder="1" applyAlignment="1">
      <alignment horizontal="center"/>
    </xf>
    <xf numFmtId="0" fontId="0" fillId="0" borderId="75" xfId="0" applyBorder="1"/>
    <xf numFmtId="0" fontId="0" fillId="0" borderId="69" xfId="0" applyBorder="1"/>
    <xf numFmtId="0" fontId="7" fillId="0" borderId="51" xfId="0" applyFont="1" applyBorder="1"/>
    <xf numFmtId="0" fontId="0" fillId="0" borderId="58" xfId="0" applyBorder="1"/>
    <xf numFmtId="0" fontId="0" fillId="0" borderId="52" xfId="0" applyBorder="1"/>
    <xf numFmtId="0" fontId="0" fillId="0" borderId="83" xfId="0" applyBorder="1"/>
    <xf numFmtId="0" fontId="0" fillId="0" borderId="82" xfId="0" applyBorder="1"/>
    <xf numFmtId="0" fontId="7" fillId="0" borderId="102" xfId="0" applyFont="1" applyBorder="1"/>
    <xf numFmtId="0" fontId="0" fillId="0" borderId="106" xfId="0" applyBorder="1"/>
    <xf numFmtId="0" fontId="0" fillId="0" borderId="107" xfId="0" applyBorder="1"/>
    <xf numFmtId="0" fontId="7" fillId="0" borderId="90" xfId="0" applyFont="1" applyBorder="1"/>
    <xf numFmtId="0" fontId="0" fillId="0" borderId="95" xfId="0" applyBorder="1"/>
    <xf numFmtId="0" fontId="0" fillId="0" borderId="91" xfId="0" applyBorder="1"/>
    <xf numFmtId="0" fontId="0" fillId="0" borderId="41" xfId="0" applyBorder="1"/>
    <xf numFmtId="0" fontId="0" fillId="0" borderId="39" xfId="0" applyBorder="1"/>
    <xf numFmtId="0" fontId="0" fillId="0" borderId="31" xfId="0" applyBorder="1"/>
    <xf numFmtId="0" fontId="0" fillId="0" borderId="32" xfId="0" applyBorder="1"/>
    <xf numFmtId="0" fontId="0" fillId="2" borderId="12" xfId="0" applyFill="1" applyBorder="1" applyProtection="1">
      <protection locked="0"/>
    </xf>
    <xf numFmtId="0" fontId="0" fillId="2" borderId="13" xfId="0" applyFill="1" applyBorder="1" applyProtection="1">
      <protection locked="0"/>
    </xf>
    <xf numFmtId="0" fontId="0" fillId="2" borderId="14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15" xfId="0" applyFill="1" applyBorder="1" applyProtection="1">
      <protection locked="0"/>
    </xf>
    <xf numFmtId="0" fontId="0" fillId="2" borderId="1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8" xfId="0" applyFill="1" applyBorder="1" applyProtection="1">
      <protection locked="0"/>
    </xf>
    <xf numFmtId="0" fontId="10" fillId="2" borderId="79" xfId="0" applyFont="1" applyFill="1" applyBorder="1" applyProtection="1">
      <protection locked="0"/>
    </xf>
    <xf numFmtId="0" fontId="0" fillId="2" borderId="80" xfId="0" applyFill="1" applyBorder="1" applyProtection="1">
      <protection locked="0"/>
    </xf>
    <xf numFmtId="0" fontId="0" fillId="2" borderId="81" xfId="0" applyFill="1" applyBorder="1" applyProtection="1">
      <protection locked="0"/>
    </xf>
    <xf numFmtId="0" fontId="0" fillId="2" borderId="75" xfId="0" applyFill="1" applyBorder="1" applyProtection="1">
      <protection locked="0"/>
    </xf>
    <xf numFmtId="0" fontId="0" fillId="2" borderId="69" xfId="0" applyFill="1" applyBorder="1" applyProtection="1">
      <protection locked="0"/>
    </xf>
    <xf numFmtId="0" fontId="0" fillId="2" borderId="76" xfId="0" applyFill="1" applyBorder="1" applyProtection="1">
      <protection locked="0"/>
    </xf>
    <xf numFmtId="0" fontId="0" fillId="2" borderId="77" xfId="0" applyFill="1" applyBorder="1" applyProtection="1">
      <protection locked="0"/>
    </xf>
    <xf numFmtId="0" fontId="0" fillId="2" borderId="78" xfId="0" applyFill="1" applyBorder="1" applyProtection="1">
      <protection locked="0"/>
    </xf>
    <xf numFmtId="0" fontId="10" fillId="2" borderId="62" xfId="0" applyFont="1" applyFill="1" applyBorder="1" applyProtection="1">
      <protection locked="0"/>
    </xf>
    <xf numFmtId="0" fontId="0" fillId="2" borderId="63" xfId="0" applyFill="1" applyBorder="1" applyProtection="1">
      <protection locked="0"/>
    </xf>
    <xf numFmtId="0" fontId="0" fillId="2" borderId="64" xfId="0" applyFill="1" applyBorder="1" applyProtection="1">
      <protection locked="0"/>
    </xf>
    <xf numFmtId="0" fontId="0" fillId="2" borderId="58" xfId="0" applyFill="1" applyBorder="1" applyProtection="1">
      <protection locked="0"/>
    </xf>
    <xf numFmtId="0" fontId="0" fillId="2" borderId="52" xfId="0" applyFill="1" applyBorder="1" applyProtection="1">
      <protection locked="0"/>
    </xf>
    <xf numFmtId="0" fontId="0" fillId="2" borderId="59" xfId="0" applyFill="1" applyBorder="1" applyProtection="1">
      <protection locked="0"/>
    </xf>
    <xf numFmtId="0" fontId="0" fillId="2" borderId="60" xfId="0" applyFill="1" applyBorder="1" applyProtection="1">
      <protection locked="0"/>
    </xf>
    <xf numFmtId="0" fontId="0" fillId="2" borderId="61" xfId="0" applyFill="1" applyBorder="1" applyProtection="1">
      <protection locked="0"/>
    </xf>
    <xf numFmtId="0" fontId="10" fillId="2" borderId="87" xfId="0" applyFont="1" applyFill="1" applyBorder="1" applyProtection="1">
      <protection locked="0"/>
    </xf>
    <xf numFmtId="0" fontId="0" fillId="2" borderId="88" xfId="0" applyFill="1" applyBorder="1" applyProtection="1">
      <protection locked="0"/>
    </xf>
    <xf numFmtId="0" fontId="0" fillId="2" borderId="89" xfId="0" applyFill="1" applyBorder="1" applyProtection="1">
      <protection locked="0"/>
    </xf>
    <xf numFmtId="0" fontId="0" fillId="2" borderId="83" xfId="0" applyFill="1" applyBorder="1" applyProtection="1">
      <protection locked="0"/>
    </xf>
    <xf numFmtId="0" fontId="0" fillId="2" borderId="82" xfId="0" applyFill="1" applyBorder="1" applyProtection="1">
      <protection locked="0"/>
    </xf>
    <xf numFmtId="0" fontId="0" fillId="2" borderId="84" xfId="0" applyFill="1" applyBorder="1" applyProtection="1">
      <protection locked="0"/>
    </xf>
    <xf numFmtId="0" fontId="0" fillId="2" borderId="85" xfId="0" applyFill="1" applyBorder="1" applyProtection="1">
      <protection locked="0"/>
    </xf>
    <xf numFmtId="0" fontId="0" fillId="2" borderId="86" xfId="0" applyFill="1" applyBorder="1" applyProtection="1">
      <protection locked="0"/>
    </xf>
    <xf numFmtId="0" fontId="10" fillId="2" borderId="111" xfId="0" applyFont="1" applyFill="1" applyBorder="1" applyProtection="1">
      <protection locked="0"/>
    </xf>
    <xf numFmtId="0" fontId="0" fillId="2" borderId="112" xfId="0" applyFill="1" applyBorder="1" applyProtection="1">
      <protection locked="0"/>
    </xf>
    <xf numFmtId="0" fontId="0" fillId="2" borderId="113" xfId="0" applyFill="1" applyBorder="1" applyProtection="1">
      <protection locked="0"/>
    </xf>
    <xf numFmtId="0" fontId="0" fillId="2" borderId="106" xfId="0" applyFill="1" applyBorder="1" applyProtection="1">
      <protection locked="0"/>
    </xf>
    <xf numFmtId="0" fontId="0" fillId="2" borderId="107" xfId="0" applyFill="1" applyBorder="1" applyProtection="1">
      <protection locked="0"/>
    </xf>
    <xf numFmtId="0" fontId="0" fillId="2" borderId="108" xfId="0" applyFill="1" applyBorder="1" applyProtection="1">
      <protection locked="0"/>
    </xf>
    <xf numFmtId="0" fontId="0" fillId="2" borderId="109" xfId="0" applyFill="1" applyBorder="1" applyProtection="1">
      <protection locked="0"/>
    </xf>
    <xf numFmtId="0" fontId="0" fillId="2" borderId="110" xfId="0" applyFill="1" applyBorder="1" applyProtection="1">
      <protection locked="0"/>
    </xf>
    <xf numFmtId="0" fontId="10" fillId="2" borderId="99" xfId="0" applyFont="1" applyFill="1" applyBorder="1" applyProtection="1">
      <protection locked="0"/>
    </xf>
    <xf numFmtId="0" fontId="0" fillId="2" borderId="100" xfId="0" applyFill="1" applyBorder="1" applyProtection="1">
      <protection locked="0"/>
    </xf>
    <xf numFmtId="0" fontId="0" fillId="2" borderId="101" xfId="0" applyFill="1" applyBorder="1" applyProtection="1">
      <protection locked="0"/>
    </xf>
    <xf numFmtId="0" fontId="0" fillId="2" borderId="95" xfId="0" applyFill="1" applyBorder="1" applyProtection="1">
      <protection locked="0"/>
    </xf>
    <xf numFmtId="0" fontId="0" fillId="2" borderId="91" xfId="0" applyFill="1" applyBorder="1" applyProtection="1">
      <protection locked="0"/>
    </xf>
    <xf numFmtId="0" fontId="0" fillId="2" borderId="96" xfId="0" applyFill="1" applyBorder="1" applyProtection="1">
      <protection locked="0"/>
    </xf>
    <xf numFmtId="0" fontId="0" fillId="2" borderId="97" xfId="0" applyFill="1" applyBorder="1" applyProtection="1">
      <protection locked="0"/>
    </xf>
    <xf numFmtId="0" fontId="0" fillId="2" borderId="98" xfId="0" applyFill="1" applyBorder="1" applyProtection="1">
      <protection locked="0"/>
    </xf>
    <xf numFmtId="0" fontId="10" fillId="2" borderId="45" xfId="0" applyFont="1" applyFill="1" applyBorder="1" applyProtection="1">
      <protection locked="0"/>
    </xf>
    <xf numFmtId="0" fontId="0" fillId="2" borderId="46" xfId="0" applyFill="1" applyBorder="1" applyProtection="1">
      <protection locked="0"/>
    </xf>
    <xf numFmtId="0" fontId="0" fillId="2" borderId="47" xfId="0" applyFill="1" applyBorder="1" applyProtection="1">
      <protection locked="0"/>
    </xf>
    <xf numFmtId="0" fontId="0" fillId="2" borderId="41" xfId="0" applyFill="1" applyBorder="1" applyProtection="1">
      <protection locked="0"/>
    </xf>
    <xf numFmtId="0" fontId="0" fillId="2" borderId="39" xfId="0" applyFill="1" applyBorder="1" applyProtection="1">
      <protection locked="0"/>
    </xf>
    <xf numFmtId="0" fontId="0" fillId="2" borderId="42" xfId="0" applyFill="1" applyBorder="1" applyProtection="1">
      <protection locked="0"/>
    </xf>
    <xf numFmtId="0" fontId="0" fillId="2" borderId="43" xfId="0" applyFill="1" applyBorder="1" applyProtection="1">
      <protection locked="0"/>
    </xf>
    <xf numFmtId="0" fontId="0" fillId="2" borderId="44" xfId="0" applyFill="1" applyBorder="1" applyProtection="1">
      <protection locked="0"/>
    </xf>
    <xf numFmtId="0" fontId="10" fillId="2" borderId="28" xfId="0" applyFont="1" applyFill="1" applyBorder="1" applyProtection="1">
      <protection locked="0"/>
    </xf>
    <xf numFmtId="0" fontId="0" fillId="2" borderId="29" xfId="0" applyFill="1" applyBorder="1" applyProtection="1">
      <protection locked="0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2" borderId="32" xfId="0" applyFill="1" applyBorder="1" applyProtection="1">
      <protection locked="0"/>
    </xf>
    <xf numFmtId="0" fontId="0" fillId="2" borderId="33" xfId="0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0" fillId="2" borderId="35" xfId="0" applyFill="1" applyBorder="1" applyProtection="1">
      <protection locked="0"/>
    </xf>
    <xf numFmtId="0" fontId="0" fillId="0" borderId="70" xfId="0" applyBorder="1" applyProtection="1">
      <protection locked="0"/>
    </xf>
    <xf numFmtId="0" fontId="8" fillId="17" borderId="0" xfId="0" applyFont="1" applyFill="1" applyProtection="1">
      <protection locked="0"/>
    </xf>
    <xf numFmtId="0" fontId="4" fillId="7" borderId="114" xfId="0" applyFont="1" applyFill="1" applyBorder="1"/>
    <xf numFmtId="10" fontId="4" fillId="7" borderId="114" xfId="0" applyNumberFormat="1" applyFont="1" applyFill="1" applyBorder="1" applyAlignment="1">
      <alignment horizontal="center"/>
    </xf>
    <xf numFmtId="0" fontId="4" fillId="7" borderId="114" xfId="0" applyFont="1" applyFill="1" applyBorder="1" applyAlignment="1">
      <alignment horizontal="center"/>
    </xf>
    <xf numFmtId="14" fontId="8" fillId="2" borderId="115" xfId="0" applyNumberFormat="1" applyFont="1" applyFill="1" applyBorder="1"/>
    <xf numFmtId="0" fontId="8" fillId="2" borderId="115" xfId="0" applyFont="1" applyFill="1" applyBorder="1"/>
    <xf numFmtId="0" fontId="8" fillId="0" borderId="115" xfId="0" applyFont="1" applyBorder="1"/>
    <xf numFmtId="10" fontId="8" fillId="2" borderId="115" xfId="0" applyNumberFormat="1" applyFont="1" applyFill="1" applyBorder="1" applyAlignment="1">
      <alignment horizontal="center"/>
    </xf>
    <xf numFmtId="10" fontId="8" fillId="2" borderId="115" xfId="0" applyNumberFormat="1" applyFont="1" applyFill="1" applyBorder="1" applyAlignment="1">
      <alignment horizontal="center" vertical="center"/>
    </xf>
    <xf numFmtId="0" fontId="6" fillId="7" borderId="116" xfId="0" applyFont="1" applyFill="1" applyBorder="1" applyAlignment="1">
      <alignment vertical="center"/>
    </xf>
    <xf numFmtId="0" fontId="6" fillId="7" borderId="117" xfId="0" applyFont="1" applyFill="1" applyBorder="1" applyAlignment="1">
      <alignment vertical="center"/>
    </xf>
    <xf numFmtId="0" fontId="6" fillId="7" borderId="118" xfId="0" applyFont="1" applyFill="1" applyBorder="1" applyAlignment="1">
      <alignment vertical="center"/>
    </xf>
    <xf numFmtId="0" fontId="0" fillId="7" borderId="119" xfId="0" applyFill="1" applyBorder="1"/>
    <xf numFmtId="0" fontId="0" fillId="7" borderId="120" xfId="0" applyFill="1" applyBorder="1"/>
    <xf numFmtId="0" fontId="7" fillId="0" borderId="121" xfId="0" applyFont="1" applyBorder="1"/>
    <xf numFmtId="0" fontId="0" fillId="8" borderId="0" xfId="0" applyFill="1"/>
    <xf numFmtId="0" fontId="0" fillId="8" borderId="122" xfId="0" applyFill="1" applyBorder="1"/>
    <xf numFmtId="10" fontId="4" fillId="7" borderId="124" xfId="0" applyNumberFormat="1" applyFont="1" applyFill="1" applyBorder="1" applyAlignment="1">
      <alignment horizontal="center"/>
    </xf>
    <xf numFmtId="0" fontId="8" fillId="17" borderId="125" xfId="0" applyFont="1" applyFill="1" applyBorder="1" applyProtection="1">
      <protection locked="0"/>
    </xf>
    <xf numFmtId="10" fontId="8" fillId="2" borderId="126" xfId="0" applyNumberFormat="1" applyFont="1" applyFill="1" applyBorder="1" applyAlignment="1">
      <alignment horizontal="center"/>
    </xf>
    <xf numFmtId="10" fontId="0" fillId="0" borderId="0" xfId="1" applyNumberFormat="1" applyFont="1"/>
    <xf numFmtId="2" fontId="0" fillId="0" borderId="0" xfId="0" applyNumberFormat="1"/>
    <xf numFmtId="0" fontId="8" fillId="17" borderId="127" xfId="0" applyFont="1" applyFill="1" applyBorder="1"/>
    <xf numFmtId="0" fontId="8" fillId="17" borderId="129" xfId="0" applyFont="1" applyFill="1" applyBorder="1" applyProtection="1">
      <protection locked="0"/>
    </xf>
    <xf numFmtId="14" fontId="8" fillId="2" borderId="130" xfId="0" applyNumberFormat="1" applyFont="1" applyFill="1" applyBorder="1"/>
    <xf numFmtId="0" fontId="8" fillId="2" borderId="130" xfId="0" applyFont="1" applyFill="1" applyBorder="1"/>
    <xf numFmtId="0" fontId="8" fillId="0" borderId="130" xfId="0" applyFont="1" applyBorder="1"/>
    <xf numFmtId="10" fontId="8" fillId="2" borderId="130" xfId="0" applyNumberFormat="1" applyFont="1" applyFill="1" applyBorder="1" applyAlignment="1">
      <alignment horizontal="center"/>
    </xf>
    <xf numFmtId="10" fontId="8" fillId="2" borderId="130" xfId="0" applyNumberFormat="1" applyFont="1" applyFill="1" applyBorder="1" applyAlignment="1">
      <alignment horizontal="center" vertical="center"/>
    </xf>
    <xf numFmtId="10" fontId="8" fillId="2" borderId="131" xfId="0" applyNumberFormat="1" applyFont="1" applyFill="1" applyBorder="1" applyAlignment="1">
      <alignment horizontal="center"/>
    </xf>
    <xf numFmtId="0" fontId="4" fillId="7" borderId="23" xfId="0" applyFont="1" applyFill="1" applyBorder="1"/>
    <xf numFmtId="0" fontId="4" fillId="7" borderId="1" xfId="0" applyFont="1" applyFill="1" applyBorder="1"/>
    <xf numFmtId="10" fontId="4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4" fillId="7" borderId="26" xfId="0" applyFont="1" applyFill="1" applyBorder="1"/>
    <xf numFmtId="0" fontId="4" fillId="7" borderId="3" xfId="0" applyFont="1" applyFill="1" applyBorder="1" applyAlignment="1">
      <alignment horizontal="center"/>
    </xf>
    <xf numFmtId="0" fontId="4" fillId="7" borderId="3" xfId="0" applyFont="1" applyFill="1" applyBorder="1"/>
    <xf numFmtId="10" fontId="4" fillId="7" borderId="3" xfId="0" applyNumberFormat="1" applyFont="1" applyFill="1" applyBorder="1" applyAlignment="1">
      <alignment horizontal="center"/>
    </xf>
    <xf numFmtId="10" fontId="4" fillId="7" borderId="3" xfId="1" applyNumberFormat="1" applyFont="1" applyFill="1" applyBorder="1" applyAlignment="1" applyProtection="1">
      <alignment horizontal="center"/>
    </xf>
    <xf numFmtId="10" fontId="4" fillId="7" borderId="27" xfId="1" applyNumberFormat="1" applyFont="1" applyFill="1" applyBorder="1" applyAlignment="1" applyProtection="1">
      <alignment horizontal="center"/>
    </xf>
    <xf numFmtId="0" fontId="1" fillId="2" borderId="14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10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left"/>
    </xf>
    <xf numFmtId="0" fontId="1" fillId="2" borderId="15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10" fontId="1" fillId="2" borderId="10" xfId="0" applyNumberFormat="1" applyFont="1" applyFill="1" applyBorder="1" applyAlignment="1">
      <alignment wrapText="1"/>
    </xf>
    <xf numFmtId="10" fontId="2" fillId="9" borderId="10" xfId="1" applyNumberFormat="1" applyFont="1" applyFill="1" applyBorder="1" applyAlignment="1" applyProtection="1">
      <alignment horizontal="center"/>
    </xf>
    <xf numFmtId="10" fontId="1" fillId="9" borderId="10" xfId="0" applyNumberFormat="1" applyFont="1" applyFill="1" applyBorder="1" applyAlignment="1">
      <alignment wrapText="1"/>
    </xf>
    <xf numFmtId="0" fontId="1" fillId="2" borderId="41" xfId="0" applyFont="1" applyFill="1" applyBorder="1"/>
    <xf numFmtId="0" fontId="1" fillId="2" borderId="39" xfId="0" applyFont="1" applyFill="1" applyBorder="1"/>
    <xf numFmtId="0" fontId="4" fillId="12" borderId="92" xfId="0" applyFont="1" applyFill="1" applyBorder="1"/>
    <xf numFmtId="0" fontId="4" fillId="12" borderId="1" xfId="0" applyFont="1" applyFill="1" applyBorder="1"/>
    <xf numFmtId="10" fontId="4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93" xfId="0" applyFont="1" applyFill="1" applyBorder="1" applyAlignment="1">
      <alignment horizontal="center"/>
    </xf>
    <xf numFmtId="0" fontId="1" fillId="2" borderId="95" xfId="0" applyFont="1" applyFill="1" applyBorder="1"/>
    <xf numFmtId="0" fontId="1" fillId="2" borderId="91" xfId="0" applyFont="1" applyFill="1" applyBorder="1"/>
    <xf numFmtId="10" fontId="1" fillId="2" borderId="9" xfId="0" applyNumberFormat="1" applyFont="1" applyFill="1" applyBorder="1" applyAlignment="1">
      <alignment wrapText="1"/>
    </xf>
    <xf numFmtId="10" fontId="2" fillId="12" borderId="9" xfId="1" applyNumberFormat="1" applyFont="1" applyFill="1" applyBorder="1" applyAlignment="1" applyProtection="1">
      <alignment horizontal="center"/>
    </xf>
    <xf numFmtId="10" fontId="1" fillId="12" borderId="9" xfId="0" applyNumberFormat="1" applyFont="1" applyFill="1" applyBorder="1" applyAlignment="1">
      <alignment wrapText="1"/>
    </xf>
    <xf numFmtId="0" fontId="4" fillId="13" borderId="103" xfId="0" applyFont="1" applyFill="1" applyBorder="1"/>
    <xf numFmtId="0" fontId="4" fillId="13" borderId="1" xfId="0" applyFont="1" applyFill="1" applyBorder="1"/>
    <xf numFmtId="10" fontId="4" fillId="13" borderId="1" xfId="0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104" xfId="0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wrapText="1"/>
    </xf>
    <xf numFmtId="10" fontId="2" fillId="13" borderId="8" xfId="1" applyNumberFormat="1" applyFont="1" applyFill="1" applyBorder="1" applyAlignment="1" applyProtection="1">
      <alignment horizontal="center"/>
    </xf>
    <xf numFmtId="10" fontId="1" fillId="13" borderId="8" xfId="0" applyNumberFormat="1" applyFont="1" applyFill="1" applyBorder="1" applyAlignment="1">
      <alignment wrapText="1"/>
    </xf>
    <xf numFmtId="0" fontId="1" fillId="2" borderId="83" xfId="0" applyFont="1" applyFill="1" applyBorder="1"/>
    <xf numFmtId="0" fontId="1" fillId="2" borderId="82" xfId="0" applyFont="1" applyFill="1" applyBorder="1"/>
    <xf numFmtId="10" fontId="2" fillId="5" borderId="7" xfId="1" applyNumberFormat="1" applyFont="1" applyFill="1" applyBorder="1" applyAlignment="1" applyProtection="1">
      <alignment horizontal="center"/>
    </xf>
    <xf numFmtId="0" fontId="4" fillId="14" borderId="53" xfId="0" applyFont="1" applyFill="1" applyBorder="1"/>
    <xf numFmtId="0" fontId="4" fillId="14" borderId="1" xfId="0" applyFont="1" applyFill="1" applyBorder="1"/>
    <xf numFmtId="10" fontId="4" fillId="14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54" xfId="0" applyFont="1" applyFill="1" applyBorder="1" applyAlignment="1">
      <alignment horizontal="center"/>
    </xf>
    <xf numFmtId="0" fontId="4" fillId="14" borderId="56" xfId="0" applyFont="1" applyFill="1" applyBorder="1"/>
    <xf numFmtId="0" fontId="4" fillId="14" borderId="4" xfId="0" applyFont="1" applyFill="1" applyBorder="1" applyAlignment="1">
      <alignment horizontal="center"/>
    </xf>
    <xf numFmtId="0" fontId="4" fillId="14" borderId="4" xfId="0" applyFont="1" applyFill="1" applyBorder="1"/>
    <xf numFmtId="10" fontId="4" fillId="14" borderId="4" xfId="0" applyNumberFormat="1" applyFont="1" applyFill="1" applyBorder="1" applyAlignment="1">
      <alignment horizontal="center"/>
    </xf>
    <xf numFmtId="10" fontId="4" fillId="14" borderId="4" xfId="1" applyNumberFormat="1" applyFont="1" applyFill="1" applyBorder="1" applyAlignment="1" applyProtection="1">
      <alignment horizontal="center"/>
    </xf>
    <xf numFmtId="10" fontId="4" fillId="14" borderId="57" xfId="1" applyNumberFormat="1" applyFont="1" applyFill="1" applyBorder="1" applyAlignment="1" applyProtection="1">
      <alignment horizontal="center"/>
    </xf>
    <xf numFmtId="0" fontId="1" fillId="2" borderId="58" xfId="0" applyFont="1" applyFill="1" applyBorder="1"/>
    <xf numFmtId="0" fontId="1" fillId="2" borderId="52" xfId="0" applyFont="1" applyFill="1" applyBorder="1"/>
    <xf numFmtId="10" fontId="1" fillId="2" borderId="6" xfId="0" applyNumberFormat="1" applyFont="1" applyFill="1" applyBorder="1" applyAlignment="1">
      <alignment wrapText="1"/>
    </xf>
    <xf numFmtId="10" fontId="2" fillId="14" borderId="6" xfId="1" applyNumberFormat="1" applyFont="1" applyFill="1" applyBorder="1" applyAlignment="1" applyProtection="1">
      <alignment horizontal="center"/>
    </xf>
    <xf numFmtId="10" fontId="1" fillId="14" borderId="6" xfId="0" applyNumberFormat="1" applyFont="1" applyFill="1" applyBorder="1" applyAlignment="1">
      <alignment wrapText="1"/>
    </xf>
    <xf numFmtId="0" fontId="4" fillId="6" borderId="70" xfId="0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4" fillId="6" borderId="71" xfId="0" applyFont="1" applyFill="1" applyBorder="1" applyAlignment="1">
      <alignment horizontal="center"/>
    </xf>
    <xf numFmtId="0" fontId="4" fillId="6" borderId="73" xfId="0" applyFont="1" applyFill="1" applyBorder="1"/>
    <xf numFmtId="0" fontId="4" fillId="6" borderId="5" xfId="0" applyFont="1" applyFill="1" applyBorder="1" applyAlignment="1">
      <alignment horizontal="center"/>
    </xf>
    <xf numFmtId="0" fontId="4" fillId="6" borderId="5" xfId="0" applyFont="1" applyFill="1" applyBorder="1"/>
    <xf numFmtId="10" fontId="4" fillId="6" borderId="5" xfId="0" applyNumberFormat="1" applyFont="1" applyFill="1" applyBorder="1" applyAlignment="1">
      <alignment horizontal="center"/>
    </xf>
    <xf numFmtId="10" fontId="4" fillId="6" borderId="5" xfId="1" applyNumberFormat="1" applyFont="1" applyFill="1" applyBorder="1" applyAlignment="1" applyProtection="1">
      <alignment horizontal="center"/>
    </xf>
    <xf numFmtId="10" fontId="4" fillId="6" borderId="74" xfId="1" applyNumberFormat="1" applyFont="1" applyFill="1" applyBorder="1" applyAlignment="1" applyProtection="1">
      <alignment horizontal="center"/>
    </xf>
    <xf numFmtId="0" fontId="1" fillId="2" borderId="75" xfId="0" applyFont="1" applyFill="1" applyBorder="1"/>
    <xf numFmtId="0" fontId="1" fillId="2" borderId="69" xfId="0" applyFont="1" applyFill="1" applyBorder="1"/>
    <xf numFmtId="0" fontId="4" fillId="7" borderId="123" xfId="0" applyFont="1" applyFill="1" applyBorder="1"/>
    <xf numFmtId="10" fontId="8" fillId="0" borderId="115" xfId="0" applyNumberFormat="1" applyFont="1" applyBorder="1" applyAlignment="1">
      <alignment horizontal="center" vertical="center"/>
    </xf>
    <xf numFmtId="10" fontId="8" fillId="2" borderId="126" xfId="0" applyNumberFormat="1" applyFont="1" applyFill="1" applyBorder="1" applyAlignment="1">
      <alignment horizontal="center" vertical="center"/>
    </xf>
    <xf numFmtId="10" fontId="8" fillId="2" borderId="115" xfId="1" applyNumberFormat="1" applyFont="1" applyFill="1" applyBorder="1" applyAlignment="1" applyProtection="1">
      <alignment horizontal="center" vertical="center"/>
    </xf>
    <xf numFmtId="10" fontId="0" fillId="2" borderId="115" xfId="0" applyNumberFormat="1" applyFill="1" applyBorder="1" applyAlignment="1">
      <alignment horizontal="center" vertical="center"/>
    </xf>
    <xf numFmtId="10" fontId="0" fillId="2" borderId="126" xfId="0" applyNumberFormat="1" applyFill="1" applyBorder="1" applyAlignment="1">
      <alignment horizontal="center" vertical="center"/>
    </xf>
    <xf numFmtId="10" fontId="8" fillId="2" borderId="128" xfId="0" applyNumberFormat="1" applyFont="1" applyFill="1" applyBorder="1" applyAlignment="1">
      <alignment horizontal="center" vertical="center"/>
    </xf>
    <xf numFmtId="10" fontId="8" fillId="2" borderId="130" xfId="1" applyNumberFormat="1" applyFont="1" applyFill="1" applyBorder="1" applyAlignment="1" applyProtection="1">
      <alignment horizontal="center" vertical="center"/>
    </xf>
    <xf numFmtId="10" fontId="0" fillId="2" borderId="130" xfId="0" applyNumberFormat="1" applyFill="1" applyBorder="1" applyAlignment="1">
      <alignment horizontal="center" vertical="center"/>
    </xf>
    <xf numFmtId="10" fontId="8" fillId="2" borderId="131" xfId="0" applyNumberFormat="1" applyFont="1" applyFill="1" applyBorder="1" applyAlignment="1">
      <alignment horizontal="center" vertical="center"/>
    </xf>
    <xf numFmtId="0" fontId="11" fillId="19" borderId="0" xfId="0" applyFont="1" applyFill="1"/>
    <xf numFmtId="0" fontId="12" fillId="19" borderId="0" xfId="0" applyFont="1" applyFill="1" applyAlignment="1">
      <alignment horizontal="left" vertical="center" wrapText="1"/>
    </xf>
    <xf numFmtId="0" fontId="0" fillId="19" borderId="0" xfId="0" applyFill="1"/>
    <xf numFmtId="10" fontId="0" fillId="19" borderId="0" xfId="1" applyNumberFormat="1" applyFont="1" applyFill="1"/>
    <xf numFmtId="14" fontId="0" fillId="19" borderId="0" xfId="0" applyNumberFormat="1" applyFill="1"/>
    <xf numFmtId="0" fontId="8" fillId="2" borderId="115" xfId="0" applyFont="1" applyFill="1" applyBorder="1" applyAlignment="1">
      <alignment horizontal="left"/>
    </xf>
    <xf numFmtId="0" fontId="8" fillId="2" borderId="130" xfId="0" applyFont="1" applyFill="1" applyBorder="1" applyAlignment="1">
      <alignment horizontal="left"/>
    </xf>
    <xf numFmtId="14" fontId="1" fillId="8" borderId="0" xfId="0" applyNumberFormat="1" applyFont="1" applyFill="1" applyAlignment="1">
      <alignment horizontal="left"/>
    </xf>
    <xf numFmtId="14" fontId="1" fillId="8" borderId="15" xfId="0" applyNumberFormat="1" applyFont="1" applyFill="1" applyBorder="1" applyAlignment="1">
      <alignment horizontal="left"/>
    </xf>
    <xf numFmtId="0" fontId="7" fillId="8" borderId="11" xfId="0" applyFont="1" applyFill="1" applyBorder="1" applyProtection="1">
      <protection locked="0"/>
    </xf>
    <xf numFmtId="14" fontId="8" fillId="2" borderId="115" xfId="0" applyNumberFormat="1" applyFont="1" applyFill="1" applyBorder="1" applyAlignment="1">
      <alignment horizontal="left"/>
    </xf>
    <xf numFmtId="0" fontId="12" fillId="0" borderId="0" xfId="0" applyFont="1"/>
    <xf numFmtId="14" fontId="0" fillId="0" borderId="0" xfId="0" applyNumberFormat="1" applyAlignment="1">
      <alignment horizontal="center"/>
    </xf>
    <xf numFmtId="0" fontId="0" fillId="0" borderId="132" xfId="0" applyBorder="1"/>
    <xf numFmtId="0" fontId="8" fillId="17" borderId="1" xfId="0" applyFont="1" applyFill="1" applyBorder="1" applyProtection="1">
      <protection locked="0"/>
    </xf>
    <xf numFmtId="0" fontId="2" fillId="14" borderId="37" xfId="0" applyFont="1" applyFill="1" applyBorder="1"/>
    <xf numFmtId="10" fontId="2" fillId="14" borderId="10" xfId="1" applyNumberFormat="1" applyFont="1" applyFill="1" applyBorder="1" applyAlignment="1" applyProtection="1">
      <alignment horizontal="center"/>
    </xf>
    <xf numFmtId="10" fontId="3" fillId="14" borderId="10" xfId="1" applyNumberFormat="1" applyFont="1" applyFill="1" applyBorder="1" applyAlignment="1" applyProtection="1">
      <alignment horizontal="center"/>
    </xf>
    <xf numFmtId="10" fontId="2" fillId="14" borderId="10" xfId="0" applyNumberFormat="1" applyFont="1" applyFill="1" applyBorder="1" applyAlignment="1">
      <alignment horizontal="center" vertical="center"/>
    </xf>
    <xf numFmtId="10" fontId="1" fillId="14" borderId="10" xfId="0" applyNumberFormat="1" applyFont="1" applyFill="1" applyBorder="1" applyAlignment="1">
      <alignment wrapText="1"/>
    </xf>
    <xf numFmtId="10" fontId="2" fillId="14" borderId="10" xfId="0" applyNumberFormat="1" applyFont="1" applyFill="1" applyBorder="1" applyAlignment="1">
      <alignment wrapText="1"/>
    </xf>
    <xf numFmtId="10" fontId="2" fillId="14" borderId="38" xfId="0" applyNumberFormat="1" applyFont="1" applyFill="1" applyBorder="1" applyAlignment="1">
      <alignment horizontal="center" wrapText="1"/>
    </xf>
    <xf numFmtId="10" fontId="1" fillId="2" borderId="0" xfId="0" applyNumberFormat="1" applyFont="1" applyFill="1" applyAlignment="1">
      <alignment wrapText="1"/>
    </xf>
    <xf numFmtId="10" fontId="1" fillId="17" borderId="8" xfId="1" applyNumberFormat="1" applyFont="1" applyFill="1" applyBorder="1" applyAlignment="1" applyProtection="1">
      <alignment horizontal="center"/>
    </xf>
    <xf numFmtId="10" fontId="1" fillId="17" borderId="133" xfId="1" applyNumberFormat="1" applyFont="1" applyFill="1" applyBorder="1" applyAlignment="1" applyProtection="1">
      <alignment horizontal="center"/>
    </xf>
    <xf numFmtId="10" fontId="1" fillId="2" borderId="134" xfId="0" applyNumberFormat="1" applyFont="1" applyFill="1" applyBorder="1" applyAlignment="1">
      <alignment wrapText="1"/>
    </xf>
    <xf numFmtId="10" fontId="1" fillId="17" borderId="135" xfId="1" applyNumberFormat="1" applyFont="1" applyFill="1" applyBorder="1" applyAlignment="1" applyProtection="1">
      <alignment horizontal="center"/>
    </xf>
    <xf numFmtId="10" fontId="1" fillId="2" borderId="135" xfId="0" applyNumberFormat="1" applyFont="1" applyFill="1" applyBorder="1" applyAlignment="1">
      <alignment wrapText="1"/>
    </xf>
    <xf numFmtId="10" fontId="1" fillId="2" borderId="137" xfId="0" applyNumberFormat="1" applyFont="1" applyFill="1" applyBorder="1" applyAlignment="1">
      <alignment wrapText="1"/>
    </xf>
    <xf numFmtId="10" fontId="1" fillId="2" borderId="134" xfId="0" applyNumberFormat="1" applyFont="1" applyFill="1" applyBorder="1" applyAlignment="1">
      <alignment horizontal="center" vertical="center" wrapText="1"/>
    </xf>
    <xf numFmtId="0" fontId="2" fillId="7" borderId="140" xfId="0" applyFont="1" applyFill="1" applyBorder="1" applyAlignment="1">
      <alignment vertical="center"/>
    </xf>
    <xf numFmtId="0" fontId="2" fillId="7" borderId="141" xfId="0" applyFont="1" applyFill="1" applyBorder="1" applyAlignment="1">
      <alignment horizontal="center" vertical="center" wrapText="1"/>
    </xf>
    <xf numFmtId="0" fontId="2" fillId="7" borderId="141" xfId="0" applyFont="1" applyFill="1" applyBorder="1" applyAlignment="1">
      <alignment horizontal="center" vertical="center"/>
    </xf>
    <xf numFmtId="10" fontId="2" fillId="7" borderId="141" xfId="0" applyNumberFormat="1" applyFont="1" applyFill="1" applyBorder="1" applyAlignment="1">
      <alignment horizontal="center" vertical="center"/>
    </xf>
    <xf numFmtId="10" fontId="2" fillId="7" borderId="142" xfId="0" applyNumberFormat="1" applyFont="1" applyFill="1" applyBorder="1" applyAlignment="1">
      <alignment horizontal="center" vertical="center" wrapText="1"/>
    </xf>
    <xf numFmtId="10" fontId="2" fillId="7" borderId="142" xfId="0" applyNumberFormat="1" applyFont="1" applyFill="1" applyBorder="1" applyAlignment="1">
      <alignment horizontal="center" vertical="center"/>
    </xf>
    <xf numFmtId="10" fontId="2" fillId="7" borderId="143" xfId="0" applyNumberFormat="1" applyFont="1" applyFill="1" applyBorder="1" applyAlignment="1">
      <alignment vertical="center" wrapText="1"/>
    </xf>
    <xf numFmtId="0" fontId="1" fillId="17" borderId="144" xfId="0" applyFont="1" applyFill="1" applyBorder="1"/>
    <xf numFmtId="10" fontId="1" fillId="8" borderId="133" xfId="1" applyNumberFormat="1" applyFont="1" applyFill="1" applyBorder="1" applyAlignment="1" applyProtection="1">
      <alignment horizontal="center"/>
    </xf>
    <xf numFmtId="10" fontId="1" fillId="21" borderId="133" xfId="1" applyNumberFormat="1" applyFont="1" applyFill="1" applyBorder="1" applyAlignment="1" applyProtection="1">
      <alignment horizontal="center"/>
    </xf>
    <xf numFmtId="10" fontId="1" fillId="2" borderId="133" xfId="0" applyNumberFormat="1" applyFont="1" applyFill="1" applyBorder="1" applyAlignment="1">
      <alignment horizontal="center"/>
    </xf>
    <xf numFmtId="10" fontId="1" fillId="3" borderId="145" xfId="0" applyNumberFormat="1" applyFont="1" applyFill="1" applyBorder="1" applyAlignment="1">
      <alignment wrapText="1"/>
    </xf>
    <xf numFmtId="0" fontId="1" fillId="17" borderId="146" xfId="0" applyFont="1" applyFill="1" applyBorder="1"/>
    <xf numFmtId="10" fontId="1" fillId="8" borderId="135" xfId="1" applyNumberFormat="1" applyFont="1" applyFill="1" applyBorder="1" applyAlignment="1" applyProtection="1">
      <alignment horizontal="center"/>
    </xf>
    <xf numFmtId="10" fontId="1" fillId="2" borderId="135" xfId="0" applyNumberFormat="1" applyFont="1" applyFill="1" applyBorder="1" applyAlignment="1">
      <alignment horizontal="center"/>
    </xf>
    <xf numFmtId="10" fontId="1" fillId="3" borderId="147" xfId="0" applyNumberFormat="1" applyFont="1" applyFill="1" applyBorder="1" applyAlignment="1">
      <alignment wrapText="1"/>
    </xf>
    <xf numFmtId="0" fontId="1" fillId="17" borderId="148" xfId="0" applyFont="1" applyFill="1" applyBorder="1"/>
    <xf numFmtId="10" fontId="1" fillId="8" borderId="136" xfId="1" applyNumberFormat="1" applyFont="1" applyFill="1" applyBorder="1" applyAlignment="1" applyProtection="1">
      <alignment horizontal="center"/>
    </xf>
    <xf numFmtId="10" fontId="1" fillId="2" borderId="136" xfId="0" applyNumberFormat="1" applyFont="1" applyFill="1" applyBorder="1" applyAlignment="1">
      <alignment horizontal="center"/>
    </xf>
    <xf numFmtId="10" fontId="1" fillId="3" borderId="149" xfId="0" applyNumberFormat="1" applyFont="1" applyFill="1" applyBorder="1" applyAlignment="1">
      <alignment wrapText="1"/>
    </xf>
    <xf numFmtId="0" fontId="2" fillId="7" borderId="150" xfId="0" applyFont="1" applyFill="1" applyBorder="1"/>
    <xf numFmtId="10" fontId="2" fillId="7" borderId="151" xfId="1" applyNumberFormat="1" applyFont="1" applyFill="1" applyBorder="1" applyAlignment="1" applyProtection="1">
      <alignment horizontal="center"/>
    </xf>
    <xf numFmtId="10" fontId="2" fillId="7" borderId="139" xfId="1" applyNumberFormat="1" applyFont="1" applyFill="1" applyBorder="1" applyAlignment="1" applyProtection="1">
      <alignment horizontal="center"/>
    </xf>
    <xf numFmtId="10" fontId="2" fillId="7" borderId="139" xfId="0" applyNumberFormat="1" applyFont="1" applyFill="1" applyBorder="1" applyAlignment="1">
      <alignment horizontal="center"/>
    </xf>
    <xf numFmtId="10" fontId="2" fillId="7" borderId="151" xfId="0" applyNumberFormat="1" applyFont="1" applyFill="1" applyBorder="1" applyAlignment="1">
      <alignment wrapText="1"/>
    </xf>
    <xf numFmtId="10" fontId="1" fillId="7" borderId="152" xfId="0" applyNumberFormat="1" applyFont="1" applyFill="1" applyBorder="1" applyAlignment="1">
      <alignment wrapText="1"/>
    </xf>
    <xf numFmtId="0" fontId="1" fillId="2" borderId="153" xfId="0" applyFont="1" applyFill="1" applyBorder="1"/>
    <xf numFmtId="10" fontId="1" fillId="8" borderId="154" xfId="1" applyNumberFormat="1" applyFont="1" applyFill="1" applyBorder="1" applyAlignment="1" applyProtection="1">
      <alignment horizontal="center"/>
    </xf>
    <xf numFmtId="10" fontId="1" fillId="3" borderId="155" xfId="0" applyNumberFormat="1" applyFont="1" applyFill="1" applyBorder="1" applyAlignment="1">
      <alignment wrapText="1"/>
    </xf>
    <xf numFmtId="0" fontId="1" fillId="2" borderId="146" xfId="0" applyFont="1" applyFill="1" applyBorder="1"/>
    <xf numFmtId="0" fontId="1" fillId="2" borderId="148" xfId="0" applyFont="1" applyFill="1" applyBorder="1"/>
    <xf numFmtId="0" fontId="0" fillId="2" borderId="150" xfId="0" applyFill="1" applyBorder="1"/>
    <xf numFmtId="10" fontId="1" fillId="8" borderId="151" xfId="1" applyNumberFormat="1" applyFont="1" applyFill="1" applyBorder="1" applyAlignment="1" applyProtection="1">
      <alignment horizontal="center"/>
    </xf>
    <xf numFmtId="10" fontId="1" fillId="2" borderId="139" xfId="0" applyNumberFormat="1" applyFont="1" applyFill="1" applyBorder="1" applyAlignment="1">
      <alignment horizontal="center"/>
    </xf>
    <xf numFmtId="10" fontId="1" fillId="2" borderId="138" xfId="0" applyNumberFormat="1" applyFont="1" applyFill="1" applyBorder="1" applyAlignment="1">
      <alignment wrapText="1"/>
    </xf>
    <xf numFmtId="10" fontId="1" fillId="3" borderId="152" xfId="0" applyNumberFormat="1" applyFont="1" applyFill="1" applyBorder="1" applyAlignment="1">
      <alignment wrapText="1"/>
    </xf>
    <xf numFmtId="0" fontId="2" fillId="7" borderId="153" xfId="0" applyFont="1" applyFill="1" applyBorder="1"/>
    <xf numFmtId="10" fontId="2" fillId="7" borderId="154" xfId="1" applyNumberFormat="1" applyFont="1" applyFill="1" applyBorder="1" applyAlignment="1" applyProtection="1">
      <alignment horizontal="center"/>
    </xf>
    <xf numFmtId="10" fontId="2" fillId="7" borderId="133" xfId="1" applyNumberFormat="1" applyFont="1" applyFill="1" applyBorder="1" applyAlignment="1" applyProtection="1">
      <alignment horizontal="center"/>
    </xf>
    <xf numFmtId="10" fontId="2" fillId="7" borderId="133" xfId="0" applyNumberFormat="1" applyFont="1" applyFill="1" applyBorder="1" applyAlignment="1">
      <alignment horizontal="center"/>
    </xf>
    <xf numFmtId="10" fontId="2" fillId="7" borderId="154" xfId="0" applyNumberFormat="1" applyFont="1" applyFill="1" applyBorder="1" applyAlignment="1">
      <alignment wrapText="1"/>
    </xf>
    <xf numFmtId="10" fontId="1" fillId="7" borderId="155" xfId="0" applyNumberFormat="1" applyFont="1" applyFill="1" applyBorder="1" applyAlignment="1">
      <alignment wrapText="1"/>
    </xf>
    <xf numFmtId="10" fontId="2" fillId="7" borderId="157" xfId="1" applyNumberFormat="1" applyFont="1" applyFill="1" applyBorder="1" applyAlignment="1" applyProtection="1">
      <alignment horizontal="center"/>
    </xf>
    <xf numFmtId="10" fontId="2" fillId="7" borderId="157" xfId="0" applyNumberFormat="1" applyFont="1" applyFill="1" applyBorder="1" applyAlignment="1">
      <alignment horizontal="center"/>
    </xf>
    <xf numFmtId="10" fontId="2" fillId="7" borderId="158" xfId="0" applyNumberFormat="1" applyFont="1" applyFill="1" applyBorder="1" applyAlignment="1">
      <alignment wrapText="1"/>
    </xf>
    <xf numFmtId="10" fontId="1" fillId="7" borderId="159" xfId="0" applyNumberFormat="1" applyFont="1" applyFill="1" applyBorder="1" applyAlignment="1">
      <alignment wrapText="1"/>
    </xf>
    <xf numFmtId="0" fontId="2" fillId="7" borderId="144" xfId="0" applyFont="1" applyFill="1" applyBorder="1"/>
    <xf numFmtId="10" fontId="8" fillId="2" borderId="160" xfId="0" applyNumberFormat="1" applyFont="1" applyFill="1" applyBorder="1" applyAlignment="1">
      <alignment wrapText="1"/>
    </xf>
    <xf numFmtId="0" fontId="8" fillId="0" borderId="0" xfId="0" applyFont="1"/>
    <xf numFmtId="0" fontId="8" fillId="2" borderId="144" xfId="0" applyFont="1" applyFill="1" applyBorder="1"/>
    <xf numFmtId="10" fontId="8" fillId="2" borderId="133" xfId="1" applyNumberFormat="1" applyFont="1" applyFill="1" applyBorder="1" applyAlignment="1" applyProtection="1">
      <alignment horizontal="center"/>
    </xf>
    <xf numFmtId="10" fontId="1" fillId="7" borderId="135" xfId="0" applyNumberFormat="1" applyFont="1" applyFill="1" applyBorder="1" applyAlignment="1">
      <alignment wrapText="1"/>
    </xf>
    <xf numFmtId="10" fontId="8" fillId="7" borderId="160" xfId="0" applyNumberFormat="1" applyFont="1" applyFill="1" applyBorder="1" applyAlignment="1">
      <alignment wrapText="1"/>
    </xf>
    <xf numFmtId="10" fontId="2" fillId="7" borderId="135" xfId="1" applyNumberFormat="1" applyFont="1" applyFill="1" applyBorder="1" applyAlignment="1" applyProtection="1">
      <alignment horizontal="center"/>
    </xf>
    <xf numFmtId="0" fontId="2" fillId="7" borderId="156" xfId="0" applyFont="1" applyFill="1" applyBorder="1"/>
    <xf numFmtId="10" fontId="2" fillId="7" borderId="134" xfId="0" applyNumberFormat="1" applyFont="1" applyFill="1" applyBorder="1" applyAlignment="1">
      <alignment horizontal="center" vertical="center" wrapText="1"/>
    </xf>
    <xf numFmtId="10" fontId="2" fillId="9" borderId="134" xfId="0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10" fontId="13" fillId="2" borderId="0" xfId="1" applyNumberFormat="1" applyFont="1" applyFill="1" applyBorder="1" applyAlignment="1" applyProtection="1">
      <alignment horizontal="center"/>
    </xf>
    <xf numFmtId="10" fontId="2" fillId="2" borderId="0" xfId="1" applyNumberFormat="1" applyFont="1" applyFill="1" applyBorder="1" applyAlignment="1" applyProtection="1">
      <alignment horizontal="center"/>
    </xf>
    <xf numFmtId="10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wrapText="1"/>
    </xf>
    <xf numFmtId="10" fontId="2" fillId="2" borderId="0" xfId="0" applyNumberFormat="1" applyFont="1" applyFill="1" applyAlignment="1">
      <alignment horizontal="center" wrapText="1"/>
    </xf>
    <xf numFmtId="10" fontId="2" fillId="12" borderId="134" xfId="0" applyNumberFormat="1" applyFont="1" applyFill="1" applyBorder="1" applyAlignment="1">
      <alignment horizontal="center" vertical="center" wrapText="1"/>
    </xf>
    <xf numFmtId="0" fontId="2" fillId="12" borderId="161" xfId="0" applyFont="1" applyFill="1" applyBorder="1" applyAlignment="1">
      <alignment vertical="center"/>
    </xf>
    <xf numFmtId="0" fontId="2" fillId="12" borderId="162" xfId="0" applyFont="1" applyFill="1" applyBorder="1" applyAlignment="1">
      <alignment horizontal="center" vertical="center" wrapText="1"/>
    </xf>
    <xf numFmtId="0" fontId="2" fillId="12" borderId="162" xfId="0" applyFont="1" applyFill="1" applyBorder="1" applyAlignment="1">
      <alignment horizontal="center" vertical="center"/>
    </xf>
    <xf numFmtId="10" fontId="2" fillId="12" borderId="162" xfId="0" applyNumberFormat="1" applyFont="1" applyFill="1" applyBorder="1" applyAlignment="1">
      <alignment horizontal="center" vertical="center"/>
    </xf>
    <xf numFmtId="10" fontId="2" fillId="12" borderId="162" xfId="0" applyNumberFormat="1" applyFont="1" applyFill="1" applyBorder="1" applyAlignment="1">
      <alignment horizontal="center" vertical="center" wrapText="1"/>
    </xf>
    <xf numFmtId="10" fontId="2" fillId="12" borderId="163" xfId="0" applyNumberFormat="1" applyFont="1" applyFill="1" applyBorder="1" applyAlignment="1">
      <alignment vertical="center" wrapText="1"/>
    </xf>
    <xf numFmtId="0" fontId="1" fillId="17" borderId="164" xfId="0" applyFont="1" applyFill="1" applyBorder="1"/>
    <xf numFmtId="10" fontId="1" fillId="17" borderId="9" xfId="1" applyNumberFormat="1" applyFont="1" applyFill="1" applyBorder="1" applyAlignment="1" applyProtection="1">
      <alignment horizontal="center"/>
    </xf>
    <xf numFmtId="10" fontId="1" fillId="2" borderId="9" xfId="0" applyNumberFormat="1" applyFont="1" applyFill="1" applyBorder="1" applyAlignment="1">
      <alignment horizontal="center"/>
    </xf>
    <xf numFmtId="10" fontId="1" fillId="2" borderId="9" xfId="0" applyNumberFormat="1" applyFont="1" applyFill="1" applyBorder="1" applyAlignment="1">
      <alignment horizontal="center" vertical="center" wrapText="1"/>
    </xf>
    <xf numFmtId="10" fontId="1" fillId="3" borderId="165" xfId="0" applyNumberFormat="1" applyFont="1" applyFill="1" applyBorder="1" applyAlignment="1">
      <alignment wrapText="1"/>
    </xf>
    <xf numFmtId="0" fontId="2" fillId="12" borderId="164" xfId="0" applyFont="1" applyFill="1" applyBorder="1"/>
    <xf numFmtId="10" fontId="2" fillId="12" borderId="9" xfId="0" applyNumberFormat="1" applyFont="1" applyFill="1" applyBorder="1" applyAlignment="1">
      <alignment horizontal="center"/>
    </xf>
    <xf numFmtId="10" fontId="2" fillId="12" borderId="9" xfId="0" applyNumberFormat="1" applyFont="1" applyFill="1" applyBorder="1" applyAlignment="1">
      <alignment horizontal="center" vertical="center" wrapText="1"/>
    </xf>
    <xf numFmtId="10" fontId="1" fillId="12" borderId="165" xfId="0" applyNumberFormat="1" applyFont="1" applyFill="1" applyBorder="1" applyAlignment="1">
      <alignment wrapText="1"/>
    </xf>
    <xf numFmtId="0" fontId="1" fillId="2" borderId="164" xfId="0" applyFont="1" applyFill="1" applyBorder="1"/>
    <xf numFmtId="0" fontId="0" fillId="2" borderId="164" xfId="0" applyFill="1" applyBorder="1"/>
    <xf numFmtId="0" fontId="8" fillId="2" borderId="164" xfId="0" applyFont="1" applyFill="1" applyBorder="1"/>
    <xf numFmtId="10" fontId="8" fillId="2" borderId="165" xfId="0" applyNumberFormat="1" applyFont="1" applyFill="1" applyBorder="1" applyAlignment="1">
      <alignment wrapText="1"/>
    </xf>
    <xf numFmtId="10" fontId="1" fillId="12" borderId="9" xfId="0" applyNumberFormat="1" applyFont="1" applyFill="1" applyBorder="1" applyAlignment="1">
      <alignment horizontal="center"/>
    </xf>
    <xf numFmtId="10" fontId="8" fillId="12" borderId="165" xfId="0" applyNumberFormat="1" applyFont="1" applyFill="1" applyBorder="1" applyAlignment="1">
      <alignment wrapText="1"/>
    </xf>
    <xf numFmtId="0" fontId="2" fillId="24" borderId="166" xfId="0" applyFont="1" applyFill="1" applyBorder="1"/>
    <xf numFmtId="10" fontId="2" fillId="24" borderId="167" xfId="1" applyNumberFormat="1" applyFont="1" applyFill="1" applyBorder="1" applyAlignment="1" applyProtection="1">
      <alignment horizontal="center"/>
    </xf>
    <xf numFmtId="10" fontId="3" fillId="24" borderId="167" xfId="1" applyNumberFormat="1" applyFont="1" applyFill="1" applyBorder="1" applyAlignment="1" applyProtection="1">
      <alignment horizontal="center"/>
    </xf>
    <xf numFmtId="10" fontId="2" fillId="24" borderId="167" xfId="0" applyNumberFormat="1" applyFont="1" applyFill="1" applyBorder="1" applyAlignment="1">
      <alignment horizontal="center" vertical="center"/>
    </xf>
    <xf numFmtId="10" fontId="2" fillId="24" borderId="167" xfId="0" applyNumberFormat="1" applyFont="1" applyFill="1" applyBorder="1" applyAlignment="1">
      <alignment wrapText="1"/>
    </xf>
    <xf numFmtId="10" fontId="2" fillId="24" borderId="168" xfId="0" applyNumberFormat="1" applyFont="1" applyFill="1" applyBorder="1" applyAlignment="1">
      <alignment horizontal="center" wrapText="1"/>
    </xf>
    <xf numFmtId="10" fontId="1" fillId="20" borderId="9" xfId="1" applyNumberFormat="1" applyFont="1" applyFill="1" applyBorder="1" applyAlignment="1" applyProtection="1">
      <alignment horizontal="center"/>
    </xf>
    <xf numFmtId="10" fontId="8" fillId="20" borderId="9" xfId="1" applyNumberFormat="1" applyFont="1" applyFill="1" applyBorder="1" applyAlignment="1" applyProtection="1">
      <alignment horizontal="center"/>
    </xf>
    <xf numFmtId="10" fontId="1" fillId="15" borderId="9" xfId="1" applyNumberFormat="1" applyFont="1" applyFill="1" applyBorder="1" applyAlignment="1" applyProtection="1">
      <alignment horizontal="center"/>
    </xf>
    <xf numFmtId="0" fontId="2" fillId="13" borderId="169" xfId="0" applyFont="1" applyFill="1" applyBorder="1" applyAlignment="1">
      <alignment vertical="center"/>
    </xf>
    <xf numFmtId="0" fontId="2" fillId="13" borderId="170" xfId="0" applyFont="1" applyFill="1" applyBorder="1" applyAlignment="1">
      <alignment horizontal="center" vertical="center" wrapText="1"/>
    </xf>
    <xf numFmtId="0" fontId="2" fillId="13" borderId="170" xfId="0" applyFont="1" applyFill="1" applyBorder="1" applyAlignment="1">
      <alignment horizontal="center" vertical="center"/>
    </xf>
    <xf numFmtId="10" fontId="2" fillId="13" borderId="170" xfId="0" applyNumberFormat="1" applyFont="1" applyFill="1" applyBorder="1" applyAlignment="1">
      <alignment horizontal="center" vertical="center"/>
    </xf>
    <xf numFmtId="10" fontId="2" fillId="13" borderId="170" xfId="0" applyNumberFormat="1" applyFont="1" applyFill="1" applyBorder="1" applyAlignment="1">
      <alignment horizontal="center" vertical="center" wrapText="1"/>
    </xf>
    <xf numFmtId="10" fontId="2" fillId="13" borderId="171" xfId="0" applyNumberFormat="1" applyFont="1" applyFill="1" applyBorder="1" applyAlignment="1">
      <alignment vertical="center" wrapText="1"/>
    </xf>
    <xf numFmtId="0" fontId="1" fillId="17" borderId="172" xfId="0" applyFont="1" applyFill="1" applyBorder="1"/>
    <xf numFmtId="10" fontId="1" fillId="2" borderId="8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 vertical="center" wrapText="1"/>
    </xf>
    <xf numFmtId="10" fontId="1" fillId="3" borderId="173" xfId="0" applyNumberFormat="1" applyFont="1" applyFill="1" applyBorder="1" applyAlignment="1">
      <alignment wrapText="1"/>
    </xf>
    <xf numFmtId="0" fontId="2" fillId="13" borderId="172" xfId="0" applyFont="1" applyFill="1" applyBorder="1"/>
    <xf numFmtId="10" fontId="2" fillId="13" borderId="8" xfId="0" applyNumberFormat="1" applyFont="1" applyFill="1" applyBorder="1" applyAlignment="1">
      <alignment horizontal="center"/>
    </xf>
    <xf numFmtId="10" fontId="2" fillId="13" borderId="8" xfId="0" applyNumberFormat="1" applyFont="1" applyFill="1" applyBorder="1" applyAlignment="1">
      <alignment horizontal="center" vertical="center" wrapText="1"/>
    </xf>
    <xf numFmtId="10" fontId="2" fillId="13" borderId="8" xfId="0" applyNumberFormat="1" applyFont="1" applyFill="1" applyBorder="1" applyAlignment="1">
      <alignment wrapText="1"/>
    </xf>
    <xf numFmtId="10" fontId="1" fillId="13" borderId="173" xfId="0" applyNumberFormat="1" applyFont="1" applyFill="1" applyBorder="1" applyAlignment="1">
      <alignment wrapText="1"/>
    </xf>
    <xf numFmtId="0" fontId="1" fillId="2" borderId="172" xfId="0" applyFont="1" applyFill="1" applyBorder="1"/>
    <xf numFmtId="0" fontId="0" fillId="2" borderId="172" xfId="0" applyFill="1" applyBorder="1"/>
    <xf numFmtId="0" fontId="8" fillId="2" borderId="172" xfId="0" applyFont="1" applyFill="1" applyBorder="1"/>
    <xf numFmtId="10" fontId="8" fillId="2" borderId="173" xfId="0" applyNumberFormat="1" applyFont="1" applyFill="1" applyBorder="1" applyAlignment="1">
      <alignment wrapText="1"/>
    </xf>
    <xf numFmtId="10" fontId="1" fillId="13" borderId="8" xfId="0" applyNumberFormat="1" applyFont="1" applyFill="1" applyBorder="1" applyAlignment="1">
      <alignment horizontal="center"/>
    </xf>
    <xf numFmtId="10" fontId="8" fillId="13" borderId="173" xfId="0" applyNumberFormat="1" applyFont="1" applyFill="1" applyBorder="1" applyAlignment="1">
      <alignment wrapText="1"/>
    </xf>
    <xf numFmtId="0" fontId="2" fillId="25" borderId="174" xfId="0" applyFont="1" applyFill="1" applyBorder="1"/>
    <xf numFmtId="10" fontId="2" fillId="25" borderId="175" xfId="1" applyNumberFormat="1" applyFont="1" applyFill="1" applyBorder="1" applyAlignment="1" applyProtection="1">
      <alignment horizontal="center"/>
    </xf>
    <xf numFmtId="10" fontId="3" fillId="25" borderId="175" xfId="1" applyNumberFormat="1" applyFont="1" applyFill="1" applyBorder="1" applyAlignment="1" applyProtection="1">
      <alignment horizontal="center"/>
    </xf>
    <xf numFmtId="10" fontId="2" fillId="25" borderId="175" xfId="0" applyNumberFormat="1" applyFont="1" applyFill="1" applyBorder="1" applyAlignment="1">
      <alignment horizontal="center" vertical="center"/>
    </xf>
    <xf numFmtId="10" fontId="2" fillId="25" borderId="175" xfId="0" applyNumberFormat="1" applyFont="1" applyFill="1" applyBorder="1" applyAlignment="1">
      <alignment wrapText="1"/>
    </xf>
    <xf numFmtId="10" fontId="2" fillId="25" borderId="176" xfId="0" applyNumberFormat="1" applyFont="1" applyFill="1" applyBorder="1" applyAlignment="1">
      <alignment horizontal="center" wrapText="1"/>
    </xf>
    <xf numFmtId="10" fontId="1" fillId="20" borderId="8" xfId="1" applyNumberFormat="1" applyFont="1" applyFill="1" applyBorder="1" applyAlignment="1" applyProtection="1">
      <alignment horizontal="center"/>
    </xf>
    <xf numFmtId="10" fontId="8" fillId="20" borderId="8" xfId="1" applyNumberFormat="1" applyFont="1" applyFill="1" applyBorder="1" applyAlignment="1" applyProtection="1">
      <alignment horizontal="center"/>
    </xf>
    <xf numFmtId="10" fontId="1" fillId="26" borderId="8" xfId="1" applyNumberFormat="1" applyFont="1" applyFill="1" applyBorder="1" applyAlignment="1" applyProtection="1">
      <alignment horizontal="center"/>
    </xf>
    <xf numFmtId="0" fontId="2" fillId="5" borderId="177" xfId="0" applyFont="1" applyFill="1" applyBorder="1" applyAlignment="1">
      <alignment vertical="center"/>
    </xf>
    <xf numFmtId="0" fontId="2" fillId="5" borderId="178" xfId="0" applyFont="1" applyFill="1" applyBorder="1" applyAlignment="1">
      <alignment horizontal="center" vertical="center" wrapText="1"/>
    </xf>
    <xf numFmtId="0" fontId="2" fillId="5" borderId="178" xfId="0" applyFont="1" applyFill="1" applyBorder="1" applyAlignment="1">
      <alignment horizontal="center" vertical="center"/>
    </xf>
    <xf numFmtId="10" fontId="2" fillId="5" borderId="178" xfId="0" applyNumberFormat="1" applyFont="1" applyFill="1" applyBorder="1" applyAlignment="1">
      <alignment horizontal="center" vertical="center"/>
    </xf>
    <xf numFmtId="10" fontId="2" fillId="5" borderId="178" xfId="0" applyNumberFormat="1" applyFont="1" applyFill="1" applyBorder="1" applyAlignment="1">
      <alignment horizontal="center" vertical="center" wrapText="1"/>
    </xf>
    <xf numFmtId="10" fontId="2" fillId="5" borderId="179" xfId="0" applyNumberFormat="1" applyFont="1" applyFill="1" applyBorder="1" applyAlignment="1">
      <alignment vertical="center" wrapText="1"/>
    </xf>
    <xf numFmtId="0" fontId="1" fillId="17" borderId="180" xfId="0" applyFont="1" applyFill="1" applyBorder="1"/>
    <xf numFmtId="10" fontId="1" fillId="17" borderId="7" xfId="1" applyNumberFormat="1" applyFont="1" applyFill="1" applyBorder="1" applyAlignment="1" applyProtection="1">
      <alignment horizontal="center"/>
    </xf>
    <xf numFmtId="10" fontId="1" fillId="2" borderId="7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wrapText="1"/>
    </xf>
    <xf numFmtId="10" fontId="1" fillId="3" borderId="181" xfId="0" applyNumberFormat="1" applyFont="1" applyFill="1" applyBorder="1" applyAlignment="1">
      <alignment wrapText="1"/>
    </xf>
    <xf numFmtId="0" fontId="2" fillId="5" borderId="180" xfId="0" applyFont="1" applyFill="1" applyBorder="1"/>
    <xf numFmtId="10" fontId="2" fillId="5" borderId="7" xfId="0" applyNumberFormat="1" applyFont="1" applyFill="1" applyBorder="1" applyAlignment="1">
      <alignment horizontal="center"/>
    </xf>
    <xf numFmtId="10" fontId="2" fillId="5" borderId="7" xfId="0" applyNumberFormat="1" applyFont="1" applyFill="1" applyBorder="1" applyAlignment="1">
      <alignment horizontal="center" vertical="center" wrapText="1"/>
    </xf>
    <xf numFmtId="10" fontId="2" fillId="5" borderId="7" xfId="0" applyNumberFormat="1" applyFont="1" applyFill="1" applyBorder="1" applyAlignment="1">
      <alignment wrapText="1"/>
    </xf>
    <xf numFmtId="10" fontId="1" fillId="5" borderId="181" xfId="0" applyNumberFormat="1" applyFont="1" applyFill="1" applyBorder="1" applyAlignment="1">
      <alignment wrapText="1"/>
    </xf>
    <xf numFmtId="0" fontId="1" fillId="2" borderId="180" xfId="0" applyFont="1" applyFill="1" applyBorder="1"/>
    <xf numFmtId="0" fontId="0" fillId="2" borderId="180" xfId="0" applyFill="1" applyBorder="1"/>
    <xf numFmtId="0" fontId="8" fillId="2" borderId="180" xfId="0" applyFont="1" applyFill="1" applyBorder="1"/>
    <xf numFmtId="10" fontId="8" fillId="2" borderId="181" xfId="0" applyNumberFormat="1" applyFont="1" applyFill="1" applyBorder="1" applyAlignment="1">
      <alignment wrapText="1"/>
    </xf>
    <xf numFmtId="0" fontId="2" fillId="22" borderId="182" xfId="0" applyFont="1" applyFill="1" applyBorder="1"/>
    <xf numFmtId="10" fontId="2" fillId="22" borderId="183" xfId="1" applyNumberFormat="1" applyFont="1" applyFill="1" applyBorder="1" applyAlignment="1" applyProtection="1">
      <alignment horizontal="center"/>
    </xf>
    <xf numFmtId="10" fontId="3" fillId="22" borderId="183" xfId="1" applyNumberFormat="1" applyFont="1" applyFill="1" applyBorder="1" applyAlignment="1" applyProtection="1">
      <alignment horizontal="center"/>
    </xf>
    <xf numFmtId="10" fontId="2" fillId="22" borderId="183" xfId="0" applyNumberFormat="1" applyFont="1" applyFill="1" applyBorder="1" applyAlignment="1">
      <alignment horizontal="center" vertical="center"/>
    </xf>
    <xf numFmtId="10" fontId="2" fillId="22" borderId="183" xfId="0" applyNumberFormat="1" applyFont="1" applyFill="1" applyBorder="1" applyAlignment="1">
      <alignment wrapText="1"/>
    </xf>
    <xf numFmtId="10" fontId="2" fillId="22" borderId="184" xfId="0" applyNumberFormat="1" applyFont="1" applyFill="1" applyBorder="1" applyAlignment="1">
      <alignment horizontal="center" wrapText="1"/>
    </xf>
    <xf numFmtId="10" fontId="1" fillId="4" borderId="7" xfId="1" applyNumberFormat="1" applyFont="1" applyFill="1" applyBorder="1" applyAlignment="1" applyProtection="1">
      <alignment horizontal="center"/>
    </xf>
    <xf numFmtId="10" fontId="8" fillId="4" borderId="7" xfId="1" applyNumberFormat="1" applyFont="1" applyFill="1" applyBorder="1" applyAlignment="1" applyProtection="1">
      <alignment horizontal="center"/>
    </xf>
    <xf numFmtId="10" fontId="1" fillId="27" borderId="7" xfId="1" applyNumberFormat="1" applyFont="1" applyFill="1" applyBorder="1" applyAlignment="1" applyProtection="1">
      <alignment horizontal="center"/>
    </xf>
    <xf numFmtId="0" fontId="2" fillId="9" borderId="185" xfId="0" applyFont="1" applyFill="1" applyBorder="1" applyAlignment="1">
      <alignment vertical="center"/>
    </xf>
    <xf numFmtId="0" fontId="2" fillId="9" borderId="186" xfId="0" applyFont="1" applyFill="1" applyBorder="1" applyAlignment="1">
      <alignment horizontal="center" vertical="center" wrapText="1"/>
    </xf>
    <xf numFmtId="0" fontId="2" fillId="9" borderId="186" xfId="0" applyFont="1" applyFill="1" applyBorder="1" applyAlignment="1">
      <alignment horizontal="center" vertical="center"/>
    </xf>
    <xf numFmtId="10" fontId="2" fillId="9" borderId="186" xfId="0" applyNumberFormat="1" applyFont="1" applyFill="1" applyBorder="1" applyAlignment="1">
      <alignment horizontal="center" vertical="center"/>
    </xf>
    <xf numFmtId="10" fontId="2" fillId="9" borderId="186" xfId="0" applyNumberFormat="1" applyFont="1" applyFill="1" applyBorder="1" applyAlignment="1">
      <alignment horizontal="center" vertical="center" wrapText="1"/>
    </xf>
    <xf numFmtId="10" fontId="2" fillId="9" borderId="187" xfId="0" applyNumberFormat="1" applyFont="1" applyFill="1" applyBorder="1" applyAlignment="1">
      <alignment vertical="center" wrapText="1"/>
    </xf>
    <xf numFmtId="0" fontId="1" fillId="17" borderId="188" xfId="0" applyFont="1" applyFill="1" applyBorder="1"/>
    <xf numFmtId="10" fontId="1" fillId="17" borderId="10" xfId="1" applyNumberFormat="1" applyFont="1" applyFill="1" applyBorder="1" applyAlignment="1" applyProtection="1">
      <alignment horizontal="center"/>
    </xf>
    <xf numFmtId="10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 vertical="center" wrapText="1"/>
    </xf>
    <xf numFmtId="10" fontId="1" fillId="3" borderId="189" xfId="0" applyNumberFormat="1" applyFont="1" applyFill="1" applyBorder="1" applyAlignment="1">
      <alignment wrapText="1"/>
    </xf>
    <xf numFmtId="0" fontId="2" fillId="9" borderId="188" xfId="0" applyFont="1" applyFill="1" applyBorder="1"/>
    <xf numFmtId="10" fontId="2" fillId="9" borderId="10" xfId="0" applyNumberFormat="1" applyFont="1" applyFill="1" applyBorder="1" applyAlignment="1">
      <alignment horizontal="center"/>
    </xf>
    <xf numFmtId="10" fontId="1" fillId="9" borderId="189" xfId="0" applyNumberFormat="1" applyFont="1" applyFill="1" applyBorder="1" applyAlignment="1">
      <alignment wrapText="1"/>
    </xf>
    <xf numFmtId="0" fontId="1" fillId="2" borderId="188" xfId="0" applyFont="1" applyFill="1" applyBorder="1"/>
    <xf numFmtId="0" fontId="0" fillId="2" borderId="188" xfId="0" applyFill="1" applyBorder="1"/>
    <xf numFmtId="0" fontId="8" fillId="2" borderId="188" xfId="0" applyFont="1" applyFill="1" applyBorder="1"/>
    <xf numFmtId="10" fontId="8" fillId="2" borderId="189" xfId="0" applyNumberFormat="1" applyFont="1" applyFill="1" applyBorder="1" applyAlignment="1">
      <alignment wrapText="1"/>
    </xf>
    <xf numFmtId="10" fontId="1" fillId="9" borderId="10" xfId="0" applyNumberFormat="1" applyFont="1" applyFill="1" applyBorder="1" applyAlignment="1">
      <alignment horizontal="center"/>
    </xf>
    <xf numFmtId="10" fontId="8" fillId="9" borderId="189" xfId="0" applyNumberFormat="1" applyFont="1" applyFill="1" applyBorder="1" applyAlignment="1">
      <alignment wrapText="1"/>
    </xf>
    <xf numFmtId="0" fontId="2" fillId="5" borderId="190" xfId="0" applyFont="1" applyFill="1" applyBorder="1"/>
    <xf numFmtId="10" fontId="2" fillId="5" borderId="191" xfId="1" applyNumberFormat="1" applyFont="1" applyFill="1" applyBorder="1" applyAlignment="1" applyProtection="1">
      <alignment horizontal="center"/>
    </xf>
    <xf numFmtId="10" fontId="3" fillId="5" borderId="191" xfId="1" applyNumberFormat="1" applyFont="1" applyFill="1" applyBorder="1" applyAlignment="1" applyProtection="1">
      <alignment horizontal="center"/>
    </xf>
    <xf numFmtId="10" fontId="2" fillId="5" borderId="191" xfId="0" applyNumberFormat="1" applyFont="1" applyFill="1" applyBorder="1" applyAlignment="1">
      <alignment horizontal="center" vertical="center"/>
    </xf>
    <xf numFmtId="10" fontId="1" fillId="5" borderId="191" xfId="0" applyNumberFormat="1" applyFont="1" applyFill="1" applyBorder="1" applyAlignment="1">
      <alignment wrapText="1"/>
    </xf>
    <xf numFmtId="10" fontId="2" fillId="5" borderId="191" xfId="0" applyNumberFormat="1" applyFont="1" applyFill="1" applyBorder="1" applyAlignment="1">
      <alignment wrapText="1"/>
    </xf>
    <xf numFmtId="10" fontId="2" fillId="5" borderId="192" xfId="0" applyNumberFormat="1" applyFont="1" applyFill="1" applyBorder="1" applyAlignment="1">
      <alignment horizontal="center" wrapText="1"/>
    </xf>
    <xf numFmtId="0" fontId="2" fillId="16" borderId="193" xfId="0" applyFont="1" applyFill="1" applyBorder="1" applyAlignment="1">
      <alignment vertical="center"/>
    </xf>
    <xf numFmtId="0" fontId="2" fillId="16" borderId="194" xfId="0" applyFont="1" applyFill="1" applyBorder="1" applyAlignment="1">
      <alignment horizontal="center" vertical="center" wrapText="1"/>
    </xf>
    <xf numFmtId="0" fontId="2" fillId="16" borderId="194" xfId="0" applyFont="1" applyFill="1" applyBorder="1" applyAlignment="1">
      <alignment horizontal="center" vertical="center"/>
    </xf>
    <xf numFmtId="10" fontId="2" fillId="16" borderId="194" xfId="0" applyNumberFormat="1" applyFont="1" applyFill="1" applyBorder="1" applyAlignment="1">
      <alignment horizontal="center" vertical="center"/>
    </xf>
    <xf numFmtId="10" fontId="2" fillId="16" borderId="194" xfId="0" applyNumberFormat="1" applyFont="1" applyFill="1" applyBorder="1" applyAlignment="1">
      <alignment horizontal="center" vertical="center" wrapText="1"/>
    </xf>
    <xf numFmtId="10" fontId="2" fillId="16" borderId="195" xfId="0" applyNumberFormat="1" applyFont="1" applyFill="1" applyBorder="1" applyAlignment="1">
      <alignment vertical="center" wrapText="1"/>
    </xf>
    <xf numFmtId="0" fontId="1" fillId="17" borderId="196" xfId="0" applyFont="1" applyFill="1" applyBorder="1"/>
    <xf numFmtId="10" fontId="1" fillId="17" borderId="197" xfId="1" applyNumberFormat="1" applyFont="1" applyFill="1" applyBorder="1" applyAlignment="1" applyProtection="1">
      <alignment horizontal="center"/>
    </xf>
    <xf numFmtId="10" fontId="1" fillId="30" borderId="197" xfId="1" applyNumberFormat="1" applyFont="1" applyFill="1" applyBorder="1" applyAlignment="1" applyProtection="1">
      <alignment horizontal="center"/>
    </xf>
    <xf numFmtId="10" fontId="1" fillId="27" borderId="197" xfId="1" applyNumberFormat="1" applyFont="1" applyFill="1" applyBorder="1" applyAlignment="1" applyProtection="1">
      <alignment horizontal="center"/>
    </xf>
    <xf numFmtId="10" fontId="1" fillId="2" borderId="197" xfId="0" applyNumberFormat="1" applyFont="1" applyFill="1" applyBorder="1" applyAlignment="1">
      <alignment horizontal="center"/>
    </xf>
    <xf numFmtId="10" fontId="1" fillId="2" borderId="197" xfId="0" applyNumberFormat="1" applyFont="1" applyFill="1" applyBorder="1" applyAlignment="1">
      <alignment horizontal="center" vertical="center" wrapText="1"/>
    </xf>
    <xf numFmtId="10" fontId="1" fillId="2" borderId="197" xfId="0" applyNumberFormat="1" applyFont="1" applyFill="1" applyBorder="1" applyAlignment="1">
      <alignment wrapText="1"/>
    </xf>
    <xf numFmtId="10" fontId="1" fillId="3" borderId="198" xfId="0" applyNumberFormat="1" applyFont="1" applyFill="1" applyBorder="1" applyAlignment="1">
      <alignment wrapText="1"/>
    </xf>
    <xf numFmtId="10" fontId="0" fillId="30" borderId="197" xfId="1" applyNumberFormat="1" applyFont="1" applyFill="1" applyBorder="1" applyAlignment="1" applyProtection="1">
      <alignment horizontal="center"/>
    </xf>
    <xf numFmtId="0" fontId="2" fillId="16" borderId="196" xfId="0" applyFont="1" applyFill="1" applyBorder="1"/>
    <xf numFmtId="10" fontId="2" fillId="16" borderId="197" xfId="1" applyNumberFormat="1" applyFont="1" applyFill="1" applyBorder="1" applyAlignment="1" applyProtection="1">
      <alignment horizontal="center"/>
    </xf>
    <xf numFmtId="10" fontId="2" fillId="16" borderId="197" xfId="0" applyNumberFormat="1" applyFont="1" applyFill="1" applyBorder="1" applyAlignment="1">
      <alignment horizontal="center"/>
    </xf>
    <xf numFmtId="10" fontId="1" fillId="16" borderId="197" xfId="0" applyNumberFormat="1" applyFont="1" applyFill="1" applyBorder="1" applyAlignment="1">
      <alignment wrapText="1"/>
    </xf>
    <xf numFmtId="10" fontId="2" fillId="16" borderId="197" xfId="0" applyNumberFormat="1" applyFont="1" applyFill="1" applyBorder="1" applyAlignment="1">
      <alignment horizontal="center" vertical="center" wrapText="1"/>
    </xf>
    <xf numFmtId="10" fontId="2" fillId="16" borderId="197" xfId="0" applyNumberFormat="1" applyFont="1" applyFill="1" applyBorder="1" applyAlignment="1">
      <alignment wrapText="1"/>
    </xf>
    <xf numFmtId="10" fontId="1" fillId="16" borderId="198" xfId="0" applyNumberFormat="1" applyFont="1" applyFill="1" applyBorder="1" applyAlignment="1">
      <alignment wrapText="1"/>
    </xf>
    <xf numFmtId="0" fontId="1" fillId="2" borderId="196" xfId="0" applyFont="1" applyFill="1" applyBorder="1"/>
    <xf numFmtId="0" fontId="0" fillId="2" borderId="196" xfId="0" applyFill="1" applyBorder="1"/>
    <xf numFmtId="0" fontId="8" fillId="2" borderId="196" xfId="0" applyFont="1" applyFill="1" applyBorder="1"/>
    <xf numFmtId="10" fontId="8" fillId="30" borderId="197" xfId="1" applyNumberFormat="1" applyFont="1" applyFill="1" applyBorder="1" applyAlignment="1" applyProtection="1">
      <alignment horizontal="center"/>
    </xf>
    <xf numFmtId="10" fontId="8" fillId="2" borderId="198" xfId="0" applyNumberFormat="1" applyFont="1" applyFill="1" applyBorder="1" applyAlignment="1">
      <alignment wrapText="1"/>
    </xf>
    <xf numFmtId="10" fontId="1" fillId="16" borderId="197" xfId="0" applyNumberFormat="1" applyFont="1" applyFill="1" applyBorder="1" applyAlignment="1">
      <alignment horizontal="center"/>
    </xf>
    <xf numFmtId="10" fontId="8" fillId="16" borderId="198" xfId="0" applyNumberFormat="1" applyFont="1" applyFill="1" applyBorder="1" applyAlignment="1">
      <alignment wrapText="1"/>
    </xf>
    <xf numFmtId="0" fontId="2" fillId="29" borderId="199" xfId="0" applyFont="1" applyFill="1" applyBorder="1"/>
    <xf numFmtId="10" fontId="2" fillId="29" borderId="200" xfId="1" applyNumberFormat="1" applyFont="1" applyFill="1" applyBorder="1" applyAlignment="1" applyProtection="1">
      <alignment horizontal="center"/>
    </xf>
    <xf numFmtId="10" fontId="3" fillId="29" borderId="200" xfId="1" applyNumberFormat="1" applyFont="1" applyFill="1" applyBorder="1" applyAlignment="1" applyProtection="1">
      <alignment horizontal="center"/>
    </xf>
    <xf numFmtId="10" fontId="2" fillId="29" borderId="200" xfId="0" applyNumberFormat="1" applyFont="1" applyFill="1" applyBorder="1" applyAlignment="1">
      <alignment horizontal="center" vertical="center"/>
    </xf>
    <xf numFmtId="10" fontId="2" fillId="29" borderId="200" xfId="0" applyNumberFormat="1" applyFont="1" applyFill="1" applyBorder="1" applyAlignment="1">
      <alignment wrapText="1"/>
    </xf>
    <xf numFmtId="10" fontId="2" fillId="29" borderId="201" xfId="0" applyNumberFormat="1" applyFont="1" applyFill="1" applyBorder="1" applyAlignment="1">
      <alignment horizontal="center" wrapText="1"/>
    </xf>
    <xf numFmtId="0" fontId="2" fillId="14" borderId="202" xfId="0" applyFont="1" applyFill="1" applyBorder="1" applyAlignment="1">
      <alignment vertical="center"/>
    </xf>
    <xf numFmtId="0" fontId="2" fillId="14" borderId="203" xfId="0" applyFont="1" applyFill="1" applyBorder="1" applyAlignment="1">
      <alignment horizontal="center" vertical="center" wrapText="1"/>
    </xf>
    <xf numFmtId="0" fontId="2" fillId="14" borderId="203" xfId="0" applyFont="1" applyFill="1" applyBorder="1" applyAlignment="1">
      <alignment horizontal="center" vertical="center"/>
    </xf>
    <xf numFmtId="10" fontId="2" fillId="14" borderId="203" xfId="0" applyNumberFormat="1" applyFont="1" applyFill="1" applyBorder="1" applyAlignment="1">
      <alignment horizontal="center" vertical="center"/>
    </xf>
    <xf numFmtId="10" fontId="2" fillId="14" borderId="203" xfId="0" applyNumberFormat="1" applyFont="1" applyFill="1" applyBorder="1" applyAlignment="1">
      <alignment horizontal="center" vertical="center" wrapText="1"/>
    </xf>
    <xf numFmtId="10" fontId="2" fillId="14" borderId="204" xfId="0" applyNumberFormat="1" applyFont="1" applyFill="1" applyBorder="1" applyAlignment="1">
      <alignment vertical="center" wrapText="1"/>
    </xf>
    <xf numFmtId="0" fontId="1" fillId="17" borderId="205" xfId="0" applyFont="1" applyFill="1" applyBorder="1"/>
    <xf numFmtId="10" fontId="1" fillId="17" borderId="6" xfId="1" applyNumberFormat="1" applyFont="1" applyFill="1" applyBorder="1" applyAlignment="1" applyProtection="1">
      <alignment horizontal="center"/>
    </xf>
    <xf numFmtId="10" fontId="1" fillId="4" borderId="6" xfId="1" applyNumberFormat="1" applyFont="1" applyFill="1" applyBorder="1" applyAlignment="1" applyProtection="1">
      <alignment horizontal="center"/>
    </xf>
    <xf numFmtId="10" fontId="1" fillId="27" borderId="6" xfId="1" applyNumberFormat="1" applyFont="1" applyFill="1" applyBorder="1" applyAlignment="1" applyProtection="1">
      <alignment horizontal="center"/>
    </xf>
    <xf numFmtId="10" fontId="1" fillId="2" borderId="6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 vertical="center" wrapText="1"/>
    </xf>
    <xf numFmtId="10" fontId="1" fillId="3" borderId="206" xfId="0" applyNumberFormat="1" applyFont="1" applyFill="1" applyBorder="1" applyAlignment="1">
      <alignment wrapText="1"/>
    </xf>
    <xf numFmtId="10" fontId="0" fillId="4" borderId="6" xfId="1" applyNumberFormat="1" applyFont="1" applyFill="1" applyBorder="1" applyAlignment="1" applyProtection="1">
      <alignment horizontal="center"/>
    </xf>
    <xf numFmtId="0" fontId="2" fillId="14" borderId="205" xfId="0" applyFont="1" applyFill="1" applyBorder="1"/>
    <xf numFmtId="10" fontId="2" fillId="14" borderId="6" xfId="0" applyNumberFormat="1" applyFont="1" applyFill="1" applyBorder="1" applyAlignment="1">
      <alignment horizontal="center"/>
    </xf>
    <xf numFmtId="10" fontId="2" fillId="14" borderId="6" xfId="0" applyNumberFormat="1" applyFont="1" applyFill="1" applyBorder="1" applyAlignment="1">
      <alignment horizontal="center" vertical="center" wrapText="1"/>
    </xf>
    <xf numFmtId="10" fontId="1" fillId="14" borderId="206" xfId="0" applyNumberFormat="1" applyFont="1" applyFill="1" applyBorder="1" applyAlignment="1">
      <alignment wrapText="1"/>
    </xf>
    <xf numFmtId="0" fontId="1" fillId="2" borderId="205" xfId="0" applyFont="1" applyFill="1" applyBorder="1"/>
    <xf numFmtId="0" fontId="0" fillId="2" borderId="205" xfId="0" applyFill="1" applyBorder="1"/>
    <xf numFmtId="0" fontId="8" fillId="2" borderId="205" xfId="0" applyFont="1" applyFill="1" applyBorder="1"/>
    <xf numFmtId="10" fontId="8" fillId="4" borderId="6" xfId="1" applyNumberFormat="1" applyFont="1" applyFill="1" applyBorder="1" applyAlignment="1" applyProtection="1">
      <alignment horizontal="center"/>
    </xf>
    <xf numFmtId="10" fontId="8" fillId="2" borderId="206" xfId="0" applyNumberFormat="1" applyFont="1" applyFill="1" applyBorder="1" applyAlignment="1">
      <alignment wrapText="1"/>
    </xf>
    <xf numFmtId="10" fontId="1" fillId="14" borderId="6" xfId="0" applyNumberFormat="1" applyFont="1" applyFill="1" applyBorder="1" applyAlignment="1">
      <alignment horizontal="center"/>
    </xf>
    <xf numFmtId="10" fontId="8" fillId="14" borderId="6" xfId="0" applyNumberFormat="1" applyFont="1" applyFill="1" applyBorder="1" applyAlignment="1">
      <alignment wrapText="1"/>
    </xf>
    <xf numFmtId="10" fontId="8" fillId="14" borderId="206" xfId="0" applyNumberFormat="1" applyFont="1" applyFill="1" applyBorder="1" applyAlignment="1">
      <alignment wrapText="1"/>
    </xf>
    <xf numFmtId="0" fontId="2" fillId="28" borderId="207" xfId="0" applyFont="1" applyFill="1" applyBorder="1"/>
    <xf numFmtId="10" fontId="2" fillId="28" borderId="208" xfId="1" applyNumberFormat="1" applyFont="1" applyFill="1" applyBorder="1" applyAlignment="1" applyProtection="1">
      <alignment horizontal="center"/>
    </xf>
    <xf numFmtId="10" fontId="3" fillId="28" borderId="208" xfId="1" applyNumberFormat="1" applyFont="1" applyFill="1" applyBorder="1" applyAlignment="1" applyProtection="1">
      <alignment horizontal="center"/>
    </xf>
    <xf numFmtId="10" fontId="2" fillId="28" borderId="208" xfId="0" applyNumberFormat="1" applyFont="1" applyFill="1" applyBorder="1" applyAlignment="1">
      <alignment horizontal="center" vertical="center"/>
    </xf>
    <xf numFmtId="10" fontId="1" fillId="28" borderId="208" xfId="0" applyNumberFormat="1" applyFont="1" applyFill="1" applyBorder="1" applyAlignment="1">
      <alignment wrapText="1"/>
    </xf>
    <xf numFmtId="10" fontId="2" fillId="28" borderId="208" xfId="0" applyNumberFormat="1" applyFont="1" applyFill="1" applyBorder="1" applyAlignment="1">
      <alignment wrapText="1"/>
    </xf>
    <xf numFmtId="10" fontId="2" fillId="28" borderId="209" xfId="0" applyNumberFormat="1" applyFont="1" applyFill="1" applyBorder="1" applyAlignment="1">
      <alignment horizontal="center" wrapText="1"/>
    </xf>
    <xf numFmtId="0" fontId="2" fillId="18" borderId="210" xfId="0" applyFont="1" applyFill="1" applyBorder="1" applyAlignment="1">
      <alignment vertical="center"/>
    </xf>
    <xf numFmtId="0" fontId="2" fillId="18" borderId="211" xfId="0" applyFont="1" applyFill="1" applyBorder="1" applyAlignment="1">
      <alignment horizontal="center" vertical="center" wrapText="1"/>
    </xf>
    <xf numFmtId="0" fontId="2" fillId="18" borderId="211" xfId="0" applyFont="1" applyFill="1" applyBorder="1" applyAlignment="1">
      <alignment horizontal="center" vertical="center"/>
    </xf>
    <xf numFmtId="10" fontId="2" fillId="18" borderId="211" xfId="0" applyNumberFormat="1" applyFont="1" applyFill="1" applyBorder="1" applyAlignment="1">
      <alignment horizontal="center" vertical="center"/>
    </xf>
    <xf numFmtId="10" fontId="2" fillId="18" borderId="211" xfId="0" applyNumberFormat="1" applyFont="1" applyFill="1" applyBorder="1" applyAlignment="1">
      <alignment horizontal="center" vertical="center" wrapText="1"/>
    </xf>
    <xf numFmtId="10" fontId="2" fillId="18" borderId="212" xfId="0" applyNumberFormat="1" applyFont="1" applyFill="1" applyBorder="1" applyAlignment="1">
      <alignment vertical="center" wrapText="1"/>
    </xf>
    <xf numFmtId="0" fontId="1" fillId="17" borderId="213" xfId="0" applyFont="1" applyFill="1" applyBorder="1"/>
    <xf numFmtId="10" fontId="1" fillId="17" borderId="214" xfId="1" applyNumberFormat="1" applyFont="1" applyFill="1" applyBorder="1" applyAlignment="1" applyProtection="1">
      <alignment horizontal="center"/>
    </xf>
    <xf numFmtId="10" fontId="1" fillId="2" borderId="214" xfId="0" applyNumberFormat="1" applyFont="1" applyFill="1" applyBorder="1" applyAlignment="1">
      <alignment horizontal="center"/>
    </xf>
    <xf numFmtId="10" fontId="1" fillId="2" borderId="214" xfId="0" applyNumberFormat="1" applyFont="1" applyFill="1" applyBorder="1" applyAlignment="1">
      <alignment horizontal="center" vertical="center" wrapText="1"/>
    </xf>
    <xf numFmtId="10" fontId="1" fillId="2" borderId="214" xfId="0" applyNumberFormat="1" applyFont="1" applyFill="1" applyBorder="1" applyAlignment="1">
      <alignment wrapText="1"/>
    </xf>
    <xf numFmtId="10" fontId="1" fillId="3" borderId="215" xfId="0" applyNumberFormat="1" applyFont="1" applyFill="1" applyBorder="1" applyAlignment="1">
      <alignment wrapText="1"/>
    </xf>
    <xf numFmtId="0" fontId="2" fillId="18" borderId="213" xfId="0" applyFont="1" applyFill="1" applyBorder="1"/>
    <xf numFmtId="10" fontId="2" fillId="18" borderId="214" xfId="1" applyNumberFormat="1" applyFont="1" applyFill="1" applyBorder="1" applyAlignment="1" applyProtection="1">
      <alignment horizontal="center"/>
    </xf>
    <xf numFmtId="10" fontId="2" fillId="18" borderId="214" xfId="0" applyNumberFormat="1" applyFont="1" applyFill="1" applyBorder="1" applyAlignment="1">
      <alignment horizontal="center"/>
    </xf>
    <xf numFmtId="10" fontId="2" fillId="18" borderId="214" xfId="0" applyNumberFormat="1" applyFont="1" applyFill="1" applyBorder="1" applyAlignment="1">
      <alignment horizontal="center" vertical="center" wrapText="1"/>
    </xf>
    <xf numFmtId="10" fontId="2" fillId="18" borderId="214" xfId="0" applyNumberFormat="1" applyFont="1" applyFill="1" applyBorder="1" applyAlignment="1">
      <alignment wrapText="1"/>
    </xf>
    <xf numFmtId="10" fontId="1" fillId="18" borderId="215" xfId="0" applyNumberFormat="1" applyFont="1" applyFill="1" applyBorder="1" applyAlignment="1">
      <alignment wrapText="1"/>
    </xf>
    <xf numFmtId="0" fontId="1" fillId="2" borderId="213" xfId="0" applyFont="1" applyFill="1" applyBorder="1"/>
    <xf numFmtId="0" fontId="0" fillId="2" borderId="213" xfId="0" applyFill="1" applyBorder="1"/>
    <xf numFmtId="0" fontId="8" fillId="2" borderId="213" xfId="0" applyFont="1" applyFill="1" applyBorder="1"/>
    <xf numFmtId="10" fontId="8" fillId="2" borderId="215" xfId="0" applyNumberFormat="1" applyFont="1" applyFill="1" applyBorder="1" applyAlignment="1">
      <alignment wrapText="1"/>
    </xf>
    <xf numFmtId="10" fontId="1" fillId="18" borderId="214" xfId="0" applyNumberFormat="1" applyFont="1" applyFill="1" applyBorder="1" applyAlignment="1">
      <alignment horizontal="center"/>
    </xf>
    <xf numFmtId="10" fontId="8" fillId="18" borderId="215" xfId="0" applyNumberFormat="1" applyFont="1" applyFill="1" applyBorder="1" applyAlignment="1">
      <alignment wrapText="1"/>
    </xf>
    <xf numFmtId="0" fontId="2" fillId="23" borderId="216" xfId="0" applyFont="1" applyFill="1" applyBorder="1"/>
    <xf numFmtId="10" fontId="2" fillId="23" borderId="217" xfId="1" applyNumberFormat="1" applyFont="1" applyFill="1" applyBorder="1" applyAlignment="1" applyProtection="1">
      <alignment horizontal="center"/>
    </xf>
    <xf numFmtId="10" fontId="3" fillId="23" borderId="217" xfId="1" applyNumberFormat="1" applyFont="1" applyFill="1" applyBorder="1" applyAlignment="1" applyProtection="1">
      <alignment horizontal="center"/>
    </xf>
    <xf numFmtId="10" fontId="2" fillId="23" borderId="217" xfId="0" applyNumberFormat="1" applyFont="1" applyFill="1" applyBorder="1" applyAlignment="1">
      <alignment horizontal="center" vertical="center"/>
    </xf>
    <xf numFmtId="10" fontId="2" fillId="23" borderId="217" xfId="0" applyNumberFormat="1" applyFont="1" applyFill="1" applyBorder="1" applyAlignment="1">
      <alignment wrapText="1"/>
    </xf>
    <xf numFmtId="10" fontId="2" fillId="23" borderId="218" xfId="0" applyNumberFormat="1" applyFont="1" applyFill="1" applyBorder="1" applyAlignment="1">
      <alignment horizontal="center" wrapText="1"/>
    </xf>
    <xf numFmtId="10" fontId="1" fillId="11" borderId="214" xfId="1" applyNumberFormat="1" applyFont="1" applyFill="1" applyBorder="1" applyAlignment="1" applyProtection="1">
      <alignment horizontal="center"/>
    </xf>
    <xf numFmtId="10" fontId="8" fillId="11" borderId="214" xfId="1" applyNumberFormat="1" applyFont="1" applyFill="1" applyBorder="1" applyAlignment="1" applyProtection="1">
      <alignment horizontal="center"/>
    </xf>
    <xf numFmtId="10" fontId="1" fillId="31" borderId="214" xfId="1" applyNumberFormat="1" applyFont="1" applyFill="1" applyBorder="1" applyAlignment="1" applyProtection="1">
      <alignment horizontal="center"/>
    </xf>
    <xf numFmtId="10" fontId="1" fillId="4" borderId="10" xfId="1" applyNumberFormat="1" applyFont="1" applyFill="1" applyBorder="1" applyAlignment="1" applyProtection="1">
      <alignment horizontal="center"/>
    </xf>
    <xf numFmtId="10" fontId="8" fillId="4" borderId="10" xfId="1" applyNumberFormat="1" applyFont="1" applyFill="1" applyBorder="1" applyAlignment="1" applyProtection="1">
      <alignment horizontal="center"/>
    </xf>
    <xf numFmtId="10" fontId="1" fillId="27" borderId="10" xfId="1" applyNumberFormat="1" applyFont="1" applyFill="1" applyBorder="1" applyAlignment="1" applyProtection="1">
      <alignment horizontal="center"/>
    </xf>
    <xf numFmtId="10" fontId="2" fillId="10" borderId="134" xfId="0" applyNumberFormat="1" applyFont="1" applyFill="1" applyBorder="1" applyAlignment="1">
      <alignment horizontal="center" vertical="center" wrapText="1"/>
    </xf>
    <xf numFmtId="10" fontId="2" fillId="13" borderId="134" xfId="0" applyNumberFormat="1" applyFont="1" applyFill="1" applyBorder="1" applyAlignment="1">
      <alignment horizontal="center" vertical="center" wrapText="1"/>
    </xf>
    <xf numFmtId="10" fontId="2" fillId="14" borderId="134" xfId="0" applyNumberFormat="1" applyFont="1" applyFill="1" applyBorder="1" applyAlignment="1">
      <alignment horizontal="center" vertical="center" wrapText="1"/>
    </xf>
    <xf numFmtId="10" fontId="2" fillId="16" borderId="134" xfId="0" applyNumberFormat="1" applyFont="1" applyFill="1" applyBorder="1" applyAlignment="1">
      <alignment horizontal="center" vertical="center" wrapText="1"/>
    </xf>
    <xf numFmtId="0" fontId="8" fillId="20" borderId="103" xfId="0" applyFont="1" applyFill="1" applyBorder="1" applyProtection="1"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10" fontId="0" fillId="2" borderId="128" xfId="0" applyNumberFormat="1" applyFill="1" applyBorder="1" applyAlignment="1">
      <alignment horizontal="center" vertical="center"/>
    </xf>
    <xf numFmtId="0" fontId="8" fillId="17" borderId="219" xfId="0" applyFont="1" applyFill="1" applyBorder="1" applyProtection="1">
      <protection locked="0"/>
    </xf>
    <xf numFmtId="0" fontId="8" fillId="2" borderId="220" xfId="0" applyFont="1" applyFill="1" applyBorder="1"/>
    <xf numFmtId="0" fontId="8" fillId="0" borderId="220" xfId="0" applyFont="1" applyBorder="1"/>
    <xf numFmtId="9" fontId="8" fillId="2" borderId="220" xfId="0" applyNumberFormat="1" applyFont="1" applyFill="1" applyBorder="1" applyAlignment="1">
      <alignment horizontal="center" vertical="center"/>
    </xf>
    <xf numFmtId="14" fontId="8" fillId="2" borderId="70" xfId="0" applyNumberFormat="1" applyFont="1" applyFill="1" applyBorder="1"/>
    <xf numFmtId="0" fontId="0" fillId="0" borderId="103" xfId="0" applyBorder="1"/>
    <xf numFmtId="0" fontId="0" fillId="0" borderId="23" xfId="0" applyBorder="1" applyProtection="1">
      <protection locked="0"/>
    </xf>
    <xf numFmtId="0" fontId="8" fillId="0" borderId="115" xfId="0" applyFont="1" applyBorder="1" applyProtection="1"/>
    <xf numFmtId="0" fontId="0" fillId="2" borderId="0" xfId="0" applyFill="1" applyBorder="1" applyProtection="1">
      <protection locked="0"/>
    </xf>
    <xf numFmtId="0" fontId="15" fillId="0" borderId="0" xfId="0" applyFont="1" applyAlignment="1">
      <alignment vertical="center"/>
    </xf>
    <xf numFmtId="0" fontId="17" fillId="0" borderId="0" xfId="0" applyFont="1"/>
    <xf numFmtId="0" fontId="14" fillId="12" borderId="221" xfId="0" applyFont="1" applyFill="1" applyBorder="1" applyAlignment="1">
      <alignment vertical="center"/>
    </xf>
    <xf numFmtId="0" fontId="14" fillId="13" borderId="222" xfId="0" applyFont="1" applyFill="1" applyBorder="1" applyAlignment="1">
      <alignment vertical="center"/>
    </xf>
    <xf numFmtId="0" fontId="15" fillId="17" borderId="223" xfId="0" applyFont="1" applyFill="1" applyBorder="1"/>
    <xf numFmtId="0" fontId="14" fillId="13" borderId="223" xfId="0" applyFont="1" applyFill="1" applyBorder="1" applyAlignment="1">
      <alignment vertical="center"/>
    </xf>
    <xf numFmtId="0" fontId="15" fillId="2" borderId="223" xfId="0" applyFont="1" applyFill="1" applyBorder="1"/>
    <xf numFmtId="0" fontId="16" fillId="2" borderId="223" xfId="0" applyFont="1" applyFill="1" applyBorder="1"/>
    <xf numFmtId="0" fontId="14" fillId="13" borderId="226" xfId="0" applyFont="1" applyFill="1" applyBorder="1" applyAlignment="1">
      <alignment horizontal="center" vertical="center"/>
    </xf>
    <xf numFmtId="0" fontId="14" fillId="13" borderId="227" xfId="0" applyFont="1" applyFill="1" applyBorder="1" applyAlignment="1">
      <alignment horizontal="center" vertical="center"/>
    </xf>
    <xf numFmtId="10" fontId="15" fillId="0" borderId="226" xfId="0" applyNumberFormat="1" applyFont="1" applyBorder="1" applyAlignment="1" applyProtection="1">
      <alignment horizontal="center"/>
    </xf>
    <xf numFmtId="10" fontId="15" fillId="0" borderId="227" xfId="0" applyNumberFormat="1" applyFont="1" applyBorder="1" applyAlignment="1" applyProtection="1">
      <alignment horizontal="center"/>
      <protection locked="0"/>
    </xf>
    <xf numFmtId="10" fontId="14" fillId="13" borderId="226" xfId="1" applyNumberFormat="1" applyFont="1" applyFill="1" applyBorder="1" applyAlignment="1" applyProtection="1">
      <alignment horizontal="center" vertical="center"/>
    </xf>
    <xf numFmtId="10" fontId="14" fillId="13" borderId="227" xfId="0" applyNumberFormat="1" applyFont="1" applyFill="1" applyBorder="1" applyAlignment="1">
      <alignment horizontal="center" vertical="center"/>
    </xf>
    <xf numFmtId="10" fontId="14" fillId="13" borderId="226" xfId="0" applyNumberFormat="1" applyFont="1" applyFill="1" applyBorder="1" applyAlignment="1" applyProtection="1">
      <alignment horizontal="center" vertical="center"/>
    </xf>
    <xf numFmtId="10" fontId="15" fillId="0" borderId="226" xfId="1" applyNumberFormat="1" applyFont="1" applyBorder="1" applyAlignment="1" applyProtection="1">
      <alignment horizontal="center"/>
    </xf>
    <xf numFmtId="10" fontId="1" fillId="3" borderId="6" xfId="0" applyNumberFormat="1" applyFont="1" applyFill="1" applyBorder="1" applyAlignment="1">
      <alignment horizontal="center" vertical="center" wrapText="1"/>
    </xf>
    <xf numFmtId="0" fontId="14" fillId="13" borderId="228" xfId="0" applyFont="1" applyFill="1" applyBorder="1" applyAlignment="1">
      <alignment vertical="center"/>
    </xf>
    <xf numFmtId="10" fontId="14" fillId="13" borderId="227" xfId="0" applyNumberFormat="1" applyFont="1" applyFill="1" applyBorder="1" applyAlignment="1" applyProtection="1">
      <alignment horizontal="center" vertical="center"/>
    </xf>
    <xf numFmtId="0" fontId="14" fillId="12" borderId="229" xfId="0" applyFont="1" applyFill="1" applyBorder="1"/>
    <xf numFmtId="10" fontId="14" fillId="12" borderId="230" xfId="0" applyNumberFormat="1" applyFont="1" applyFill="1" applyBorder="1" applyAlignment="1">
      <alignment horizontal="center"/>
    </xf>
    <xf numFmtId="0" fontId="17" fillId="0" borderId="230" xfId="0" applyFont="1" applyBorder="1"/>
    <xf numFmtId="10" fontId="1" fillId="14" borderId="6" xfId="0" applyNumberFormat="1" applyFont="1" applyFill="1" applyBorder="1" applyAlignment="1">
      <alignment horizontal="center" wrapText="1"/>
    </xf>
    <xf numFmtId="10" fontId="1" fillId="3" borderId="214" xfId="0" applyNumberFormat="1" applyFont="1" applyFill="1" applyBorder="1" applyAlignment="1">
      <alignment horizontal="center" vertical="center" wrapText="1"/>
    </xf>
    <xf numFmtId="10" fontId="1" fillId="3" borderId="214" xfId="0" applyNumberFormat="1" applyFont="1" applyFill="1" applyBorder="1" applyAlignment="1">
      <alignment horizontal="center" wrapText="1"/>
    </xf>
    <xf numFmtId="10" fontId="8" fillId="2" borderId="21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2" borderId="46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  <protection locked="0"/>
    </xf>
    <xf numFmtId="0" fontId="0" fillId="2" borderId="43" xfId="0" applyFill="1" applyBorder="1" applyAlignment="1" applyProtection="1">
      <alignment horizontal="center"/>
      <protection locked="0"/>
    </xf>
    <xf numFmtId="10" fontId="1" fillId="3" borderId="197" xfId="0" applyNumberFormat="1" applyFont="1" applyFill="1" applyBorder="1" applyAlignment="1">
      <alignment horizontal="center" wrapText="1"/>
    </xf>
    <xf numFmtId="10" fontId="8" fillId="2" borderId="197" xfId="0" applyNumberFormat="1" applyFont="1" applyFill="1" applyBorder="1" applyAlignment="1">
      <alignment horizontal="center" wrapText="1"/>
    </xf>
    <xf numFmtId="10" fontId="1" fillId="29" borderId="200" xfId="0" applyNumberFormat="1" applyFont="1" applyFill="1" applyBorder="1" applyAlignment="1">
      <alignment horizontal="center" wrapText="1"/>
    </xf>
    <xf numFmtId="0" fontId="0" fillId="2" borderId="80" xfId="0" applyFill="1" applyBorder="1" applyAlignment="1" applyProtection="1">
      <alignment horizontal="center"/>
      <protection locked="0"/>
    </xf>
    <xf numFmtId="0" fontId="0" fillId="2" borderId="77" xfId="0" applyFill="1" applyBorder="1" applyAlignment="1" applyProtection="1">
      <alignment horizontal="center"/>
      <protection locked="0"/>
    </xf>
    <xf numFmtId="10" fontId="2" fillId="16" borderId="197" xfId="0" applyNumberFormat="1" applyFont="1" applyFill="1" applyBorder="1" applyAlignment="1">
      <alignment horizontal="center" wrapText="1"/>
    </xf>
    <xf numFmtId="10" fontId="1" fillId="3" borderId="8" xfId="0" applyNumberFormat="1" applyFont="1" applyFill="1" applyBorder="1" applyAlignment="1">
      <alignment horizontal="center" vertical="center" wrapText="1"/>
    </xf>
    <xf numFmtId="10" fontId="1" fillId="3" borderId="8" xfId="0" applyNumberFormat="1" applyFont="1" applyFill="1" applyBorder="1" applyAlignment="1">
      <alignment horizontal="center" wrapText="1"/>
    </xf>
    <xf numFmtId="10" fontId="8" fillId="2" borderId="8" xfId="0" applyNumberFormat="1" applyFont="1" applyFill="1" applyBorder="1" applyAlignment="1">
      <alignment horizontal="center" wrapText="1"/>
    </xf>
    <xf numFmtId="10" fontId="0" fillId="0" borderId="0" xfId="0" applyNumberFormat="1" applyAlignment="1">
      <alignment horizontal="center"/>
    </xf>
    <xf numFmtId="10" fontId="0" fillId="2" borderId="112" xfId="0" applyNumberFormat="1" applyFill="1" applyBorder="1" applyAlignment="1" applyProtection="1">
      <alignment horizontal="center"/>
      <protection locked="0"/>
    </xf>
    <xf numFmtId="10" fontId="0" fillId="2" borderId="0" xfId="0" applyNumberFormat="1" applyFill="1" applyAlignment="1" applyProtection="1">
      <alignment horizontal="center"/>
      <protection locked="0"/>
    </xf>
    <xf numFmtId="10" fontId="0" fillId="2" borderId="109" xfId="0" applyNumberFormat="1" applyFill="1" applyBorder="1" applyAlignment="1" applyProtection="1">
      <alignment horizontal="center"/>
      <protection locked="0"/>
    </xf>
    <xf numFmtId="10" fontId="1" fillId="3" borderId="7" xfId="0" applyNumberFormat="1" applyFont="1" applyFill="1" applyBorder="1" applyAlignment="1">
      <alignment horizontal="center" wrapText="1"/>
    </xf>
    <xf numFmtId="10" fontId="8" fillId="2" borderId="7" xfId="0" applyNumberFormat="1" applyFont="1" applyFill="1" applyBorder="1" applyAlignment="1">
      <alignment horizontal="center" wrapText="1"/>
    </xf>
    <xf numFmtId="10" fontId="2" fillId="5" borderId="8" xfId="0" applyNumberFormat="1" applyFont="1" applyFill="1" applyBorder="1" applyAlignment="1">
      <alignment horizontal="center" vertical="center" wrapText="1"/>
    </xf>
    <xf numFmtId="0" fontId="1" fillId="17" borderId="231" xfId="0" applyFont="1" applyFill="1" applyBorder="1"/>
    <xf numFmtId="10" fontId="1" fillId="17" borderId="232" xfId="1" applyNumberFormat="1" applyFont="1" applyFill="1" applyBorder="1" applyAlignment="1" applyProtection="1">
      <alignment horizontal="center"/>
    </xf>
    <xf numFmtId="10" fontId="1" fillId="4" borderId="232" xfId="1" applyNumberFormat="1" applyFont="1" applyFill="1" applyBorder="1" applyAlignment="1" applyProtection="1">
      <alignment horizontal="center"/>
    </xf>
    <xf numFmtId="10" fontId="1" fillId="27" borderId="232" xfId="1" applyNumberFormat="1" applyFont="1" applyFill="1" applyBorder="1" applyAlignment="1" applyProtection="1">
      <alignment horizontal="center"/>
    </xf>
    <xf numFmtId="10" fontId="1" fillId="2" borderId="232" xfId="0" applyNumberFormat="1" applyFont="1" applyFill="1" applyBorder="1" applyAlignment="1">
      <alignment horizontal="center"/>
    </xf>
    <xf numFmtId="10" fontId="1" fillId="3" borderId="232" xfId="0" applyNumberFormat="1" applyFont="1" applyFill="1" applyBorder="1" applyAlignment="1">
      <alignment horizontal="center" wrapText="1"/>
    </xf>
    <xf numFmtId="10" fontId="1" fillId="2" borderId="233" xfId="0" applyNumberFormat="1" applyFont="1" applyFill="1" applyBorder="1" applyAlignment="1">
      <alignment horizontal="center" vertical="center" wrapText="1"/>
    </xf>
    <xf numFmtId="10" fontId="1" fillId="2" borderId="232" xfId="0" applyNumberFormat="1" applyFont="1" applyFill="1" applyBorder="1" applyAlignment="1">
      <alignment wrapText="1"/>
    </xf>
    <xf numFmtId="10" fontId="1" fillId="3" borderId="234" xfId="0" applyNumberFormat="1" applyFont="1" applyFill="1" applyBorder="1" applyAlignment="1">
      <alignment wrapText="1"/>
    </xf>
    <xf numFmtId="0" fontId="1" fillId="2" borderId="235" xfId="0" applyFont="1" applyFill="1" applyBorder="1"/>
    <xf numFmtId="10" fontId="1" fillId="17" borderId="236" xfId="1" applyNumberFormat="1" applyFont="1" applyFill="1" applyBorder="1" applyAlignment="1" applyProtection="1">
      <alignment horizontal="center"/>
    </xf>
    <xf numFmtId="10" fontId="1" fillId="4" borderId="236" xfId="1" applyNumberFormat="1" applyFont="1" applyFill="1" applyBorder="1" applyAlignment="1" applyProtection="1">
      <alignment horizontal="center"/>
    </xf>
    <xf numFmtId="10" fontId="1" fillId="27" borderId="236" xfId="1" applyNumberFormat="1" applyFont="1" applyFill="1" applyBorder="1" applyAlignment="1" applyProtection="1">
      <alignment horizontal="center"/>
    </xf>
    <xf numFmtId="10" fontId="1" fillId="2" borderId="236" xfId="0" applyNumberFormat="1" applyFont="1" applyFill="1" applyBorder="1" applyAlignment="1">
      <alignment horizontal="center"/>
    </xf>
    <xf numFmtId="10" fontId="1" fillId="3" borderId="236" xfId="0" applyNumberFormat="1" applyFont="1" applyFill="1" applyBorder="1" applyAlignment="1">
      <alignment horizontal="center" wrapText="1"/>
    </xf>
    <xf numFmtId="10" fontId="1" fillId="2" borderId="237" xfId="0" applyNumberFormat="1" applyFont="1" applyFill="1" applyBorder="1" applyAlignment="1">
      <alignment horizontal="center" vertical="center" wrapText="1"/>
    </xf>
    <xf numFmtId="10" fontId="1" fillId="2" borderId="236" xfId="0" applyNumberFormat="1" applyFont="1" applyFill="1" applyBorder="1" applyAlignment="1">
      <alignment wrapText="1"/>
    </xf>
    <xf numFmtId="10" fontId="1" fillId="3" borderId="238" xfId="0" applyNumberFormat="1" applyFont="1" applyFill="1" applyBorder="1" applyAlignment="1">
      <alignment wrapText="1"/>
    </xf>
    <xf numFmtId="10" fontId="3" fillId="5" borderId="181" xfId="0" applyNumberFormat="1" applyFont="1" applyFill="1" applyBorder="1" applyAlignment="1">
      <alignment wrapText="1"/>
    </xf>
    <xf numFmtId="10" fontId="3" fillId="5" borderId="7" xfId="0" applyNumberFormat="1" applyFont="1" applyFill="1" applyBorder="1" applyAlignment="1">
      <alignment horizontal="center"/>
    </xf>
    <xf numFmtId="10" fontId="2" fillId="12" borderId="162" xfId="0" applyNumberFormat="1" applyFont="1" applyFill="1" applyBorder="1" applyAlignment="1">
      <alignment vertical="center" wrapText="1"/>
    </xf>
    <xf numFmtId="10" fontId="1" fillId="3" borderId="9" xfId="0" applyNumberFormat="1" applyFont="1" applyFill="1" applyBorder="1" applyAlignment="1">
      <alignment horizontal="center" vertical="center" wrapText="1"/>
    </xf>
    <xf numFmtId="10" fontId="1" fillId="3" borderId="9" xfId="0" applyNumberFormat="1" applyFont="1" applyFill="1" applyBorder="1" applyAlignment="1">
      <alignment horizontal="center" wrapText="1"/>
    </xf>
    <xf numFmtId="10" fontId="8" fillId="2" borderId="9" xfId="0" applyNumberFormat="1" applyFont="1" applyFill="1" applyBorder="1" applyAlignment="1">
      <alignment horizontal="center" wrapText="1"/>
    </xf>
    <xf numFmtId="10" fontId="1" fillId="3" borderId="10" xfId="0" applyNumberFormat="1" applyFont="1" applyFill="1" applyBorder="1" applyAlignment="1">
      <alignment horizontal="center" vertical="center" wrapText="1"/>
    </xf>
    <xf numFmtId="10" fontId="1" fillId="3" borderId="10" xfId="0" applyNumberFormat="1" applyFont="1" applyFill="1" applyBorder="1" applyAlignment="1">
      <alignment horizontal="center" wrapText="1"/>
    </xf>
    <xf numFmtId="10" fontId="8" fillId="2" borderId="10" xfId="0" applyNumberFormat="1" applyFont="1" applyFill="1" applyBorder="1" applyAlignment="1">
      <alignment horizontal="center" wrapText="1"/>
    </xf>
    <xf numFmtId="10" fontId="1" fillId="3" borderId="134" xfId="0" applyNumberFormat="1" applyFont="1" applyFill="1" applyBorder="1" applyAlignment="1">
      <alignment horizontal="center" vertical="center" wrapText="1"/>
    </xf>
    <xf numFmtId="10" fontId="1" fillId="3" borderId="135" xfId="0" applyNumberFormat="1" applyFont="1" applyFill="1" applyBorder="1" applyAlignment="1">
      <alignment horizontal="center" wrapText="1"/>
    </xf>
    <xf numFmtId="10" fontId="1" fillId="3" borderId="136" xfId="0" applyNumberFormat="1" applyFont="1" applyFill="1" applyBorder="1" applyAlignment="1">
      <alignment horizontal="center" wrapText="1"/>
    </xf>
    <xf numFmtId="10" fontId="1" fillId="3" borderId="154" xfId="0" applyNumberFormat="1" applyFont="1" applyFill="1" applyBorder="1" applyAlignment="1">
      <alignment horizontal="center" wrapText="1"/>
    </xf>
    <xf numFmtId="10" fontId="1" fillId="3" borderId="151" xfId="0" applyNumberFormat="1" applyFont="1" applyFill="1" applyBorder="1" applyAlignment="1">
      <alignment horizontal="center" wrapText="1"/>
    </xf>
    <xf numFmtId="10" fontId="8" fillId="2" borderId="133" xfId="0" applyNumberFormat="1" applyFont="1" applyFill="1" applyBorder="1" applyAlignment="1">
      <alignment horizontal="center" wrapText="1"/>
    </xf>
    <xf numFmtId="0" fontId="8" fillId="3" borderId="125" xfId="0" applyFont="1" applyFill="1" applyBorder="1" applyProtection="1">
      <protection locked="0"/>
    </xf>
    <xf numFmtId="0" fontId="8" fillId="3" borderId="0" xfId="0" applyFont="1" applyFill="1" applyBorder="1" applyProtection="1">
      <protection locked="0"/>
    </xf>
    <xf numFmtId="0" fontId="8" fillId="3" borderId="0" xfId="0" applyFont="1" applyFill="1" applyProtection="1">
      <protection locked="0"/>
    </xf>
    <xf numFmtId="0" fontId="8" fillId="3" borderId="36" xfId="0" applyFont="1" applyFill="1" applyBorder="1" applyProtection="1">
      <protection locked="0"/>
    </xf>
    <xf numFmtId="0" fontId="8" fillId="3" borderId="129" xfId="0" applyFont="1" applyFill="1" applyBorder="1" applyProtection="1">
      <protection locked="0"/>
    </xf>
    <xf numFmtId="14" fontId="8" fillId="2" borderId="115" xfId="0" applyNumberFormat="1" applyFont="1" applyFill="1" applyBorder="1" applyAlignment="1" applyProtection="1"/>
    <xf numFmtId="0" fontId="8" fillId="2" borderId="115" xfId="0" applyFont="1" applyFill="1" applyBorder="1" applyAlignment="1" applyProtection="1"/>
    <xf numFmtId="0" fontId="8" fillId="2" borderId="220" xfId="0" applyNumberFormat="1" applyFont="1" applyFill="1" applyBorder="1"/>
    <xf numFmtId="0" fontId="8" fillId="2" borderId="220" xfId="0" applyNumberFormat="1" applyFont="1" applyFill="1" applyBorder="1" applyAlignment="1">
      <alignment horizontal="center" vertical="center"/>
    </xf>
    <xf numFmtId="14" fontId="8" fillId="0" borderId="115" xfId="0" applyNumberFormat="1" applyFont="1" applyFill="1" applyBorder="1"/>
    <xf numFmtId="0" fontId="8" fillId="17" borderId="239" xfId="0" applyFont="1" applyFill="1" applyBorder="1" applyProtection="1">
      <protection locked="0"/>
    </xf>
    <xf numFmtId="14" fontId="8" fillId="2" borderId="240" xfId="0" applyNumberFormat="1" applyFont="1" applyFill="1" applyBorder="1"/>
    <xf numFmtId="0" fontId="8" fillId="2" borderId="240" xfId="0" applyFont="1" applyFill="1" applyBorder="1"/>
    <xf numFmtId="0" fontId="8" fillId="0" borderId="240" xfId="0" applyFont="1" applyBorder="1"/>
    <xf numFmtId="10" fontId="8" fillId="2" borderId="240" xfId="0" applyNumberFormat="1" applyFont="1" applyFill="1" applyBorder="1" applyAlignment="1">
      <alignment horizontal="center" vertical="center"/>
    </xf>
    <xf numFmtId="10" fontId="8" fillId="2" borderId="241" xfId="0" applyNumberFormat="1" applyFont="1" applyFill="1" applyBorder="1" applyAlignment="1">
      <alignment horizontal="center" vertical="center"/>
    </xf>
    <xf numFmtId="14" fontId="8" fillId="0" borderId="130" xfId="0" applyNumberFormat="1" applyFont="1" applyFill="1" applyBorder="1"/>
    <xf numFmtId="10" fontId="8" fillId="15" borderId="1" xfId="1" applyNumberFormat="1" applyFont="1" applyFill="1" applyBorder="1" applyAlignment="1" applyProtection="1">
      <alignment horizontal="center"/>
    </xf>
    <xf numFmtId="10" fontId="8" fillId="27" borderId="1" xfId="1" applyNumberFormat="1" applyFont="1" applyFill="1" applyBorder="1" applyAlignment="1" applyProtection="1">
      <alignment horizontal="center"/>
    </xf>
    <xf numFmtId="10" fontId="8" fillId="27" borderId="94" xfId="1" applyNumberFormat="1" applyFont="1" applyFill="1" applyBorder="1" applyAlignment="1" applyProtection="1">
      <alignment horizontal="center"/>
    </xf>
    <xf numFmtId="10" fontId="8" fillId="15" borderId="94" xfId="1" applyNumberFormat="1" applyFont="1" applyFill="1" applyBorder="1" applyAlignment="1" applyProtection="1">
      <alignment horizontal="center"/>
    </xf>
    <xf numFmtId="10" fontId="8" fillId="27" borderId="105" xfId="1" applyNumberFormat="1" applyFont="1" applyFill="1" applyBorder="1" applyAlignment="1" applyProtection="1">
      <alignment horizontal="center"/>
    </xf>
    <xf numFmtId="10" fontId="8" fillId="15" borderId="105" xfId="1" applyNumberFormat="1" applyFont="1" applyFill="1" applyBorder="1" applyAlignment="1" applyProtection="1">
      <alignment horizontal="center"/>
    </xf>
    <xf numFmtId="10" fontId="8" fillId="0" borderId="105" xfId="1" applyNumberFormat="1" applyFont="1" applyFill="1" applyBorder="1" applyAlignment="1" applyProtection="1">
      <alignment horizontal="center"/>
    </xf>
    <xf numFmtId="10" fontId="8" fillId="0" borderId="1" xfId="1" applyNumberFormat="1" applyFont="1" applyFill="1" applyBorder="1" applyAlignment="1" applyProtection="1">
      <alignment horizontal="center"/>
    </xf>
    <xf numFmtId="0" fontId="1" fillId="2" borderId="106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1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left"/>
    </xf>
    <xf numFmtId="0" fontId="1" fillId="2" borderId="107" xfId="0" applyFont="1" applyFill="1" applyBorder="1"/>
    <xf numFmtId="0" fontId="4" fillId="13" borderId="242" xfId="0" applyFont="1" applyFill="1" applyBorder="1" applyAlignment="1">
      <alignment horizontal="center"/>
    </xf>
    <xf numFmtId="0" fontId="7" fillId="0" borderId="246" xfId="0" applyFont="1" applyBorder="1"/>
    <xf numFmtId="0" fontId="4" fillId="9" borderId="246" xfId="0" applyFont="1" applyFill="1" applyBorder="1"/>
    <xf numFmtId="0" fontId="4" fillId="9" borderId="247" xfId="0" applyFont="1" applyFill="1" applyBorder="1"/>
    <xf numFmtId="10" fontId="4" fillId="9" borderId="247" xfId="0" applyNumberFormat="1" applyFont="1" applyFill="1" applyBorder="1" applyAlignment="1">
      <alignment horizontal="center"/>
    </xf>
    <xf numFmtId="0" fontId="4" fillId="9" borderId="247" xfId="0" applyFont="1" applyFill="1" applyBorder="1" applyAlignment="1">
      <alignment horizontal="center"/>
    </xf>
    <xf numFmtId="0" fontId="4" fillId="9" borderId="248" xfId="0" applyFont="1" applyFill="1" applyBorder="1" applyAlignment="1">
      <alignment horizontal="center"/>
    </xf>
    <xf numFmtId="0" fontId="8" fillId="17" borderId="246" xfId="0" applyFont="1" applyFill="1" applyBorder="1" applyProtection="1">
      <protection locked="0"/>
    </xf>
    <xf numFmtId="14" fontId="8" fillId="2" borderId="247" xfId="0" applyNumberFormat="1" applyFont="1" applyFill="1" applyBorder="1"/>
    <xf numFmtId="0" fontId="8" fillId="2" borderId="247" xfId="0" applyFont="1" applyFill="1" applyBorder="1"/>
    <xf numFmtId="0" fontId="8" fillId="0" borderId="247" xfId="0" applyFont="1" applyBorder="1"/>
    <xf numFmtId="10" fontId="8" fillId="17" borderId="247" xfId="0" applyNumberFormat="1" applyFont="1" applyFill="1" applyBorder="1" applyAlignment="1" applyProtection="1">
      <alignment horizontal="center"/>
      <protection locked="0"/>
    </xf>
    <xf numFmtId="10" fontId="8" fillId="27" borderId="247" xfId="0" applyNumberFormat="1" applyFont="1" applyFill="1" applyBorder="1" applyAlignment="1">
      <alignment horizontal="center" vertical="center"/>
    </xf>
    <xf numFmtId="10" fontId="8" fillId="27" borderId="247" xfId="1" applyNumberFormat="1" applyFont="1" applyFill="1" applyBorder="1" applyAlignment="1" applyProtection="1">
      <alignment horizontal="center"/>
    </xf>
    <xf numFmtId="10" fontId="8" fillId="15" borderId="247" xfId="1" applyNumberFormat="1" applyFont="1" applyFill="1" applyBorder="1" applyAlignment="1" applyProtection="1">
      <alignment horizontal="center"/>
    </xf>
    <xf numFmtId="10" fontId="8" fillId="27" borderId="248" xfId="1" applyNumberFormat="1" applyFont="1" applyFill="1" applyBorder="1" applyAlignment="1" applyProtection="1">
      <alignment horizontal="center"/>
    </xf>
    <xf numFmtId="0" fontId="8" fillId="17" borderId="247" xfId="0" applyFont="1" applyFill="1" applyBorder="1" applyProtection="1">
      <protection locked="0"/>
    </xf>
    <xf numFmtId="10" fontId="8" fillId="17" borderId="247" xfId="1" applyNumberFormat="1" applyFont="1" applyFill="1" applyBorder="1" applyAlignment="1" applyProtection="1">
      <alignment horizontal="center"/>
      <protection locked="0"/>
    </xf>
    <xf numFmtId="10" fontId="8" fillId="2" borderId="247" xfId="0" applyNumberFormat="1" applyFont="1" applyFill="1" applyBorder="1" applyAlignment="1">
      <alignment horizontal="center" vertical="center"/>
    </xf>
    <xf numFmtId="10" fontId="8" fillId="2" borderId="247" xfId="1" applyNumberFormat="1" applyFont="1" applyFill="1" applyBorder="1" applyAlignment="1" applyProtection="1">
      <alignment horizontal="center"/>
    </xf>
    <xf numFmtId="10" fontId="8" fillId="2" borderId="248" xfId="1" applyNumberFormat="1" applyFont="1" applyFill="1" applyBorder="1" applyAlignment="1" applyProtection="1">
      <alignment horizontal="center"/>
    </xf>
    <xf numFmtId="10" fontId="8" fillId="15" borderId="248" xfId="1" applyNumberFormat="1" applyFont="1" applyFill="1" applyBorder="1" applyAlignment="1" applyProtection="1">
      <alignment horizontal="center"/>
    </xf>
    <xf numFmtId="0" fontId="0" fillId="0" borderId="246" xfId="0" applyBorder="1"/>
    <xf numFmtId="0" fontId="0" fillId="0" borderId="247" xfId="0" applyBorder="1"/>
    <xf numFmtId="10" fontId="0" fillId="0" borderId="247" xfId="1" applyNumberFormat="1" applyFont="1" applyBorder="1" applyAlignment="1">
      <alignment horizontal="center"/>
    </xf>
    <xf numFmtId="0" fontId="0" fillId="0" borderId="248" xfId="0" applyBorder="1"/>
    <xf numFmtId="0" fontId="4" fillId="9" borderId="249" xfId="0" applyFont="1" applyFill="1" applyBorder="1"/>
    <xf numFmtId="0" fontId="4" fillId="9" borderId="250" xfId="0" applyFont="1" applyFill="1" applyBorder="1" applyAlignment="1">
      <alignment horizontal="center"/>
    </xf>
    <xf numFmtId="0" fontId="4" fillId="9" borderId="250" xfId="0" applyFont="1" applyFill="1" applyBorder="1"/>
    <xf numFmtId="10" fontId="4" fillId="9" borderId="250" xfId="0" applyNumberFormat="1" applyFont="1" applyFill="1" applyBorder="1" applyAlignment="1">
      <alignment horizontal="center"/>
    </xf>
    <xf numFmtId="10" fontId="4" fillId="9" borderId="251" xfId="0" applyNumberFormat="1" applyFont="1" applyFill="1" applyBorder="1" applyAlignment="1">
      <alignment horizontal="center"/>
    </xf>
    <xf numFmtId="0" fontId="7" fillId="0" borderId="252" xfId="0" applyFont="1" applyBorder="1"/>
    <xf numFmtId="0" fontId="4" fillId="10" borderId="252" xfId="0" applyFont="1" applyFill="1" applyBorder="1"/>
    <xf numFmtId="0" fontId="4" fillId="10" borderId="253" xfId="0" applyFont="1" applyFill="1" applyBorder="1"/>
    <xf numFmtId="10" fontId="4" fillId="10" borderId="253" xfId="0" applyNumberFormat="1" applyFont="1" applyFill="1" applyBorder="1" applyAlignment="1">
      <alignment horizontal="center"/>
    </xf>
    <xf numFmtId="0" fontId="4" fillId="10" borderId="253" xfId="0" applyFont="1" applyFill="1" applyBorder="1" applyAlignment="1">
      <alignment horizontal="center"/>
    </xf>
    <xf numFmtId="0" fontId="4" fillId="10" borderId="254" xfId="0" applyFont="1" applyFill="1" applyBorder="1" applyAlignment="1">
      <alignment horizontal="center"/>
    </xf>
    <xf numFmtId="0" fontId="8" fillId="17" borderId="252" xfId="0" applyFont="1" applyFill="1" applyBorder="1" applyProtection="1">
      <protection locked="0"/>
    </xf>
    <xf numFmtId="14" fontId="8" fillId="2" borderId="253" xfId="0" applyNumberFormat="1" applyFont="1" applyFill="1" applyBorder="1"/>
    <xf numFmtId="0" fontId="8" fillId="2" borderId="253" xfId="0" applyFont="1" applyFill="1" applyBorder="1"/>
    <xf numFmtId="0" fontId="8" fillId="0" borderId="253" xfId="0" applyFont="1" applyBorder="1"/>
    <xf numFmtId="10" fontId="8" fillId="17" borderId="253" xfId="0" applyNumberFormat="1" applyFont="1" applyFill="1" applyBorder="1" applyAlignment="1" applyProtection="1">
      <alignment horizontal="center"/>
      <protection locked="0"/>
    </xf>
    <xf numFmtId="10" fontId="8" fillId="15" borderId="253" xfId="1" applyNumberFormat="1" applyFont="1" applyFill="1" applyBorder="1" applyAlignment="1" applyProtection="1">
      <alignment horizontal="center"/>
    </xf>
    <xf numFmtId="10" fontId="8" fillId="27" borderId="253" xfId="1" applyNumberFormat="1" applyFont="1" applyFill="1" applyBorder="1" applyAlignment="1" applyProtection="1">
      <alignment horizontal="center"/>
    </xf>
    <xf numFmtId="10" fontId="8" fillId="27" borderId="254" xfId="1" applyNumberFormat="1" applyFont="1" applyFill="1" applyBorder="1" applyAlignment="1" applyProtection="1">
      <alignment horizontal="center"/>
    </xf>
    <xf numFmtId="10" fontId="8" fillId="2" borderId="253" xfId="1" applyNumberFormat="1" applyFont="1" applyFill="1" applyBorder="1" applyAlignment="1" applyProtection="1">
      <alignment horizontal="center"/>
    </xf>
    <xf numFmtId="10" fontId="8" fillId="2" borderId="254" xfId="1" applyNumberFormat="1" applyFont="1" applyFill="1" applyBorder="1" applyAlignment="1" applyProtection="1">
      <alignment horizontal="center"/>
    </xf>
    <xf numFmtId="10" fontId="8" fillId="15" borderId="254" xfId="1" applyNumberFormat="1" applyFont="1" applyFill="1" applyBorder="1" applyAlignment="1" applyProtection="1">
      <alignment horizontal="center"/>
    </xf>
    <xf numFmtId="0" fontId="0" fillId="0" borderId="252" xfId="0" applyBorder="1" applyProtection="1">
      <protection locked="0"/>
    </xf>
    <xf numFmtId="10" fontId="8" fillId="0" borderId="253" xfId="1" applyNumberFormat="1" applyFont="1" applyFill="1" applyBorder="1" applyAlignment="1" applyProtection="1">
      <alignment horizontal="center"/>
    </xf>
    <xf numFmtId="0" fontId="4" fillId="10" borderId="255" xfId="0" applyFont="1" applyFill="1" applyBorder="1"/>
    <xf numFmtId="0" fontId="4" fillId="10" borderId="256" xfId="0" applyFont="1" applyFill="1" applyBorder="1" applyAlignment="1">
      <alignment horizontal="center"/>
    </xf>
    <xf numFmtId="0" fontId="4" fillId="10" borderId="256" xfId="0" applyFont="1" applyFill="1" applyBorder="1"/>
    <xf numFmtId="10" fontId="4" fillId="10" borderId="256" xfId="0" applyNumberFormat="1" applyFont="1" applyFill="1" applyBorder="1" applyAlignment="1">
      <alignment horizontal="center"/>
    </xf>
    <xf numFmtId="10" fontId="4" fillId="10" borderId="257" xfId="0" applyNumberFormat="1" applyFont="1" applyFill="1" applyBorder="1" applyAlignment="1">
      <alignment horizontal="center"/>
    </xf>
    <xf numFmtId="0" fontId="8" fillId="17" borderId="264" xfId="0" applyFont="1" applyFill="1" applyBorder="1" applyProtection="1">
      <protection locked="0"/>
    </xf>
    <xf numFmtId="0" fontId="4" fillId="13" borderId="265" xfId="0" applyFont="1" applyFill="1" applyBorder="1"/>
    <xf numFmtId="0" fontId="4" fillId="13" borderId="266" xfId="0" applyFont="1" applyFill="1" applyBorder="1" applyAlignment="1">
      <alignment horizontal="center"/>
    </xf>
    <xf numFmtId="0" fontId="4" fillId="13" borderId="266" xfId="0" applyFont="1" applyFill="1" applyBorder="1"/>
    <xf numFmtId="10" fontId="4" fillId="13" borderId="266" xfId="0" applyNumberFormat="1" applyFont="1" applyFill="1" applyBorder="1" applyAlignment="1">
      <alignment horizontal="center"/>
    </xf>
    <xf numFmtId="0" fontId="7" fillId="0" borderId="270" xfId="0" applyFont="1" applyBorder="1"/>
    <xf numFmtId="0" fontId="4" fillId="5" borderId="270" xfId="0" applyFont="1" applyFill="1" applyBorder="1"/>
    <xf numFmtId="0" fontId="4" fillId="5" borderId="271" xfId="0" applyFont="1" applyFill="1" applyBorder="1"/>
    <xf numFmtId="10" fontId="4" fillId="5" borderId="271" xfId="0" applyNumberFormat="1" applyFont="1" applyFill="1" applyBorder="1" applyAlignment="1">
      <alignment horizontal="center"/>
    </xf>
    <xf numFmtId="0" fontId="4" fillId="5" borderId="271" xfId="0" applyFont="1" applyFill="1" applyBorder="1" applyAlignment="1">
      <alignment horizontal="center"/>
    </xf>
    <xf numFmtId="0" fontId="4" fillId="5" borderId="272" xfId="0" applyFont="1" applyFill="1" applyBorder="1" applyAlignment="1">
      <alignment horizontal="center"/>
    </xf>
    <xf numFmtId="0" fontId="8" fillId="17" borderId="270" xfId="0" applyFont="1" applyFill="1" applyBorder="1" applyProtection="1">
      <protection locked="0"/>
    </xf>
    <xf numFmtId="14" fontId="8" fillId="2" borderId="271" xfId="0" applyNumberFormat="1" applyFont="1" applyFill="1" applyBorder="1"/>
    <xf numFmtId="0" fontId="8" fillId="2" borderId="271" xfId="0" applyFont="1" applyFill="1" applyBorder="1"/>
    <xf numFmtId="0" fontId="8" fillId="0" borderId="271" xfId="0" applyFont="1" applyBorder="1"/>
    <xf numFmtId="10" fontId="8" fillId="17" borderId="271" xfId="0" applyNumberFormat="1" applyFont="1" applyFill="1" applyBorder="1" applyAlignment="1" applyProtection="1">
      <alignment horizontal="center"/>
      <protection locked="0"/>
    </xf>
    <xf numFmtId="10" fontId="8" fillId="27" borderId="271" xfId="0" applyNumberFormat="1" applyFont="1" applyFill="1" applyBorder="1" applyAlignment="1">
      <alignment horizontal="center" vertical="center"/>
    </xf>
    <xf numFmtId="10" fontId="8" fillId="2" borderId="271" xfId="1" applyNumberFormat="1" applyFont="1" applyFill="1" applyBorder="1" applyAlignment="1" applyProtection="1">
      <alignment horizontal="center"/>
    </xf>
    <xf numFmtId="10" fontId="8" fillId="2" borderId="272" xfId="1" applyNumberFormat="1" applyFont="1" applyFill="1" applyBorder="1" applyAlignment="1" applyProtection="1">
      <alignment horizontal="center"/>
    </xf>
    <xf numFmtId="10" fontId="8" fillId="0" borderId="271" xfId="0" applyNumberFormat="1" applyFont="1" applyFill="1" applyBorder="1" applyAlignment="1">
      <alignment horizontal="center" vertical="center"/>
    </xf>
    <xf numFmtId="10" fontId="8" fillId="27" borderId="271" xfId="1" applyNumberFormat="1" applyFont="1" applyFill="1" applyBorder="1" applyAlignment="1" applyProtection="1">
      <alignment horizontal="center"/>
    </xf>
    <xf numFmtId="10" fontId="8" fillId="15" borderId="271" xfId="1" applyNumberFormat="1" applyFont="1" applyFill="1" applyBorder="1" applyAlignment="1" applyProtection="1">
      <alignment horizontal="center"/>
    </xf>
    <xf numFmtId="10" fontId="8" fillId="2" borderId="271" xfId="0" applyNumberFormat="1" applyFont="1" applyFill="1" applyBorder="1" applyAlignment="1">
      <alignment horizontal="center" vertical="center"/>
    </xf>
    <xf numFmtId="10" fontId="8" fillId="27" borderId="272" xfId="1" applyNumberFormat="1" applyFont="1" applyFill="1" applyBorder="1" applyAlignment="1" applyProtection="1">
      <alignment horizontal="center"/>
    </xf>
    <xf numFmtId="10" fontId="8" fillId="15" borderId="272" xfId="1" applyNumberFormat="1" applyFont="1" applyFill="1" applyBorder="1" applyAlignment="1" applyProtection="1">
      <alignment horizontal="center"/>
    </xf>
    <xf numFmtId="10" fontId="8" fillId="15" borderId="271" xfId="0" applyNumberFormat="1" applyFont="1" applyFill="1" applyBorder="1" applyAlignment="1">
      <alignment horizontal="center" vertical="center"/>
    </xf>
    <xf numFmtId="10" fontId="8" fillId="0" borderId="272" xfId="1" applyNumberFormat="1" applyFont="1" applyFill="1" applyBorder="1" applyAlignment="1" applyProtection="1">
      <alignment horizontal="center"/>
    </xf>
    <xf numFmtId="10" fontId="8" fillId="27" borderId="272" xfId="0" applyNumberFormat="1" applyFont="1" applyFill="1" applyBorder="1" applyAlignment="1">
      <alignment horizontal="center" vertical="center"/>
    </xf>
    <xf numFmtId="10" fontId="8" fillId="0" borderId="271" xfId="1" applyNumberFormat="1" applyFont="1" applyFill="1" applyBorder="1" applyAlignment="1" applyProtection="1">
      <alignment horizontal="center"/>
    </xf>
    <xf numFmtId="0" fontId="4" fillId="5" borderId="273" xfId="0" applyFont="1" applyFill="1" applyBorder="1"/>
    <xf numFmtId="0" fontId="4" fillId="5" borderId="274" xfId="0" applyFont="1" applyFill="1" applyBorder="1" applyAlignment="1">
      <alignment horizontal="center"/>
    </xf>
    <xf numFmtId="0" fontId="4" fillId="5" borderId="274" xfId="0" applyFont="1" applyFill="1" applyBorder="1"/>
    <xf numFmtId="10" fontId="4" fillId="5" borderId="274" xfId="0" applyNumberFormat="1" applyFont="1" applyFill="1" applyBorder="1" applyAlignment="1">
      <alignment horizontal="center"/>
    </xf>
    <xf numFmtId="10" fontId="4" fillId="5" borderId="275" xfId="0" applyNumberFormat="1" applyFont="1" applyFill="1" applyBorder="1" applyAlignment="1">
      <alignment horizontal="center"/>
    </xf>
    <xf numFmtId="0" fontId="4" fillId="12" borderId="276" xfId="0" applyFont="1" applyFill="1" applyBorder="1"/>
    <xf numFmtId="0" fontId="4" fillId="12" borderId="277" xfId="0" applyFont="1" applyFill="1" applyBorder="1" applyAlignment="1">
      <alignment horizontal="center"/>
    </xf>
    <xf numFmtId="0" fontId="4" fillId="12" borderId="277" xfId="0" applyFont="1" applyFill="1" applyBorder="1"/>
    <xf numFmtId="10" fontId="4" fillId="12" borderId="277" xfId="0" applyNumberFormat="1" applyFont="1" applyFill="1" applyBorder="1" applyAlignment="1">
      <alignment horizontal="center"/>
    </xf>
    <xf numFmtId="10" fontId="4" fillId="12" borderId="278" xfId="0" applyNumberFormat="1" applyFont="1" applyFill="1" applyBorder="1" applyAlignment="1">
      <alignment horizontal="center"/>
    </xf>
    <xf numFmtId="0" fontId="8" fillId="0" borderId="246" xfId="0" applyFont="1" applyFill="1" applyBorder="1" applyProtection="1">
      <protection locked="0"/>
    </xf>
    <xf numFmtId="0" fontId="8" fillId="0" borderId="247" xfId="0" applyFont="1" applyFill="1" applyBorder="1" applyProtection="1">
      <protection locked="0"/>
    </xf>
    <xf numFmtId="0" fontId="0" fillId="0" borderId="246" xfId="0" applyFill="1" applyBorder="1"/>
    <xf numFmtId="0" fontId="0" fillId="0" borderId="247" xfId="0" applyFill="1" applyBorder="1"/>
    <xf numFmtId="0" fontId="7" fillId="0" borderId="0" xfId="0" applyFont="1"/>
    <xf numFmtId="0" fontId="8" fillId="0" borderId="0" xfId="0" applyFont="1" applyFill="1" applyBorder="1" applyProtection="1">
      <protection locked="0"/>
    </xf>
    <xf numFmtId="10" fontId="8" fillId="0" borderId="247" xfId="0" applyNumberFormat="1" applyFont="1" applyFill="1" applyBorder="1" applyAlignment="1" applyProtection="1">
      <alignment horizontal="center"/>
      <protection locked="0"/>
    </xf>
    <xf numFmtId="43" fontId="0" fillId="0" borderId="0" xfId="4" applyFont="1"/>
    <xf numFmtId="164" fontId="0" fillId="0" borderId="0" xfId="0" applyNumberFormat="1"/>
    <xf numFmtId="4" fontId="0" fillId="0" borderId="0" xfId="0" applyNumberFormat="1" applyFont="1"/>
    <xf numFmtId="0" fontId="8" fillId="6" borderId="247" xfId="0" applyFont="1" applyFill="1" applyBorder="1" applyProtection="1">
      <protection locked="0"/>
    </xf>
    <xf numFmtId="4" fontId="8" fillId="0" borderId="247" xfId="0" applyNumberFormat="1" applyFont="1" applyFill="1" applyBorder="1" applyAlignment="1" applyProtection="1">
      <alignment horizontal="center"/>
      <protection locked="0"/>
    </xf>
    <xf numFmtId="0" fontId="8" fillId="0" borderId="247" xfId="0" applyNumberFormat="1" applyFont="1" applyFill="1" applyBorder="1" applyAlignment="1" applyProtection="1">
      <alignment horizontal="center"/>
      <protection locked="0"/>
    </xf>
    <xf numFmtId="10" fontId="8" fillId="0" borderId="0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Fill="1" applyBorder="1" applyAlignment="1" applyProtection="1">
      <alignment horizontal="center"/>
      <protection locked="0"/>
    </xf>
    <xf numFmtId="164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82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83" xfId="0" applyFont="1" applyBorder="1" applyAlignment="1">
      <alignment horizontal="center"/>
    </xf>
    <xf numFmtId="10" fontId="8" fillId="0" borderId="284" xfId="0" applyNumberFormat="1" applyFont="1" applyFill="1" applyBorder="1" applyAlignment="1" applyProtection="1">
      <alignment horizontal="center"/>
      <protection locked="0"/>
    </xf>
    <xf numFmtId="164" fontId="0" fillId="0" borderId="0" xfId="0" applyNumberFormat="1" applyBorder="1"/>
    <xf numFmtId="10" fontId="0" fillId="0" borderId="283" xfId="0" applyNumberFormat="1" applyBorder="1"/>
    <xf numFmtId="10" fontId="8" fillId="0" borderId="285" xfId="0" applyNumberFormat="1" applyFont="1" applyFill="1" applyBorder="1" applyAlignment="1" applyProtection="1">
      <alignment horizontal="center"/>
      <protection locked="0"/>
    </xf>
    <xf numFmtId="164" fontId="0" fillId="0" borderId="286" xfId="0" applyNumberFormat="1" applyBorder="1"/>
    <xf numFmtId="10" fontId="0" fillId="0" borderId="287" xfId="0" applyNumberFormat="1" applyBorder="1"/>
    <xf numFmtId="0" fontId="0" fillId="0" borderId="279" xfId="0" applyBorder="1"/>
    <xf numFmtId="10" fontId="0" fillId="0" borderId="280" xfId="0" applyNumberFormat="1" applyBorder="1"/>
    <xf numFmtId="164" fontId="0" fillId="0" borderId="280" xfId="0" applyNumberFormat="1" applyBorder="1"/>
    <xf numFmtId="10" fontId="0" fillId="0" borderId="281" xfId="0" applyNumberFormat="1" applyBorder="1"/>
    <xf numFmtId="0" fontId="0" fillId="0" borderId="282" xfId="0" applyBorder="1"/>
    <xf numFmtId="10" fontId="0" fillId="0" borderId="0" xfId="0" applyNumberFormat="1" applyBorder="1"/>
    <xf numFmtId="0" fontId="8" fillId="0" borderId="284" xfId="0" applyFont="1" applyFill="1" applyBorder="1" applyProtection="1">
      <protection locked="0"/>
    </xf>
    <xf numFmtId="0" fontId="0" fillId="0" borderId="0" xfId="0" applyBorder="1"/>
    <xf numFmtId="0" fontId="0" fillId="0" borderId="283" xfId="0" applyBorder="1"/>
    <xf numFmtId="0" fontId="0" fillId="0" borderId="288" xfId="0" applyBorder="1"/>
    <xf numFmtId="10" fontId="0" fillId="0" borderId="286" xfId="0" applyNumberFormat="1" applyBorder="1"/>
    <xf numFmtId="0" fontId="0" fillId="0" borderId="286" xfId="0" applyBorder="1"/>
    <xf numFmtId="10" fontId="0" fillId="0" borderId="282" xfId="0" applyNumberFormat="1" applyBorder="1" applyAlignment="1">
      <alignment horizontal="center"/>
    </xf>
    <xf numFmtId="10" fontId="0" fillId="0" borderId="288" xfId="0" applyNumberFormat="1" applyBorder="1" applyAlignment="1">
      <alignment horizontal="center"/>
    </xf>
    <xf numFmtId="0" fontId="14" fillId="12" borderId="224" xfId="0" applyFont="1" applyFill="1" applyBorder="1" applyAlignment="1">
      <alignment horizontal="center"/>
    </xf>
    <xf numFmtId="0" fontId="14" fillId="12" borderId="225" xfId="0" applyFont="1" applyFill="1" applyBorder="1" applyAlignment="1">
      <alignment horizontal="center"/>
    </xf>
    <xf numFmtId="0" fontId="6" fillId="7" borderId="19" xfId="0" applyFont="1" applyFill="1" applyBorder="1" applyAlignment="1">
      <alignment horizontal="center" vertical="center"/>
    </xf>
    <xf numFmtId="0" fontId="6" fillId="7" borderId="20" xfId="0" applyFont="1" applyFill="1" applyBorder="1" applyAlignment="1">
      <alignment horizontal="center" vertical="center"/>
    </xf>
    <xf numFmtId="0" fontId="6" fillId="7" borderId="21" xfId="0" applyFont="1" applyFill="1" applyBorder="1" applyAlignment="1">
      <alignment horizontal="center" vertical="center"/>
    </xf>
    <xf numFmtId="14" fontId="1" fillId="8" borderId="0" xfId="0" applyNumberFormat="1" applyFont="1" applyFill="1" applyAlignment="1">
      <alignment horizontal="left"/>
    </xf>
    <xf numFmtId="14" fontId="1" fillId="8" borderId="15" xfId="0" applyNumberFormat="1" applyFont="1" applyFill="1" applyBorder="1" applyAlignment="1">
      <alignment horizontal="left"/>
    </xf>
    <xf numFmtId="0" fontId="7" fillId="0" borderId="279" xfId="0" applyFont="1" applyBorder="1" applyAlignment="1">
      <alignment horizontal="center"/>
    </xf>
    <xf numFmtId="0" fontId="7" fillId="0" borderId="280" xfId="0" applyFont="1" applyBorder="1" applyAlignment="1">
      <alignment horizontal="center"/>
    </xf>
    <xf numFmtId="0" fontId="7" fillId="0" borderId="281" xfId="0" applyFont="1" applyBorder="1" applyAlignment="1">
      <alignment horizontal="center"/>
    </xf>
    <xf numFmtId="0" fontId="6" fillId="9" borderId="243" xfId="0" applyFont="1" applyFill="1" applyBorder="1" applyAlignment="1">
      <alignment horizontal="center" vertical="center"/>
    </xf>
    <xf numFmtId="0" fontId="6" fillId="9" borderId="244" xfId="0" applyFont="1" applyFill="1" applyBorder="1" applyAlignment="1">
      <alignment horizontal="center" vertical="center"/>
    </xf>
    <xf numFmtId="0" fontId="6" fillId="9" borderId="245" xfId="0" applyFont="1" applyFill="1" applyBorder="1" applyAlignment="1">
      <alignment horizontal="center" vertical="center"/>
    </xf>
    <xf numFmtId="14" fontId="1" fillId="4" borderId="247" xfId="0" applyNumberFormat="1" applyFont="1" applyFill="1" applyBorder="1" applyAlignment="1">
      <alignment horizontal="center"/>
    </xf>
    <xf numFmtId="14" fontId="1" fillId="4" borderId="248" xfId="0" applyNumberFormat="1" applyFont="1" applyFill="1" applyBorder="1" applyAlignment="1">
      <alignment horizontal="center"/>
    </xf>
    <xf numFmtId="0" fontId="6" fillId="10" borderId="258" xfId="0" applyFont="1" applyFill="1" applyBorder="1" applyAlignment="1">
      <alignment horizontal="center" vertical="center"/>
    </xf>
    <xf numFmtId="0" fontId="6" fillId="10" borderId="259" xfId="0" applyFont="1" applyFill="1" applyBorder="1" applyAlignment="1">
      <alignment horizontal="center" vertical="center"/>
    </xf>
    <xf numFmtId="0" fontId="6" fillId="10" borderId="260" xfId="0" applyFont="1" applyFill="1" applyBorder="1" applyAlignment="1">
      <alignment horizontal="center" vertical="center"/>
    </xf>
    <xf numFmtId="14" fontId="1" fillId="11" borderId="261" xfId="0" applyNumberFormat="1" applyFont="1" applyFill="1" applyBorder="1" applyAlignment="1">
      <alignment horizontal="center"/>
    </xf>
    <xf numFmtId="14" fontId="1" fillId="11" borderId="262" xfId="0" applyNumberFormat="1" applyFont="1" applyFill="1" applyBorder="1" applyAlignment="1">
      <alignment horizontal="center"/>
    </xf>
    <xf numFmtId="14" fontId="1" fillId="11" borderId="263" xfId="0" applyNumberFormat="1" applyFont="1" applyFill="1" applyBorder="1" applyAlignment="1">
      <alignment horizontal="center"/>
    </xf>
    <xf numFmtId="0" fontId="6" fillId="12" borderId="99" xfId="0" applyFont="1" applyFill="1" applyBorder="1" applyAlignment="1">
      <alignment horizontal="center" vertical="center"/>
    </xf>
    <xf numFmtId="0" fontId="6" fillId="12" borderId="100" xfId="0" applyFont="1" applyFill="1" applyBorder="1" applyAlignment="1">
      <alignment horizontal="center" vertical="center"/>
    </xf>
    <xf numFmtId="0" fontId="6" fillId="12" borderId="101" xfId="0" applyFont="1" applyFill="1" applyBorder="1" applyAlignment="1">
      <alignment horizontal="center" vertical="center"/>
    </xf>
    <xf numFmtId="14" fontId="1" fillId="11" borderId="0" xfId="0" applyNumberFormat="1" applyFont="1" applyFill="1" applyBorder="1" applyAlignment="1">
      <alignment horizontal="center"/>
    </xf>
    <xf numFmtId="14" fontId="1" fillId="11" borderId="91" xfId="0" applyNumberFormat="1" applyFont="1" applyFill="1" applyBorder="1" applyAlignment="1">
      <alignment horizontal="center"/>
    </xf>
    <xf numFmtId="0" fontId="6" fillId="13" borderId="111" xfId="0" applyFont="1" applyFill="1" applyBorder="1" applyAlignment="1">
      <alignment horizontal="center" vertical="center"/>
    </xf>
    <xf numFmtId="0" fontId="6" fillId="13" borderId="112" xfId="0" applyFont="1" applyFill="1" applyBorder="1" applyAlignment="1">
      <alignment horizontal="center" vertical="center"/>
    </xf>
    <xf numFmtId="0" fontId="6" fillId="13" borderId="113" xfId="0" applyFont="1" applyFill="1" applyBorder="1" applyAlignment="1">
      <alignment horizontal="center" vertical="center"/>
    </xf>
    <xf numFmtId="14" fontId="1" fillId="11" borderId="107" xfId="0" applyNumberFormat="1" applyFont="1" applyFill="1" applyBorder="1" applyAlignment="1">
      <alignment horizontal="center"/>
    </xf>
    <xf numFmtId="0" fontId="6" fillId="5" borderId="267" xfId="0" applyFont="1" applyFill="1" applyBorder="1" applyAlignment="1">
      <alignment horizontal="center" vertical="center"/>
    </xf>
    <xf numFmtId="0" fontId="6" fillId="5" borderId="268" xfId="0" applyFont="1" applyFill="1" applyBorder="1" applyAlignment="1">
      <alignment horizontal="center" vertical="center"/>
    </xf>
    <xf numFmtId="0" fontId="6" fillId="5" borderId="269" xfId="0" applyFont="1" applyFill="1" applyBorder="1" applyAlignment="1">
      <alignment horizontal="center" vertical="center"/>
    </xf>
    <xf numFmtId="14" fontId="1" fillId="11" borderId="271" xfId="0" applyNumberFormat="1" applyFont="1" applyFill="1" applyBorder="1" applyAlignment="1">
      <alignment horizontal="left"/>
    </xf>
    <xf numFmtId="14" fontId="1" fillId="11" borderId="272" xfId="0" applyNumberFormat="1" applyFont="1" applyFill="1" applyBorder="1" applyAlignment="1">
      <alignment horizontal="left"/>
    </xf>
    <xf numFmtId="0" fontId="6" fillId="14" borderId="48" xfId="0" applyFont="1" applyFill="1" applyBorder="1" applyAlignment="1">
      <alignment horizontal="center" vertical="center"/>
    </xf>
    <xf numFmtId="0" fontId="6" fillId="14" borderId="49" xfId="0" applyFont="1" applyFill="1" applyBorder="1" applyAlignment="1">
      <alignment horizontal="center" vertical="center"/>
    </xf>
    <xf numFmtId="0" fontId="6" fillId="14" borderId="50" xfId="0" applyFont="1" applyFill="1" applyBorder="1" applyAlignment="1">
      <alignment horizontal="center" vertical="center"/>
    </xf>
    <xf numFmtId="14" fontId="1" fillId="11" borderId="0" xfId="0" applyNumberFormat="1" applyFont="1" applyFill="1" applyAlignment="1">
      <alignment horizontal="left"/>
    </xf>
    <xf numFmtId="14" fontId="1" fillId="11" borderId="52" xfId="0" applyNumberFormat="1" applyFont="1" applyFill="1" applyBorder="1" applyAlignment="1">
      <alignment horizontal="left"/>
    </xf>
    <xf numFmtId="0" fontId="6" fillId="6" borderId="65" xfId="0" applyFont="1" applyFill="1" applyBorder="1" applyAlignment="1">
      <alignment horizontal="center" vertical="center"/>
    </xf>
    <xf numFmtId="0" fontId="6" fillId="6" borderId="66" xfId="0" applyFont="1" applyFill="1" applyBorder="1" applyAlignment="1">
      <alignment horizontal="center" vertical="center"/>
    </xf>
    <xf numFmtId="0" fontId="6" fillId="6" borderId="67" xfId="0" applyFont="1" applyFill="1" applyBorder="1" applyAlignment="1">
      <alignment horizontal="center" vertical="center"/>
    </xf>
    <xf numFmtId="14" fontId="1" fillId="11" borderId="69" xfId="0" applyNumberFormat="1" applyFont="1" applyFill="1" applyBorder="1" applyAlignment="1">
      <alignment horizontal="left"/>
    </xf>
    <xf numFmtId="164" fontId="0" fillId="19" borderId="0" xfId="0" applyNumberFormat="1" applyFill="1" applyBorder="1"/>
  </cellXfs>
  <cellStyles count="5">
    <cellStyle name="Comma" xfId="4" builtinId="3"/>
    <cellStyle name="Normal" xfId="0" builtinId="0"/>
    <cellStyle name="Normal 2" xfId="3" xr:uid="{00000000-0005-0000-0000-000001000000}"/>
    <cellStyle name="Normal 3" xfId="2" xr:uid="{00000000-0005-0000-0000-000002000000}"/>
    <cellStyle name="Percent" xfId="1" builtinId="5"/>
  </cellStyles>
  <dxfs count="518">
    <dxf>
      <numFmt numFmtId="0" formatCode="General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4" formatCode="0.00%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indexed="64"/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numFmt numFmtId="14" formatCode="0.00%"/>
      <fill>
        <patternFill>
          <fgColor indexed="64"/>
          <bgColor theme="0"/>
        </patternFill>
      </fill>
      <border diagonalUp="0" diagonalDown="0">
        <left style="dotted">
          <color theme="9"/>
        </left>
        <right/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numFmt numFmtId="14" formatCode="0.00%"/>
      <fill>
        <patternFill>
          <fgColor indexed="64"/>
          <bgColor theme="0"/>
        </patternFill>
      </fill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numFmt numFmtId="14" formatCode="0.00%"/>
      <fill>
        <patternFill>
          <fgColor indexed="64"/>
          <bgColor theme="0"/>
        </patternFill>
      </fill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 style="dotted">
          <color theme="9"/>
        </right>
        <top style="dotted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/>
        <right style="dotted">
          <color theme="9"/>
        </right>
        <top style="dotted">
          <color theme="9"/>
        </top>
        <bottom style="dotted">
          <color theme="9"/>
        </bottom>
      </border>
      <protection locked="0" hidden="0"/>
    </dxf>
    <dxf>
      <border>
        <top style="dotted">
          <color rgb="FF70AD47"/>
        </top>
      </border>
    </dxf>
    <dxf>
      <border diagonalUp="0" diagonalDown="0">
        <left style="medium">
          <color rgb="FF70AD47"/>
        </left>
        <right style="medium">
          <color rgb="FF70AD47"/>
        </right>
        <top style="medium">
          <color rgb="FF70AD47"/>
        </top>
        <bottom style="medium">
          <color rgb="FF70AD47"/>
        </bottom>
      </border>
    </dxf>
    <dxf>
      <border>
        <bottom style="dotted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/>
        <bottom/>
        <vertical style="dotted">
          <color theme="9"/>
        </vertical>
        <horizontal style="dotted">
          <color theme="9"/>
        </horizontal>
      </border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/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dotted">
          <color theme="9"/>
        </right>
        <top style="dotted">
          <color theme="9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0" hidden="0"/>
    </dxf>
    <dxf>
      <border>
        <top style="dotted">
          <color theme="9"/>
        </top>
      </border>
    </dxf>
    <dxf>
      <border diagonalUp="0" diagonalDown="0">
        <left style="medium">
          <color theme="9"/>
        </left>
        <right style="medium">
          <color theme="9"/>
        </right>
        <top style="medium">
          <color theme="9"/>
        </top>
        <bottom style="medium">
          <color theme="9"/>
        </bottom>
      </border>
    </dxf>
    <dxf>
      <border>
        <bottom style="dotted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/>
        <bottom/>
        <vertical style="dotted">
          <color theme="9"/>
        </vertical>
        <horizontal style="dotted">
          <color theme="9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/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dotted">
          <color theme="9"/>
        </right>
        <top style="dotted">
          <color rgb="FF70AD47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0" hidden="0"/>
    </dxf>
    <dxf>
      <border>
        <top style="dotted">
          <color rgb="FF70AD47"/>
        </top>
      </border>
    </dxf>
    <dxf>
      <border diagonalUp="0" diagonalDown="0">
        <left style="medium">
          <color rgb="FF70AD47"/>
        </left>
        <right style="medium">
          <color rgb="FF70AD47"/>
        </right>
        <top style="medium">
          <color rgb="FF70AD47"/>
        </top>
        <bottom style="medium">
          <color rgb="FF70AD47"/>
        </bottom>
      </border>
    </dxf>
    <dxf>
      <border>
        <bottom style="dotted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/>
        <bottom/>
        <vertical style="dotted">
          <color theme="9"/>
        </vertical>
        <horizontal style="dotted">
          <color theme="9"/>
        </horizontal>
      </border>
      <protection locked="1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/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numFmt numFmtId="14" formatCode="0.00%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4" formatCode="0.00%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border diagonalUp="0" diagonalDown="0" outline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dotted">
          <color theme="9"/>
        </left>
        <right style="dotted">
          <color theme="9"/>
        </right>
        <top style="dotted">
          <color rgb="FF70AD47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dotted">
          <color theme="9"/>
        </right>
        <top style="dotted">
          <color rgb="FF70AD47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dotted">
          <color theme="9"/>
        </right>
        <top style="dotted">
          <color theme="9"/>
        </top>
        <bottom style="dotted">
          <color theme="9"/>
        </bottom>
        <vertical style="dotted">
          <color theme="9"/>
        </vertical>
        <horizontal style="dotted">
          <color theme="9"/>
        </horizontal>
      </border>
      <protection locked="0" hidden="0"/>
    </dxf>
    <dxf>
      <border>
        <top style="dotted">
          <color rgb="FF70AD47"/>
        </top>
      </border>
    </dxf>
    <dxf>
      <border diagonalUp="0" diagonalDown="0">
        <left style="medium">
          <color rgb="FF70AD47"/>
        </left>
        <right style="medium">
          <color rgb="FF70AD47"/>
        </right>
        <top style="medium">
          <color rgb="FF70AD47"/>
        </top>
        <bottom style="medium">
          <color rgb="FF70AD47"/>
        </bottom>
      </border>
    </dxf>
    <dxf>
      <border>
        <bottom style="dotted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scheme val="minor"/>
      </font>
      <numFmt numFmtId="14" formatCode="0.00%"/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dotted">
          <color theme="9"/>
        </left>
        <right style="dotted">
          <color theme="9"/>
        </right>
        <top/>
        <bottom/>
        <vertical style="dotted">
          <color theme="9"/>
        </vertical>
        <horizontal style="dotted">
          <color theme="9"/>
        </horizontal>
      </border>
      <protection locked="1" hidden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1"/>
      </font>
      <fill>
        <patternFill>
          <bgColor rgb="FFFF7C80"/>
        </patternFill>
      </fill>
    </dxf>
    <dxf>
      <font>
        <b/>
        <i val="0"/>
        <u val="none"/>
        <color theme="9" tint="-0.499984740745262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E0000"/>
      <color rgb="FF16365C"/>
      <color rgb="FFFFD9D9"/>
      <color rgb="FF632523"/>
      <color rgb="FF03611C"/>
      <color rgb="FFFFFF66"/>
      <color rgb="FFD7D7D7"/>
      <color rgb="FFFF7C80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B302899-072C-40D8-99B9-0F1C1B7ECDA0}" name="Table36" displayName="Table36" ref="A3:L39" totalsRowCount="1" headerRowDxfId="459" headerRowBorderDxfId="458" tableBorderDxfId="457" totalsRowBorderDxfId="456">
  <autoFilter ref="A3:L38" xr:uid="{64B44404-7BD3-4639-8225-B67DD2D29368}"/>
  <sortState xmlns:xlrd2="http://schemas.microsoft.com/office/spreadsheetml/2017/richdata2" ref="A4:L32">
    <sortCondition ref="D3:D32"/>
  </sortState>
  <tableColumns count="12">
    <tableColumn id="1" xr3:uid="{1CA73A13-A1F0-4191-ADE6-9BCAD6CFB08E}" name="ISIN Code" totalsRowLabel="Total" dataDxfId="455" totalsRowDxfId="454"/>
    <tableColumn id="2" xr3:uid="{7F6A5903-7E0C-4862-80DE-8DE4B1444921}" name="Fund Name" dataDxfId="453" totalsRowDxfId="452">
      <calculatedColumnFormula>IFERROR(VLOOKUP(A4,NoviaFunds[],2,FALSE),"")</calculatedColumnFormula>
    </tableColumn>
    <tableColumn id="3" xr3:uid="{413BB7EB-7BCF-42CC-B48C-40536EBB90D0}" name="Date of inclusion" dataDxfId="451" totalsRowDxfId="450"/>
    <tableColumn id="4" xr3:uid="{F6E45B49-2CD0-4AEE-990D-EE4CB5ED6158}" name="Sector" dataDxfId="449" totalsRowDxfId="448">
      <calculatedColumnFormula>IFERROR(VLOOKUP(A4,NoviaFunds[],6,FALSE),"")</calculatedColumnFormula>
    </tableColumn>
    <tableColumn id="5" xr3:uid="{42543DFE-17FD-4C89-820F-AD8C548339C0}" name="Defender" dataDxfId="447" totalsRowDxfId="446">
      <calculatedColumnFormula>IFERROR(VLOOKUP(Table36[[#This Row],[ISIN Code]],'DT03 Defender'!$A$4:$J$32,6,FALSE),"")</calculatedColumnFormula>
    </tableColumn>
    <tableColumn id="6" xr3:uid="{09109DD2-BAB3-445F-9886-3A2E16C414B7}" name="Prudence" dataDxfId="445" totalsRowDxfId="444">
      <calculatedColumnFormula>IFERROR(VLOOKUP(Table36[[#This Row],[ISIN Code]],'DT04 Prudence'!$A$4:$J$32,6,FALSE),"")</calculatedColumnFormula>
    </tableColumn>
    <tableColumn id="7" xr3:uid="{D2D99B1A-B9D1-4625-823F-542A11CDBCF0}" name="Navigator" dataDxfId="443" totalsRowDxfId="442">
      <calculatedColumnFormula>IFERROR(VLOOKUP(Table36[[#This Row],[ISIN Code]],'DT05 Navigator'!$A$4:$J$32,6,FALSE),"")</calculatedColumnFormula>
    </tableColumn>
    <tableColumn id="8" xr3:uid="{5519C547-0D60-4366-9A4E-120170742794}" name="Meridian" dataDxfId="441" totalsRowDxfId="440">
      <calculatedColumnFormula>IFERROR(VLOOKUP(Table36[[#This Row],[ISIN Code]],'DT06 Meridian'!$A$4:$J$32,6,FALSE),"")</calculatedColumnFormula>
    </tableColumn>
    <tableColumn id="9" xr3:uid="{A66789BD-259C-487C-BAEF-D69D5DD3DE34}" name="Explorer" dataDxfId="439" totalsRowDxfId="438">
      <calculatedColumnFormula>IFERROR(VLOOKUP(Table36[[#This Row],[ISIN Code]],'DT07 Explorer'!$A$4:$J$32,6,FALSE),"")</calculatedColumnFormula>
    </tableColumn>
    <tableColumn id="10" xr3:uid="{AC69E7F0-0F6C-4EE3-8F1F-9FF4A36AC08A}" name="Voyager" dataDxfId="437" totalsRowDxfId="436">
      <calculatedColumnFormula>IFERROR(VLOOKUP(Table36[[#This Row],[ISIN Code]],'DT08 Voyager'!$A$4:$J$39,6,FALSE),"")</calculatedColumnFormula>
    </tableColumn>
    <tableColumn id="11" xr3:uid="{6BF0B974-87E0-468B-A4AF-A06FD36BB4DD}" name="Adventurer" dataDxfId="435" totalsRowDxfId="434">
      <calculatedColumnFormula>IFERROR(VLOOKUP(Table36[[#This Row],[ISIN Code]],'DT09 Adventurer'!$A$4:$J$38,6,FALSE),"")</calculatedColumnFormula>
    </tableColumn>
    <tableColumn id="12" xr3:uid="{3B88C940-A1C7-4E27-A26E-ECEFAB4E53FD}" name="Pioneer" totalsRowFunction="count" dataDxfId="433" totalsRowDxfId="432">
      <calculatedColumnFormula>IFERROR(VLOOKUP(Table36[[#This Row],[ISIN Code]],'DT10 Pioneer'!$A$4:$J$38,6,FALSE),"")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9371D5-5DE5-493A-88E7-61D712E898B0}" name="Table367" displayName="Table367" ref="A3:L39" totalsRowCount="1" headerRowDxfId="411" headerRowBorderDxfId="410" tableBorderDxfId="409" totalsRowBorderDxfId="408">
  <autoFilter ref="A3:L38" xr:uid="{64B44404-7BD3-4639-8225-B67DD2D29368}"/>
  <sortState xmlns:xlrd2="http://schemas.microsoft.com/office/spreadsheetml/2017/richdata2" ref="A4:L28">
    <sortCondition ref="D3:D28"/>
  </sortState>
  <tableColumns count="12">
    <tableColumn id="1" xr3:uid="{5A348925-216F-45C1-9663-CCEC9906EB4E}" name="ISIN Code" totalsRowLabel="Total" dataDxfId="407" totalsRowDxfId="406"/>
    <tableColumn id="2" xr3:uid="{34E1A59E-2A76-4E0A-818B-A19A824BBC70}" name="Fund Name" dataDxfId="405" totalsRowDxfId="404">
      <calculatedColumnFormula>IFERROR(VLOOKUP(A4,NoviaFunds[],2,FALSE),"")</calculatedColumnFormula>
    </tableColumn>
    <tableColumn id="3" xr3:uid="{554709BB-EF0F-4827-8F89-B531AD531D03}" name="Date of inclusion" dataDxfId="403" totalsRowDxfId="402"/>
    <tableColumn id="4" xr3:uid="{D567B845-52CC-46A8-8B53-050EF60249A8}" name="Sector" dataDxfId="401" totalsRowDxfId="400">
      <calculatedColumnFormula>IFERROR(VLOOKUP(A4,NoviaFunds[],6,FALSE),"")</calculatedColumnFormula>
    </tableColumn>
    <tableColumn id="5" xr3:uid="{75DFF43F-C165-45FA-AABA-911782CCA9A4}" name="Defender" totalsRowFunction="sum" dataDxfId="399" totalsRowDxfId="398">
      <calculatedColumnFormula>IFERROR(VLOOKUP(Table367[[#This Row],[ISIN Code]],'DT03 Defender'!$A$4:$J$32,6,FALSE),"")</calculatedColumnFormula>
    </tableColumn>
    <tableColumn id="6" xr3:uid="{482FFFE0-1EE7-4F31-A84D-857530863DF2}" name="Prudence" totalsRowFunction="sum" dataDxfId="397" totalsRowDxfId="396">
      <calculatedColumnFormula>IFERROR(VLOOKUP(Table367[[#This Row],[ISIN Code]],'DT04 Prudence'!$A$4:$J$32,6,FALSE),"")</calculatedColumnFormula>
    </tableColumn>
    <tableColumn id="7" xr3:uid="{12AD994E-BD9B-4BFE-A297-91B040C305E6}" name="Navigator" totalsRowFunction="sum" dataDxfId="395" totalsRowDxfId="394">
      <calculatedColumnFormula>IFERROR(VLOOKUP(Table367[[#This Row],[ISIN Code]],'DT05 Navigator'!$A$4:$J$32,6,FALSE),"")</calculatedColumnFormula>
    </tableColumn>
    <tableColumn id="8" xr3:uid="{75968A8C-F4E8-4C28-89A5-1C04BC7F6033}" name="Meridian" totalsRowFunction="sum" dataDxfId="393" totalsRowDxfId="392">
      <calculatedColumnFormula>IFERROR(VLOOKUP(Table367[[#This Row],[ISIN Code]],'DT06 Meridian'!$A$4:$J$32,6,FALSE),"")</calculatedColumnFormula>
    </tableColumn>
    <tableColumn id="9" xr3:uid="{9B081AB6-8A0E-42B5-BF19-7478CCE0B319}" name="Explorer" totalsRowFunction="sum" dataDxfId="391" totalsRowDxfId="390">
      <calculatedColumnFormula>IFERROR(VLOOKUP(Table367[[#This Row],[ISIN Code]],'DT07 Explorer'!$A$4:$J$32,6,FALSE),"")</calculatedColumnFormula>
    </tableColumn>
    <tableColumn id="10" xr3:uid="{5B5960D0-D0C1-4B90-9701-ECEFD18A061B}" name="Voyager" totalsRowFunction="sum" dataDxfId="389" totalsRowDxfId="388">
      <calculatedColumnFormula>IFERROR(VLOOKUP(Table367[[#This Row],[ISIN Code]],'DT08 Voyager'!$A$4:$J$39,6,FALSE),"")</calculatedColumnFormula>
    </tableColumn>
    <tableColumn id="11" xr3:uid="{946ECC56-5900-4004-BED8-3C5CFE8F5CDB}" name="Adventurer" totalsRowFunction="sum" dataDxfId="387" totalsRowDxfId="386">
      <calculatedColumnFormula>IFERROR(VLOOKUP(Table367[[#This Row],[ISIN Code]],'DT09 Adventurer'!$A$4:$J$38,6,FALSE),"")</calculatedColumnFormula>
    </tableColumn>
    <tableColumn id="12" xr3:uid="{C220D3BF-6056-42E5-8061-F095BC6D2DF9}" name="Pioneer" totalsRowFunction="sum" dataDxfId="385" totalsRowDxfId="384">
      <calculatedColumnFormula>IFERROR(VLOOKUP(Table367[[#This Row],[ISIN Code]],'DT10 Pioneer'!$A$4:$J$38,6,FALSE),"")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8B29DA-741A-46B0-9D3F-71CFD63A8763}" name="Table3" displayName="Table3" ref="A3:L40" totalsRowCount="1" headerRowDxfId="106" headerRowBorderDxfId="105" tableBorderDxfId="104" totalsRowBorderDxfId="103">
  <autoFilter ref="A3:L39" xr:uid="{64B44404-7BD3-4639-8225-B67DD2D29368}"/>
  <sortState xmlns:xlrd2="http://schemas.microsoft.com/office/spreadsheetml/2017/richdata2" ref="A4:L37">
    <sortCondition ref="D3:D37"/>
  </sortState>
  <tableColumns count="12">
    <tableColumn id="1" xr3:uid="{EE40367B-58EF-41A6-AA57-BAC9D531743A}" name="ISIN Code" dataDxfId="102" totalsRowDxfId="101"/>
    <tableColumn id="2" xr3:uid="{3BFA2B01-9D8D-47FF-8D96-322716B90E73}" name="Fund Name" dataDxfId="100" totalsRowDxfId="99">
      <calculatedColumnFormula>IFERROR(VLOOKUP(A4,NoviaFunds[],2,FALSE),"")</calculatedColumnFormula>
    </tableColumn>
    <tableColumn id="3" xr3:uid="{63365149-1AC7-43D5-AF53-7D708587D75D}" name="Date of inclusion" dataDxfId="98" totalsRowDxfId="97"/>
    <tableColumn id="4" xr3:uid="{718B1D00-8FF9-4A90-8681-9FD22F134955}" name="Sector" dataDxfId="96" totalsRowDxfId="95">
      <calculatedColumnFormula>IFERROR(VLOOKUP(A4,NoviaFunds[],6,FALSE),"")</calculatedColumnFormula>
    </tableColumn>
    <tableColumn id="5" xr3:uid="{C09F600F-7718-4260-BD6F-415F5B19C54C}" name="Defender" totalsRowFunction="sum" dataDxfId="94" totalsRowDxfId="93">
      <calculatedColumnFormula>IFERROR(VLOOKUP(Table3[[#This Row],[ISIN Code]],'DT03 Defender'!$A$4:$J$32,6,FALSE),"")</calculatedColumnFormula>
    </tableColumn>
    <tableColumn id="6" xr3:uid="{EF919604-9990-4205-9E57-E02968713097}" name="Prudence" totalsRowFunction="sum" dataDxfId="92" totalsRowDxfId="91">
      <calculatedColumnFormula>IFERROR(VLOOKUP(Table3[[#This Row],[ISIN Code]],'DT04 Prudence'!$A$4:$J$32,6,FALSE),"")</calculatedColumnFormula>
    </tableColumn>
    <tableColumn id="7" xr3:uid="{990442DC-741E-4E99-B0DC-AE74A5DA1CFD}" name="Navigator" totalsRowFunction="sum" dataDxfId="90" totalsRowDxfId="89">
      <calculatedColumnFormula>IFERROR(VLOOKUP(Table3[[#This Row],[ISIN Code]],'DT05 Navigator'!$A$4:$J$32,6,FALSE),"")</calculatedColumnFormula>
    </tableColumn>
    <tableColumn id="8" xr3:uid="{A1FB58B7-BF87-4CAE-946E-0C7DD3C132FD}" name="Meridian" totalsRowFunction="sum" dataDxfId="88" totalsRowDxfId="87">
      <calculatedColumnFormula>IFERROR(VLOOKUP(Table3[[#This Row],[ISIN Code]],'DT06 Meridian'!$A$4:$J$32,6,FALSE),"")</calculatedColumnFormula>
    </tableColumn>
    <tableColumn id="9" xr3:uid="{A5D88560-C277-449D-90F3-16E4E127A764}" name="Explorer" totalsRowFunction="sum" dataDxfId="86" totalsRowDxfId="85">
      <calculatedColumnFormula>IFERROR(VLOOKUP(Table3[[#This Row],[ISIN Code]],'DT07 Explorer'!$A$4:$J$32,6,FALSE),"")</calculatedColumnFormula>
    </tableColumn>
    <tableColumn id="10" xr3:uid="{11C24599-F4C6-4C5E-BC0A-6FE0E1553D08}" name="Voyager" totalsRowFunction="sum" dataDxfId="84" totalsRowDxfId="83">
      <calculatedColumnFormula>IFERROR(VLOOKUP(Table3[[#This Row],[ISIN Code]],'DT08 Voyager'!$A$4:$J$39,6,FALSE),"")</calculatedColumnFormula>
    </tableColumn>
    <tableColumn id="11" xr3:uid="{74E7B88A-FB4B-45BE-8304-459A13FFEEF4}" name="Adventurer" totalsRowFunction="sum" dataDxfId="82" totalsRowDxfId="81">
      <calculatedColumnFormula>IFERROR(VLOOKUP(Table3[[#This Row],[ISIN Code]],'DT09 Adventurer'!$A$4:$J$38,6,FALSE),"")</calculatedColumnFormula>
    </tableColumn>
    <tableColumn id="12" xr3:uid="{656C6D10-7F77-450C-AE54-9D2AC5749998}" name="Pioneer" totalsRowFunction="sum" dataDxfId="80" totalsRowDxfId="79">
      <calculatedColumnFormula>IFERROR(VLOOKUP(Table3[[#This Row],[ISIN Code]],'DT10 Pioneer'!$A$4:$J$38,6,FALSE),"")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95228-3409-40E9-ACDE-EAE493A887BB}" name="Table35" displayName="Table35" ref="A3:L38" totalsRowCount="1" headerRowDxfId="47" headerRowBorderDxfId="46" tableBorderDxfId="45" totalsRowBorderDxfId="44">
  <autoFilter ref="A3:L37" xr:uid="{64B44404-7BD3-4639-8225-B67DD2D29368}"/>
  <sortState xmlns:xlrd2="http://schemas.microsoft.com/office/spreadsheetml/2017/richdata2" ref="A4:L37">
    <sortCondition ref="D4:D37"/>
    <sortCondition ref="B4:B37"/>
  </sortState>
  <tableColumns count="12">
    <tableColumn id="1" xr3:uid="{F2E23D98-2326-436E-ABBD-B42A2CD272EA}" name="ISIN Code" dataDxfId="43" totalsRowDxfId="42"/>
    <tableColumn id="2" xr3:uid="{0C1ED16A-2733-45A9-8FFA-5CFF57517939}" name="Fund Name" dataDxfId="41" totalsRowDxfId="40">
      <calculatedColumnFormula>IFERROR(VLOOKUP(A4,NoviaFunds[],2,FALSE),"")</calculatedColumnFormula>
    </tableColumn>
    <tableColumn id="3" xr3:uid="{B4C0472B-1225-4B22-BBC9-E1125F01BDC3}" name="Date of inclusion" dataDxfId="39" totalsRowDxfId="38"/>
    <tableColumn id="4" xr3:uid="{3E19DC54-C76B-42B0-BF50-30C336B4966C}" name="Sector" dataDxfId="37" totalsRowDxfId="36">
      <calculatedColumnFormula>IFERROR(VLOOKUP(A4,NoviaFunds[],6,FALSE),"")</calculatedColumnFormula>
    </tableColumn>
    <tableColumn id="5" xr3:uid="{DD95C325-8797-41E5-B1E5-313152AB01F5}" name="Defender" totalsRowFunction="sum" dataDxfId="35" totalsRowDxfId="34">
      <calculatedColumnFormula>IFERROR(VLOOKUP(Table35[[#This Row],[ISIN Code]],'DT03 Defender'!$A$4:$J$38,7,FALSE),"")</calculatedColumnFormula>
    </tableColumn>
    <tableColumn id="6" xr3:uid="{753C08E6-0516-4920-B1EC-EEF3BC62D1AF}" name="Prudence" totalsRowFunction="sum" dataDxfId="33" totalsRowDxfId="32">
      <calculatedColumnFormula>IFERROR(VLOOKUP(Table35[[#This Row],[ISIN Code]],'DT04 Prudence'!$A$4:$J$38,7,FALSE),"")</calculatedColumnFormula>
    </tableColumn>
    <tableColumn id="7" xr3:uid="{63569EB1-4DC9-40C5-AE9B-7327FE2DC1DE}" name="Navigator" totalsRowFunction="sum" dataDxfId="31" totalsRowDxfId="30">
      <calculatedColumnFormula>IFERROR(VLOOKUP(Table35[[#This Row],[ISIN Code]],'DT05 Navigator'!$A$4:$J$38,7,FALSE),"")</calculatedColumnFormula>
    </tableColumn>
    <tableColumn id="8" xr3:uid="{BD475E19-F6ED-4521-9F40-808095790973}" name="Meridian" totalsRowFunction="sum" dataDxfId="29" totalsRowDxfId="28">
      <calculatedColumnFormula>IFERROR(VLOOKUP(Table35[[#This Row],[ISIN Code]],'DT06 Meridian'!$A$4:$J$38,7,FALSE),"")</calculatedColumnFormula>
    </tableColumn>
    <tableColumn id="9" xr3:uid="{ED922B59-0C7A-4433-9790-27193414D685}" name="Explorer" totalsRowFunction="sum" dataDxfId="27" totalsRowDxfId="26">
      <calculatedColumnFormula>IFERROR(VLOOKUP(Table35[[#This Row],[ISIN Code]],'DT07 Explorer'!$A$4:$J$38,7,FALSE),"")</calculatedColumnFormula>
    </tableColumn>
    <tableColumn id="10" xr3:uid="{0BB803FA-55C1-4922-BBD9-23E454CF434F}" name="Voyager" totalsRowFunction="sum" dataDxfId="25" totalsRowDxfId="24">
      <calculatedColumnFormula>IFERROR(VLOOKUP(Table35[[#This Row],[ISIN Code]],'DT08 Voyager'!$A$4:$J$38,7,FALSE),"")</calculatedColumnFormula>
    </tableColumn>
    <tableColumn id="11" xr3:uid="{AA1C3EBB-88B1-442D-9059-7A671938CA50}" name="Adventurer" totalsRowFunction="sum" dataDxfId="23" totalsRowDxfId="22">
      <calculatedColumnFormula>IFERROR(VLOOKUP(Table35[[#This Row],[ISIN Code]],'DT09 Adventurer'!$A$4:$J$38,7,FALSE),"")</calculatedColumnFormula>
    </tableColumn>
    <tableColumn id="12" xr3:uid="{BFCF2076-8911-4C2D-A8C8-9967E457D41C}" name="Pioneer" totalsRowFunction="sum" dataDxfId="21" totalsRowDxfId="20">
      <calculatedColumnFormula>IFERROR(VLOOKUP(Table35[[#This Row],[ISIN Code]],'DT10 Pioneer'!$A$4:$J$38,7,FALSE),"")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ectors" displayName="Sectors" ref="A1:B153" totalsRowShown="0">
  <autoFilter ref="A1:B153" xr:uid="{00000000-0009-0000-0100-000002000000}"/>
  <sortState xmlns:xlrd2="http://schemas.microsoft.com/office/spreadsheetml/2017/richdata2" ref="A2:B91">
    <sortCondition ref="A1:A91"/>
  </sortState>
  <tableColumns count="2">
    <tableColumn id="1" xr3:uid="{00000000-0010-0000-0000-000001000000}" name="Sector"/>
    <tableColumn id="2" xr3:uid="{00000000-0010-0000-0000-000002000000}" name="Asset Clas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NoviaFunds" displayName="NoviaFunds" ref="A1:F4451" totalsRowShown="0" headerRowDxfId="5">
  <autoFilter ref="A1:F4451" xr:uid="{00000000-0009-0000-0100-000001000000}"/>
  <sortState xmlns:xlrd2="http://schemas.microsoft.com/office/spreadsheetml/2017/richdata2" ref="A2:F4435">
    <sortCondition ref="B1:B4435"/>
  </sortState>
  <tableColumns count="6">
    <tableColumn id="2" xr3:uid="{00000000-0010-0000-0100-000002000000}" name="ISIN" dataDxfId="4">
      <calculatedColumnFormula>'Novia Web Query'!#REF!</calculatedColumnFormula>
    </tableColumn>
    <tableColumn id="1" xr3:uid="{00000000-0010-0000-0100-000001000000}" name="FUND NAME">
      <calculatedColumnFormula>VLOOKUP(NoviaFunds[[#This Row],[ISIN]],'Novia Web Query'!$A:$E,2,FALSE)</calculatedColumnFormula>
    </tableColumn>
    <tableColumn id="3" xr3:uid="{00000000-0010-0000-0100-000003000000}" name="Sector" dataDxfId="3">
      <calculatedColumnFormula>VLOOKUP(NoviaFunds[[#This Row],[ISIN]],'Novia Web Query'!$A:$E,3,FALSE)</calculatedColumnFormula>
    </tableColumn>
    <tableColumn id="4" xr3:uid="{00000000-0010-0000-0100-000004000000}" name="OCF" dataDxfId="2">
      <calculatedColumnFormula>VLOOKUP(NoviaFunds[[#This Row],[ISIN]],'Novia Web Query'!$A:$E,4,FALSE)/100</calculatedColumnFormula>
    </tableColumn>
    <tableColumn id="5" xr3:uid="{00000000-0010-0000-0100-000005000000}" name="OCF Date" dataDxfId="1">
      <calculatedColumnFormula>VLOOKUP(NoviaFunds[[#This Row],[ISIN]],'Novia Web Query'!$A:$E,5,FALSE)</calculatedColumnFormula>
    </tableColumn>
    <tableColumn id="6" xr3:uid="{00000000-0010-0000-0100-000006000000}" name="Sector2" dataDxfId="0">
      <calculatedColumnFormula>VLOOKUP(NoviaFunds[[#This Row],[Sector]],Sectors[],2,FALSE)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Neon Theme">
  <a:themeElements>
    <a:clrScheme name="Custom 678">
      <a:dk1>
        <a:sysClr val="windowText" lastClr="000000"/>
      </a:dk1>
      <a:lt1>
        <a:sysClr val="window" lastClr="FFFFFF"/>
      </a:lt1>
      <a:dk2>
        <a:srgbClr val="A39161"/>
      </a:dk2>
      <a:lt2>
        <a:srgbClr val="E7E6E6"/>
      </a:lt2>
      <a:accent1>
        <a:srgbClr val="A39161"/>
      </a:accent1>
      <a:accent2>
        <a:srgbClr val="5E275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7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"/>
  <sheetViews>
    <sheetView workbookViewId="0">
      <selection activeCell="B4" sqref="B4"/>
    </sheetView>
  </sheetViews>
  <sheetFormatPr defaultRowHeight="14.25" x14ac:dyDescent="0.2"/>
  <cols>
    <col min="2" max="2" width="16" customWidth="1"/>
  </cols>
  <sheetData>
    <row r="3" spans="1:2" x14ac:dyDescent="0.2">
      <c r="A3" t="s">
        <v>0</v>
      </c>
      <c r="B3" s="3">
        <v>44733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1D2E-C730-4150-95DA-0159A2A4AB7C}">
  <sheetPr>
    <pageSetUpPr fitToPage="1"/>
  </sheetPr>
  <dimension ref="A1:R101"/>
  <sheetViews>
    <sheetView topLeftCell="A30" zoomScale="90" zoomScaleNormal="90" workbookViewId="0">
      <selection activeCell="G34" sqref="G34:G37"/>
    </sheetView>
  </sheetViews>
  <sheetFormatPr defaultColWidth="9" defaultRowHeight="14.25" x14ac:dyDescent="0.2"/>
  <cols>
    <col min="1" max="1" width="21" customWidth="1"/>
    <col min="2" max="3" width="17.625" customWidth="1"/>
    <col min="4" max="4" width="19.875" customWidth="1"/>
    <col min="5" max="5" width="22" customWidth="1"/>
    <col min="6" max="10" width="15.625" customWidth="1"/>
    <col min="11" max="11" width="13" customWidth="1"/>
    <col min="14" max="14" width="21.25" bestFit="1" customWidth="1"/>
  </cols>
  <sheetData>
    <row r="1" spans="1:18" ht="30" x14ac:dyDescent="0.2">
      <c r="A1" s="827" t="s">
        <v>61</v>
      </c>
      <c r="B1" s="828"/>
      <c r="C1" s="828"/>
      <c r="D1" s="828"/>
      <c r="E1" s="828"/>
      <c r="F1" s="828"/>
      <c r="G1" s="828"/>
      <c r="H1" s="828"/>
      <c r="I1" s="828"/>
      <c r="J1" s="828"/>
      <c r="K1" s="829"/>
    </row>
    <row r="2" spans="1:18" ht="15" x14ac:dyDescent="0.25">
      <c r="A2" s="47" t="s">
        <v>2</v>
      </c>
      <c r="B2" s="830">
        <f>Date</f>
        <v>44733</v>
      </c>
      <c r="C2" s="830"/>
      <c r="D2" s="830"/>
      <c r="E2" s="830"/>
      <c r="F2" s="830"/>
      <c r="G2" s="830"/>
      <c r="H2" s="830"/>
      <c r="I2" s="830"/>
      <c r="J2" s="830"/>
      <c r="K2" s="831"/>
    </row>
    <row r="3" spans="1:18" ht="15.75" x14ac:dyDescent="0.25">
      <c r="A3" s="173" t="s">
        <v>3</v>
      </c>
      <c r="B3" s="174" t="s">
        <v>4</v>
      </c>
      <c r="C3" s="174"/>
      <c r="D3" s="174"/>
      <c r="E3" s="174" t="s">
        <v>5</v>
      </c>
      <c r="F3" s="175" t="s">
        <v>9577</v>
      </c>
      <c r="G3" s="175" t="s">
        <v>9576</v>
      </c>
      <c r="H3" s="175" t="s">
        <v>9578</v>
      </c>
      <c r="I3" s="176" t="s">
        <v>9579</v>
      </c>
      <c r="J3" s="177" t="s">
        <v>9580</v>
      </c>
      <c r="K3" s="177" t="s">
        <v>9581</v>
      </c>
      <c r="O3" s="175" t="s">
        <v>9578</v>
      </c>
      <c r="P3" s="176" t="s">
        <v>9579</v>
      </c>
      <c r="Q3" s="177" t="s">
        <v>9580</v>
      </c>
      <c r="R3" s="177" t="s">
        <v>9581</v>
      </c>
    </row>
    <row r="4" spans="1:18" x14ac:dyDescent="0.2">
      <c r="A4" s="19" t="s">
        <v>11</v>
      </c>
      <c r="B4" s="21" t="s">
        <v>11</v>
      </c>
      <c r="C4" s="22"/>
      <c r="D4" s="22"/>
      <c r="E4" s="23" t="str">
        <f>IFERROR(VLOOKUP(A4,NoviaFunds[],6,FALSE),"")</f>
        <v>Cash</v>
      </c>
      <c r="F4" s="14">
        <v>0.02</v>
      </c>
      <c r="G4" s="14">
        <v>0.06</v>
      </c>
      <c r="H4" s="685">
        <f>G4-F4</f>
        <v>3.9999999999999994E-2</v>
      </c>
      <c r="I4" s="659">
        <v>3.6999999999999998E-2</v>
      </c>
      <c r="J4" s="660">
        <v>0.06</v>
      </c>
      <c r="K4" s="29">
        <v>0.06</v>
      </c>
      <c r="M4" s="7"/>
      <c r="N4" s="7" t="s">
        <v>11</v>
      </c>
      <c r="O4" s="7">
        <f ca="1">SUMIF($E$4:$E$38,$N4,H$4:H$37)</f>
        <v>3.9999999999999994E-2</v>
      </c>
      <c r="P4" s="7">
        <f t="shared" ref="P4:R4" si="0">SUMIF($E$4:$E$38,$N4,I$4:I$38)</f>
        <v>3.6999999999999998E-2</v>
      </c>
      <c r="Q4" s="7">
        <f t="shared" si="0"/>
        <v>0.06</v>
      </c>
      <c r="R4" s="7">
        <f t="shared" si="0"/>
        <v>0.06</v>
      </c>
    </row>
    <row r="5" spans="1:18" x14ac:dyDescent="0.2">
      <c r="A5" s="20" t="s">
        <v>12</v>
      </c>
      <c r="B5" s="21" t="str">
        <f>IFERROR(VLOOKUP(A5,NoviaFunds[],2,FALSE),"")</f>
        <v>Artemis Target Return Bond Fund F Acc</v>
      </c>
      <c r="C5" s="22"/>
      <c r="D5" s="22"/>
      <c r="E5" s="23" t="str">
        <f>IFERROR(VLOOKUP(A5,NoviaFunds[],6,FALSE),"")</f>
        <v>Absolute Return</v>
      </c>
      <c r="F5" s="10">
        <v>0.04</v>
      </c>
      <c r="G5" s="10">
        <v>0</v>
      </c>
      <c r="H5" s="685">
        <f t="shared" ref="H5:H38" si="1">G5-F5</f>
        <v>-0.04</v>
      </c>
      <c r="I5" s="25">
        <v>0.04</v>
      </c>
      <c r="J5" s="659">
        <v>0</v>
      </c>
      <c r="K5" s="29">
        <v>0</v>
      </c>
      <c r="M5" s="7"/>
      <c r="N5" s="7" t="s">
        <v>48</v>
      </c>
      <c r="O5" s="7">
        <f t="shared" ref="O5:O19" ca="1" si="2">SUMIF($E$4:$E$38,$N5,H$4:H$37)</f>
        <v>-0.04</v>
      </c>
      <c r="P5" s="7">
        <f t="shared" ref="P5:P19" si="3">SUMIF($E$4:$E$38,$N5,I$4:I$38)</f>
        <v>0.04</v>
      </c>
      <c r="Q5" s="7">
        <f t="shared" ref="Q5:Q19" si="4">SUMIF($E$4:$E$38,$N5,J$4:J$38)</f>
        <v>0</v>
      </c>
      <c r="R5" s="7">
        <f t="shared" ref="R5:R19" si="5">SUMIF($E$4:$E$38,$N5,K$4:K$38)</f>
        <v>0</v>
      </c>
    </row>
    <row r="6" spans="1:18" x14ac:dyDescent="0.2">
      <c r="A6" s="20" t="s">
        <v>564</v>
      </c>
      <c r="B6" s="21" t="str">
        <f>IFERROR(VLOOKUP(A6,NoviaFunds[],2,FALSE),"")</f>
        <v>ASI Asia Pacific Equity Enhanced Index B Acc in GB</v>
      </c>
      <c r="C6" s="22"/>
      <c r="D6" s="22"/>
      <c r="E6" s="23" t="str">
        <f>IFERROR(VLOOKUP(A6,NoviaFunds[],6,FALSE),"")</f>
        <v>Asia Pacific</v>
      </c>
      <c r="F6" s="10">
        <v>0</v>
      </c>
      <c r="G6" s="10">
        <v>0.03</v>
      </c>
      <c r="H6" s="685">
        <f t="shared" si="1"/>
        <v>0.03</v>
      </c>
      <c r="I6" s="660">
        <v>0.03</v>
      </c>
      <c r="J6" s="25">
        <v>0.03</v>
      </c>
      <c r="K6" s="29">
        <v>0.03</v>
      </c>
      <c r="M6" s="7"/>
      <c r="N6" s="7" t="s">
        <v>35</v>
      </c>
      <c r="O6" s="7">
        <f t="shared" ca="1" si="2"/>
        <v>-2.0000000000000011E-2</v>
      </c>
      <c r="P6" s="7">
        <f t="shared" si="3"/>
        <v>0.15000000000000002</v>
      </c>
      <c r="Q6" s="7">
        <f t="shared" si="4"/>
        <v>0.15000000000000002</v>
      </c>
      <c r="R6" s="7">
        <f t="shared" si="5"/>
        <v>0.1</v>
      </c>
    </row>
    <row r="7" spans="1:18" x14ac:dyDescent="0.2">
      <c r="A7" s="20" t="s">
        <v>1461</v>
      </c>
      <c r="B7" s="21" t="str">
        <f>IFERROR(VLOOKUP(A7,NoviaFunds[],2,FALSE),"")</f>
        <v>Baillie Gifford Pacific B Acc TR in GB</v>
      </c>
      <c r="C7" s="22"/>
      <c r="D7" s="22"/>
      <c r="E7" s="23" t="str">
        <f>IFERROR(VLOOKUP(A7,NoviaFunds[],6,FALSE),"")</f>
        <v>Asia Pacific</v>
      </c>
      <c r="F7" s="10">
        <v>0</v>
      </c>
      <c r="G7" s="10">
        <v>0.03</v>
      </c>
      <c r="H7" s="685">
        <f t="shared" si="1"/>
        <v>0.03</v>
      </c>
      <c r="I7" s="25">
        <v>0</v>
      </c>
      <c r="J7" s="25">
        <v>0</v>
      </c>
      <c r="K7" s="661">
        <v>0.03</v>
      </c>
      <c r="M7" s="7"/>
      <c r="N7" s="7" t="s">
        <v>36</v>
      </c>
      <c r="O7" s="7">
        <f t="shared" ca="1" si="2"/>
        <v>-1.9999999999999993E-2</v>
      </c>
      <c r="P7" s="7">
        <f t="shared" si="3"/>
        <v>0.12</v>
      </c>
      <c r="Q7" s="7">
        <f t="shared" si="4"/>
        <v>0.1</v>
      </c>
      <c r="R7" s="7">
        <f t="shared" si="5"/>
        <v>0.1</v>
      </c>
    </row>
    <row r="8" spans="1:18" x14ac:dyDescent="0.2">
      <c r="A8" s="20" t="s">
        <v>58</v>
      </c>
      <c r="B8" s="21" t="str">
        <f>IFERROR(VLOOKUP(A8,NoviaFunds[],2,FALSE),"")</f>
        <v>Fidelity Asia W Acc in GB</v>
      </c>
      <c r="C8" s="22"/>
      <c r="D8" s="22"/>
      <c r="E8" s="23" t="str">
        <f>IFERROR(VLOOKUP(A8,NoviaFunds[],6,FALSE),"")</f>
        <v>Asia Pacific</v>
      </c>
      <c r="F8" s="10">
        <v>7.0000000000000007E-2</v>
      </c>
      <c r="G8" s="10">
        <v>0</v>
      </c>
      <c r="H8" s="685">
        <f t="shared" si="1"/>
        <v>-7.0000000000000007E-2</v>
      </c>
      <c r="I8" s="25">
        <v>7.0000000000000007E-2</v>
      </c>
      <c r="J8" s="25">
        <v>7.0000000000000007E-2</v>
      </c>
      <c r="K8" s="662">
        <v>0</v>
      </c>
      <c r="M8" s="7"/>
      <c r="N8" s="7" t="s">
        <v>34</v>
      </c>
      <c r="O8" s="7">
        <f t="shared" ca="1" si="2"/>
        <v>0</v>
      </c>
      <c r="P8" s="7">
        <f t="shared" si="3"/>
        <v>0.05</v>
      </c>
      <c r="Q8" s="7">
        <f t="shared" si="4"/>
        <v>0.05</v>
      </c>
      <c r="R8" s="7">
        <f t="shared" si="5"/>
        <v>0.05</v>
      </c>
    </row>
    <row r="9" spans="1:18" x14ac:dyDescent="0.2">
      <c r="A9" s="20" t="s">
        <v>64</v>
      </c>
      <c r="B9" s="21" t="str">
        <f>IFERROR(VLOOKUP(A9,NoviaFunds[],2,FALSE),"")</f>
        <v>Schroder Asian Income Z Acc in GB</v>
      </c>
      <c r="C9" s="22"/>
      <c r="D9" s="22"/>
      <c r="E9" s="23" t="str">
        <f>IFERROR(VLOOKUP(A9,NoviaFunds[],6,FALSE),"")</f>
        <v>Asia Pacific</v>
      </c>
      <c r="F9" s="10">
        <v>0</v>
      </c>
      <c r="G9" s="10">
        <v>0.02</v>
      </c>
      <c r="H9" s="685">
        <f t="shared" si="1"/>
        <v>0.02</v>
      </c>
      <c r="I9" s="25">
        <v>0</v>
      </c>
      <c r="J9" s="25">
        <v>0</v>
      </c>
      <c r="K9" s="661">
        <v>0.02</v>
      </c>
      <c r="M9" s="7"/>
      <c r="N9" s="7" t="s">
        <v>40</v>
      </c>
      <c r="O9" s="7">
        <f t="shared" ca="1" si="2"/>
        <v>-0.05</v>
      </c>
      <c r="P9" s="7">
        <f t="shared" si="3"/>
        <v>0</v>
      </c>
      <c r="Q9" s="7">
        <f t="shared" si="4"/>
        <v>0</v>
      </c>
      <c r="R9" s="7">
        <f t="shared" si="5"/>
        <v>0</v>
      </c>
    </row>
    <row r="10" spans="1:18" x14ac:dyDescent="0.2">
      <c r="A10" s="20" t="s">
        <v>65</v>
      </c>
      <c r="B10" s="21" t="str">
        <f>IFERROR(VLOOKUP(A10,NoviaFunds[],2,FALSE),"")</f>
        <v>Schroder Institutional Pacific I Acc in GB</v>
      </c>
      <c r="C10" s="22"/>
      <c r="D10" s="22"/>
      <c r="E10" s="23" t="str">
        <f>IFERROR(VLOOKUP(A10,NoviaFunds[],6,FALSE),"")</f>
        <v>Asia Pacific</v>
      </c>
      <c r="F10" s="10">
        <v>0</v>
      </c>
      <c r="G10" s="10">
        <v>0.02</v>
      </c>
      <c r="H10" s="685">
        <f t="shared" si="1"/>
        <v>0.02</v>
      </c>
      <c r="I10" s="25">
        <v>0</v>
      </c>
      <c r="J10" s="25">
        <v>0</v>
      </c>
      <c r="K10" s="661">
        <v>0.02</v>
      </c>
      <c r="M10" s="7"/>
      <c r="N10" s="7" t="s">
        <v>9528</v>
      </c>
      <c r="O10" s="7">
        <f t="shared" ca="1" si="2"/>
        <v>0.04</v>
      </c>
      <c r="P10" s="7">
        <f t="shared" si="3"/>
        <v>0.04</v>
      </c>
      <c r="Q10" s="7">
        <f t="shared" si="4"/>
        <v>0.04</v>
      </c>
      <c r="R10" s="7">
        <f t="shared" si="5"/>
        <v>0.04</v>
      </c>
    </row>
    <row r="11" spans="1:18" x14ac:dyDescent="0.2">
      <c r="A11" s="20" t="s">
        <v>52</v>
      </c>
      <c r="B11" s="21" t="str">
        <f>IFERROR(VLOOKUP(A11,NoviaFunds[],2,FALSE),"")</f>
        <v>Stewart Investors Asia Pacific Leaders Sustainability B Acc GBP in GB</v>
      </c>
      <c r="C11" s="22"/>
      <c r="D11" s="22"/>
      <c r="E11" s="23" t="str">
        <f>IFERROR(VLOOKUP(A11,NoviaFunds[],6,FALSE),"")</f>
        <v>Asia Pacific</v>
      </c>
      <c r="F11" s="10">
        <v>0.05</v>
      </c>
      <c r="G11" s="10">
        <v>0</v>
      </c>
      <c r="H11" s="685">
        <f t="shared" si="1"/>
        <v>-0.05</v>
      </c>
      <c r="I11" s="25">
        <v>0.05</v>
      </c>
      <c r="J11" s="25">
        <v>0.05</v>
      </c>
      <c r="K11" s="662">
        <v>0</v>
      </c>
      <c r="M11" s="7"/>
      <c r="N11" s="7" t="s">
        <v>37</v>
      </c>
      <c r="O11" s="7">
        <f t="shared" ca="1" si="2"/>
        <v>0</v>
      </c>
      <c r="P11" s="7">
        <f t="shared" si="3"/>
        <v>7.0000000000000007E-2</v>
      </c>
      <c r="Q11" s="7">
        <f t="shared" si="4"/>
        <v>7.0000000000000007E-2</v>
      </c>
      <c r="R11" s="7">
        <f t="shared" si="5"/>
        <v>7.0000000000000007E-2</v>
      </c>
    </row>
    <row r="12" spans="1:18" x14ac:dyDescent="0.2">
      <c r="A12" s="20" t="s">
        <v>59</v>
      </c>
      <c r="B12" s="21" t="str">
        <f>IFERROR(VLOOKUP(A12,NoviaFunds[],2,FALSE),"")</f>
        <v>ASI Emerging Markets Income Equity Ret Platform 1 Acc GBP in GB</v>
      </c>
      <c r="C12" s="22"/>
      <c r="D12" s="22"/>
      <c r="E12" s="23" t="str">
        <f>IFERROR(VLOOKUP(A12,NoviaFunds[],6,FALSE),"")</f>
        <v>Emerging Markets</v>
      </c>
      <c r="F12" s="10">
        <v>0.06</v>
      </c>
      <c r="G12" s="10">
        <v>0.03</v>
      </c>
      <c r="H12" s="685">
        <f t="shared" si="1"/>
        <v>-0.03</v>
      </c>
      <c r="I12" s="25">
        <v>0.06</v>
      </c>
      <c r="J12" s="659">
        <v>0.03</v>
      </c>
      <c r="K12" s="29">
        <v>0.03</v>
      </c>
      <c r="M12" s="7"/>
      <c r="N12" s="7" t="s">
        <v>45</v>
      </c>
      <c r="O12" s="7">
        <f t="shared" ca="1" si="2"/>
        <v>0</v>
      </c>
      <c r="P12" s="7">
        <f t="shared" si="3"/>
        <v>0</v>
      </c>
      <c r="Q12" s="7">
        <f t="shared" si="4"/>
        <v>0</v>
      </c>
      <c r="R12" s="7">
        <f t="shared" si="5"/>
        <v>0</v>
      </c>
    </row>
    <row r="13" spans="1:18" x14ac:dyDescent="0.2">
      <c r="A13" s="20" t="s">
        <v>53</v>
      </c>
      <c r="B13" s="21" t="str">
        <f>IFERROR(VLOOKUP(A13,NoviaFunds[],2,FALSE),"")</f>
        <v>Federated Hermes Global Emerging Markets F Acc</v>
      </c>
      <c r="C13" s="22"/>
      <c r="D13" s="22"/>
      <c r="E13" s="23" t="str">
        <f>IFERROR(VLOOKUP(A13,NoviaFunds[],6,FALSE),"")</f>
        <v>Emerging Markets</v>
      </c>
      <c r="F13" s="10">
        <v>0.06</v>
      </c>
      <c r="G13" s="10">
        <v>0.02</v>
      </c>
      <c r="H13" s="685">
        <f t="shared" si="1"/>
        <v>-3.9999999999999994E-2</v>
      </c>
      <c r="I13" s="25">
        <v>0.06</v>
      </c>
      <c r="J13" s="659">
        <v>0.02</v>
      </c>
      <c r="K13" s="29">
        <v>0.02</v>
      </c>
      <c r="M13" s="7"/>
      <c r="N13" s="7" t="s">
        <v>38</v>
      </c>
      <c r="O13" s="7">
        <f t="shared" ca="1" si="2"/>
        <v>-0.1</v>
      </c>
      <c r="P13" s="7">
        <f t="shared" si="3"/>
        <v>0.05</v>
      </c>
      <c r="Q13" s="7">
        <f t="shared" si="4"/>
        <v>0</v>
      </c>
      <c r="R13" s="7">
        <f t="shared" si="5"/>
        <v>0</v>
      </c>
    </row>
    <row r="14" spans="1:18" x14ac:dyDescent="0.2">
      <c r="A14" s="20" t="s">
        <v>66</v>
      </c>
      <c r="B14" s="21" t="str">
        <f>IFERROR(VLOOKUP(A14,NoviaFunds[],2,FALSE),"")</f>
        <v>JPM Emerging Markets Income C Acc in GB</v>
      </c>
      <c r="C14" s="22"/>
      <c r="D14" s="22"/>
      <c r="E14" s="23" t="str">
        <f>IFERROR(VLOOKUP(A14,NoviaFunds[],6,FALSE),"")</f>
        <v>Emerging Markets</v>
      </c>
      <c r="F14" s="10">
        <v>0</v>
      </c>
      <c r="G14" s="10">
        <v>0.03</v>
      </c>
      <c r="H14" s="685">
        <f t="shared" si="1"/>
        <v>0.03</v>
      </c>
      <c r="I14" s="25">
        <v>0</v>
      </c>
      <c r="J14" s="660">
        <v>0.03</v>
      </c>
      <c r="K14" s="29">
        <v>0.03</v>
      </c>
      <c r="L14" s="1"/>
      <c r="M14" s="7"/>
      <c r="N14" s="7" t="s">
        <v>49</v>
      </c>
      <c r="O14" s="7">
        <f t="shared" ca="1" si="2"/>
        <v>0.05</v>
      </c>
      <c r="P14" s="7">
        <f t="shared" si="3"/>
        <v>0</v>
      </c>
      <c r="Q14" s="7">
        <f t="shared" si="4"/>
        <v>0</v>
      </c>
      <c r="R14" s="7">
        <f t="shared" si="5"/>
        <v>0.05</v>
      </c>
    </row>
    <row r="15" spans="1:18" x14ac:dyDescent="0.2">
      <c r="A15" s="20" t="s">
        <v>67</v>
      </c>
      <c r="B15" s="21" t="str">
        <f>IFERROR(VLOOKUP(A15,NoviaFunds[],2,FALSE),"")</f>
        <v>UBS Global Emerging Markets Equity C Acc in GB</v>
      </c>
      <c r="C15" s="22"/>
      <c r="D15" s="22"/>
      <c r="E15" s="23" t="str">
        <f>IFERROR(VLOOKUP(A15,NoviaFunds[],6,FALSE),"")</f>
        <v>Emerging Markets</v>
      </c>
      <c r="F15" s="10">
        <v>0</v>
      </c>
      <c r="G15" s="10">
        <v>0.02</v>
      </c>
      <c r="H15" s="685">
        <f t="shared" si="1"/>
        <v>0.02</v>
      </c>
      <c r="I15" s="25">
        <v>0</v>
      </c>
      <c r="J15" s="660">
        <v>0.02</v>
      </c>
      <c r="K15" s="29">
        <v>0.02</v>
      </c>
      <c r="M15" s="7"/>
      <c r="N15" s="7" t="s">
        <v>47</v>
      </c>
      <c r="O15" s="7">
        <f t="shared" ca="1" si="2"/>
        <v>-0.05</v>
      </c>
      <c r="P15" s="7">
        <f t="shared" si="3"/>
        <v>0</v>
      </c>
      <c r="Q15" s="7">
        <f t="shared" si="4"/>
        <v>0</v>
      </c>
      <c r="R15" s="7">
        <f t="shared" si="5"/>
        <v>0</v>
      </c>
    </row>
    <row r="16" spans="1:18" x14ac:dyDescent="0.2">
      <c r="A16" s="20" t="s">
        <v>54</v>
      </c>
      <c r="B16" s="21" t="str">
        <f>IFERROR(VLOOKUP(A16,NoviaFunds[],2,FALSE),"")</f>
        <v>BlackRock Continental European D Acc in GB</v>
      </c>
      <c r="C16" s="22"/>
      <c r="D16" s="22"/>
      <c r="E16" s="23" t="str">
        <f>IFERROR(VLOOKUP(A16,NoviaFunds[],6,FALSE),"")</f>
        <v>European Equities</v>
      </c>
      <c r="F16" s="10">
        <v>0.05</v>
      </c>
      <c r="G16" s="10">
        <v>0</v>
      </c>
      <c r="H16" s="685">
        <f t="shared" si="1"/>
        <v>-0.05</v>
      </c>
      <c r="I16" s="659">
        <v>0</v>
      </c>
      <c r="J16" s="25">
        <v>0</v>
      </c>
      <c r="K16" s="29">
        <v>0</v>
      </c>
      <c r="M16" s="7"/>
      <c r="N16" s="7" t="s">
        <v>9530</v>
      </c>
      <c r="O16" s="7">
        <f t="shared" ca="1" si="2"/>
        <v>0.04</v>
      </c>
      <c r="P16" s="7">
        <f t="shared" si="3"/>
        <v>4.8000000000000001E-2</v>
      </c>
      <c r="Q16" s="7">
        <f t="shared" si="4"/>
        <v>0.08</v>
      </c>
      <c r="R16" s="7">
        <f t="shared" si="5"/>
        <v>0.08</v>
      </c>
    </row>
    <row r="17" spans="1:18" x14ac:dyDescent="0.2">
      <c r="A17" s="20" t="s">
        <v>3087</v>
      </c>
      <c r="B17" s="21" t="str">
        <f>IFERROR(VLOOKUP(A17,NoviaFunds[],2,FALSE),"")</f>
        <v>HSBC European Index C Acc in GB</v>
      </c>
      <c r="C17" s="22"/>
      <c r="D17" s="22"/>
      <c r="E17" s="23" t="str">
        <f>IFERROR(VLOOKUP(A17,NoviaFunds[],6,FALSE),"")</f>
        <v>European Equities</v>
      </c>
      <c r="F17" s="10">
        <v>0</v>
      </c>
      <c r="G17" s="10">
        <v>0.05</v>
      </c>
      <c r="H17" s="685">
        <f t="shared" si="1"/>
        <v>0.05</v>
      </c>
      <c r="I17" s="660">
        <v>0.05</v>
      </c>
      <c r="J17" s="25">
        <v>0.05</v>
      </c>
      <c r="K17" s="29">
        <v>0.05</v>
      </c>
      <c r="M17" s="7"/>
      <c r="N17" s="7" t="s">
        <v>32</v>
      </c>
      <c r="O17" s="7">
        <f t="shared" ca="1" si="2"/>
        <v>1.0000000000000009E-2</v>
      </c>
      <c r="P17" s="7">
        <f t="shared" si="3"/>
        <v>0.23</v>
      </c>
      <c r="Q17" s="7">
        <f t="shared" si="4"/>
        <v>0.23</v>
      </c>
      <c r="R17" s="7">
        <f t="shared" si="5"/>
        <v>0.23</v>
      </c>
    </row>
    <row r="18" spans="1:18" x14ac:dyDescent="0.2">
      <c r="A18" s="20" t="s">
        <v>8877</v>
      </c>
      <c r="B18" s="21" t="str">
        <f>IFERROR(VLOOKUP(A18,NoviaFunds[],2,FALSE),"")</f>
        <v>Atlantic House Defined Returns B Acc in GB</v>
      </c>
      <c r="C18" s="22"/>
      <c r="D18" s="22"/>
      <c r="E18" s="23" t="str">
        <f>IFERROR(VLOOKUP(A18,NoviaFunds[],6,FALSE),"")</f>
        <v>Gilts</v>
      </c>
      <c r="F18" s="10">
        <v>0.05</v>
      </c>
      <c r="G18" s="10">
        <v>0</v>
      </c>
      <c r="H18" s="685">
        <f t="shared" si="1"/>
        <v>-0.05</v>
      </c>
      <c r="I18" s="659">
        <v>0</v>
      </c>
      <c r="J18" s="25">
        <v>0</v>
      </c>
      <c r="K18" s="29">
        <v>0</v>
      </c>
      <c r="M18" s="7"/>
      <c r="N18" s="7" t="s">
        <v>9529</v>
      </c>
      <c r="O18" s="7">
        <f t="shared" ca="1" si="2"/>
        <v>0</v>
      </c>
      <c r="P18" s="7">
        <f t="shared" si="3"/>
        <v>0</v>
      </c>
      <c r="Q18" s="7">
        <f t="shared" si="4"/>
        <v>0</v>
      </c>
      <c r="R18" s="7">
        <f t="shared" si="5"/>
        <v>0</v>
      </c>
    </row>
    <row r="19" spans="1:18" x14ac:dyDescent="0.2">
      <c r="A19" s="20" t="s">
        <v>9557</v>
      </c>
      <c r="B19" s="21" t="str">
        <f>IFERROR(VLOOKUP(A19,NoviaFunds[],2,FALSE),"")</f>
        <v>ASI Short Dated Global Corporate Bond Tracker B Acc</v>
      </c>
      <c r="C19" s="22"/>
      <c r="D19" s="22"/>
      <c r="E19" s="23" t="str">
        <f>IFERROR(VLOOKUP(A19,NoviaFunds[],6,FALSE),"")</f>
        <v>Global Investment Grade</v>
      </c>
      <c r="F19" s="10">
        <v>0</v>
      </c>
      <c r="G19" s="10">
        <v>0.02</v>
      </c>
      <c r="H19" s="685">
        <f t="shared" si="1"/>
        <v>0.02</v>
      </c>
      <c r="I19" s="25">
        <v>0.02</v>
      </c>
      <c r="J19" s="25">
        <v>0.02</v>
      </c>
      <c r="K19" s="29">
        <v>0.02</v>
      </c>
      <c r="M19" s="7"/>
      <c r="N19" s="7" t="s">
        <v>33</v>
      </c>
      <c r="O19" s="7">
        <f t="shared" ca="1" si="2"/>
        <v>0.1</v>
      </c>
      <c r="P19" s="7">
        <f t="shared" si="3"/>
        <v>0.16500000000000001</v>
      </c>
      <c r="Q19" s="7">
        <f t="shared" si="4"/>
        <v>0.22</v>
      </c>
      <c r="R19" s="7">
        <f t="shared" si="5"/>
        <v>0.22</v>
      </c>
    </row>
    <row r="20" spans="1:18" x14ac:dyDescent="0.2">
      <c r="A20" s="20" t="s">
        <v>3624</v>
      </c>
      <c r="B20" s="21" t="str">
        <f>IFERROR(VLOOKUP(A20,NoviaFunds[],2,FALSE),"")</f>
        <v>iShares Overseas Corporate Bond Index (UK) D Acc in GB</v>
      </c>
      <c r="C20" s="22"/>
      <c r="D20" s="22"/>
      <c r="E20" s="23" t="str">
        <f>IFERROR(VLOOKUP(A20,NoviaFunds[],6,FALSE),"")</f>
        <v>Global Investment Grade</v>
      </c>
      <c r="F20" s="10">
        <v>0</v>
      </c>
      <c r="G20" s="10">
        <v>0.02</v>
      </c>
      <c r="H20" s="685">
        <f t="shared" si="1"/>
        <v>0.02</v>
      </c>
      <c r="I20" s="660">
        <v>0.02</v>
      </c>
      <c r="J20" s="25">
        <v>0.02</v>
      </c>
      <c r="K20" s="29">
        <v>0.02</v>
      </c>
      <c r="M20" s="7"/>
      <c r="N20" s="7"/>
      <c r="O20" s="7"/>
      <c r="P20" s="7"/>
    </row>
    <row r="21" spans="1:18" x14ac:dyDescent="0.2">
      <c r="A21" s="20" t="s">
        <v>56</v>
      </c>
      <c r="B21" s="21" t="str">
        <f>IFERROR(VLOOKUP(A21,NoviaFunds[],2,FALSE),"")</f>
        <v>Baillie Gifford Japanese B Acc in GB**</v>
      </c>
      <c r="C21" s="22"/>
      <c r="D21" s="22"/>
      <c r="E21" s="23" t="str">
        <f>IFERROR(VLOOKUP(A21,NoviaFunds[],6,FALSE),"")</f>
        <v>Japanese Equities</v>
      </c>
      <c r="F21" s="10">
        <v>7.0000000000000007E-2</v>
      </c>
      <c r="G21" s="10">
        <v>7.0000000000000007E-2</v>
      </c>
      <c r="H21" s="685">
        <f t="shared" si="1"/>
        <v>0</v>
      </c>
      <c r="I21" s="25">
        <v>7.0000000000000007E-2</v>
      </c>
      <c r="J21" s="25">
        <v>7.0000000000000007E-2</v>
      </c>
      <c r="K21" s="29">
        <v>7.0000000000000007E-2</v>
      </c>
      <c r="M21" s="7"/>
      <c r="N21" s="7"/>
      <c r="O21" s="7"/>
      <c r="P21" s="7"/>
    </row>
    <row r="22" spans="1:18" x14ac:dyDescent="0.2">
      <c r="A22" s="20" t="s">
        <v>18</v>
      </c>
      <c r="B22" s="21" t="str">
        <f>IFERROR(VLOOKUP(A22,NoviaFunds[],2,FALSE),"")</f>
        <v>Artemis Global Select I Acc in GB</v>
      </c>
      <c r="C22" s="22"/>
      <c r="D22" s="22"/>
      <c r="E22" s="23" t="str">
        <f>IFERROR(VLOOKUP(A22,NoviaFunds[],6,FALSE),"")</f>
        <v>Other Equities</v>
      </c>
      <c r="F22" s="10">
        <v>0.05</v>
      </c>
      <c r="G22" s="10">
        <v>0</v>
      </c>
      <c r="H22" s="685">
        <f t="shared" si="1"/>
        <v>-0.05</v>
      </c>
      <c r="I22" s="25">
        <v>0.05</v>
      </c>
      <c r="J22" s="659">
        <v>0</v>
      </c>
      <c r="K22" s="29">
        <v>0</v>
      </c>
      <c r="M22" s="7"/>
      <c r="N22" s="7"/>
      <c r="O22" s="7"/>
      <c r="P22" s="7"/>
    </row>
    <row r="23" spans="1:18" x14ac:dyDescent="0.2">
      <c r="A23" s="20" t="s">
        <v>19</v>
      </c>
      <c r="B23" s="21" t="str">
        <f>IFERROR(VLOOKUP(A23,NoviaFunds[],2,FALSE),"")</f>
        <v>LF Blue Whale Growth I Acc GBP in GB</v>
      </c>
      <c r="C23" s="22"/>
      <c r="D23" s="22"/>
      <c r="E23" s="23" t="str">
        <f>IFERROR(VLOOKUP(A23,NoviaFunds[],6,FALSE),"")</f>
        <v>Other Equities</v>
      </c>
      <c r="F23" s="10">
        <v>0.05</v>
      </c>
      <c r="G23" s="10">
        <v>0</v>
      </c>
      <c r="H23" s="685">
        <f t="shared" si="1"/>
        <v>-0.05</v>
      </c>
      <c r="I23" s="25">
        <v>0</v>
      </c>
      <c r="J23" s="25">
        <v>0</v>
      </c>
      <c r="K23" s="29">
        <v>0</v>
      </c>
      <c r="M23" s="7"/>
      <c r="N23" s="7"/>
      <c r="O23" s="7">
        <f ca="1">SUM(O5,O9,O10,O12,O16,O18)</f>
        <v>-9.999999999999995E-3</v>
      </c>
      <c r="P23" s="7">
        <f t="shared" ref="P23:R23" si="6">SUM(P5,P9,P10,P12,P16,P18)</f>
        <v>0.128</v>
      </c>
      <c r="Q23" s="7">
        <f t="shared" si="6"/>
        <v>0.12</v>
      </c>
      <c r="R23" s="7">
        <f t="shared" si="6"/>
        <v>0.12</v>
      </c>
    </row>
    <row r="24" spans="1:18" x14ac:dyDescent="0.2">
      <c r="A24" s="20" t="s">
        <v>9540</v>
      </c>
      <c r="B24" s="21" t="str">
        <f>IFERROR(VLOOKUP(A24,NoviaFunds[],2,FALSE),"")</f>
        <v>iShares MSCI Target UK Real Estate UCITS ETF GBP</v>
      </c>
      <c r="C24" s="22"/>
      <c r="D24" s="22"/>
      <c r="E24" s="23" t="str">
        <f>IFERROR(VLOOKUP(A24,NoviaFunds[],6,FALSE),"")</f>
        <v>Property</v>
      </c>
      <c r="F24" s="10">
        <v>0</v>
      </c>
      <c r="G24" s="10">
        <v>0.05</v>
      </c>
      <c r="H24" s="685">
        <f t="shared" si="1"/>
        <v>0.05</v>
      </c>
      <c r="I24" s="25">
        <v>0</v>
      </c>
      <c r="J24" s="25">
        <v>0</v>
      </c>
      <c r="K24" s="661">
        <v>0.05</v>
      </c>
      <c r="M24" s="7"/>
      <c r="N24" s="7"/>
      <c r="O24" s="7">
        <f ca="1">SUM(O6,O7,O8,O11,O13,O17,O19)</f>
        <v>-0.03</v>
      </c>
      <c r="P24" s="7">
        <f t="shared" ref="P24:Q24" si="7">SUM(P6,P7,P8,P11,P13,P17,P19)</f>
        <v>0.83500000000000008</v>
      </c>
      <c r="Q24" s="7">
        <f t="shared" si="7"/>
        <v>0.82</v>
      </c>
      <c r="R24" s="7">
        <f>SUM(R6,R7,R8,R11,R13,R17,R19)</f>
        <v>0.77</v>
      </c>
    </row>
    <row r="25" spans="1:18" x14ac:dyDescent="0.2">
      <c r="A25" s="20" t="s">
        <v>20</v>
      </c>
      <c r="B25" s="21" t="str">
        <f>IFERROR(VLOOKUP(A25,NoviaFunds[],2,FALSE),"")</f>
        <v>Jupiter Gold &amp; Silver I Acc</v>
      </c>
      <c r="C25" s="22"/>
      <c r="D25" s="22"/>
      <c r="E25" s="23" t="str">
        <f>IFERROR(VLOOKUP(A25,NoviaFunds[],6,FALSE),"")</f>
        <v>Specialist</v>
      </c>
      <c r="F25" s="10">
        <v>0.05</v>
      </c>
      <c r="G25" s="10">
        <v>0</v>
      </c>
      <c r="H25" s="685">
        <f t="shared" si="1"/>
        <v>-0.05</v>
      </c>
      <c r="I25" s="25">
        <v>0</v>
      </c>
      <c r="J25" s="25">
        <v>0</v>
      </c>
      <c r="K25" s="29">
        <v>0</v>
      </c>
      <c r="M25" s="7"/>
      <c r="N25" s="7"/>
      <c r="O25" s="7"/>
      <c r="P25" s="7"/>
    </row>
    <row r="26" spans="1:18" x14ac:dyDescent="0.2">
      <c r="A26" s="20" t="s">
        <v>15</v>
      </c>
      <c r="B26" s="21" t="str">
        <f>IFERROR(VLOOKUP(A26,NoviaFunds[],2,FALSE),"")</f>
        <v>L&amp;G Short Dated Sterling Corporate Bond Index I Acc in GB</v>
      </c>
      <c r="C26" s="22"/>
      <c r="D26" s="22"/>
      <c r="E26" s="23" t="str">
        <f>IFERROR(VLOOKUP(A26,NoviaFunds[],6,FALSE),"")</f>
        <v>Sterling Corporate Bonds</v>
      </c>
      <c r="F26" s="10">
        <v>0</v>
      </c>
      <c r="G26" s="10">
        <v>2.4E-2</v>
      </c>
      <c r="H26" s="685">
        <f t="shared" si="1"/>
        <v>2.4E-2</v>
      </c>
      <c r="I26" s="25">
        <v>2.4E-2</v>
      </c>
      <c r="J26" s="25">
        <v>2.4E-2</v>
      </c>
      <c r="K26" s="29">
        <v>2.4E-2</v>
      </c>
      <c r="M26" s="7"/>
      <c r="N26" s="7"/>
      <c r="O26" s="7"/>
      <c r="P26" s="7"/>
    </row>
    <row r="27" spans="1:18" x14ac:dyDescent="0.2">
      <c r="A27" s="20" t="s">
        <v>6914</v>
      </c>
      <c r="B27" s="21" t="str">
        <f>IFERROR(VLOOKUP(A27,NoviaFunds[],2,FALSE),"")</f>
        <v>Royal London Sterling Credit Z Inc TR in GB</v>
      </c>
      <c r="C27" s="22"/>
      <c r="D27" s="22"/>
      <c r="E27" s="23" t="str">
        <f>IFERROR(VLOOKUP(A27,NoviaFunds[],6,FALSE),"")</f>
        <v>Sterling Corporate Bonds</v>
      </c>
      <c r="F27" s="10">
        <v>0.04</v>
      </c>
      <c r="G27" s="10">
        <v>2.4E-2</v>
      </c>
      <c r="H27" s="685">
        <f t="shared" si="1"/>
        <v>-1.6E-2</v>
      </c>
      <c r="I27" s="25">
        <v>2.4E-2</v>
      </c>
      <c r="J27" s="25">
        <v>2.4E-2</v>
      </c>
      <c r="K27" s="29">
        <v>2.4E-2</v>
      </c>
      <c r="M27" s="7"/>
      <c r="N27" s="7"/>
      <c r="O27" s="7"/>
      <c r="P27" s="7"/>
    </row>
    <row r="28" spans="1:18" x14ac:dyDescent="0.2">
      <c r="A28" s="20" t="s">
        <v>17</v>
      </c>
      <c r="B28" s="21" t="str">
        <f>IFERROR(VLOOKUP(A28,NoviaFunds[],2,FALSE),"")</f>
        <v>Vanguard UK Short-Term Investment Grade Bond Index Acc</v>
      </c>
      <c r="C28" s="22"/>
      <c r="D28" s="22"/>
      <c r="E28" s="23" t="str">
        <f>IFERROR(VLOOKUP(A28,NoviaFunds[],6,FALSE),"")</f>
        <v>Sterling Corporate Bonds</v>
      </c>
      <c r="F28" s="10">
        <v>0</v>
      </c>
      <c r="G28" s="10">
        <v>3.2000000000000001E-2</v>
      </c>
      <c r="H28" s="685">
        <f t="shared" si="1"/>
        <v>3.2000000000000001E-2</v>
      </c>
      <c r="I28" s="25">
        <v>0</v>
      </c>
      <c r="J28" s="660">
        <v>3.2000000000000001E-2</v>
      </c>
      <c r="K28" s="29">
        <v>3.2000000000000001E-2</v>
      </c>
      <c r="M28" s="7"/>
      <c r="N28" s="7"/>
      <c r="O28" s="7"/>
      <c r="P28" s="7"/>
    </row>
    <row r="29" spans="1:18" x14ac:dyDescent="0.2">
      <c r="A29" s="20" t="s">
        <v>23</v>
      </c>
      <c r="B29" s="21" t="str">
        <f>IFERROR(VLOOKUP(A29,NoviaFunds[],2,FALSE),"")</f>
        <v>Allianz UK Listed Equity Income E Inc GBP</v>
      </c>
      <c r="C29" s="22"/>
      <c r="D29" s="22"/>
      <c r="E29" s="23" t="str">
        <f>IFERROR(VLOOKUP(A29,NoviaFunds[],6,FALSE),"")</f>
        <v>UK Equities</v>
      </c>
      <c r="F29" s="10">
        <v>0.06</v>
      </c>
      <c r="G29" s="10">
        <v>5.7500000000000002E-2</v>
      </c>
      <c r="H29" s="685">
        <f t="shared" si="1"/>
        <v>-2.4999999999999953E-3</v>
      </c>
      <c r="I29" s="659">
        <v>5.7500000000000002E-2</v>
      </c>
      <c r="J29" s="25">
        <v>5.7500000000000002E-2</v>
      </c>
      <c r="K29" s="29">
        <v>5.7500000000000002E-2</v>
      </c>
      <c r="M29" s="7"/>
      <c r="N29" s="7"/>
      <c r="O29" s="7"/>
      <c r="P29" s="7"/>
    </row>
    <row r="30" spans="1:18" x14ac:dyDescent="0.2">
      <c r="A30" s="20" t="s">
        <v>21</v>
      </c>
      <c r="B30" s="21" t="str">
        <f>IFERROR(VLOOKUP(A30,NoviaFunds[],2,FALSE),"")</f>
        <v>BlackRock UK Equity D Acc TR in GB**</v>
      </c>
      <c r="C30" s="22"/>
      <c r="D30" s="22"/>
      <c r="E30" s="23" t="str">
        <f>IFERROR(VLOOKUP(A30,NoviaFunds[],6,FALSE),"")</f>
        <v>UK Equities</v>
      </c>
      <c r="F30" s="10">
        <v>0.05</v>
      </c>
      <c r="G30" s="10">
        <v>0</v>
      </c>
      <c r="H30" s="685">
        <f t="shared" si="1"/>
        <v>-0.05</v>
      </c>
      <c r="I30" s="659">
        <v>0</v>
      </c>
      <c r="J30" s="25">
        <v>0</v>
      </c>
      <c r="K30" s="29">
        <v>0</v>
      </c>
      <c r="M30" s="7"/>
      <c r="N30" s="7"/>
      <c r="O30" s="7"/>
      <c r="P30" s="7"/>
    </row>
    <row r="31" spans="1:18" x14ac:dyDescent="0.2">
      <c r="A31" s="20" t="s">
        <v>25</v>
      </c>
      <c r="B31" s="21" t="str">
        <f>IFERROR(VLOOKUP(A31,NoviaFunds[],2,FALSE),"")</f>
        <v>FTF Franklin UK Equity Income W Acc TR in GB</v>
      </c>
      <c r="C31" s="22"/>
      <c r="D31" s="22"/>
      <c r="E31" s="23" t="str">
        <f>IFERROR(VLOOKUP(A31,NoviaFunds[],6,FALSE),"")</f>
        <v>UK Equities</v>
      </c>
      <c r="F31" s="10">
        <v>0.06</v>
      </c>
      <c r="G31" s="10">
        <v>5.7500000000000002E-2</v>
      </c>
      <c r="H31" s="685">
        <f t="shared" si="1"/>
        <v>-2.4999999999999953E-3</v>
      </c>
      <c r="I31" s="659">
        <v>5.7500000000000002E-2</v>
      </c>
      <c r="J31" s="25">
        <v>5.7500000000000002E-2</v>
      </c>
      <c r="K31" s="29">
        <v>5.7500000000000002E-2</v>
      </c>
      <c r="M31" s="7"/>
      <c r="N31" s="7"/>
      <c r="O31" s="7"/>
      <c r="P31" s="7"/>
    </row>
    <row r="32" spans="1:18" x14ac:dyDescent="0.2">
      <c r="A32" s="20" t="s">
        <v>22</v>
      </c>
      <c r="B32" s="21" t="str">
        <f>IFERROR(VLOOKUP(A32,NoviaFunds[],2,FALSE),"")</f>
        <v>Slater Growth P Acc in GB</v>
      </c>
      <c r="C32" s="22"/>
      <c r="D32" s="22"/>
      <c r="E32" s="23" t="str">
        <f>IFERROR(VLOOKUP(A32,NoviaFunds[],6,FALSE),"")</f>
        <v>UK Equities</v>
      </c>
      <c r="F32" s="10">
        <v>0.05</v>
      </c>
      <c r="G32" s="10">
        <v>4.5999999999999999E-2</v>
      </c>
      <c r="H32" s="685">
        <f t="shared" si="1"/>
        <v>-4.0000000000000036E-3</v>
      </c>
      <c r="I32" s="659">
        <v>4.5999999999999999E-2</v>
      </c>
      <c r="J32" s="25">
        <v>4.5999999999999999E-2</v>
      </c>
      <c r="K32" s="29">
        <v>4.5999999999999999E-2</v>
      </c>
      <c r="M32" s="7"/>
      <c r="N32" s="7"/>
      <c r="O32" s="7"/>
      <c r="P32" s="7"/>
    </row>
    <row r="33" spans="1:16" x14ac:dyDescent="0.2">
      <c r="A33" s="20" t="s">
        <v>8389</v>
      </c>
      <c r="B33" s="21" t="str">
        <f>IFERROR(VLOOKUP(A33,NoviaFunds[],2,FALSE),"")</f>
        <v>Vanguard FTSE U.K. All Share Index Unit Trust A Acc GBP in GB</v>
      </c>
      <c r="C33" s="22"/>
      <c r="D33" s="22"/>
      <c r="E33" s="23" t="str">
        <f>IFERROR(VLOOKUP(A33,NoviaFunds[],6,FALSE),"")</f>
        <v>UK Equities</v>
      </c>
      <c r="F33" s="10">
        <v>0</v>
      </c>
      <c r="G33" s="10">
        <v>6.9000000000000006E-2</v>
      </c>
      <c r="H33" s="685">
        <f t="shared" si="1"/>
        <v>6.9000000000000006E-2</v>
      </c>
      <c r="I33" s="660">
        <v>6.9000000000000006E-2</v>
      </c>
      <c r="J33" s="25">
        <v>6.9000000000000006E-2</v>
      </c>
      <c r="K33" s="29">
        <v>6.9000000000000006E-2</v>
      </c>
      <c r="M33" s="7"/>
      <c r="N33" s="7"/>
      <c r="O33" s="7"/>
      <c r="P33" s="7"/>
    </row>
    <row r="34" spans="1:16" x14ac:dyDescent="0.2">
      <c r="A34" s="20" t="s">
        <v>62</v>
      </c>
      <c r="B34" s="21" t="str">
        <f>IFERROR(VLOOKUP(A34,NoviaFunds[],2,FALSE),"")</f>
        <v>Artemis US Smaller Companies I Acc GBP in GB</v>
      </c>
      <c r="C34" s="22"/>
      <c r="D34" s="22"/>
      <c r="E34" s="23" t="str">
        <f>IFERROR(VLOOKUP(A34,NoviaFunds[],6,FALSE),"")</f>
        <v>USA Equities</v>
      </c>
      <c r="F34" s="10">
        <v>0.06</v>
      </c>
      <c r="G34" s="10">
        <v>5.5E-2</v>
      </c>
      <c r="H34" s="685">
        <f t="shared" si="1"/>
        <v>-4.9999999999999975E-3</v>
      </c>
      <c r="I34" s="659">
        <v>5.5E-2</v>
      </c>
      <c r="J34" s="25">
        <v>5.5E-2</v>
      </c>
      <c r="K34" s="29">
        <v>5.5E-2</v>
      </c>
      <c r="M34" s="7"/>
      <c r="N34" s="7"/>
      <c r="O34" s="7"/>
      <c r="P34" s="7"/>
    </row>
    <row r="35" spans="1:16" x14ac:dyDescent="0.2">
      <c r="A35" s="20" t="s">
        <v>2706</v>
      </c>
      <c r="B35" s="21" t="str">
        <f>IFERROR(VLOOKUP(A35,NoviaFunds[],2,FALSE),"")</f>
        <v>Fidelity Index US P in GB</v>
      </c>
      <c r="C35" s="22"/>
      <c r="D35" s="22"/>
      <c r="E35" s="23" t="str">
        <f>IFERROR(VLOOKUP(A35,NoviaFunds[],6,FALSE),"")</f>
        <v>USA Equities</v>
      </c>
      <c r="F35" s="10">
        <v>0</v>
      </c>
      <c r="G35" s="10">
        <v>0.11</v>
      </c>
      <c r="H35" s="685">
        <f t="shared" si="1"/>
        <v>0.11</v>
      </c>
      <c r="I35" s="25">
        <v>0.11</v>
      </c>
      <c r="J35" s="25">
        <v>0.11</v>
      </c>
      <c r="K35" s="29">
        <v>0.11</v>
      </c>
    </row>
    <row r="36" spans="1:16" x14ac:dyDescent="0.2">
      <c r="A36" s="20" t="s">
        <v>60</v>
      </c>
      <c r="B36" s="21" t="str">
        <f>IFERROR(VLOOKUP(A36,NoviaFunds[],2,FALSE),"")</f>
        <v>Vanguard US Equity Index Acc GBP in GB</v>
      </c>
      <c r="C36" s="22"/>
      <c r="D36" s="22"/>
      <c r="E36" s="23" t="str">
        <f>IFERROR(VLOOKUP(A36,NoviaFunds[],6,FALSE),"")</f>
        <v>USA Equities</v>
      </c>
      <c r="F36" s="10">
        <v>0.06</v>
      </c>
      <c r="G36" s="10">
        <v>0</v>
      </c>
      <c r="H36" s="685">
        <f t="shared" si="1"/>
        <v>-0.06</v>
      </c>
      <c r="I36" s="25">
        <v>0</v>
      </c>
      <c r="J36" s="25">
        <v>0</v>
      </c>
      <c r="K36" s="29">
        <v>0</v>
      </c>
    </row>
    <row r="37" spans="1:16" x14ac:dyDescent="0.2">
      <c r="A37" s="20" t="s">
        <v>9539</v>
      </c>
      <c r="B37" s="21" t="str">
        <f>IFERROR(VLOOKUP(A37,NoviaFunds[],2,FALSE),"")</f>
        <v>Xtrackers S&amp;P 500 Equal Weight UCITS ETF</v>
      </c>
      <c r="C37" s="22"/>
      <c r="D37" s="22"/>
      <c r="E37" s="23" t="str">
        <f>IFERROR(VLOOKUP(A37,NoviaFunds[],6,FALSE),"")</f>
        <v>USA Equities</v>
      </c>
      <c r="F37" s="10">
        <v>0</v>
      </c>
      <c r="G37" s="10">
        <v>5.5E-2</v>
      </c>
      <c r="H37" s="685">
        <f t="shared" si="1"/>
        <v>5.5E-2</v>
      </c>
      <c r="I37" s="25">
        <v>0</v>
      </c>
      <c r="J37" s="660">
        <v>5.5E-2</v>
      </c>
      <c r="K37" s="29">
        <v>5.5E-2</v>
      </c>
    </row>
    <row r="38" spans="1:16" x14ac:dyDescent="0.2">
      <c r="A38" s="20"/>
      <c r="B38" s="21" t="str">
        <f>IFERROR(VLOOKUP(A38,NoviaFunds[],2,FALSE),"")</f>
        <v/>
      </c>
      <c r="C38" s="22"/>
      <c r="D38" s="22"/>
      <c r="E38" s="23" t="str">
        <f>IFERROR(VLOOKUP(A38,NoviaFunds[],6,FALSE),"")</f>
        <v/>
      </c>
      <c r="F38" s="10"/>
      <c r="G38" s="10"/>
      <c r="H38" s="685">
        <f t="shared" si="1"/>
        <v>0</v>
      </c>
      <c r="I38" s="25" t="str">
        <f>IFERROR(VLOOKUP(A38,NoviaFunds[],4,FALSE),"")</f>
        <v/>
      </c>
      <c r="J38" s="25" t="str">
        <f>IF(G38="","",IFERROR(VLOOKUP(A38,NoviaFunds[],4,FALSE),""))</f>
        <v/>
      </c>
      <c r="K38" s="29" t="str">
        <f>IF(H38="","",IFERROR(VLOOKUP(B38,NoviaFunds[],4,FALSE),""))</f>
        <v/>
      </c>
    </row>
    <row r="39" spans="1:16" ht="16.5" thickBot="1" x14ac:dyDescent="0.3">
      <c r="A39" s="762"/>
      <c r="B39" s="763"/>
      <c r="C39" s="763"/>
      <c r="D39" s="763"/>
      <c r="E39" s="764"/>
      <c r="F39" s="765">
        <f>SUM(F4:F38)</f>
        <v>1.0000000000000004</v>
      </c>
      <c r="G39" s="765">
        <f>SUM(G4:G38)</f>
        <v>1</v>
      </c>
      <c r="H39" s="765">
        <f t="shared" ref="H39:K39" si="8">SUM(H4:H38)</f>
        <v>-3.4694469519536142E-17</v>
      </c>
      <c r="I39" s="765">
        <f t="shared" si="8"/>
        <v>1.0000000000000002</v>
      </c>
      <c r="J39" s="765">
        <f t="shared" si="8"/>
        <v>1.0000000000000002</v>
      </c>
      <c r="K39" s="766">
        <f t="shared" si="8"/>
        <v>1</v>
      </c>
    </row>
    <row r="40" spans="1:16" ht="15" thickBot="1" x14ac:dyDescent="0.25">
      <c r="A40" s="178"/>
      <c r="B40" s="161"/>
      <c r="C40" s="161"/>
      <c r="D40" s="161"/>
      <c r="E40" s="162"/>
      <c r="F40" s="163"/>
      <c r="G40" s="164"/>
      <c r="H40" s="164"/>
      <c r="I40" s="162"/>
      <c r="J40" s="179"/>
    </row>
    <row r="41" spans="1:16" ht="30.75" thickTop="1" x14ac:dyDescent="0.2">
      <c r="A41" s="326" t="s">
        <v>5</v>
      </c>
      <c r="B41" s="327" t="s">
        <v>26</v>
      </c>
      <c r="C41" s="327" t="s">
        <v>27</v>
      </c>
      <c r="D41" s="328" t="s">
        <v>28</v>
      </c>
      <c r="E41" s="328" t="s">
        <v>29</v>
      </c>
      <c r="F41" s="329" t="s">
        <v>30</v>
      </c>
      <c r="G41" s="629" t="s">
        <v>9572</v>
      </c>
      <c r="H41" s="330" t="s">
        <v>31</v>
      </c>
      <c r="I41" s="329" t="s">
        <v>30</v>
      </c>
      <c r="J41" s="331"/>
    </row>
    <row r="42" spans="1:16" x14ac:dyDescent="0.2">
      <c r="A42" s="332" t="s">
        <v>32</v>
      </c>
      <c r="B42" s="333">
        <f>MAX(0,IF(D42&lt;10%,D42-3%,IF(AND(D42&gt;=10%,D42&lt;20%),D42-5%,D42-8%)))</f>
        <v>0.15000000000000002</v>
      </c>
      <c r="C42" s="333">
        <f>IF(D42&lt;10%,D42+3%,IF(AND(D42&gt;=10%,D42&lt;20%),D42+5%,D42+8%))</f>
        <v>0.31</v>
      </c>
      <c r="D42" s="353">
        <f>VLOOKUP(A42,'Asset Allocations'!A:I,8,FALSE)</f>
        <v>0.23</v>
      </c>
      <c r="E42" s="355">
        <f>VLOOKUP(A42,'Asset Allocations'!A:I,9,FALSE)</f>
        <v>0.23</v>
      </c>
      <c r="F42" s="334">
        <f t="shared" ref="F42:F57" si="9">IFERROR(E42-D42,"")</f>
        <v>0</v>
      </c>
      <c r="G42" s="630">
        <f>IF(SUMIF($E$4:$E$38,$A42,$F$4:$F$38)=0,0,SUMIF($E$4:$E$38,$A42,$F$4:$F$38))</f>
        <v>0.21999999999999997</v>
      </c>
      <c r="H42" s="335">
        <f>IF(SUMIF($E$4:$E$38,$A42,$G$4:$G$38)=0,0,SUMIF($E$4:$E$38,$A42,$G$4:$G$38))</f>
        <v>0.23</v>
      </c>
      <c r="I42" s="180">
        <f t="shared" ref="I42:I48" si="10">IFERROR(H42-D42,"")</f>
        <v>0</v>
      </c>
      <c r="J42" s="336"/>
    </row>
    <row r="43" spans="1:16" x14ac:dyDescent="0.2">
      <c r="A43" s="332" t="s">
        <v>33</v>
      </c>
      <c r="B43" s="333">
        <f t="shared" ref="B43:B48" si="11">MAX(0,IF(D43&lt;10%,D43-3%,IF(AND(D43&gt;=10%,D43&lt;20%),D43-5%,D43-8%)))</f>
        <v>0.14000000000000001</v>
      </c>
      <c r="C43" s="333">
        <f t="shared" ref="C43:C48" si="12">IF(D43&lt;10%,D43+3%,IF(AND(D43&gt;=10%,D43&lt;20%),D43+5%,D43+8%))</f>
        <v>0.3</v>
      </c>
      <c r="D43" s="353">
        <f>VLOOKUP(A43,'Asset Allocations'!A:I,8,FALSE)</f>
        <v>0.22</v>
      </c>
      <c r="E43" s="355">
        <f>VLOOKUP(A43,'Asset Allocations'!A:I,9,FALSE)</f>
        <v>0.22</v>
      </c>
      <c r="F43" s="334">
        <f t="shared" si="9"/>
        <v>0</v>
      </c>
      <c r="G43" s="631">
        <f t="shared" ref="G43:G62" si="13">IF(SUMIF($E$4:$E$38,$A43,$F$4:$F$38)=0,0,SUMIF($E$4:$E$38,$A43,$F$4:$F$38))</f>
        <v>0.12</v>
      </c>
      <c r="H43" s="335">
        <f t="shared" ref="H43:H62" si="14">IF(SUMIF($E$4:$E$38,$A43,$G$4:$G$38)=0,0,SUMIF($E$4:$E$38,$A43,$G$4:$G$38))</f>
        <v>0.22</v>
      </c>
      <c r="I43" s="180">
        <f t="shared" si="10"/>
        <v>0</v>
      </c>
      <c r="J43" s="336"/>
    </row>
    <row r="44" spans="1:16" x14ac:dyDescent="0.2">
      <c r="A44" s="332" t="s">
        <v>34</v>
      </c>
      <c r="B44" s="333">
        <f t="shared" si="11"/>
        <v>2.0000000000000004E-2</v>
      </c>
      <c r="C44" s="333">
        <f t="shared" si="12"/>
        <v>0.08</v>
      </c>
      <c r="D44" s="353">
        <f>VLOOKUP(A44,'Asset Allocations'!A:I,8,FALSE)</f>
        <v>0.05</v>
      </c>
      <c r="E44" s="355">
        <f>VLOOKUP(A44,'Asset Allocations'!A:I,9,FALSE)</f>
        <v>0.05</v>
      </c>
      <c r="F44" s="334">
        <f t="shared" si="9"/>
        <v>0</v>
      </c>
      <c r="G44" s="631">
        <f t="shared" si="13"/>
        <v>0.05</v>
      </c>
      <c r="H44" s="335">
        <f t="shared" si="14"/>
        <v>0.05</v>
      </c>
      <c r="I44" s="180">
        <f t="shared" si="10"/>
        <v>0</v>
      </c>
      <c r="J44" s="336"/>
    </row>
    <row r="45" spans="1:16" x14ac:dyDescent="0.2">
      <c r="A45" s="332" t="s">
        <v>35</v>
      </c>
      <c r="B45" s="333">
        <f t="shared" si="11"/>
        <v>0.05</v>
      </c>
      <c r="C45" s="333">
        <f t="shared" si="12"/>
        <v>0.15000000000000002</v>
      </c>
      <c r="D45" s="353">
        <f>VLOOKUP(A45,'Asset Allocations'!A:I,8,FALSE)</f>
        <v>0.1</v>
      </c>
      <c r="E45" s="355">
        <f>VLOOKUP(A45,'Asset Allocations'!A:I,9,FALSE)</f>
        <v>0.1</v>
      </c>
      <c r="F45" s="334">
        <f t="shared" si="9"/>
        <v>0</v>
      </c>
      <c r="G45" s="631">
        <f t="shared" si="13"/>
        <v>0.12000000000000001</v>
      </c>
      <c r="H45" s="335">
        <f t="shared" si="14"/>
        <v>0.1</v>
      </c>
      <c r="I45" s="180">
        <f t="shared" si="10"/>
        <v>0</v>
      </c>
      <c r="J45" s="336"/>
    </row>
    <row r="46" spans="1:16" x14ac:dyDescent="0.2">
      <c r="A46" s="332" t="s">
        <v>36</v>
      </c>
      <c r="B46" s="333">
        <f t="shared" si="11"/>
        <v>0.05</v>
      </c>
      <c r="C46" s="333">
        <f t="shared" si="12"/>
        <v>0.15000000000000002</v>
      </c>
      <c r="D46" s="353">
        <f>VLOOKUP(A46,'Asset Allocations'!A:I,8,FALSE)</f>
        <v>0.1</v>
      </c>
      <c r="E46" s="355">
        <f>VLOOKUP(A46,'Asset Allocations'!A:I,9,FALSE)</f>
        <v>0.1</v>
      </c>
      <c r="F46" s="334">
        <f t="shared" si="9"/>
        <v>0</v>
      </c>
      <c r="G46" s="631">
        <f t="shared" si="13"/>
        <v>0.12</v>
      </c>
      <c r="H46" s="335">
        <f t="shared" si="14"/>
        <v>0.1</v>
      </c>
      <c r="I46" s="180">
        <f t="shared" si="10"/>
        <v>0</v>
      </c>
      <c r="J46" s="336"/>
    </row>
    <row r="47" spans="1:16" x14ac:dyDescent="0.2">
      <c r="A47" s="332" t="s">
        <v>37</v>
      </c>
      <c r="B47" s="333">
        <f t="shared" si="11"/>
        <v>4.0000000000000008E-2</v>
      </c>
      <c r="C47" s="333">
        <f t="shared" si="12"/>
        <v>0.1</v>
      </c>
      <c r="D47" s="353">
        <f>VLOOKUP(A47,'Asset Allocations'!A:I,8,FALSE)</f>
        <v>7.0000000000000007E-2</v>
      </c>
      <c r="E47" s="355">
        <f>VLOOKUP(A47,'Asset Allocations'!A:I,9,FALSE)</f>
        <v>7.0000000000000007E-2</v>
      </c>
      <c r="F47" s="334">
        <f t="shared" si="9"/>
        <v>0</v>
      </c>
      <c r="G47" s="631">
        <f t="shared" si="13"/>
        <v>7.0000000000000007E-2</v>
      </c>
      <c r="H47" s="335">
        <f t="shared" si="14"/>
        <v>7.0000000000000007E-2</v>
      </c>
      <c r="I47" s="180">
        <f t="shared" si="10"/>
        <v>0</v>
      </c>
      <c r="J47" s="336"/>
    </row>
    <row r="48" spans="1:16" x14ac:dyDescent="0.2">
      <c r="A48" s="332" t="s">
        <v>38</v>
      </c>
      <c r="B48" s="333">
        <f t="shared" si="11"/>
        <v>0</v>
      </c>
      <c r="C48" s="333">
        <f t="shared" si="12"/>
        <v>0.03</v>
      </c>
      <c r="D48" s="353">
        <f>VLOOKUP(A48,'Asset Allocations'!A:I,8,FALSE)</f>
        <v>0</v>
      </c>
      <c r="E48" s="355">
        <f>VLOOKUP(A48,'Asset Allocations'!A:I,9,FALSE)</f>
        <v>0</v>
      </c>
      <c r="F48" s="334">
        <f t="shared" si="9"/>
        <v>0</v>
      </c>
      <c r="G48" s="631">
        <f t="shared" si="13"/>
        <v>0.1</v>
      </c>
      <c r="H48" s="335">
        <f t="shared" si="14"/>
        <v>0</v>
      </c>
      <c r="I48" s="180">
        <f t="shared" si="10"/>
        <v>0</v>
      </c>
      <c r="J48" s="336"/>
    </row>
    <row r="49" spans="1:10" ht="15" x14ac:dyDescent="0.25">
      <c r="A49" s="337" t="s">
        <v>39</v>
      </c>
      <c r="B49" s="181">
        <f>MAX(0,D49-5%)</f>
        <v>0.72</v>
      </c>
      <c r="C49" s="181">
        <f>MIN(85%,D49+5%)</f>
        <v>0.82000000000000006</v>
      </c>
      <c r="D49" s="181">
        <f>VLOOKUP(A49,'Asset Allocations'!A:I,8,FALSE)</f>
        <v>0.77</v>
      </c>
      <c r="E49" s="181">
        <f>VLOOKUP(A49,'Asset Allocations'!A:I,9,FALSE)</f>
        <v>0.77</v>
      </c>
      <c r="F49" s="338">
        <f t="shared" si="9"/>
        <v>0</v>
      </c>
      <c r="G49" s="339">
        <f>SUM(G42:G48)</f>
        <v>0.79999999999999993</v>
      </c>
      <c r="H49" s="339">
        <f>SUM(H42:H48)</f>
        <v>0.77</v>
      </c>
      <c r="I49" s="12">
        <f>IFERROR(IF(H49=0,"",H49-D49),"")</f>
        <v>0</v>
      </c>
      <c r="J49" s="340"/>
    </row>
    <row r="50" spans="1:10" x14ac:dyDescent="0.2">
      <c r="A50" s="341" t="s">
        <v>40</v>
      </c>
      <c r="B50" s="333">
        <f>MAX(0,IF(D50&lt;10%,D50-3%,IF(AND(D50&gt;=10%,D50&lt;20%),D50-5%,D50-8%)))</f>
        <v>0</v>
      </c>
      <c r="C50" s="333">
        <f t="shared" ref="C50:C55" si="15">IF(D50&lt;10%,D50+3%,IF(AND(D50&gt;=10%,D50&lt;20%),D50+5%,D50+8%))</f>
        <v>0.03</v>
      </c>
      <c r="D50" s="353">
        <f>VLOOKUP(A50,'Asset Allocations'!A:I,8,FALSE)</f>
        <v>0</v>
      </c>
      <c r="E50" s="355">
        <f>VLOOKUP(A50,'Asset Allocations'!A:I,9,FALSE)</f>
        <v>0</v>
      </c>
      <c r="F50" s="334">
        <f t="shared" si="9"/>
        <v>0</v>
      </c>
      <c r="G50" s="631">
        <f t="shared" si="13"/>
        <v>0.05</v>
      </c>
      <c r="H50" s="335">
        <f t="shared" si="14"/>
        <v>0</v>
      </c>
      <c r="I50" s="180">
        <f>IFERROR(H50-D50,"")</f>
        <v>0</v>
      </c>
      <c r="J50" s="336"/>
    </row>
    <row r="51" spans="1:10" x14ac:dyDescent="0.2">
      <c r="A51" s="341" t="s">
        <v>9529</v>
      </c>
      <c r="B51" s="333">
        <f t="shared" ref="B51:B55" si="16">MAX(0,IF(D51&lt;10%,D51-3%,IF(AND(D51&gt;=10%,D51&lt;20%),D51-5%,D51-8%)))</f>
        <v>0</v>
      </c>
      <c r="C51" s="333">
        <f t="shared" si="15"/>
        <v>0.03</v>
      </c>
      <c r="D51" s="353">
        <f>VLOOKUP(A51,'Asset Allocations'!A:I,8,FALSE)</f>
        <v>0</v>
      </c>
      <c r="E51" s="355">
        <f>VLOOKUP(A51,'Asset Allocations'!A:I,9,FALSE)</f>
        <v>0</v>
      </c>
      <c r="F51" s="334">
        <f t="shared" si="9"/>
        <v>0</v>
      </c>
      <c r="G51" s="631">
        <f t="shared" si="13"/>
        <v>0</v>
      </c>
      <c r="H51" s="335">
        <f t="shared" si="14"/>
        <v>0</v>
      </c>
      <c r="I51" s="180">
        <f t="shared" ref="I51:I55" si="17">IFERROR(H51-D51,"")</f>
        <v>0</v>
      </c>
      <c r="J51" s="336"/>
    </row>
    <row r="52" spans="1:10" x14ac:dyDescent="0.2">
      <c r="A52" s="341" t="s">
        <v>9528</v>
      </c>
      <c r="B52" s="333">
        <f t="shared" si="16"/>
        <v>1.0000000000000002E-2</v>
      </c>
      <c r="C52" s="333">
        <f t="shared" si="15"/>
        <v>7.0000000000000007E-2</v>
      </c>
      <c r="D52" s="353">
        <f>VLOOKUP(A52,'Asset Allocations'!A:I,8,FALSE)</f>
        <v>0.04</v>
      </c>
      <c r="E52" s="355">
        <f>VLOOKUP(A52,'Asset Allocations'!A:I,9,FALSE)</f>
        <v>0.04</v>
      </c>
      <c r="F52" s="334">
        <f t="shared" si="9"/>
        <v>0</v>
      </c>
      <c r="G52" s="631">
        <f t="shared" si="13"/>
        <v>0</v>
      </c>
      <c r="H52" s="335">
        <f t="shared" si="14"/>
        <v>0.04</v>
      </c>
      <c r="I52" s="180">
        <f t="shared" si="17"/>
        <v>0</v>
      </c>
      <c r="J52" s="336"/>
    </row>
    <row r="53" spans="1:10" x14ac:dyDescent="0.2">
      <c r="A53" s="341" t="s">
        <v>9530</v>
      </c>
      <c r="B53" s="333">
        <f t="shared" si="16"/>
        <v>0.05</v>
      </c>
      <c r="C53" s="333">
        <f t="shared" si="15"/>
        <v>0.11</v>
      </c>
      <c r="D53" s="353">
        <f>VLOOKUP(A53,'Asset Allocations'!A:I,8,FALSE)</f>
        <v>0.08</v>
      </c>
      <c r="E53" s="355">
        <f>VLOOKUP(A53,'Asset Allocations'!A:I,9,FALSE)</f>
        <v>0.08</v>
      </c>
      <c r="F53" s="334">
        <f t="shared" si="9"/>
        <v>0</v>
      </c>
      <c r="G53" s="631">
        <f t="shared" si="13"/>
        <v>0.04</v>
      </c>
      <c r="H53" s="335">
        <f t="shared" si="14"/>
        <v>0.08</v>
      </c>
      <c r="I53" s="180">
        <f t="shared" si="17"/>
        <v>0</v>
      </c>
      <c r="J53" s="336"/>
    </row>
    <row r="54" spans="1:10" x14ac:dyDescent="0.2">
      <c r="A54" s="341" t="s">
        <v>9531</v>
      </c>
      <c r="B54" s="333">
        <f t="shared" si="16"/>
        <v>0</v>
      </c>
      <c r="C54" s="333">
        <f t="shared" si="15"/>
        <v>0.03</v>
      </c>
      <c r="D54" s="353">
        <f>VLOOKUP(A54,'Asset Allocations'!A:I,8,FALSE)</f>
        <v>0</v>
      </c>
      <c r="E54" s="355">
        <f>VLOOKUP(A54,'Asset Allocations'!A:I,9,FALSE)</f>
        <v>0</v>
      </c>
      <c r="F54" s="334">
        <f t="shared" si="9"/>
        <v>0</v>
      </c>
      <c r="G54" s="631">
        <f t="shared" si="13"/>
        <v>0</v>
      </c>
      <c r="H54" s="335">
        <f t="shared" si="14"/>
        <v>0</v>
      </c>
      <c r="I54" s="180">
        <f t="shared" si="17"/>
        <v>0</v>
      </c>
      <c r="J54" s="336"/>
    </row>
    <row r="55" spans="1:10" x14ac:dyDescent="0.2">
      <c r="A55" s="342" t="s">
        <v>45</v>
      </c>
      <c r="B55" s="333">
        <f t="shared" si="16"/>
        <v>0</v>
      </c>
      <c r="C55" s="333">
        <f t="shared" si="15"/>
        <v>0.03</v>
      </c>
      <c r="D55" s="353">
        <f>VLOOKUP(A55,'Asset Allocations'!A:I,8,FALSE)</f>
        <v>0</v>
      </c>
      <c r="E55" s="355">
        <f>VLOOKUP(A55,'Asset Allocations'!A:I,9,FALSE)</f>
        <v>0</v>
      </c>
      <c r="F55" s="334">
        <f t="shared" si="9"/>
        <v>0</v>
      </c>
      <c r="G55" s="631">
        <f t="shared" si="13"/>
        <v>0</v>
      </c>
      <c r="H55" s="335">
        <f t="shared" si="14"/>
        <v>0</v>
      </c>
      <c r="I55" s="180">
        <f t="shared" si="17"/>
        <v>0</v>
      </c>
      <c r="J55" s="336"/>
    </row>
    <row r="56" spans="1:10" ht="15" x14ac:dyDescent="0.25">
      <c r="A56" s="337" t="s">
        <v>46</v>
      </c>
      <c r="B56" s="181">
        <f>MAX(0,$D$56-5%)</f>
        <v>6.9999999999999993E-2</v>
      </c>
      <c r="C56" s="181">
        <f>MIN(100%,$D$56+5%)</f>
        <v>0.16999999999999998</v>
      </c>
      <c r="D56" s="181">
        <f>VLOOKUP(A56,'Asset Allocations'!A:I,8,FALSE)</f>
        <v>0.12</v>
      </c>
      <c r="E56" s="181">
        <f>VLOOKUP(A56,'Asset Allocations'!A:I,9,FALSE)</f>
        <v>0.12</v>
      </c>
      <c r="F56" s="338">
        <f t="shared" si="9"/>
        <v>0</v>
      </c>
      <c r="G56" s="325">
        <f>SUM(G50:G55)</f>
        <v>0.09</v>
      </c>
      <c r="H56" s="325">
        <f>SUM(H50:H55)</f>
        <v>0.12</v>
      </c>
      <c r="I56" s="12">
        <f>IFERROR(IF(H56=0,"",H56-D56),"")</f>
        <v>0</v>
      </c>
      <c r="J56" s="340"/>
    </row>
    <row r="57" spans="1:10" x14ac:dyDescent="0.2">
      <c r="A57" s="343" t="s">
        <v>11</v>
      </c>
      <c r="B57" s="333">
        <f>MAX(0,IF(D57&lt;10%,D57-3%,IF(AND(D57&gt;=10%,D57&lt;20%),D57-5%,D57-8%)))</f>
        <v>0.03</v>
      </c>
      <c r="C57" s="333">
        <f>IF(D57&lt;10%,D57+3%,IF(AND(D57&gt;=10%,D57&lt;20%),D57+5%,D57+8%))</f>
        <v>0.09</v>
      </c>
      <c r="D57" s="354">
        <f>VLOOKUP(A57,'Asset Allocations'!A:I,8,FALSE)</f>
        <v>0.06</v>
      </c>
      <c r="E57" s="355">
        <f>VLOOKUP(A57,'Asset Allocations'!A:I,9,FALSE)</f>
        <v>0.06</v>
      </c>
      <c r="F57" s="334">
        <f t="shared" si="9"/>
        <v>0</v>
      </c>
      <c r="G57" s="632">
        <f t="shared" si="13"/>
        <v>0.02</v>
      </c>
      <c r="H57" s="335">
        <f t="shared" si="14"/>
        <v>0.06</v>
      </c>
      <c r="I57" s="180">
        <f>IFERROR(H57-D57,"")</f>
        <v>0</v>
      </c>
      <c r="J57" s="344"/>
    </row>
    <row r="58" spans="1:10" ht="15" x14ac:dyDescent="0.25">
      <c r="A58" s="337" t="s">
        <v>9534</v>
      </c>
      <c r="B58" s="181">
        <f>B57</f>
        <v>0.03</v>
      </c>
      <c r="C58" s="181">
        <f>C57</f>
        <v>0.09</v>
      </c>
      <c r="D58" s="181">
        <f>VLOOKUP(A58,'Asset Allocations'!A:I,8,FALSE)</f>
        <v>0.06</v>
      </c>
      <c r="E58" s="181">
        <f>VLOOKUP(A58,'Asset Allocations'!A:I,9,FALSE)</f>
        <v>0.06</v>
      </c>
      <c r="F58" s="345"/>
      <c r="G58" s="325">
        <f>SUM(G57)</f>
        <v>0.02</v>
      </c>
      <c r="H58" s="325">
        <f>SUM(H57)</f>
        <v>0.06</v>
      </c>
      <c r="I58" s="182"/>
      <c r="J58" s="346"/>
    </row>
    <row r="59" spans="1:10" x14ac:dyDescent="0.2">
      <c r="A59" s="343" t="s">
        <v>49</v>
      </c>
      <c r="B59" s="333">
        <f>MAX(0,IF(D59&lt;10%,D59-3%,IF(AND(D59&gt;=10%,D59&lt;20%),D59-5%,D59-8%)))</f>
        <v>2.0000000000000004E-2</v>
      </c>
      <c r="C59" s="333">
        <f>IF(D59&lt;10%,D59+3%,IF(AND(D59&gt;=10%,D59&lt;20%),D59+5%,D59+8%))</f>
        <v>0.08</v>
      </c>
      <c r="D59" s="354">
        <f>VLOOKUP(A59,'Asset Allocations'!A:I,8,FALSE)</f>
        <v>0.05</v>
      </c>
      <c r="E59" s="355">
        <f>VLOOKUP(A59,'Asset Allocations'!A:I,9,FALSE)</f>
        <v>0.05</v>
      </c>
      <c r="F59" s="334">
        <f>IFERROR(E59-D59,"")</f>
        <v>0</v>
      </c>
      <c r="G59" s="632">
        <f t="shared" si="13"/>
        <v>0</v>
      </c>
      <c r="H59" s="335">
        <f t="shared" si="14"/>
        <v>0.05</v>
      </c>
      <c r="I59" s="180">
        <f>IFERROR(H59-D59,"")</f>
        <v>0</v>
      </c>
      <c r="J59" s="344"/>
    </row>
    <row r="60" spans="1:10" ht="15" x14ac:dyDescent="0.25">
      <c r="A60" s="337" t="s">
        <v>9535</v>
      </c>
      <c r="B60" s="181">
        <f>B59</f>
        <v>2.0000000000000004E-2</v>
      </c>
      <c r="C60" s="181">
        <f t="shared" ref="C60" si="18">C59</f>
        <v>0.08</v>
      </c>
      <c r="D60" s="181">
        <f>VLOOKUP(A60,'Asset Allocations'!A:I,8,FALSE)</f>
        <v>0.05</v>
      </c>
      <c r="E60" s="181">
        <f>VLOOKUP(A60,'Asset Allocations'!A:I,9,FALSE)</f>
        <v>0.05</v>
      </c>
      <c r="F60" s="345"/>
      <c r="G60" s="325">
        <f>SUM(G59)</f>
        <v>0</v>
      </c>
      <c r="H60" s="325">
        <f>SUM(H59)</f>
        <v>0.05</v>
      </c>
      <c r="I60" s="182"/>
      <c r="J60" s="346"/>
    </row>
    <row r="61" spans="1:10" x14ac:dyDescent="0.2">
      <c r="A61" s="341" t="s">
        <v>47</v>
      </c>
      <c r="B61" s="333">
        <f>MAX(0,IF(D61&lt;10%,D61-3%,IF(AND(D61&gt;=10%,D61&lt;20%),D61-5%,D61-8%)))</f>
        <v>0</v>
      </c>
      <c r="C61" s="333">
        <f>IF(D61&lt;10%,D61+3%,IF(AND(D61&gt;=10%,D61&lt;20%),D61+5%,D61+8%))</f>
        <v>0.03</v>
      </c>
      <c r="D61" s="353">
        <f>VLOOKUP(A61,'Asset Allocations'!A:I,8,FALSE)</f>
        <v>0</v>
      </c>
      <c r="E61" s="355">
        <f>VLOOKUP(A61,'Asset Allocations'!A:I,9,FALSE)</f>
        <v>0</v>
      </c>
      <c r="F61" s="334">
        <f>IFERROR(E61-D61,"")</f>
        <v>0</v>
      </c>
      <c r="G61" s="631">
        <f t="shared" si="13"/>
        <v>0.05</v>
      </c>
      <c r="H61" s="335">
        <f t="shared" si="14"/>
        <v>0</v>
      </c>
      <c r="I61" s="180">
        <f>IFERROR(H61-D61,"")</f>
        <v>0</v>
      </c>
      <c r="J61" s="336"/>
    </row>
    <row r="62" spans="1:10" x14ac:dyDescent="0.2">
      <c r="A62" s="341" t="s">
        <v>48</v>
      </c>
      <c r="B62" s="333">
        <f>MAX(0,IF(D62&lt;10%,D62-3%,IF(AND(D62&gt;=10%,D62&lt;20%),D62-5%,D62-8%)))</f>
        <v>0</v>
      </c>
      <c r="C62" s="333">
        <f>IF(D62&lt;10%,D62+3%,IF(AND(D62&gt;=10%,D62&lt;20%),D62+5%,D62+8%))</f>
        <v>0.03</v>
      </c>
      <c r="D62" s="353">
        <f>VLOOKUP(A62,'Asset Allocations'!A:I,8,FALSE)</f>
        <v>0</v>
      </c>
      <c r="E62" s="355">
        <f>VLOOKUP(A62,'Asset Allocations'!A:I,9,FALSE)</f>
        <v>0</v>
      </c>
      <c r="F62" s="334">
        <f>IFERROR(E62-D62,"")</f>
        <v>0</v>
      </c>
      <c r="G62" s="631">
        <f t="shared" si="13"/>
        <v>0.04</v>
      </c>
      <c r="H62" s="335">
        <f t="shared" si="14"/>
        <v>0</v>
      </c>
      <c r="I62" s="180">
        <f>IFERROR(H62-D62,"")</f>
        <v>0</v>
      </c>
      <c r="J62" s="336"/>
    </row>
    <row r="63" spans="1:10" ht="15" x14ac:dyDescent="0.25">
      <c r="A63" s="337" t="s">
        <v>9536</v>
      </c>
      <c r="B63" s="181">
        <f t="shared" ref="B63:C63" si="19">SUM(B61:B62)</f>
        <v>0</v>
      </c>
      <c r="C63" s="181">
        <f t="shared" si="19"/>
        <v>0.06</v>
      </c>
      <c r="D63" s="181">
        <f>VLOOKUP(A63,'Asset Allocations'!A:I,8,FALSE)</f>
        <v>0</v>
      </c>
      <c r="E63" s="181">
        <f>VLOOKUP(A63,'Asset Allocations'!A:I,9,FALSE)</f>
        <v>0</v>
      </c>
      <c r="F63" s="338">
        <f>IFERROR(E63-D63,"")</f>
        <v>0</v>
      </c>
      <c r="G63" s="325">
        <f>SUM(G61:G62)</f>
        <v>0.09</v>
      </c>
      <c r="H63" s="325">
        <f>SUM(H61:H62)</f>
        <v>0</v>
      </c>
      <c r="I63" s="12" t="str">
        <f>IFERROR(IF(H63=0,"",H63-D63),"")</f>
        <v/>
      </c>
      <c r="J63" s="340"/>
    </row>
    <row r="64" spans="1:10" ht="15.75" thickBot="1" x14ac:dyDescent="0.3">
      <c r="A64" s="347" t="s">
        <v>9532</v>
      </c>
      <c r="B64" s="348"/>
      <c r="C64" s="349"/>
      <c r="D64" s="348">
        <f>D49+D56+D58+D60+D63</f>
        <v>1</v>
      </c>
      <c r="E64" s="348">
        <f>E49+E56+E58+E60+E63</f>
        <v>1</v>
      </c>
      <c r="F64" s="350"/>
      <c r="G64" s="348">
        <f>G49+G56+G58+G60+G63</f>
        <v>0.99999999999999989</v>
      </c>
      <c r="H64" s="348">
        <f>H49+H56+H58+H60+H63</f>
        <v>1</v>
      </c>
      <c r="I64" s="351"/>
      <c r="J64" s="352"/>
    </row>
    <row r="65" spans="1:10" ht="15.75" thickTop="1" x14ac:dyDescent="0.25">
      <c r="A65" s="319"/>
      <c r="B65" s="320"/>
      <c r="C65" s="320"/>
      <c r="D65" s="321"/>
      <c r="E65" s="321"/>
      <c r="F65" s="322"/>
      <c r="G65" s="254"/>
      <c r="H65" s="321"/>
      <c r="I65" s="323"/>
      <c r="J65" s="324"/>
    </row>
    <row r="66" spans="1:10" ht="15" thickBot="1" x14ac:dyDescent="0.25">
      <c r="A66" s="48"/>
      <c r="J66" s="49"/>
    </row>
    <row r="67" spans="1:10" ht="15" x14ac:dyDescent="0.25">
      <c r="A67" s="94" t="s">
        <v>50</v>
      </c>
      <c r="B67" s="95"/>
      <c r="C67" s="95"/>
      <c r="D67" s="95"/>
      <c r="E67" s="95"/>
      <c r="F67" s="95"/>
      <c r="G67" s="95"/>
      <c r="H67" s="95"/>
      <c r="I67" s="95"/>
      <c r="J67" s="96"/>
    </row>
    <row r="68" spans="1:10" x14ac:dyDescent="0.2">
      <c r="A68" s="97"/>
      <c r="B68" s="57"/>
      <c r="C68" s="57"/>
      <c r="D68" s="57"/>
      <c r="E68" s="57"/>
      <c r="F68" s="57"/>
      <c r="G68" s="57"/>
      <c r="H68" s="57"/>
      <c r="I68" s="57"/>
      <c r="J68" s="98"/>
    </row>
    <row r="69" spans="1:10" x14ac:dyDescent="0.2">
      <c r="A69" s="113" t="s">
        <v>9527</v>
      </c>
      <c r="B69" s="113"/>
      <c r="C69" s="57"/>
      <c r="D69" s="57"/>
      <c r="E69" s="57"/>
      <c r="F69" s="57"/>
      <c r="G69" s="57"/>
      <c r="H69" s="57"/>
      <c r="I69" s="57"/>
      <c r="J69" s="98"/>
    </row>
    <row r="70" spans="1:10" x14ac:dyDescent="0.2">
      <c r="A70" s="97" t="s">
        <v>8876</v>
      </c>
      <c r="B70" s="97"/>
      <c r="C70" s="57"/>
      <c r="D70" s="57"/>
      <c r="E70" s="57"/>
      <c r="F70" s="57"/>
      <c r="G70" s="57"/>
      <c r="H70" s="57"/>
      <c r="I70" s="57"/>
      <c r="J70" s="98"/>
    </row>
    <row r="71" spans="1:10" x14ac:dyDescent="0.2">
      <c r="A71" s="97"/>
      <c r="B71" s="562"/>
      <c r="C71" s="57"/>
      <c r="D71" s="57"/>
      <c r="E71" s="57"/>
      <c r="F71" s="57"/>
      <c r="G71" s="57"/>
      <c r="H71" s="57"/>
      <c r="I71" s="57"/>
      <c r="J71" s="98"/>
    </row>
    <row r="72" spans="1:10" x14ac:dyDescent="0.2">
      <c r="A72" s="97"/>
      <c r="B72" s="562"/>
      <c r="C72" s="57"/>
      <c r="D72" s="57"/>
      <c r="E72" s="57"/>
      <c r="F72" s="57"/>
      <c r="G72" s="57"/>
      <c r="H72" s="57"/>
      <c r="I72" s="57"/>
      <c r="J72" s="98"/>
    </row>
    <row r="73" spans="1:10" x14ac:dyDescent="0.2">
      <c r="A73" s="97"/>
      <c r="B73" s="57"/>
      <c r="C73" s="57"/>
      <c r="D73" s="57"/>
      <c r="E73" s="57"/>
      <c r="F73" s="57"/>
      <c r="G73" s="57"/>
      <c r="H73" s="57"/>
      <c r="I73" s="57"/>
      <c r="J73" s="98"/>
    </row>
    <row r="74" spans="1:10" x14ac:dyDescent="0.2">
      <c r="A74" s="97"/>
      <c r="B74" s="57"/>
      <c r="C74" s="57"/>
      <c r="D74" s="57"/>
      <c r="E74" s="57"/>
      <c r="F74" s="57"/>
      <c r="G74" s="57"/>
      <c r="H74" s="57"/>
      <c r="I74" s="57"/>
      <c r="J74" s="98"/>
    </row>
    <row r="75" spans="1:10" x14ac:dyDescent="0.2">
      <c r="A75" s="97"/>
      <c r="B75" s="57"/>
      <c r="C75" s="57"/>
      <c r="D75" s="57"/>
      <c r="E75" s="57"/>
      <c r="F75" s="57"/>
      <c r="G75" s="57"/>
      <c r="H75" s="57"/>
      <c r="I75" s="57"/>
      <c r="J75" s="98"/>
    </row>
    <row r="76" spans="1:10" x14ac:dyDescent="0.2">
      <c r="A76" s="97"/>
      <c r="B76" s="57"/>
      <c r="C76" s="57"/>
      <c r="D76" s="57"/>
      <c r="E76" s="57"/>
      <c r="F76" s="57"/>
      <c r="G76" s="57"/>
      <c r="H76" s="57"/>
      <c r="I76" s="57"/>
      <c r="J76" s="98"/>
    </row>
    <row r="77" spans="1:10" x14ac:dyDescent="0.2">
      <c r="A77" s="113"/>
      <c r="B77" s="57"/>
      <c r="C77" s="57"/>
      <c r="D77" s="57"/>
      <c r="E77" s="57"/>
      <c r="F77" s="57"/>
      <c r="G77" s="57"/>
      <c r="H77" s="57"/>
      <c r="I77" s="57"/>
      <c r="J77" s="98"/>
    </row>
    <row r="78" spans="1:10" x14ac:dyDescent="0.2">
      <c r="A78" s="113"/>
      <c r="B78" s="57"/>
      <c r="C78" s="57"/>
      <c r="D78" s="57"/>
      <c r="E78" s="57"/>
      <c r="F78" s="57"/>
      <c r="G78" s="57"/>
      <c r="H78" s="57"/>
      <c r="I78" s="57"/>
      <c r="J78" s="98"/>
    </row>
    <row r="79" spans="1:10" x14ac:dyDescent="0.2">
      <c r="A79" s="97"/>
      <c r="B79" s="57"/>
      <c r="C79" s="57"/>
      <c r="D79" s="57"/>
      <c r="E79" s="57"/>
      <c r="F79" s="57"/>
      <c r="G79" s="57"/>
      <c r="H79" s="57"/>
      <c r="I79" s="57"/>
      <c r="J79" s="98"/>
    </row>
    <row r="80" spans="1:10" x14ac:dyDescent="0.2">
      <c r="A80" s="97"/>
      <c r="B80" s="57"/>
      <c r="C80" s="57"/>
      <c r="D80" s="57"/>
      <c r="E80" s="57"/>
      <c r="F80" s="57"/>
      <c r="G80" s="57"/>
      <c r="H80" s="57"/>
      <c r="I80" s="57"/>
      <c r="J80" s="98"/>
    </row>
    <row r="81" spans="1:10" x14ac:dyDescent="0.2">
      <c r="A81" s="97"/>
      <c r="B81" s="57"/>
      <c r="C81" s="57"/>
      <c r="D81" s="57"/>
      <c r="E81" s="57"/>
      <c r="F81" s="57"/>
      <c r="G81" s="57"/>
      <c r="H81" s="57"/>
      <c r="I81" s="57"/>
      <c r="J81" s="98"/>
    </row>
    <row r="82" spans="1:10" x14ac:dyDescent="0.2">
      <c r="A82" s="97"/>
      <c r="B82" s="57"/>
      <c r="C82" s="57"/>
      <c r="D82" s="57"/>
      <c r="E82" s="57"/>
      <c r="F82" s="57"/>
      <c r="G82" s="57"/>
      <c r="H82" s="57"/>
      <c r="I82" s="57"/>
      <c r="J82" s="98"/>
    </row>
    <row r="83" spans="1:10" x14ac:dyDescent="0.2">
      <c r="A83" s="97"/>
      <c r="B83" s="57"/>
      <c r="C83" s="57"/>
      <c r="D83" s="57"/>
      <c r="E83" s="57"/>
      <c r="F83" s="57"/>
      <c r="G83" s="57"/>
      <c r="H83" s="57"/>
      <c r="I83" s="57"/>
      <c r="J83" s="98"/>
    </row>
    <row r="84" spans="1:10" x14ac:dyDescent="0.2">
      <c r="A84" s="97"/>
      <c r="B84" s="57"/>
      <c r="C84" s="57"/>
      <c r="D84" s="57"/>
      <c r="E84" s="57"/>
      <c r="F84" s="57"/>
      <c r="G84" s="57"/>
      <c r="H84" s="57"/>
      <c r="I84" s="57"/>
      <c r="J84" s="98"/>
    </row>
    <row r="85" spans="1:10" x14ac:dyDescent="0.2">
      <c r="A85" s="97"/>
      <c r="B85" s="57"/>
      <c r="C85" s="57"/>
      <c r="D85" s="57"/>
      <c r="E85" s="57"/>
      <c r="F85" s="57"/>
      <c r="G85" s="57"/>
      <c r="H85" s="57"/>
      <c r="I85" s="57"/>
      <c r="J85" s="98"/>
    </row>
    <row r="86" spans="1:10" x14ac:dyDescent="0.2">
      <c r="A86" s="97"/>
      <c r="B86" s="57"/>
      <c r="C86" s="57"/>
      <c r="D86" s="57"/>
      <c r="E86" s="57"/>
      <c r="F86" s="57"/>
      <c r="G86" s="57"/>
      <c r="H86" s="57"/>
      <c r="I86" s="57"/>
      <c r="J86" s="98"/>
    </row>
    <row r="87" spans="1:10" x14ac:dyDescent="0.2">
      <c r="A87" s="97"/>
      <c r="B87" s="57"/>
      <c r="C87" s="57"/>
      <c r="D87" s="57"/>
      <c r="E87" s="57"/>
      <c r="F87" s="57"/>
      <c r="G87" s="57"/>
      <c r="H87" s="57"/>
      <c r="I87" s="57"/>
      <c r="J87" s="98"/>
    </row>
    <row r="88" spans="1:10" x14ac:dyDescent="0.2">
      <c r="A88" s="97"/>
      <c r="B88" s="57"/>
      <c r="C88" s="57"/>
      <c r="D88" s="57"/>
      <c r="E88" s="57"/>
      <c r="F88" s="57"/>
      <c r="G88" s="57"/>
      <c r="H88" s="57"/>
      <c r="I88" s="57"/>
      <c r="J88" s="98"/>
    </row>
    <row r="89" spans="1:10" x14ac:dyDescent="0.2">
      <c r="A89" s="97"/>
      <c r="B89" s="57"/>
      <c r="C89" s="57"/>
      <c r="D89" s="57"/>
      <c r="E89" s="57"/>
      <c r="F89" s="57"/>
      <c r="G89" s="57"/>
      <c r="H89" s="57"/>
      <c r="I89" s="57"/>
      <c r="J89" s="98"/>
    </row>
    <row r="90" spans="1:10" x14ac:dyDescent="0.2">
      <c r="A90" s="97"/>
      <c r="B90" s="57"/>
      <c r="C90" s="57"/>
      <c r="D90" s="57"/>
      <c r="E90" s="57"/>
      <c r="F90" s="57"/>
      <c r="G90" s="57"/>
      <c r="H90" s="57"/>
      <c r="I90" s="57"/>
      <c r="J90" s="98"/>
    </row>
    <row r="91" spans="1:10" x14ac:dyDescent="0.2">
      <c r="A91" s="97"/>
      <c r="B91" s="57"/>
      <c r="C91" s="57"/>
      <c r="D91" s="57"/>
      <c r="E91" s="57"/>
      <c r="F91" s="57"/>
      <c r="G91" s="57"/>
      <c r="H91" s="57"/>
      <c r="I91" s="57"/>
      <c r="J91" s="98"/>
    </row>
    <row r="92" spans="1:10" x14ac:dyDescent="0.2">
      <c r="A92" s="97"/>
      <c r="B92" s="57"/>
      <c r="C92" s="57"/>
      <c r="D92" s="57"/>
      <c r="E92" s="57"/>
      <c r="F92" s="57"/>
      <c r="G92" s="57"/>
      <c r="H92" s="57"/>
      <c r="I92" s="57"/>
      <c r="J92" s="98"/>
    </row>
    <row r="93" spans="1:10" x14ac:dyDescent="0.2">
      <c r="A93" s="97"/>
      <c r="B93" s="57"/>
      <c r="C93" s="57"/>
      <c r="D93" s="57"/>
      <c r="E93" s="57"/>
      <c r="F93" s="57"/>
      <c r="G93" s="57"/>
      <c r="H93" s="57"/>
      <c r="I93" s="57"/>
      <c r="J93" s="98"/>
    </row>
    <row r="94" spans="1:10" x14ac:dyDescent="0.2">
      <c r="A94" s="97"/>
      <c r="B94" s="57"/>
      <c r="C94" s="57"/>
      <c r="D94" s="57"/>
      <c r="E94" s="57"/>
      <c r="F94" s="57"/>
      <c r="G94" s="57"/>
      <c r="H94" s="57"/>
      <c r="I94" s="57"/>
      <c r="J94" s="98"/>
    </row>
    <row r="95" spans="1:10" x14ac:dyDescent="0.2">
      <c r="A95" s="97"/>
      <c r="B95" s="57"/>
      <c r="C95" s="57"/>
      <c r="D95" s="57"/>
      <c r="E95" s="57"/>
      <c r="F95" s="57"/>
      <c r="G95" s="57"/>
      <c r="H95" s="57"/>
      <c r="I95" s="57"/>
      <c r="J95" s="98"/>
    </row>
    <row r="96" spans="1:10" x14ac:dyDescent="0.2">
      <c r="A96" s="97"/>
      <c r="B96" s="57"/>
      <c r="C96" s="57"/>
      <c r="D96" s="57"/>
      <c r="E96" s="57"/>
      <c r="F96" s="57"/>
      <c r="G96" s="57"/>
      <c r="H96" s="57"/>
      <c r="I96" s="57"/>
      <c r="J96" s="98"/>
    </row>
    <row r="97" spans="1:10" x14ac:dyDescent="0.2">
      <c r="A97" s="97"/>
      <c r="B97" s="57"/>
      <c r="C97" s="57"/>
      <c r="D97" s="57"/>
      <c r="E97" s="57"/>
      <c r="F97" s="57"/>
      <c r="G97" s="57"/>
      <c r="H97" s="57"/>
      <c r="I97" s="57"/>
      <c r="J97" s="98"/>
    </row>
    <row r="98" spans="1:10" x14ac:dyDescent="0.2">
      <c r="A98" s="97"/>
      <c r="B98" s="57"/>
      <c r="C98" s="57"/>
      <c r="D98" s="57"/>
      <c r="E98" s="57"/>
      <c r="F98" s="57"/>
      <c r="G98" s="57"/>
      <c r="H98" s="57"/>
      <c r="I98" s="57"/>
      <c r="J98" s="98"/>
    </row>
    <row r="99" spans="1:10" x14ac:dyDescent="0.2">
      <c r="A99" s="97"/>
      <c r="B99" s="57"/>
      <c r="C99" s="57"/>
      <c r="D99" s="57"/>
      <c r="E99" s="57"/>
      <c r="F99" s="57"/>
      <c r="G99" s="57"/>
      <c r="H99" s="57"/>
      <c r="I99" s="57"/>
      <c r="J99" s="98"/>
    </row>
    <row r="100" spans="1:10" x14ac:dyDescent="0.2">
      <c r="A100" s="97"/>
      <c r="B100" s="57"/>
      <c r="C100" s="57"/>
      <c r="D100" s="57"/>
      <c r="E100" s="57"/>
      <c r="F100" s="57"/>
      <c r="G100" s="57"/>
      <c r="H100" s="57"/>
      <c r="I100" s="57"/>
      <c r="J100" s="98"/>
    </row>
    <row r="101" spans="1:10" ht="15" thickBot="1" x14ac:dyDescent="0.25">
      <c r="A101" s="99"/>
      <c r="B101" s="100"/>
      <c r="C101" s="100"/>
      <c r="D101" s="100"/>
      <c r="E101" s="100"/>
      <c r="F101" s="100"/>
      <c r="G101" s="100"/>
      <c r="H101" s="100"/>
      <c r="I101" s="100"/>
      <c r="J101" s="101"/>
    </row>
  </sheetData>
  <sheetProtection selectLockedCells="1"/>
  <sortState xmlns:xlrd2="http://schemas.microsoft.com/office/spreadsheetml/2017/richdata2" ref="A5:J37">
    <sortCondition ref="E5:E37"/>
    <sortCondition ref="B5:B37"/>
  </sortState>
  <mergeCells count="2">
    <mergeCell ref="A1:K1"/>
    <mergeCell ref="B2:K2"/>
  </mergeCells>
  <phoneticPr fontId="9" type="noConversion"/>
  <conditionalFormatting sqref="G25:G28 C26:E28 C29:G32 A26:B32 A23:E25 B5:E22 A33:G38 I38:K38">
    <cfRule type="expression" dxfId="271" priority="214">
      <formula>AND($F5&lt;&gt;"",$F5=0%)</formula>
    </cfRule>
  </conditionalFormatting>
  <conditionalFormatting sqref="G25:G28 C26:E28 C29:G32 A26:B32 A23:E25 B5:E22 A33:G38 I38:K38">
    <cfRule type="expression" dxfId="270" priority="215">
      <formula>AND($G5&lt;&gt;"",$G5=0%)</formula>
    </cfRule>
  </conditionalFormatting>
  <conditionalFormatting sqref="A4:E4">
    <cfRule type="expression" dxfId="269" priority="209">
      <formula>AND($F4&lt;&gt;"",$F4=0%)</formula>
    </cfRule>
  </conditionalFormatting>
  <conditionalFormatting sqref="A4:E4">
    <cfRule type="expression" dxfId="268" priority="210">
      <formula>AND($G4&lt;&gt;"",$G4=0%)</formula>
    </cfRule>
  </conditionalFormatting>
  <conditionalFormatting sqref="A4">
    <cfRule type="expression" dxfId="267" priority="211">
      <formula>$A4=""</formula>
    </cfRule>
    <cfRule type="expression" dxfId="266" priority="212">
      <formula>$A4&lt;&gt;""</formula>
    </cfRule>
  </conditionalFormatting>
  <conditionalFormatting sqref="F23:F28">
    <cfRule type="expression" dxfId="265" priority="195">
      <formula>AND($F23&lt;&gt;"",$F23=0%)</formula>
    </cfRule>
  </conditionalFormatting>
  <conditionalFormatting sqref="F23:F28">
    <cfRule type="expression" dxfId="264" priority="196">
      <formula>AND($G23&lt;&gt;"",$G23=0%)</formula>
    </cfRule>
  </conditionalFormatting>
  <conditionalFormatting sqref="G23:G24">
    <cfRule type="expression" dxfId="263" priority="189">
      <formula>AND($F23&lt;&gt;"",$F23=0%)</formula>
    </cfRule>
  </conditionalFormatting>
  <conditionalFormatting sqref="G23:G24">
    <cfRule type="expression" dxfId="262" priority="190">
      <formula>AND($G23&lt;&gt;"",$G23=0%)</formula>
    </cfRule>
  </conditionalFormatting>
  <conditionalFormatting sqref="F23">
    <cfRule type="expression" dxfId="261" priority="151">
      <formula>AND($F23&lt;&gt;"",$F23=0%)</formula>
    </cfRule>
  </conditionalFormatting>
  <conditionalFormatting sqref="F23">
    <cfRule type="expression" dxfId="260" priority="152">
      <formula>AND($G23&lt;&gt;"",$G23=0%)</formula>
    </cfRule>
  </conditionalFormatting>
  <conditionalFormatting sqref="G20">
    <cfRule type="expression" dxfId="259" priority="113">
      <formula>AND($F20&lt;&gt;"",$F20=0%)</formula>
    </cfRule>
  </conditionalFormatting>
  <conditionalFormatting sqref="G20">
    <cfRule type="expression" dxfId="258" priority="114">
      <formula>AND($G20&lt;&gt;"",$G20=0%)</formula>
    </cfRule>
  </conditionalFormatting>
  <conditionalFormatting sqref="F4:G4">
    <cfRule type="expression" dxfId="257" priority="107">
      <formula>AND($F4&lt;&gt;"",$F4=0%)</formula>
    </cfRule>
  </conditionalFormatting>
  <conditionalFormatting sqref="F4:G4">
    <cfRule type="expression" dxfId="256" priority="108">
      <formula>AND($G4&lt;&gt;"",$G4=0%)</formula>
    </cfRule>
  </conditionalFormatting>
  <conditionalFormatting sqref="F4:G4">
    <cfRule type="expression" dxfId="255" priority="109">
      <formula>$A4=""</formula>
    </cfRule>
    <cfRule type="expression" dxfId="254" priority="110">
      <formula>$A4&lt;&gt;""</formula>
    </cfRule>
  </conditionalFormatting>
  <conditionalFormatting sqref="G22">
    <cfRule type="expression" dxfId="253" priority="103">
      <formula>AND($F22&lt;&gt;"",$F22=0%)</formula>
    </cfRule>
  </conditionalFormatting>
  <conditionalFormatting sqref="G22">
    <cfRule type="expression" dxfId="252" priority="104">
      <formula>AND($G22&lt;&gt;"",$G22=0%)</formula>
    </cfRule>
  </conditionalFormatting>
  <conditionalFormatting sqref="G22">
    <cfRule type="expression" dxfId="251" priority="77">
      <formula>AND($F22&lt;&gt;"",$F22=0%)</formula>
    </cfRule>
  </conditionalFormatting>
  <conditionalFormatting sqref="G22">
    <cfRule type="expression" dxfId="250" priority="78">
      <formula>AND($G22&lt;&gt;"",$G22=0%)</formula>
    </cfRule>
  </conditionalFormatting>
  <conditionalFormatting sqref="G19">
    <cfRule type="expression" dxfId="249" priority="75">
      <formula>AND($F19&lt;&gt;"",$F19=0%)</formula>
    </cfRule>
  </conditionalFormatting>
  <conditionalFormatting sqref="G19">
    <cfRule type="expression" dxfId="248" priority="76">
      <formula>AND($G19&lt;&gt;"",$G19=0%)</formula>
    </cfRule>
  </conditionalFormatting>
  <conditionalFormatting sqref="G21">
    <cfRule type="expression" dxfId="247" priority="73">
      <formula>AND($F21&lt;&gt;"",$F21=0%)</formula>
    </cfRule>
  </conditionalFormatting>
  <conditionalFormatting sqref="G21">
    <cfRule type="expression" dxfId="246" priority="74">
      <formula>AND($G21&lt;&gt;"",$G21=0%)</formula>
    </cfRule>
  </conditionalFormatting>
  <conditionalFormatting sqref="G5:G19">
    <cfRule type="expression" dxfId="245" priority="53">
      <formula>AND($F5&lt;&gt;"",$F5=0%)</formula>
    </cfRule>
  </conditionalFormatting>
  <conditionalFormatting sqref="G5:G19">
    <cfRule type="expression" dxfId="244" priority="54">
      <formula>AND($G5&lt;&gt;"",$G5=0%)</formula>
    </cfRule>
  </conditionalFormatting>
  <conditionalFormatting sqref="G19:G22">
    <cfRule type="expression" dxfId="243" priority="51">
      <formula>AND($F19&lt;&gt;"",$F19=0%)</formula>
    </cfRule>
  </conditionalFormatting>
  <conditionalFormatting sqref="G19:G22">
    <cfRule type="expression" dxfId="242" priority="52">
      <formula>AND($G19&lt;&gt;"",$G19=0%)</formula>
    </cfRule>
  </conditionalFormatting>
  <conditionalFormatting sqref="H42:H55 H57 H59 H61:H62 G49">
    <cfRule type="cellIs" dxfId="241" priority="39" operator="lessThan">
      <formula>$B42</formula>
    </cfRule>
    <cfRule type="cellIs" dxfId="240" priority="40" operator="greaterThan">
      <formula>$C42</formula>
    </cfRule>
  </conditionalFormatting>
  <conditionalFormatting sqref="G56:H56">
    <cfRule type="cellIs" dxfId="239" priority="37" operator="lessThan">
      <formula>$B56</formula>
    </cfRule>
    <cfRule type="cellIs" dxfId="238" priority="38" operator="greaterThan">
      <formula>$C56</formula>
    </cfRule>
  </conditionalFormatting>
  <conditionalFormatting sqref="G56:H56">
    <cfRule type="expression" priority="36" stopIfTrue="1">
      <formula>$G$39=0</formula>
    </cfRule>
  </conditionalFormatting>
  <conditionalFormatting sqref="G58:H58">
    <cfRule type="cellIs" dxfId="237" priority="34" operator="lessThan">
      <formula>$B58</formula>
    </cfRule>
    <cfRule type="cellIs" dxfId="236" priority="35" operator="greaterThan">
      <formula>$C58</formula>
    </cfRule>
  </conditionalFormatting>
  <conditionalFormatting sqref="G58:H58">
    <cfRule type="expression" priority="33" stopIfTrue="1">
      <formula>$G$39=0</formula>
    </cfRule>
  </conditionalFormatting>
  <conditionalFormatting sqref="G60:H60">
    <cfRule type="cellIs" dxfId="235" priority="31" operator="lessThan">
      <formula>$B60</formula>
    </cfRule>
    <cfRule type="cellIs" dxfId="234" priority="32" operator="greaterThan">
      <formula>$C60</formula>
    </cfRule>
  </conditionalFormatting>
  <conditionalFormatting sqref="G60:H60">
    <cfRule type="expression" priority="30" stopIfTrue="1">
      <formula>$G$39=0</formula>
    </cfRule>
  </conditionalFormatting>
  <conditionalFormatting sqref="G63:H63">
    <cfRule type="cellIs" dxfId="233" priority="28" operator="lessThan">
      <formula>$B63</formula>
    </cfRule>
    <cfRule type="cellIs" dxfId="232" priority="29" operator="greaterThan">
      <formula>$C63</formula>
    </cfRule>
  </conditionalFormatting>
  <conditionalFormatting sqref="G63:H63">
    <cfRule type="expression" priority="27" stopIfTrue="1">
      <formula>$G$39=0</formula>
    </cfRule>
  </conditionalFormatting>
  <conditionalFormatting sqref="A5:A22">
    <cfRule type="expression" dxfId="231" priority="15">
      <formula>AND($F5&lt;&gt;"",$F5=0%)</formula>
    </cfRule>
  </conditionalFormatting>
  <conditionalFormatting sqref="A5:A22">
    <cfRule type="expression" dxfId="230" priority="16">
      <formula>AND($G5&lt;&gt;"",$G5=0%)</formula>
    </cfRule>
  </conditionalFormatting>
  <conditionalFormatting sqref="F20">
    <cfRule type="expression" dxfId="229" priority="13">
      <formula>AND($F20&lt;&gt;"",$F20=0%)</formula>
    </cfRule>
  </conditionalFormatting>
  <conditionalFormatting sqref="F20">
    <cfRule type="expression" dxfId="228" priority="14">
      <formula>AND($G20&lt;&gt;"",$G20=0%)</formula>
    </cfRule>
  </conditionalFormatting>
  <conditionalFormatting sqref="F22">
    <cfRule type="expression" dxfId="227" priority="11">
      <formula>AND($F22&lt;&gt;"",$F22=0%)</formula>
    </cfRule>
  </conditionalFormatting>
  <conditionalFormatting sqref="F22">
    <cfRule type="expression" dxfId="226" priority="12">
      <formula>AND($G22&lt;&gt;"",$G22=0%)</formula>
    </cfRule>
  </conditionalFormatting>
  <conditionalFormatting sqref="F22">
    <cfRule type="expression" dxfId="225" priority="9">
      <formula>AND($F22&lt;&gt;"",$F22=0%)</formula>
    </cfRule>
  </conditionalFormatting>
  <conditionalFormatting sqref="F22">
    <cfRule type="expression" dxfId="224" priority="10">
      <formula>AND($G22&lt;&gt;"",$G22=0%)</formula>
    </cfRule>
  </conditionalFormatting>
  <conditionalFormatting sqref="F19">
    <cfRule type="expression" dxfId="223" priority="7">
      <formula>AND($F19&lt;&gt;"",$F19=0%)</formula>
    </cfRule>
  </conditionalFormatting>
  <conditionalFormatting sqref="F19">
    <cfRule type="expression" dxfId="222" priority="8">
      <formula>AND($G19&lt;&gt;"",$G19=0%)</formula>
    </cfRule>
  </conditionalFormatting>
  <conditionalFormatting sqref="F21">
    <cfRule type="expression" dxfId="221" priority="5">
      <formula>AND($F21&lt;&gt;"",$F21=0%)</formula>
    </cfRule>
  </conditionalFormatting>
  <conditionalFormatting sqref="F21">
    <cfRule type="expression" dxfId="220" priority="6">
      <formula>AND($G21&lt;&gt;"",$G21=0%)</formula>
    </cfRule>
  </conditionalFormatting>
  <conditionalFormatting sqref="F5:F19">
    <cfRule type="expression" dxfId="219" priority="3">
      <formula>AND($F5&lt;&gt;"",$F5=0%)</formula>
    </cfRule>
  </conditionalFormatting>
  <conditionalFormatting sqref="F5:F19">
    <cfRule type="expression" dxfId="218" priority="4">
      <formula>AND($G5&lt;&gt;"",$G5=0%)</formula>
    </cfRule>
  </conditionalFormatting>
  <conditionalFormatting sqref="F19:F22">
    <cfRule type="expression" dxfId="217" priority="1">
      <formula>AND($F19&lt;&gt;"",$F19=0%)</formula>
    </cfRule>
  </conditionalFormatting>
  <conditionalFormatting sqref="F19:F22">
    <cfRule type="expression" dxfId="216" priority="2">
      <formula>AND($G19&lt;&gt;"",$G19=0%)</formula>
    </cfRule>
  </conditionalFormatting>
  <pageMargins left="0.25" right="0.25" top="0.75" bottom="0.75" header="0.3" footer="0.3"/>
  <pageSetup paperSize="9" scale="69" orientation="landscape" r:id="rId1"/>
  <ignoredErrors>
    <ignoredError sqref="B58:C5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" id="{164024B1-6FA3-436D-98B8-A7A63420BD0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F65</xm:sqref>
        </x14:conditionalFormatting>
        <x14:conditionalFormatting xmlns:xm="http://schemas.microsoft.com/office/excel/2006/main">
          <x14:cfRule type="iconSet" priority="43" id="{00D62921-8242-40CB-9326-0CE57E622C1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42" id="{37CDDB14-C520-46DD-9FC8-6E8A33AB895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41" id="{2559F101-1B73-452B-8F28-6B1B4C0F20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44" id="{3B6A1D84-9A3F-43CD-B1E1-285C6B32382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45" id="{A70BED0B-D7C5-4072-B68D-F8163001A29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I57:I62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6B045-1A1D-41E8-8292-E5D3952DB44C}">
  <sheetPr>
    <pageSetUpPr fitToPage="1"/>
  </sheetPr>
  <dimension ref="A1:R101"/>
  <sheetViews>
    <sheetView topLeftCell="A31" zoomScale="90" zoomScaleNormal="90" workbookViewId="0">
      <selection activeCell="H4" sqref="H4:H33"/>
    </sheetView>
  </sheetViews>
  <sheetFormatPr defaultColWidth="9" defaultRowHeight="14.25" x14ac:dyDescent="0.2"/>
  <cols>
    <col min="1" max="1" width="21.125" customWidth="1"/>
    <col min="2" max="4" width="17.625" customWidth="1"/>
    <col min="5" max="5" width="22.5" customWidth="1"/>
    <col min="6" max="6" width="15.625" customWidth="1"/>
    <col min="7" max="7" width="15.625" style="602" customWidth="1"/>
    <col min="8" max="8" width="15.625" customWidth="1"/>
    <col min="9" max="9" width="13" customWidth="1"/>
    <col min="10" max="10" width="15.625" customWidth="1"/>
    <col min="11" max="11" width="13" customWidth="1"/>
    <col min="14" max="14" width="21" bestFit="1" customWidth="1"/>
  </cols>
  <sheetData>
    <row r="1" spans="1:18" ht="30" x14ac:dyDescent="0.2">
      <c r="A1" s="832" t="s">
        <v>63</v>
      </c>
      <c r="B1" s="833"/>
      <c r="C1" s="833"/>
      <c r="D1" s="833"/>
      <c r="E1" s="833"/>
      <c r="F1" s="833"/>
      <c r="G1" s="833"/>
      <c r="H1" s="833"/>
      <c r="I1" s="833"/>
      <c r="J1" s="833"/>
      <c r="K1" s="834"/>
    </row>
    <row r="2" spans="1:18" ht="15" x14ac:dyDescent="0.25">
      <c r="A2" s="44" t="s">
        <v>2</v>
      </c>
      <c r="B2" s="830">
        <f>Date</f>
        <v>44733</v>
      </c>
      <c r="C2" s="830"/>
      <c r="D2" s="830"/>
      <c r="E2" s="830"/>
      <c r="F2" s="830"/>
      <c r="G2" s="830"/>
      <c r="H2" s="830"/>
      <c r="I2" s="830"/>
      <c r="J2" s="830"/>
      <c r="K2" s="835"/>
    </row>
    <row r="3" spans="1:18" ht="15.75" x14ac:dyDescent="0.25">
      <c r="A3" s="183" t="s">
        <v>3</v>
      </c>
      <c r="B3" s="184" t="s">
        <v>4</v>
      </c>
      <c r="C3" s="184"/>
      <c r="D3" s="184"/>
      <c r="E3" s="184" t="s">
        <v>5</v>
      </c>
      <c r="F3" s="185" t="s">
        <v>9577</v>
      </c>
      <c r="G3" s="185" t="s">
        <v>9576</v>
      </c>
      <c r="H3" s="185" t="s">
        <v>9578</v>
      </c>
      <c r="I3" s="186" t="s">
        <v>9579</v>
      </c>
      <c r="J3" s="673" t="s">
        <v>9580</v>
      </c>
      <c r="K3" s="187" t="s">
        <v>9581</v>
      </c>
      <c r="O3" s="185" t="s">
        <v>9578</v>
      </c>
      <c r="P3" s="186" t="s">
        <v>9579</v>
      </c>
      <c r="Q3" s="673" t="s">
        <v>9580</v>
      </c>
      <c r="R3" s="187" t="s">
        <v>9581</v>
      </c>
    </row>
    <row r="4" spans="1:18" x14ac:dyDescent="0.2">
      <c r="A4" s="30" t="s">
        <v>11</v>
      </c>
      <c r="B4" s="21" t="s">
        <v>11</v>
      </c>
      <c r="C4" s="22"/>
      <c r="D4" s="22"/>
      <c r="E4" s="23" t="str">
        <f>IFERROR(VLOOKUP(A4,NoviaFunds[],6,FALSE),"")</f>
        <v>Cash</v>
      </c>
      <c r="F4" s="14">
        <v>0.02</v>
      </c>
      <c r="G4" s="14">
        <v>0.02</v>
      </c>
      <c r="H4" s="685">
        <f>G4-F4</f>
        <v>0</v>
      </c>
      <c r="I4" s="660">
        <v>3.9E-2</v>
      </c>
      <c r="J4" s="659">
        <v>3.1E-2</v>
      </c>
      <c r="K4" s="31">
        <v>0.02</v>
      </c>
      <c r="M4" s="7"/>
      <c r="N4" s="7" t="s">
        <v>11</v>
      </c>
      <c r="O4" s="7">
        <f ca="1">SUMIF($E$4:$E$38,$N4,H$4:H$37)</f>
        <v>0</v>
      </c>
      <c r="P4" s="7">
        <f t="shared" ref="P4:R4" si="0">SUMIF($E$4:$E$38,$N4,I$4:I$38)</f>
        <v>3.9E-2</v>
      </c>
      <c r="Q4" s="7">
        <f t="shared" si="0"/>
        <v>3.1E-2</v>
      </c>
      <c r="R4" s="7">
        <f t="shared" si="0"/>
        <v>0.02</v>
      </c>
    </row>
    <row r="5" spans="1:18" x14ac:dyDescent="0.2">
      <c r="A5" s="30" t="s">
        <v>12</v>
      </c>
      <c r="B5" s="21" t="str">
        <f>IFERROR(VLOOKUP(A5,NoviaFunds[],2,FALSE),"")</f>
        <v>Artemis Target Return Bond Fund F Acc</v>
      </c>
      <c r="C5" s="22"/>
      <c r="D5" s="22"/>
      <c r="E5" s="23" t="str">
        <f>IFERROR(VLOOKUP(A5,NoviaFunds[],6,FALSE),"")</f>
        <v>Absolute Return</v>
      </c>
      <c r="F5" s="14">
        <v>0.03</v>
      </c>
      <c r="G5" s="14">
        <v>0</v>
      </c>
      <c r="H5" s="685">
        <f t="shared" ref="H5:H33" si="1">G5-F5</f>
        <v>-0.03</v>
      </c>
      <c r="I5" s="25">
        <v>0</v>
      </c>
      <c r="J5" s="25">
        <v>0</v>
      </c>
      <c r="K5" s="31">
        <v>0</v>
      </c>
      <c r="M5" s="7"/>
      <c r="N5" s="7" t="s">
        <v>48</v>
      </c>
      <c r="O5" s="7">
        <f t="shared" ref="O5:O19" ca="1" si="2">SUMIF($E$4:$E$38,$N5,H$4:H$37)</f>
        <v>-0.03</v>
      </c>
      <c r="P5" s="7">
        <f t="shared" ref="P5:P19" si="3">SUMIF($E$4:$E$38,$N5,I$4:I$38)</f>
        <v>0</v>
      </c>
      <c r="Q5" s="7">
        <f t="shared" ref="Q5:Q19" si="4">SUMIF($E$4:$E$38,$N5,J$4:J$38)</f>
        <v>0</v>
      </c>
      <c r="R5" s="7">
        <f t="shared" ref="R5:R19" si="5">SUMIF($E$4:$E$38,$N5,K$4:K$38)</f>
        <v>0</v>
      </c>
    </row>
    <row r="6" spans="1:18" x14ac:dyDescent="0.2">
      <c r="A6" s="550" t="s">
        <v>564</v>
      </c>
      <c r="B6" s="21" t="str">
        <f>IFERROR(VLOOKUP(A6,NoviaFunds[],2,FALSE),"")</f>
        <v>ASI Asia Pacific Equity Enhanced Index B Acc in GB</v>
      </c>
      <c r="C6" s="22"/>
      <c r="D6" s="22"/>
      <c r="E6" s="23" t="str">
        <f>IFERROR(VLOOKUP(A6,NoviaFunds[],6,FALSE),"")</f>
        <v>Asia Pacific</v>
      </c>
      <c r="F6" s="14">
        <v>0</v>
      </c>
      <c r="G6" s="14">
        <v>3.3000000000000002E-2</v>
      </c>
      <c r="H6" s="685">
        <f t="shared" si="1"/>
        <v>3.3000000000000002E-2</v>
      </c>
      <c r="I6" s="660">
        <v>3.3000000000000002E-2</v>
      </c>
      <c r="J6" s="25">
        <v>3.3000000000000002E-2</v>
      </c>
      <c r="K6" s="31">
        <v>3.3000000000000002E-2</v>
      </c>
      <c r="M6" s="7"/>
      <c r="N6" s="7" t="s">
        <v>35</v>
      </c>
      <c r="O6" s="7">
        <f t="shared" ca="1" si="2"/>
        <v>-8.0000000000000016E-2</v>
      </c>
      <c r="P6" s="7">
        <f t="shared" si="3"/>
        <v>0.16600000000000001</v>
      </c>
      <c r="Q6" s="7">
        <f t="shared" si="4"/>
        <v>0.13800000000000001</v>
      </c>
      <c r="R6" s="7">
        <f t="shared" si="5"/>
        <v>0.10999999999999999</v>
      </c>
    </row>
    <row r="7" spans="1:18" x14ac:dyDescent="0.2">
      <c r="A7" s="550" t="s">
        <v>1461</v>
      </c>
      <c r="B7" s="21" t="str">
        <f>IFERROR(VLOOKUP(A7,NoviaFunds[],2,FALSE),"")</f>
        <v>Baillie Gifford Pacific B Acc TR in GB</v>
      </c>
      <c r="C7" s="22"/>
      <c r="D7" s="22"/>
      <c r="E7" s="23" t="str">
        <f>IFERROR(VLOOKUP(A7,NoviaFunds[],6,FALSE),"")</f>
        <v>Asia Pacific</v>
      </c>
      <c r="F7" s="14">
        <v>0</v>
      </c>
      <c r="G7" s="14">
        <v>3.3000000000000002E-2</v>
      </c>
      <c r="H7" s="685">
        <f t="shared" si="1"/>
        <v>3.3000000000000002E-2</v>
      </c>
      <c r="I7" s="660">
        <v>3.3000000000000002E-2</v>
      </c>
      <c r="J7" s="25">
        <v>3.3000000000000002E-2</v>
      </c>
      <c r="K7" s="31">
        <v>3.3000000000000002E-2</v>
      </c>
      <c r="M7" s="7"/>
      <c r="N7" s="7" t="s">
        <v>36</v>
      </c>
      <c r="O7" s="7">
        <f t="shared" ca="1" si="2"/>
        <v>-6.0000000000000012E-2</v>
      </c>
      <c r="P7" s="7">
        <f t="shared" si="3"/>
        <v>0.19000000000000003</v>
      </c>
      <c r="Q7" s="7">
        <f t="shared" si="4"/>
        <v>0.14100000000000001</v>
      </c>
      <c r="R7" s="7">
        <f t="shared" si="5"/>
        <v>0.13</v>
      </c>
    </row>
    <row r="8" spans="1:18" x14ac:dyDescent="0.2">
      <c r="A8" s="30" t="s">
        <v>58</v>
      </c>
      <c r="B8" s="21" t="str">
        <f>IFERROR(VLOOKUP(A8,NoviaFunds[],2,FALSE),"")</f>
        <v>Fidelity Asia W Acc in GB</v>
      </c>
      <c r="C8" s="22"/>
      <c r="D8" s="22"/>
      <c r="E8" s="23" t="str">
        <f>IFERROR(VLOOKUP(A8,NoviaFunds[],6,FALSE),"")</f>
        <v>Asia Pacific</v>
      </c>
      <c r="F8" s="14">
        <v>0.05</v>
      </c>
      <c r="G8" s="14">
        <v>0</v>
      </c>
      <c r="H8" s="685">
        <f t="shared" si="1"/>
        <v>-0.05</v>
      </c>
      <c r="I8" s="659">
        <v>0</v>
      </c>
      <c r="J8" s="25">
        <v>0</v>
      </c>
      <c r="K8" s="31">
        <v>0</v>
      </c>
      <c r="M8" s="7"/>
      <c r="N8" s="7" t="s">
        <v>34</v>
      </c>
      <c r="O8" s="7">
        <f t="shared" ca="1" si="2"/>
        <v>-1.0000000000000009E-2</v>
      </c>
      <c r="P8" s="7">
        <f t="shared" si="3"/>
        <v>0.06</v>
      </c>
      <c r="Q8" s="7">
        <f t="shared" si="4"/>
        <v>0.06</v>
      </c>
      <c r="R8" s="7">
        <f t="shared" si="5"/>
        <v>0.06</v>
      </c>
    </row>
    <row r="9" spans="1:18" x14ac:dyDescent="0.2">
      <c r="A9" s="30" t="s">
        <v>64</v>
      </c>
      <c r="B9" s="21" t="str">
        <f>IFERROR(VLOOKUP(A9,NoviaFunds[],2,FALSE),"")</f>
        <v>Schroder Asian Income Z Acc in GB</v>
      </c>
      <c r="C9" s="22"/>
      <c r="D9" s="22"/>
      <c r="E9" s="23" t="str">
        <f>IFERROR(VLOOKUP(A9,NoviaFunds[],6,FALSE),"")</f>
        <v>Asia Pacific</v>
      </c>
      <c r="F9" s="14">
        <v>0.05</v>
      </c>
      <c r="G9" s="14">
        <v>2.1999999999999999E-2</v>
      </c>
      <c r="H9" s="685">
        <f t="shared" si="1"/>
        <v>-2.8000000000000004E-2</v>
      </c>
      <c r="I9" s="25">
        <v>0.05</v>
      </c>
      <c r="J9" s="25">
        <v>0.05</v>
      </c>
      <c r="K9" s="664">
        <v>2.1999999999999999E-2</v>
      </c>
      <c r="M9" s="7"/>
      <c r="N9" s="7" t="s">
        <v>40</v>
      </c>
      <c r="O9" s="7">
        <f t="shared" ca="1" si="2"/>
        <v>0</v>
      </c>
      <c r="P9" s="7">
        <f t="shared" si="3"/>
        <v>0</v>
      </c>
      <c r="Q9" s="7">
        <f t="shared" si="4"/>
        <v>0</v>
      </c>
      <c r="R9" s="7">
        <f t="shared" si="5"/>
        <v>0</v>
      </c>
    </row>
    <row r="10" spans="1:18" x14ac:dyDescent="0.2">
      <c r="A10" s="30" t="s">
        <v>65</v>
      </c>
      <c r="B10" s="21" t="str">
        <f>IFERROR(VLOOKUP(A10,NoviaFunds[],2,FALSE),"")</f>
        <v>Schroder Institutional Pacific I Acc in GB</v>
      </c>
      <c r="C10" s="22"/>
      <c r="D10" s="22"/>
      <c r="E10" s="23" t="str">
        <f>IFERROR(VLOOKUP(A10,NoviaFunds[],6,FALSE),"")</f>
        <v>Asia Pacific</v>
      </c>
      <c r="F10" s="14">
        <v>0.05</v>
      </c>
      <c r="G10" s="14">
        <v>2.1999999999999999E-2</v>
      </c>
      <c r="H10" s="685">
        <f t="shared" si="1"/>
        <v>-2.8000000000000004E-2</v>
      </c>
      <c r="I10" s="25">
        <v>0.05</v>
      </c>
      <c r="J10" s="659">
        <v>2.1999999999999999E-2</v>
      </c>
      <c r="K10" s="665">
        <v>2.1999999999999999E-2</v>
      </c>
      <c r="M10" s="7"/>
      <c r="N10" s="7" t="s">
        <v>9528</v>
      </c>
      <c r="O10" s="7">
        <f t="shared" ca="1" si="2"/>
        <v>0.02</v>
      </c>
      <c r="P10" s="7">
        <f t="shared" si="3"/>
        <v>0.02</v>
      </c>
      <c r="Q10" s="7">
        <f t="shared" si="4"/>
        <v>0.02</v>
      </c>
      <c r="R10" s="7">
        <f t="shared" si="5"/>
        <v>0.02</v>
      </c>
    </row>
    <row r="11" spans="1:18" x14ac:dyDescent="0.2">
      <c r="A11" s="30" t="s">
        <v>52</v>
      </c>
      <c r="B11" s="21" t="str">
        <f>IFERROR(VLOOKUP(A11,NoviaFunds[],2,FALSE),"")</f>
        <v>Stewart Investors Asia Pacific Leaders Sustainability B Acc GBP in GB</v>
      </c>
      <c r="C11" s="22"/>
      <c r="D11" s="22"/>
      <c r="E11" s="23" t="str">
        <f>IFERROR(VLOOKUP(A11,NoviaFunds[],6,FALSE),"")</f>
        <v>Asia Pacific</v>
      </c>
      <c r="F11" s="14">
        <v>0.04</v>
      </c>
      <c r="G11" s="14">
        <v>0</v>
      </c>
      <c r="H11" s="685">
        <f t="shared" si="1"/>
        <v>-0.04</v>
      </c>
      <c r="I11" s="659">
        <v>0</v>
      </c>
      <c r="J11" s="25">
        <v>0</v>
      </c>
      <c r="K11" s="31">
        <v>0</v>
      </c>
      <c r="M11" s="7"/>
      <c r="N11" s="7" t="s">
        <v>37</v>
      </c>
      <c r="O11" s="7">
        <f t="shared" ca="1" si="2"/>
        <v>0</v>
      </c>
      <c r="P11" s="7">
        <f t="shared" si="3"/>
        <v>0.08</v>
      </c>
      <c r="Q11" s="7">
        <f t="shared" si="4"/>
        <v>0.08</v>
      </c>
      <c r="R11" s="7">
        <f t="shared" si="5"/>
        <v>0.08</v>
      </c>
    </row>
    <row r="12" spans="1:18" x14ac:dyDescent="0.2">
      <c r="A12" s="30" t="s">
        <v>59</v>
      </c>
      <c r="B12" s="21" t="str">
        <f>IFERROR(VLOOKUP(A12,NoviaFunds[],2,FALSE),"")</f>
        <v>ASI Emerging Markets Income Equity Ret Platform 1 Acc GBP in GB</v>
      </c>
      <c r="C12" s="22"/>
      <c r="D12" s="22"/>
      <c r="E12" s="23" t="str">
        <f>IFERROR(VLOOKUP(A12,NoviaFunds[],6,FALSE),"")</f>
        <v>Emerging Markets</v>
      </c>
      <c r="F12" s="14">
        <v>0.05</v>
      </c>
      <c r="G12" s="14">
        <v>3.9E-2</v>
      </c>
      <c r="H12" s="685">
        <f t="shared" si="1"/>
        <v>-1.1000000000000003E-2</v>
      </c>
      <c r="I12" s="25">
        <v>0.05</v>
      </c>
      <c r="J12" s="659">
        <v>3.9E-2</v>
      </c>
      <c r="K12" s="31">
        <v>3.9E-2</v>
      </c>
      <c r="M12" s="7"/>
      <c r="N12" s="7" t="s">
        <v>45</v>
      </c>
      <c r="O12" s="7">
        <f t="shared" ca="1" si="2"/>
        <v>0</v>
      </c>
      <c r="P12" s="7">
        <f t="shared" si="3"/>
        <v>0</v>
      </c>
      <c r="Q12" s="7">
        <f t="shared" si="4"/>
        <v>0</v>
      </c>
      <c r="R12" s="7">
        <f t="shared" si="5"/>
        <v>0</v>
      </c>
    </row>
    <row r="13" spans="1:18" x14ac:dyDescent="0.2">
      <c r="A13" s="30" t="s">
        <v>53</v>
      </c>
      <c r="B13" s="21" t="str">
        <f>IFERROR(VLOOKUP(A13,NoviaFunds[],2,FALSE),"")</f>
        <v>Federated Hermes Global Emerging Markets F Acc</v>
      </c>
      <c r="C13" s="22"/>
      <c r="D13" s="22"/>
      <c r="E13" s="23" t="str">
        <f>IFERROR(VLOOKUP(A13,NoviaFunds[],6,FALSE),"")</f>
        <v>Emerging Markets</v>
      </c>
      <c r="F13" s="14">
        <v>0.05</v>
      </c>
      <c r="G13" s="14">
        <v>2.5999999999999999E-2</v>
      </c>
      <c r="H13" s="685">
        <f t="shared" si="1"/>
        <v>-2.4000000000000004E-2</v>
      </c>
      <c r="I13" s="25">
        <v>0.05</v>
      </c>
      <c r="J13" s="659">
        <v>2.5999999999999999E-2</v>
      </c>
      <c r="K13" s="31">
        <v>2.5999999999999999E-2</v>
      </c>
      <c r="M13" s="7"/>
      <c r="N13" s="7" t="s">
        <v>38</v>
      </c>
      <c r="O13" s="7">
        <f t="shared" ca="1" si="2"/>
        <v>-0.1</v>
      </c>
      <c r="P13" s="7">
        <f t="shared" si="3"/>
        <v>0</v>
      </c>
      <c r="Q13" s="7">
        <f t="shared" si="4"/>
        <v>0</v>
      </c>
      <c r="R13" s="7">
        <f t="shared" si="5"/>
        <v>0</v>
      </c>
    </row>
    <row r="14" spans="1:18" x14ac:dyDescent="0.2">
      <c r="A14" s="30" t="s">
        <v>66</v>
      </c>
      <c r="B14" s="21" t="str">
        <f>IFERROR(VLOOKUP(A14,NoviaFunds[],2,FALSE),"")</f>
        <v>JPM Emerging Markets Income C Acc in GB</v>
      </c>
      <c r="C14" s="22"/>
      <c r="D14" s="22"/>
      <c r="E14" s="23" t="str">
        <f>IFERROR(VLOOKUP(A14,NoviaFunds[],6,FALSE),"")</f>
        <v>Emerging Markets</v>
      </c>
      <c r="F14" s="14">
        <v>0.05</v>
      </c>
      <c r="G14" s="14">
        <v>3.9E-2</v>
      </c>
      <c r="H14" s="685">
        <f t="shared" si="1"/>
        <v>-1.1000000000000003E-2</v>
      </c>
      <c r="I14" s="25">
        <v>0.05</v>
      </c>
      <c r="J14" s="666">
        <v>0.05</v>
      </c>
      <c r="K14" s="664">
        <v>3.9E-2</v>
      </c>
      <c r="M14" s="7"/>
      <c r="N14" s="7" t="s">
        <v>49</v>
      </c>
      <c r="O14" s="7">
        <f t="shared" ca="1" si="2"/>
        <v>0.05</v>
      </c>
      <c r="P14" s="7">
        <f t="shared" si="3"/>
        <v>0</v>
      </c>
      <c r="Q14" s="7">
        <f t="shared" si="4"/>
        <v>0</v>
      </c>
      <c r="R14" s="7">
        <f t="shared" si="5"/>
        <v>0.05</v>
      </c>
    </row>
    <row r="15" spans="1:18" x14ac:dyDescent="0.2">
      <c r="A15" s="30" t="s">
        <v>67</v>
      </c>
      <c r="B15" s="21" t="str">
        <f>IFERROR(VLOOKUP(A15,NoviaFunds[],2,FALSE),"")</f>
        <v>UBS Global Emerging Markets Equity C Acc in GB</v>
      </c>
      <c r="C15" s="22"/>
      <c r="D15" s="22"/>
      <c r="E15" s="23" t="str">
        <f>IFERROR(VLOOKUP(A15,NoviaFunds[],6,FALSE),"")</f>
        <v>Emerging Markets</v>
      </c>
      <c r="F15" s="14">
        <v>0.04</v>
      </c>
      <c r="G15" s="14">
        <v>2.5999999999999999E-2</v>
      </c>
      <c r="H15" s="685">
        <f t="shared" si="1"/>
        <v>-1.4000000000000002E-2</v>
      </c>
      <c r="I15" s="25">
        <v>0.04</v>
      </c>
      <c r="J15" s="659">
        <v>2.5999999999999999E-2</v>
      </c>
      <c r="K15" s="31">
        <v>2.5999999999999999E-2</v>
      </c>
      <c r="M15" s="7"/>
      <c r="N15" s="7" t="s">
        <v>47</v>
      </c>
      <c r="O15" s="7">
        <f t="shared" ca="1" si="2"/>
        <v>-0.05</v>
      </c>
      <c r="P15" s="7">
        <f t="shared" si="3"/>
        <v>0</v>
      </c>
      <c r="Q15" s="7">
        <f t="shared" si="4"/>
        <v>0</v>
      </c>
      <c r="R15" s="7">
        <f t="shared" si="5"/>
        <v>0</v>
      </c>
    </row>
    <row r="16" spans="1:18" x14ac:dyDescent="0.2">
      <c r="A16" s="30" t="s">
        <v>54</v>
      </c>
      <c r="B16" s="21" t="str">
        <f>IFERROR(VLOOKUP(A16,NoviaFunds[],2,FALSE),"")</f>
        <v>BlackRock Continental European D Acc in GB</v>
      </c>
      <c r="C16" s="22"/>
      <c r="D16" s="22"/>
      <c r="E16" s="23" t="str">
        <f>IFERROR(VLOOKUP(A16,NoviaFunds[],6,FALSE),"")</f>
        <v>European Equities</v>
      </c>
      <c r="F16" s="14">
        <v>7.0000000000000007E-2</v>
      </c>
      <c r="G16" s="14">
        <v>0</v>
      </c>
      <c r="H16" s="685">
        <f t="shared" si="1"/>
        <v>-7.0000000000000007E-2</v>
      </c>
      <c r="I16" s="659">
        <v>0</v>
      </c>
      <c r="J16" s="25">
        <v>0</v>
      </c>
      <c r="K16" s="31">
        <v>0</v>
      </c>
      <c r="M16" s="7"/>
      <c r="N16" s="7" t="s">
        <v>9530</v>
      </c>
      <c r="O16" s="7">
        <f t="shared" ca="1" si="2"/>
        <v>0</v>
      </c>
      <c r="P16" s="7">
        <f t="shared" si="3"/>
        <v>0</v>
      </c>
      <c r="Q16" s="7">
        <f t="shared" si="4"/>
        <v>0</v>
      </c>
      <c r="R16" s="7">
        <f t="shared" si="5"/>
        <v>0</v>
      </c>
    </row>
    <row r="17" spans="1:18" x14ac:dyDescent="0.2">
      <c r="A17" s="550" t="s">
        <v>3087</v>
      </c>
      <c r="B17" s="21" t="str">
        <f>IFERROR(VLOOKUP(A17,NoviaFunds[],2,FALSE),"")</f>
        <v>HSBC European Index C Acc in GB</v>
      </c>
      <c r="C17" s="22"/>
      <c r="D17" s="22"/>
      <c r="E17" s="23" t="str">
        <f>IFERROR(VLOOKUP(A17,NoviaFunds[],6,FALSE),"")</f>
        <v>European Equities</v>
      </c>
      <c r="F17" s="14">
        <v>0</v>
      </c>
      <c r="G17" s="14">
        <v>0.06</v>
      </c>
      <c r="H17" s="685">
        <f t="shared" si="1"/>
        <v>0.06</v>
      </c>
      <c r="I17" s="660">
        <v>0.06</v>
      </c>
      <c r="J17" s="25">
        <v>0.06</v>
      </c>
      <c r="K17" s="31">
        <v>0.06</v>
      </c>
      <c r="M17" s="7"/>
      <c r="N17" s="7" t="s">
        <v>32</v>
      </c>
      <c r="O17" s="7">
        <f t="shared" ca="1" si="2"/>
        <v>0.19</v>
      </c>
      <c r="P17" s="7">
        <f t="shared" si="3"/>
        <v>0.255</v>
      </c>
      <c r="Q17" s="7">
        <f t="shared" si="4"/>
        <v>0.34</v>
      </c>
      <c r="R17" s="7">
        <f t="shared" si="5"/>
        <v>0.34</v>
      </c>
    </row>
    <row r="18" spans="1:18" x14ac:dyDescent="0.2">
      <c r="A18" s="550" t="s">
        <v>3624</v>
      </c>
      <c r="B18" s="21" t="str">
        <f>IFERROR(VLOOKUP(A18,NoviaFunds[],2,FALSE),"")</f>
        <v>iShares Overseas Corporate Bond Index (UK) D Acc in GB</v>
      </c>
      <c r="C18" s="22"/>
      <c r="D18" s="22"/>
      <c r="E18" s="23" t="str">
        <f>IFERROR(VLOOKUP(A18,NoviaFunds[],6,FALSE),"")</f>
        <v>Global Investment Grade</v>
      </c>
      <c r="F18" s="14">
        <v>0</v>
      </c>
      <c r="G18" s="14">
        <v>0.02</v>
      </c>
      <c r="H18" s="685">
        <f t="shared" si="1"/>
        <v>0.02</v>
      </c>
      <c r="I18" s="25">
        <v>0.02</v>
      </c>
      <c r="J18" s="25">
        <v>0.02</v>
      </c>
      <c r="K18" s="31">
        <v>0.02</v>
      </c>
      <c r="M18" s="7"/>
      <c r="N18" s="7" t="s">
        <v>9529</v>
      </c>
      <c r="O18" s="7">
        <f t="shared" ca="1" si="2"/>
        <v>0</v>
      </c>
      <c r="P18" s="7">
        <f t="shared" si="3"/>
        <v>0</v>
      </c>
      <c r="Q18" s="7">
        <f t="shared" si="4"/>
        <v>0</v>
      </c>
      <c r="R18" s="7">
        <f t="shared" si="5"/>
        <v>0</v>
      </c>
    </row>
    <row r="19" spans="1:18" x14ac:dyDescent="0.2">
      <c r="A19" s="30" t="s">
        <v>56</v>
      </c>
      <c r="B19" s="21" t="str">
        <f>IFERROR(VLOOKUP(A19,NoviaFunds[],2,FALSE),"")</f>
        <v>Baillie Gifford Japanese B Acc in GB**</v>
      </c>
      <c r="C19" s="22"/>
      <c r="D19" s="22"/>
      <c r="E19" s="23" t="str">
        <f>IFERROR(VLOOKUP(A19,NoviaFunds[],6,FALSE),"")</f>
        <v>Japanese Equities</v>
      </c>
      <c r="F19" s="14">
        <v>0.04</v>
      </c>
      <c r="G19" s="14">
        <v>0.08</v>
      </c>
      <c r="H19" s="685">
        <f t="shared" si="1"/>
        <v>0.04</v>
      </c>
      <c r="I19" s="25">
        <v>0.08</v>
      </c>
      <c r="J19" s="25">
        <v>0.08</v>
      </c>
      <c r="K19" s="31">
        <v>0.08</v>
      </c>
      <c r="M19" s="7"/>
      <c r="N19" s="7" t="s">
        <v>33</v>
      </c>
      <c r="O19" s="7">
        <f t="shared" ca="1" si="2"/>
        <v>7.0000000000000007E-2</v>
      </c>
      <c r="P19" s="7">
        <f t="shared" si="3"/>
        <v>0.19</v>
      </c>
      <c r="Q19" s="7">
        <f t="shared" si="4"/>
        <v>0.19</v>
      </c>
      <c r="R19" s="7">
        <f t="shared" si="5"/>
        <v>0.19</v>
      </c>
    </row>
    <row r="20" spans="1:18" x14ac:dyDescent="0.2">
      <c r="A20" s="30" t="s">
        <v>68</v>
      </c>
      <c r="B20" s="21" t="str">
        <f>IFERROR(VLOOKUP(A20,NoviaFunds[],2,FALSE),"")</f>
        <v>JPM Japan C Hedged Acc in GB</v>
      </c>
      <c r="C20" s="22"/>
      <c r="D20" s="22"/>
      <c r="E20" s="23" t="str">
        <f>IFERROR(VLOOKUP(A20,NoviaFunds[],6,FALSE),"")</f>
        <v>Japanese Equities</v>
      </c>
      <c r="F20" s="14">
        <v>0.04</v>
      </c>
      <c r="G20" s="14">
        <v>0</v>
      </c>
      <c r="H20" s="685">
        <f t="shared" si="1"/>
        <v>-0.04</v>
      </c>
      <c r="I20" s="25">
        <v>0</v>
      </c>
      <c r="J20" s="25">
        <v>0</v>
      </c>
      <c r="K20" s="31">
        <v>0</v>
      </c>
      <c r="M20" s="7"/>
      <c r="N20" s="7"/>
      <c r="O20" s="7"/>
      <c r="P20" s="7"/>
    </row>
    <row r="21" spans="1:18" x14ac:dyDescent="0.2">
      <c r="A21" s="30" t="s">
        <v>18</v>
      </c>
      <c r="B21" s="21" t="str">
        <f>IFERROR(VLOOKUP(A21,NoviaFunds[],2,FALSE),"")</f>
        <v>Artemis Global Select I Acc in GB</v>
      </c>
      <c r="C21" s="22"/>
      <c r="D21" s="22"/>
      <c r="E21" s="23" t="str">
        <f>IFERROR(VLOOKUP(A21,NoviaFunds[],6,FALSE),"")</f>
        <v>Other Equities</v>
      </c>
      <c r="F21" s="14">
        <v>0.05</v>
      </c>
      <c r="G21" s="14">
        <v>0</v>
      </c>
      <c r="H21" s="685">
        <f t="shared" si="1"/>
        <v>-0.05</v>
      </c>
      <c r="I21" s="659">
        <v>0</v>
      </c>
      <c r="J21" s="25">
        <v>0</v>
      </c>
      <c r="K21" s="31">
        <v>0</v>
      </c>
      <c r="M21" s="7"/>
      <c r="N21" s="7"/>
      <c r="O21" s="7"/>
      <c r="P21" s="7"/>
    </row>
    <row r="22" spans="1:18" x14ac:dyDescent="0.2">
      <c r="A22" s="30" t="s">
        <v>19</v>
      </c>
      <c r="B22" s="21" t="str">
        <f>IFERROR(VLOOKUP(A22,NoviaFunds[],2,FALSE),"")</f>
        <v>LF Blue Whale Growth I Acc GBP in GB</v>
      </c>
      <c r="C22" s="22"/>
      <c r="D22" s="22"/>
      <c r="E22" s="23" t="str">
        <f>IFERROR(VLOOKUP(A22,NoviaFunds[],6,FALSE),"")</f>
        <v>Other Equities</v>
      </c>
      <c r="F22" s="14">
        <v>0.05</v>
      </c>
      <c r="G22" s="14">
        <v>0</v>
      </c>
      <c r="H22" s="685">
        <f t="shared" si="1"/>
        <v>-0.05</v>
      </c>
      <c r="I22" s="25">
        <v>0</v>
      </c>
      <c r="J22" s="25">
        <v>0</v>
      </c>
      <c r="K22" s="31">
        <v>0</v>
      </c>
      <c r="M22" s="7"/>
      <c r="N22" s="7"/>
      <c r="O22" s="7"/>
      <c r="P22" s="7"/>
    </row>
    <row r="23" spans="1:18" x14ac:dyDescent="0.2">
      <c r="A23" s="559" t="s">
        <v>9540</v>
      </c>
      <c r="B23" s="21" t="str">
        <f>IFERROR(VLOOKUP(A23,NoviaFunds[],2,FALSE),"")</f>
        <v>iShares MSCI Target UK Real Estate UCITS ETF GBP</v>
      </c>
      <c r="C23" s="22"/>
      <c r="D23" s="22"/>
      <c r="E23" s="23" t="str">
        <f>IFERROR(VLOOKUP(A23,NoviaFunds[],6,FALSE),"")</f>
        <v>Property</v>
      </c>
      <c r="F23" s="14">
        <v>0</v>
      </c>
      <c r="G23" s="14">
        <v>0.05</v>
      </c>
      <c r="H23" s="685">
        <f t="shared" si="1"/>
        <v>0.05</v>
      </c>
      <c r="I23" s="25">
        <v>0</v>
      </c>
      <c r="J23" s="25">
        <v>0</v>
      </c>
      <c r="K23" s="663">
        <v>0.05</v>
      </c>
      <c r="M23" s="7"/>
      <c r="N23" s="7"/>
      <c r="O23" s="7">
        <f ca="1">SUM(O5,O9,O10,O12,O16,O18)</f>
        <v>-9.9999999999999985E-3</v>
      </c>
      <c r="P23" s="7">
        <f t="shared" ref="P23:R23" si="6">SUM(P5,P9,P10,P12,P16,P18)</f>
        <v>0.02</v>
      </c>
      <c r="Q23" s="7">
        <f t="shared" si="6"/>
        <v>0.02</v>
      </c>
      <c r="R23" s="7">
        <f t="shared" si="6"/>
        <v>0.02</v>
      </c>
    </row>
    <row r="24" spans="1:18" x14ac:dyDescent="0.2">
      <c r="A24" s="30" t="s">
        <v>20</v>
      </c>
      <c r="B24" s="21" t="str">
        <f>IFERROR(VLOOKUP(A24,NoviaFunds[],2,FALSE),"")</f>
        <v>Jupiter Gold &amp; Silver I Acc</v>
      </c>
      <c r="C24" s="22"/>
      <c r="D24" s="22"/>
      <c r="E24" s="23" t="str">
        <f>IFERROR(VLOOKUP(A24,NoviaFunds[],6,FALSE),"")</f>
        <v>Specialist</v>
      </c>
      <c r="F24" s="14">
        <v>0.05</v>
      </c>
      <c r="G24" s="14">
        <v>0</v>
      </c>
      <c r="H24" s="685">
        <f t="shared" si="1"/>
        <v>-0.05</v>
      </c>
      <c r="I24" s="25">
        <v>0</v>
      </c>
      <c r="J24" s="25">
        <v>0</v>
      </c>
      <c r="K24" s="31">
        <v>0</v>
      </c>
      <c r="M24" s="7"/>
      <c r="N24" s="7"/>
      <c r="O24" s="7">
        <f ca="1">SUM(O6,O7,O8,O11,O13,O17,O19)</f>
        <v>1.0000000000000009E-2</v>
      </c>
      <c r="P24" s="7">
        <f t="shared" ref="P24:Q24" si="7">SUM(P6,P7,P8,P11,P13,P17,P19)</f>
        <v>0.94100000000000006</v>
      </c>
      <c r="Q24" s="7">
        <f t="shared" si="7"/>
        <v>0.94900000000000007</v>
      </c>
      <c r="R24" s="7">
        <f>SUM(R6,R7,R8,R11,R13,R17,R19)</f>
        <v>0.90999999999999992</v>
      </c>
    </row>
    <row r="25" spans="1:18" x14ac:dyDescent="0.2">
      <c r="A25" s="30" t="s">
        <v>23</v>
      </c>
      <c r="B25" s="21" t="str">
        <f>IFERROR(VLOOKUP(A25,NoviaFunds[],2,FALSE),"")</f>
        <v>Allianz UK Listed Equity Income E Inc GBP</v>
      </c>
      <c r="C25" s="22"/>
      <c r="D25" s="22"/>
      <c r="E25" s="23" t="str">
        <f>IFERROR(VLOOKUP(A25,NoviaFunds[],6,FALSE),"")</f>
        <v>UK Equities</v>
      </c>
      <c r="F25" s="14">
        <v>0.05</v>
      </c>
      <c r="G25" s="14">
        <v>8.5000000000000006E-2</v>
      </c>
      <c r="H25" s="685">
        <f t="shared" si="1"/>
        <v>3.5000000000000003E-2</v>
      </c>
      <c r="I25" s="660">
        <v>8.5000000000000006E-2</v>
      </c>
      <c r="J25" s="25">
        <v>8.5000000000000006E-2</v>
      </c>
      <c r="K25" s="31">
        <v>8.5000000000000006E-2</v>
      </c>
      <c r="M25" s="7"/>
      <c r="N25" s="7"/>
      <c r="O25" s="7"/>
      <c r="P25" s="7"/>
    </row>
    <row r="26" spans="1:18" x14ac:dyDescent="0.2">
      <c r="A26" s="30" t="s">
        <v>21</v>
      </c>
      <c r="B26" s="21" t="str">
        <f>IFERROR(VLOOKUP(A26,NoviaFunds[],2,FALSE),"")</f>
        <v>BlackRock UK Equity D Acc TR in GB**</v>
      </c>
      <c r="C26" s="22"/>
      <c r="D26" s="22"/>
      <c r="E26" s="23" t="str">
        <f>IFERROR(VLOOKUP(A26,NoviaFunds[],6,FALSE),"")</f>
        <v>UK Equities</v>
      </c>
      <c r="F26" s="14">
        <v>0.05</v>
      </c>
      <c r="G26" s="14">
        <v>0</v>
      </c>
      <c r="H26" s="685">
        <f t="shared" si="1"/>
        <v>-0.05</v>
      </c>
      <c r="I26" s="659">
        <v>0</v>
      </c>
      <c r="J26" s="25">
        <v>0</v>
      </c>
      <c r="K26" s="31">
        <v>0</v>
      </c>
      <c r="M26" s="7"/>
      <c r="N26" s="7"/>
      <c r="O26" s="7"/>
      <c r="P26" s="7"/>
    </row>
    <row r="27" spans="1:18" x14ac:dyDescent="0.2">
      <c r="A27" s="550" t="s">
        <v>25</v>
      </c>
      <c r="B27" s="21" t="str">
        <f>IFERROR(VLOOKUP(A27,NoviaFunds[],2,FALSE),"")</f>
        <v>FTF Franklin UK Equity Income W Acc TR in GB</v>
      </c>
      <c r="C27" s="22"/>
      <c r="D27" s="22"/>
      <c r="E27" s="23" t="str">
        <f>IFERROR(VLOOKUP(A27,NoviaFunds[],6,FALSE),"")</f>
        <v>UK Equities</v>
      </c>
      <c r="F27" s="14">
        <v>0</v>
      </c>
      <c r="G27" s="14">
        <v>8.5000000000000006E-2</v>
      </c>
      <c r="H27" s="685">
        <f t="shared" si="1"/>
        <v>8.5000000000000006E-2</v>
      </c>
      <c r="I27" s="25">
        <v>0</v>
      </c>
      <c r="J27" s="660">
        <v>8.5000000000000006E-2</v>
      </c>
      <c r="K27" s="31">
        <v>8.5000000000000006E-2</v>
      </c>
      <c r="M27" s="7"/>
      <c r="N27" s="7"/>
      <c r="O27" s="7"/>
      <c r="P27" s="7"/>
    </row>
    <row r="28" spans="1:18" x14ac:dyDescent="0.2">
      <c r="A28" s="728" t="s">
        <v>22</v>
      </c>
      <c r="B28" s="21" t="str">
        <f>IFERROR(VLOOKUP(A28,NoviaFunds[],2,FALSE),"")</f>
        <v>Slater Growth P Acc in GB</v>
      </c>
      <c r="C28" s="22"/>
      <c r="D28" s="22"/>
      <c r="E28" s="23" t="str">
        <f>IFERROR(VLOOKUP(A28,NoviaFunds[],6,FALSE),"")</f>
        <v>UK Equities</v>
      </c>
      <c r="F28" s="14">
        <v>0.05</v>
      </c>
      <c r="G28" s="14">
        <v>6.8000000000000005E-2</v>
      </c>
      <c r="H28" s="685">
        <f t="shared" si="1"/>
        <v>1.8000000000000002E-2</v>
      </c>
      <c r="I28" s="660">
        <v>6.8000000000000005E-2</v>
      </c>
      <c r="J28" s="25">
        <v>6.8000000000000005E-2</v>
      </c>
      <c r="K28" s="31">
        <v>6.8000000000000005E-2</v>
      </c>
      <c r="M28" s="7"/>
      <c r="N28" s="7"/>
      <c r="O28" s="7"/>
      <c r="P28" s="7"/>
    </row>
    <row r="29" spans="1:18" x14ac:dyDescent="0.2">
      <c r="A29" s="550" t="s">
        <v>8389</v>
      </c>
      <c r="B29" s="21" t="str">
        <f>IFERROR(VLOOKUP(A29,NoviaFunds[],2,FALSE),"")</f>
        <v>Vanguard FTSE U.K. All Share Index Unit Trust A Acc GBP in GB</v>
      </c>
      <c r="C29" s="22"/>
      <c r="D29" s="22"/>
      <c r="E29" s="23" t="str">
        <f>IFERROR(VLOOKUP(A29,NoviaFunds[],6,FALSE),"")</f>
        <v>UK Equities</v>
      </c>
      <c r="F29" s="14">
        <v>0</v>
      </c>
      <c r="G29" s="14">
        <v>0.10199999999999999</v>
      </c>
      <c r="H29" s="685">
        <f t="shared" si="1"/>
        <v>0.10199999999999999</v>
      </c>
      <c r="I29" s="660">
        <v>0.10199999999999999</v>
      </c>
      <c r="J29" s="25">
        <v>0.10199999999999999</v>
      </c>
      <c r="K29" s="31">
        <v>0.10199999999999999</v>
      </c>
      <c r="M29" s="7"/>
      <c r="N29" s="7"/>
      <c r="O29" s="7"/>
      <c r="P29" s="7"/>
    </row>
    <row r="30" spans="1:18" x14ac:dyDescent="0.2">
      <c r="A30" s="30" t="s">
        <v>62</v>
      </c>
      <c r="B30" s="21" t="str">
        <f>IFERROR(VLOOKUP(A30,NoviaFunds[],2,FALSE),"")</f>
        <v>Artemis US Smaller Companies I Acc GBP in GB</v>
      </c>
      <c r="C30" s="22"/>
      <c r="D30" s="22"/>
      <c r="E30" s="23" t="str">
        <f>IFERROR(VLOOKUP(A30,NoviaFunds[],6,FALSE),"")</f>
        <v>USA Equities</v>
      </c>
      <c r="F30" s="14">
        <v>0.06</v>
      </c>
      <c r="G30" s="14">
        <v>4.7500000000000001E-2</v>
      </c>
      <c r="H30" s="685">
        <f t="shared" si="1"/>
        <v>-1.2499999999999997E-2</v>
      </c>
      <c r="I30" s="25">
        <v>4.7500000000000001E-2</v>
      </c>
      <c r="J30" s="25">
        <v>4.7500000000000001E-2</v>
      </c>
      <c r="K30" s="31">
        <v>4.7500000000000001E-2</v>
      </c>
      <c r="M30" s="7"/>
      <c r="N30" s="7"/>
      <c r="O30" s="7"/>
      <c r="P30" s="7"/>
    </row>
    <row r="31" spans="1:18" x14ac:dyDescent="0.2">
      <c r="A31" s="550" t="s">
        <v>2706</v>
      </c>
      <c r="B31" s="21" t="str">
        <f>IFERROR(VLOOKUP(A31,NoviaFunds[],2,FALSE),"")</f>
        <v>Fidelity Index US P in GB</v>
      </c>
      <c r="C31" s="22"/>
      <c r="D31" s="22"/>
      <c r="E31" s="23" t="str">
        <f>IFERROR(VLOOKUP(A31,NoviaFunds[],6,FALSE),"")</f>
        <v>USA Equities</v>
      </c>
      <c r="F31" s="14">
        <v>0</v>
      </c>
      <c r="G31" s="14">
        <v>9.5000000000000001E-2</v>
      </c>
      <c r="H31" s="685">
        <f t="shared" si="1"/>
        <v>9.5000000000000001E-2</v>
      </c>
      <c r="I31" s="25">
        <v>9.5000000000000001E-2</v>
      </c>
      <c r="J31" s="25">
        <v>9.5000000000000001E-2</v>
      </c>
      <c r="K31" s="31">
        <v>9.5000000000000001E-2</v>
      </c>
      <c r="M31" s="7"/>
      <c r="N31" s="7"/>
      <c r="O31" s="7"/>
      <c r="P31" s="7"/>
    </row>
    <row r="32" spans="1:18" x14ac:dyDescent="0.2">
      <c r="A32" s="30" t="s">
        <v>60</v>
      </c>
      <c r="B32" s="21" t="str">
        <f>IFERROR(VLOOKUP(A32,NoviaFunds[],2,FALSE),"")</f>
        <v>Vanguard US Equity Index Acc GBP in GB</v>
      </c>
      <c r="C32" s="22"/>
      <c r="D32" s="22"/>
      <c r="E32" s="23" t="str">
        <f>IFERROR(VLOOKUP(A32,NoviaFunds[],6,FALSE),"")</f>
        <v>USA Equities</v>
      </c>
      <c r="F32" s="14">
        <v>0.06</v>
      </c>
      <c r="G32" s="14">
        <v>0</v>
      </c>
      <c r="H32" s="685">
        <f t="shared" si="1"/>
        <v>-0.06</v>
      </c>
      <c r="I32" s="25">
        <v>0</v>
      </c>
      <c r="J32" s="25">
        <v>0</v>
      </c>
      <c r="K32" s="31">
        <v>0</v>
      </c>
      <c r="M32" s="7"/>
      <c r="N32" s="7"/>
      <c r="O32" s="7"/>
      <c r="P32" s="7"/>
    </row>
    <row r="33" spans="1:16" x14ac:dyDescent="0.2">
      <c r="A33" s="550" t="s">
        <v>9539</v>
      </c>
      <c r="B33" s="21" t="str">
        <f>IFERROR(VLOOKUP(A33,NoviaFunds[],2,FALSE),"")</f>
        <v>Xtrackers S&amp;P 500 Equal Weight UCITS ETF</v>
      </c>
      <c r="C33" s="22"/>
      <c r="D33" s="22"/>
      <c r="E33" s="23" t="str">
        <f>IFERROR(VLOOKUP(A33,NoviaFunds[],6,FALSE),"")</f>
        <v>USA Equities</v>
      </c>
      <c r="F33" s="14">
        <v>0</v>
      </c>
      <c r="G33" s="14">
        <v>4.7500000000000001E-2</v>
      </c>
      <c r="H33" s="685">
        <f t="shared" si="1"/>
        <v>4.7500000000000001E-2</v>
      </c>
      <c r="I33" s="660">
        <v>4.7500000000000001E-2</v>
      </c>
      <c r="J33" s="25">
        <v>4.7500000000000001E-2</v>
      </c>
      <c r="K33" s="31">
        <v>4.7500000000000001E-2</v>
      </c>
      <c r="M33" s="7"/>
      <c r="N33" s="7"/>
      <c r="O33" s="7"/>
      <c r="P33" s="7"/>
    </row>
    <row r="34" spans="1:16" x14ac:dyDescent="0.2">
      <c r="A34" s="550"/>
      <c r="B34" s="21" t="str">
        <f>IFERROR(VLOOKUP(A34,NoviaFunds[],2,FALSE),"")</f>
        <v/>
      </c>
      <c r="C34" s="22"/>
      <c r="D34" s="22"/>
      <c r="E34" s="23" t="str">
        <f>IFERROR(VLOOKUP(A34,NoviaFunds[],6,FALSE),"")</f>
        <v/>
      </c>
      <c r="F34" s="14"/>
      <c r="G34" s="14"/>
      <c r="H34" s="24"/>
      <c r="I34" s="25"/>
      <c r="J34" s="25"/>
      <c r="K34" s="31"/>
      <c r="M34" s="7"/>
      <c r="N34" s="7"/>
      <c r="O34" s="7"/>
      <c r="P34" s="7"/>
    </row>
    <row r="35" spans="1:16" x14ac:dyDescent="0.2">
      <c r="A35" s="550"/>
      <c r="B35" s="21" t="str">
        <f>IFERROR(VLOOKUP(A35,NoviaFunds[],2,FALSE),"")</f>
        <v/>
      </c>
      <c r="C35" s="22"/>
      <c r="D35" s="22"/>
      <c r="E35" s="23" t="str">
        <f>IFERROR(VLOOKUP(A35,NoviaFunds[],6,FALSE),"")</f>
        <v/>
      </c>
      <c r="F35" s="14"/>
      <c r="G35" s="14"/>
      <c r="H35" s="24" t="str">
        <f t="shared" ref="H35:H38" si="8">IF(G35="","",G35-F35)</f>
        <v/>
      </c>
      <c r="I35" s="25" t="str">
        <f>IFERROR(VLOOKUP(A35,NoviaFunds[],4,FALSE),"")</f>
        <v/>
      </c>
      <c r="J35" s="25" t="str">
        <f>IF(G35="","",IFERROR(VLOOKUP(A35,NoviaFunds[],4,FALSE),""))</f>
        <v/>
      </c>
      <c r="K35" s="31" t="str">
        <f>IF(H35="","",IFERROR(VLOOKUP(B35,NoviaFunds[],4,FALSE),""))</f>
        <v/>
      </c>
    </row>
    <row r="36" spans="1:16" x14ac:dyDescent="0.2">
      <c r="A36" s="550"/>
      <c r="B36" s="21" t="str">
        <f>IFERROR(VLOOKUP(A36,NoviaFunds[],2,FALSE),"")</f>
        <v/>
      </c>
      <c r="C36" s="22"/>
      <c r="D36" s="22"/>
      <c r="E36" s="23" t="str">
        <f>IFERROR(VLOOKUP(A36,NoviaFunds[],6,FALSE),"")</f>
        <v/>
      </c>
      <c r="F36" s="14"/>
      <c r="G36" s="14"/>
      <c r="H36" s="24" t="str">
        <f t="shared" si="8"/>
        <v/>
      </c>
      <c r="I36" s="25" t="str">
        <f>IFERROR(VLOOKUP(A36,NoviaFunds[],4,FALSE),"")</f>
        <v/>
      </c>
      <c r="J36" s="25" t="str">
        <f>IF(G36="","",IFERROR(VLOOKUP(A36,NoviaFunds[],4,FALSE),""))</f>
        <v/>
      </c>
      <c r="K36" s="31" t="str">
        <f>IF(H36="","",IFERROR(VLOOKUP(B36,NoviaFunds[],4,FALSE),""))</f>
        <v/>
      </c>
    </row>
    <row r="37" spans="1:16" x14ac:dyDescent="0.2">
      <c r="A37" s="550"/>
      <c r="B37" s="21" t="str">
        <f>IFERROR(VLOOKUP(A37,NoviaFunds[],2,FALSE),"")</f>
        <v/>
      </c>
      <c r="C37" s="22"/>
      <c r="D37" s="22"/>
      <c r="E37" s="23" t="str">
        <f>IFERROR(VLOOKUP(A37,NoviaFunds[],6,FALSE),"")</f>
        <v/>
      </c>
      <c r="F37" s="14"/>
      <c r="G37" s="14"/>
      <c r="H37" s="24" t="str">
        <f t="shared" si="8"/>
        <v/>
      </c>
      <c r="I37" s="25" t="str">
        <f>IFERROR(VLOOKUP(A37,NoviaFunds[],4,FALSE),"")</f>
        <v/>
      </c>
      <c r="J37" s="25" t="str">
        <f>IF(G37="","",IFERROR(VLOOKUP(A37,NoviaFunds[],4,FALSE),""))</f>
        <v/>
      </c>
      <c r="K37" s="31" t="str">
        <f>IF(H37="","",IFERROR(VLOOKUP(B37,NoviaFunds[],4,FALSE),""))</f>
        <v/>
      </c>
    </row>
    <row r="38" spans="1:16" x14ac:dyDescent="0.2">
      <c r="A38" s="550"/>
      <c r="B38" s="21" t="str">
        <f>IFERROR(VLOOKUP(A38,NoviaFunds[],2,FALSE),"")</f>
        <v/>
      </c>
      <c r="C38" s="22"/>
      <c r="D38" s="22"/>
      <c r="E38" s="23" t="str">
        <f>IFERROR(VLOOKUP(A38,NoviaFunds[],6,FALSE),"")</f>
        <v/>
      </c>
      <c r="F38" s="14"/>
      <c r="G38" s="14"/>
      <c r="H38" s="24" t="str">
        <f t="shared" si="8"/>
        <v/>
      </c>
      <c r="I38" s="25" t="str">
        <f>IFERROR(VLOOKUP(A38,NoviaFunds[],4,FALSE),"")</f>
        <v/>
      </c>
      <c r="J38" s="25" t="str">
        <f>IF(G38="","",IFERROR(VLOOKUP(A38,NoviaFunds[],4,FALSE),""))</f>
        <v/>
      </c>
      <c r="K38" s="31" t="str">
        <f>IF(H38="","",IFERROR(VLOOKUP(B38,NoviaFunds[],4,FALSE),""))</f>
        <v/>
      </c>
    </row>
    <row r="39" spans="1:16" ht="16.5" thickBot="1" x14ac:dyDescent="0.3">
      <c r="A39" s="729"/>
      <c r="B39" s="730"/>
      <c r="C39" s="730"/>
      <c r="D39" s="730"/>
      <c r="E39" s="731"/>
      <c r="F39" s="732">
        <f>SUM(F4:F38)</f>
        <v>1.0000000000000004</v>
      </c>
      <c r="G39" s="732">
        <f>SUM(G4:G38)</f>
        <v>0.99999999999999989</v>
      </c>
      <c r="H39" s="732">
        <f t="shared" ref="H39:K39" si="9">SUM(H4:H38)</f>
        <v>0</v>
      </c>
      <c r="I39" s="732">
        <f t="shared" si="9"/>
        <v>0.99999999999999989</v>
      </c>
      <c r="J39" s="732">
        <f t="shared" si="9"/>
        <v>0.99999999999999989</v>
      </c>
      <c r="K39" s="732">
        <f t="shared" si="9"/>
        <v>0.99999999999999989</v>
      </c>
    </row>
    <row r="40" spans="1:16" ht="15" thickBot="1" x14ac:dyDescent="0.25">
      <c r="A40" s="667"/>
      <c r="B40" s="668"/>
      <c r="C40" s="668"/>
      <c r="D40" s="668"/>
      <c r="E40" s="669"/>
      <c r="F40" s="670"/>
      <c r="G40" s="670"/>
      <c r="H40" s="671"/>
      <c r="I40" s="669"/>
      <c r="J40" s="672"/>
    </row>
    <row r="41" spans="1:16" ht="30.75" thickTop="1" x14ac:dyDescent="0.2">
      <c r="A41" s="356" t="s">
        <v>5</v>
      </c>
      <c r="B41" s="357" t="s">
        <v>26</v>
      </c>
      <c r="C41" s="357" t="s">
        <v>27</v>
      </c>
      <c r="D41" s="358" t="s">
        <v>28</v>
      </c>
      <c r="E41" s="358" t="s">
        <v>9555</v>
      </c>
      <c r="F41" s="359" t="s">
        <v>30</v>
      </c>
      <c r="G41" s="360" t="s">
        <v>9572</v>
      </c>
      <c r="H41" s="360" t="s">
        <v>31</v>
      </c>
      <c r="I41" s="359" t="s">
        <v>30</v>
      </c>
      <c r="J41" s="361"/>
    </row>
    <row r="42" spans="1:16" x14ac:dyDescent="0.2">
      <c r="A42" s="362" t="s">
        <v>32</v>
      </c>
      <c r="B42" s="255">
        <f>MAX(0,IF(D42&lt;10%,D42-3%,IF(AND(D42&gt;=10%,D42&lt;20%),D42-5%,D42-8%)))</f>
        <v>0.26</v>
      </c>
      <c r="C42" s="255">
        <f>IF(D42&lt;10%,D42+3%,IF(AND(D42&gt;=10%,D42&lt;20%),D42+5%,D42+8%))</f>
        <v>0.42000000000000004</v>
      </c>
      <c r="D42" s="383">
        <f>VLOOKUP(A42,'Asset Allocations'!A:K,10,FALSE)</f>
        <v>0.34</v>
      </c>
      <c r="E42" s="385">
        <f>VLOOKUP(A42,'Asset Allocations'!A:K,11,FALSE)</f>
        <v>0.34</v>
      </c>
      <c r="F42" s="363">
        <f>IFERROR(E42-D42,"")</f>
        <v>0</v>
      </c>
      <c r="G42" s="599">
        <f>IF(SUMIF($E$4:$E$38,$A42,$F$4:$F$38)=0,0,SUMIF($E$4:$E$38,$A42,$F$4:$F$38))</f>
        <v>0.15000000000000002</v>
      </c>
      <c r="H42" s="364">
        <f>IF(SUMIF($E$4:$E$38,$A42,$G$4:$G$38)=0,0,SUMIF($E$4:$E$38,$A42,$G$4:$G$38))</f>
        <v>0.34</v>
      </c>
      <c r="I42" s="188">
        <f>IFERROR(H42-D42,"")</f>
        <v>0</v>
      </c>
      <c r="J42" s="365"/>
    </row>
    <row r="43" spans="1:16" ht="15" customHeight="1" x14ac:dyDescent="0.2">
      <c r="A43" s="362" t="s">
        <v>33</v>
      </c>
      <c r="B43" s="255">
        <f t="shared" ref="B43:B48" si="10">MAX(0,IF(D43&lt;10%,D43-3%,IF(AND(D43&gt;=10%,D43&lt;20%),D43-5%,D43-8%)))</f>
        <v>0.14000000000000001</v>
      </c>
      <c r="C43" s="255">
        <f t="shared" ref="C43:C48" si="11">IF(D43&lt;10%,D43+3%,IF(AND(D43&gt;=10%,D43&lt;20%),D43+5%,D43+8%))</f>
        <v>0.24</v>
      </c>
      <c r="D43" s="383">
        <f>VLOOKUP(A43,'Asset Allocations'!A:K,10,FALSE)</f>
        <v>0.19</v>
      </c>
      <c r="E43" s="385">
        <f>VLOOKUP(A43,'Asset Allocations'!A:K,11,FALSE)</f>
        <v>0.19</v>
      </c>
      <c r="F43" s="363">
        <f t="shared" ref="F43:F63" si="12">IFERROR(E43-D43,"")</f>
        <v>0</v>
      </c>
      <c r="G43" s="600">
        <f t="shared" ref="G43:G62" si="13">IF(SUMIF($E$4:$E$38,$A43,$F$4:$F$38)=0,0,SUMIF($E$4:$E$38,$A43,$F$4:$F$38))</f>
        <v>0.12</v>
      </c>
      <c r="H43" s="364">
        <f t="shared" ref="H43:H62" si="14">IF(SUMIF($E$4:$E$38,$A43,$G$4:$G$38)=0,0,SUMIF($E$4:$E$38,$A43,$G$4:$G$38))</f>
        <v>0.19</v>
      </c>
      <c r="I43" s="188">
        <f>IFERROR(H43-D43,"")</f>
        <v>0</v>
      </c>
      <c r="J43" s="365"/>
    </row>
    <row r="44" spans="1:16" x14ac:dyDescent="0.2">
      <c r="A44" s="362" t="s">
        <v>34</v>
      </c>
      <c r="B44" s="255">
        <f t="shared" si="10"/>
        <v>0.03</v>
      </c>
      <c r="C44" s="255">
        <f t="shared" si="11"/>
        <v>0.09</v>
      </c>
      <c r="D44" s="383">
        <f>VLOOKUP(A44,'Asset Allocations'!A:K,10,FALSE)</f>
        <v>0.06</v>
      </c>
      <c r="E44" s="385">
        <f>VLOOKUP(A44,'Asset Allocations'!A:K,11,FALSE)</f>
        <v>0.06</v>
      </c>
      <c r="F44" s="363">
        <f t="shared" si="12"/>
        <v>0</v>
      </c>
      <c r="G44" s="600">
        <f t="shared" si="13"/>
        <v>7.0000000000000007E-2</v>
      </c>
      <c r="H44" s="364">
        <f t="shared" si="14"/>
        <v>0.06</v>
      </c>
      <c r="I44" s="188">
        <f t="shared" ref="I44:I62" si="15">IFERROR(H44-D44,"")</f>
        <v>0</v>
      </c>
      <c r="J44" s="365"/>
    </row>
    <row r="45" spans="1:16" x14ac:dyDescent="0.2">
      <c r="A45" s="362" t="s">
        <v>35</v>
      </c>
      <c r="B45" s="255">
        <f t="shared" si="10"/>
        <v>0.06</v>
      </c>
      <c r="C45" s="255">
        <f t="shared" si="11"/>
        <v>0.16</v>
      </c>
      <c r="D45" s="383">
        <f>VLOOKUP(A45,'Asset Allocations'!A:K,10,FALSE)</f>
        <v>0.11</v>
      </c>
      <c r="E45" s="385">
        <f>VLOOKUP(A45,'Asset Allocations'!A:K,11,FALSE)</f>
        <v>0.11</v>
      </c>
      <c r="F45" s="363">
        <f t="shared" si="12"/>
        <v>0</v>
      </c>
      <c r="G45" s="600">
        <f t="shared" si="13"/>
        <v>0.19000000000000003</v>
      </c>
      <c r="H45" s="364">
        <f t="shared" si="14"/>
        <v>0.10999999999999999</v>
      </c>
      <c r="I45" s="188">
        <f t="shared" si="15"/>
        <v>-1.3877787807814457E-17</v>
      </c>
      <c r="J45" s="365"/>
    </row>
    <row r="46" spans="1:16" x14ac:dyDescent="0.2">
      <c r="A46" s="362" t="s">
        <v>36</v>
      </c>
      <c r="B46" s="255">
        <f t="shared" si="10"/>
        <v>0.08</v>
      </c>
      <c r="C46" s="255">
        <f t="shared" si="11"/>
        <v>0.18</v>
      </c>
      <c r="D46" s="383">
        <f>VLOOKUP(A46,'Asset Allocations'!A:K,10,FALSE)</f>
        <v>0.13</v>
      </c>
      <c r="E46" s="385">
        <f>VLOOKUP(A46,'Asset Allocations'!A:K,11,FALSE)</f>
        <v>0.13</v>
      </c>
      <c r="F46" s="363">
        <f t="shared" si="12"/>
        <v>0</v>
      </c>
      <c r="G46" s="600">
        <f t="shared" si="13"/>
        <v>0.19000000000000003</v>
      </c>
      <c r="H46" s="364">
        <f t="shared" si="14"/>
        <v>0.13</v>
      </c>
      <c r="I46" s="188">
        <f t="shared" si="15"/>
        <v>0</v>
      </c>
      <c r="J46" s="365"/>
    </row>
    <row r="47" spans="1:16" x14ac:dyDescent="0.2">
      <c r="A47" s="362" t="s">
        <v>37</v>
      </c>
      <c r="B47" s="255">
        <f t="shared" si="10"/>
        <v>0.05</v>
      </c>
      <c r="C47" s="255">
        <f t="shared" si="11"/>
        <v>0.11</v>
      </c>
      <c r="D47" s="383">
        <f>VLOOKUP(A47,'Asset Allocations'!A:K,10,FALSE)</f>
        <v>0.08</v>
      </c>
      <c r="E47" s="385">
        <f>VLOOKUP(A47,'Asset Allocations'!A:K,11,FALSE)</f>
        <v>0.08</v>
      </c>
      <c r="F47" s="363">
        <f t="shared" si="12"/>
        <v>0</v>
      </c>
      <c r="G47" s="600">
        <f t="shared" si="13"/>
        <v>0.08</v>
      </c>
      <c r="H47" s="364">
        <f t="shared" si="14"/>
        <v>0.08</v>
      </c>
      <c r="I47" s="188">
        <f t="shared" si="15"/>
        <v>0</v>
      </c>
      <c r="J47" s="365"/>
    </row>
    <row r="48" spans="1:16" x14ac:dyDescent="0.2">
      <c r="A48" s="362" t="s">
        <v>38</v>
      </c>
      <c r="B48" s="255">
        <f t="shared" si="10"/>
        <v>0</v>
      </c>
      <c r="C48" s="255">
        <f t="shared" si="11"/>
        <v>0.03</v>
      </c>
      <c r="D48" s="383">
        <f>VLOOKUP(A48,'Asset Allocations'!A:K,10,FALSE)</f>
        <v>0</v>
      </c>
      <c r="E48" s="385">
        <f>VLOOKUP(A48,'Asset Allocations'!A:K,11,FALSE)</f>
        <v>0</v>
      </c>
      <c r="F48" s="363">
        <f t="shared" si="12"/>
        <v>0</v>
      </c>
      <c r="G48" s="600">
        <f t="shared" si="13"/>
        <v>0.1</v>
      </c>
      <c r="H48" s="364">
        <f t="shared" si="14"/>
        <v>0</v>
      </c>
      <c r="I48" s="188">
        <f t="shared" si="15"/>
        <v>0</v>
      </c>
      <c r="J48" s="365"/>
    </row>
    <row r="49" spans="1:10" ht="15" x14ac:dyDescent="0.25">
      <c r="A49" s="366" t="s">
        <v>39</v>
      </c>
      <c r="B49" s="189">
        <f>MAX(0,D49-5%)</f>
        <v>0.86</v>
      </c>
      <c r="C49" s="189">
        <f>MIN(98%,D49+5%)</f>
        <v>0.96000000000000008</v>
      </c>
      <c r="D49" s="189">
        <f>VLOOKUP(A49,'Asset Allocations'!A:K,10,FALSE)</f>
        <v>0.91</v>
      </c>
      <c r="E49" s="189">
        <f>VLOOKUP(A49,'Asset Allocations'!A:K,11,FALSE)</f>
        <v>0.91</v>
      </c>
      <c r="F49" s="367">
        <f t="shared" si="12"/>
        <v>0</v>
      </c>
      <c r="G49" s="368">
        <f>SUM(G42:G48)</f>
        <v>0.9</v>
      </c>
      <c r="H49" s="368">
        <f>SUM(H42:H48)</f>
        <v>0.91</v>
      </c>
      <c r="I49" s="369">
        <f t="shared" ref="I49:I56" si="16">IFERROR(IF(H49=0,"",H49-D49),"")</f>
        <v>0</v>
      </c>
      <c r="J49" s="370"/>
    </row>
    <row r="50" spans="1:10" ht="15" customHeight="1" x14ac:dyDescent="0.2">
      <c r="A50" s="371" t="s">
        <v>40</v>
      </c>
      <c r="B50" s="255">
        <f>MAX(0,IF(D50&lt;10%,D50-3%,IF(AND(D50&gt;=10%,D50&lt;20%),D50-5%,D50-8%)))</f>
        <v>0</v>
      </c>
      <c r="C50" s="255">
        <f t="shared" ref="C50:C55" si="17">IF(D50&lt;10%,D50+3%,IF(AND(D50&gt;=10%,D50&lt;20%),D50+5%,D50+8%))</f>
        <v>0.03</v>
      </c>
      <c r="D50" s="383">
        <f>VLOOKUP(A50,'Asset Allocations'!A:K,10,FALSE)</f>
        <v>0</v>
      </c>
      <c r="E50" s="385">
        <f>VLOOKUP(A50,'Asset Allocations'!A:K,11,FALSE)</f>
        <v>0</v>
      </c>
      <c r="F50" s="363">
        <f t="shared" si="12"/>
        <v>0</v>
      </c>
      <c r="G50" s="600">
        <f t="shared" si="13"/>
        <v>0</v>
      </c>
      <c r="H50" s="364">
        <f t="shared" si="14"/>
        <v>0</v>
      </c>
      <c r="I50" s="188">
        <f t="shared" si="15"/>
        <v>0</v>
      </c>
      <c r="J50" s="365"/>
    </row>
    <row r="51" spans="1:10" x14ac:dyDescent="0.2">
      <c r="A51" s="371" t="s">
        <v>9529</v>
      </c>
      <c r="B51" s="255">
        <f t="shared" ref="B51:B55" si="18">MAX(0,IF(D51&lt;10%,D51-3%,IF(AND(D51&gt;=10%,D51&lt;20%),D51-5%,D51-8%)))</f>
        <v>0</v>
      </c>
      <c r="C51" s="255">
        <f t="shared" si="17"/>
        <v>0.03</v>
      </c>
      <c r="D51" s="383">
        <f>VLOOKUP(A51,'Asset Allocations'!A:K,10,FALSE)</f>
        <v>0</v>
      </c>
      <c r="E51" s="385">
        <f>VLOOKUP(A51,'Asset Allocations'!A:K,11,FALSE)</f>
        <v>0</v>
      </c>
      <c r="F51" s="363">
        <f t="shared" si="12"/>
        <v>0</v>
      </c>
      <c r="G51" s="600">
        <f t="shared" si="13"/>
        <v>0</v>
      </c>
      <c r="H51" s="364">
        <f t="shared" si="14"/>
        <v>0</v>
      </c>
      <c r="I51" s="188">
        <f t="shared" si="15"/>
        <v>0</v>
      </c>
      <c r="J51" s="365"/>
    </row>
    <row r="52" spans="1:10" x14ac:dyDescent="0.2">
      <c r="A52" s="371" t="s">
        <v>9528</v>
      </c>
      <c r="B52" s="255">
        <f t="shared" si="18"/>
        <v>0</v>
      </c>
      <c r="C52" s="255">
        <f t="shared" si="17"/>
        <v>0.03</v>
      </c>
      <c r="D52" s="383">
        <f>VLOOKUP(A52,'Asset Allocations'!A:K,10,FALSE)</f>
        <v>0</v>
      </c>
      <c r="E52" s="385">
        <f>VLOOKUP(A52,'Asset Allocations'!A:K,11,FALSE)</f>
        <v>0.02</v>
      </c>
      <c r="F52" s="363">
        <f t="shared" si="12"/>
        <v>0.02</v>
      </c>
      <c r="G52" s="600">
        <f t="shared" si="13"/>
        <v>0</v>
      </c>
      <c r="H52" s="364">
        <f t="shared" si="14"/>
        <v>0.02</v>
      </c>
      <c r="I52" s="188">
        <f t="shared" si="15"/>
        <v>0.02</v>
      </c>
      <c r="J52" s="365"/>
    </row>
    <row r="53" spans="1:10" ht="15" customHeight="1" x14ac:dyDescent="0.2">
      <c r="A53" s="371" t="s">
        <v>9530</v>
      </c>
      <c r="B53" s="255">
        <f t="shared" si="18"/>
        <v>0</v>
      </c>
      <c r="C53" s="255">
        <f t="shared" si="17"/>
        <v>0.03</v>
      </c>
      <c r="D53" s="383">
        <f>VLOOKUP(A53,'Asset Allocations'!A:K,10,FALSE)</f>
        <v>0</v>
      </c>
      <c r="E53" s="385">
        <f>VLOOKUP(A53,'Asset Allocations'!A:K,11,FALSE)</f>
        <v>0</v>
      </c>
      <c r="F53" s="363">
        <f t="shared" si="12"/>
        <v>0</v>
      </c>
      <c r="G53" s="600">
        <f t="shared" si="13"/>
        <v>0</v>
      </c>
      <c r="H53" s="364">
        <f t="shared" si="14"/>
        <v>0</v>
      </c>
      <c r="I53" s="188">
        <f t="shared" si="15"/>
        <v>0</v>
      </c>
      <c r="J53" s="365"/>
    </row>
    <row r="54" spans="1:10" ht="15" customHeight="1" x14ac:dyDescent="0.2">
      <c r="A54" s="371" t="s">
        <v>9531</v>
      </c>
      <c r="B54" s="255">
        <f>MAX(0,IF(D54&lt;10%,D54-3%,IF(AND(D54&gt;=10%,D54&lt;20%),D54-5%,D54-8%)))</f>
        <v>1.0000000000000002E-2</v>
      </c>
      <c r="C54" s="255">
        <f t="shared" si="17"/>
        <v>7.0000000000000007E-2</v>
      </c>
      <c r="D54" s="383">
        <f>VLOOKUP(A54,'Asset Allocations'!A:K,10,FALSE)</f>
        <v>0.04</v>
      </c>
      <c r="E54" s="385">
        <f>VLOOKUP(A54,'Asset Allocations'!A:K,11,FALSE)</f>
        <v>0</v>
      </c>
      <c r="F54" s="363">
        <f t="shared" si="12"/>
        <v>-0.04</v>
      </c>
      <c r="G54" s="600">
        <f t="shared" si="13"/>
        <v>0</v>
      </c>
      <c r="H54" s="364">
        <f t="shared" si="14"/>
        <v>0</v>
      </c>
      <c r="I54" s="188">
        <f t="shared" si="15"/>
        <v>-0.04</v>
      </c>
      <c r="J54" s="365"/>
    </row>
    <row r="55" spans="1:10" x14ac:dyDescent="0.2">
      <c r="A55" s="372" t="s">
        <v>45</v>
      </c>
      <c r="B55" s="255">
        <f t="shared" si="18"/>
        <v>0</v>
      </c>
      <c r="C55" s="255">
        <f t="shared" si="17"/>
        <v>0.03</v>
      </c>
      <c r="D55" s="383">
        <f>VLOOKUP(A55,'Asset Allocations'!A:K,10,FALSE)</f>
        <v>0</v>
      </c>
      <c r="E55" s="385">
        <f>VLOOKUP(A55,'Asset Allocations'!A:K,11,FALSE)</f>
        <v>0</v>
      </c>
      <c r="F55" s="363">
        <f t="shared" si="12"/>
        <v>0</v>
      </c>
      <c r="G55" s="600">
        <f t="shared" si="13"/>
        <v>0</v>
      </c>
      <c r="H55" s="364">
        <f t="shared" si="14"/>
        <v>0</v>
      </c>
      <c r="I55" s="188">
        <f t="shared" si="15"/>
        <v>0</v>
      </c>
      <c r="J55" s="365"/>
    </row>
    <row r="56" spans="1:10" ht="15" customHeight="1" x14ac:dyDescent="0.25">
      <c r="A56" s="366" t="s">
        <v>46</v>
      </c>
      <c r="B56" s="189">
        <f>MAX(0,$D$56-5%)</f>
        <v>0</v>
      </c>
      <c r="C56" s="189">
        <f>MIN(100%,$D$56+5%)</f>
        <v>0.09</v>
      </c>
      <c r="D56" s="189">
        <f>VLOOKUP(A56,'Asset Allocations'!A:K,10,FALSE)</f>
        <v>0.04</v>
      </c>
      <c r="E56" s="189">
        <f>VLOOKUP(A56,'Asset Allocations'!A:K,11,FALSE)</f>
        <v>0.02</v>
      </c>
      <c r="F56" s="367">
        <f t="shared" si="12"/>
        <v>-0.02</v>
      </c>
      <c r="G56" s="547">
        <f>SUM(G50:G55)</f>
        <v>0</v>
      </c>
      <c r="H56" s="547">
        <f>SUM(H50:H55)</f>
        <v>0.02</v>
      </c>
      <c r="I56" s="369">
        <f t="shared" si="16"/>
        <v>-0.02</v>
      </c>
      <c r="J56" s="370"/>
    </row>
    <row r="57" spans="1:10" ht="15" customHeight="1" x14ac:dyDescent="0.2">
      <c r="A57" s="373" t="s">
        <v>11</v>
      </c>
      <c r="B57" s="255">
        <f>MAX(0,IF(D57&lt;10%,D57-3%,IF(AND(D57&gt;=10%,D57&lt;20%),D57-5%,D57-8%)))</f>
        <v>0</v>
      </c>
      <c r="C57" s="255">
        <f>IF(D57&lt;10%,D57+3%,IF(AND(D57&gt;=10%,D57&lt;20%),D57+5%,D57+8%))</f>
        <v>0.03</v>
      </c>
      <c r="D57" s="384">
        <f>VLOOKUP(A57,'Asset Allocations'!A:K,10,FALSE)</f>
        <v>0</v>
      </c>
      <c r="E57" s="385">
        <f>VLOOKUP(A57,'Asset Allocations'!A:K,11,FALSE)</f>
        <v>0.02</v>
      </c>
      <c r="F57" s="363">
        <f t="shared" si="12"/>
        <v>0.02</v>
      </c>
      <c r="G57" s="601">
        <f t="shared" si="13"/>
        <v>0.02</v>
      </c>
      <c r="H57" s="364">
        <f t="shared" si="14"/>
        <v>0.02</v>
      </c>
      <c r="I57" s="188">
        <f t="shared" si="15"/>
        <v>0.02</v>
      </c>
      <c r="J57" s="374"/>
    </row>
    <row r="58" spans="1:10" ht="15" customHeight="1" x14ac:dyDescent="0.25">
      <c r="A58" s="366" t="s">
        <v>9534</v>
      </c>
      <c r="B58" s="189">
        <f>B57</f>
        <v>0</v>
      </c>
      <c r="C58" s="189">
        <f>C57</f>
        <v>0.03</v>
      </c>
      <c r="D58" s="189">
        <f>VLOOKUP(A58,'Asset Allocations'!A:K,10,FALSE)</f>
        <v>0</v>
      </c>
      <c r="E58" s="189">
        <f>VLOOKUP(A58,'Asset Allocations'!A:K,11,FALSE)</f>
        <v>0.02</v>
      </c>
      <c r="F58" s="375"/>
      <c r="G58" s="547">
        <f>SUM(G57)</f>
        <v>0.02</v>
      </c>
      <c r="H58" s="547">
        <f>SUM(H57)</f>
        <v>0.02</v>
      </c>
      <c r="I58" s="190"/>
      <c r="J58" s="376"/>
    </row>
    <row r="59" spans="1:10" x14ac:dyDescent="0.2">
      <c r="A59" s="373" t="s">
        <v>49</v>
      </c>
      <c r="B59" s="255">
        <f>MAX(0,IF(D59&lt;10%,D59-3%,IF(AND(D59&gt;=10%,D59&lt;20%),D59-5%,D59-8%)))</f>
        <v>2.0000000000000004E-2</v>
      </c>
      <c r="C59" s="255">
        <f>IF(D59&lt;10%,D59+3%,IF(AND(D59&gt;=10%,D59&lt;20%),D59+5%,D59+8%))</f>
        <v>0.08</v>
      </c>
      <c r="D59" s="384">
        <f>VLOOKUP(A59,'Asset Allocations'!A:K,10,FALSE)</f>
        <v>0.05</v>
      </c>
      <c r="E59" s="385">
        <f>VLOOKUP(A59,'Asset Allocations'!A:K,11,FALSE)</f>
        <v>0.05</v>
      </c>
      <c r="F59" s="363">
        <f t="shared" ref="F59" si="19">IFERROR(E59-D59,"")</f>
        <v>0</v>
      </c>
      <c r="G59" s="601">
        <f t="shared" si="13"/>
        <v>0</v>
      </c>
      <c r="H59" s="364">
        <f t="shared" si="14"/>
        <v>0.05</v>
      </c>
      <c r="I59" s="188">
        <f t="shared" ref="I59" si="20">IFERROR(H59-D59,"")</f>
        <v>0</v>
      </c>
      <c r="J59" s="374"/>
    </row>
    <row r="60" spans="1:10" ht="15" x14ac:dyDescent="0.25">
      <c r="A60" s="366" t="s">
        <v>9535</v>
      </c>
      <c r="B60" s="189">
        <f>B59</f>
        <v>2.0000000000000004E-2</v>
      </c>
      <c r="C60" s="189">
        <f t="shared" ref="C60" si="21">C59</f>
        <v>0.08</v>
      </c>
      <c r="D60" s="189">
        <f>VLOOKUP(A60,'Asset Allocations'!A:K,10,FALSE)</f>
        <v>0.05</v>
      </c>
      <c r="E60" s="189">
        <f>VLOOKUP(A60,'Asset Allocations'!A:K,11,FALSE)</f>
        <v>0.05</v>
      </c>
      <c r="F60" s="375"/>
      <c r="G60" s="547">
        <f>SUM(G59)</f>
        <v>0</v>
      </c>
      <c r="H60" s="547">
        <f>SUM(H59)</f>
        <v>0.05</v>
      </c>
      <c r="I60" s="190"/>
      <c r="J60" s="376"/>
    </row>
    <row r="61" spans="1:10" x14ac:dyDescent="0.2">
      <c r="A61" s="371" t="s">
        <v>47</v>
      </c>
      <c r="B61" s="255">
        <f>MAX(0,IF(D61&lt;10%,D61-3%,IF(AND(D61&gt;=10%,D61&lt;20%),D61-5%,D61-8%)))</f>
        <v>0</v>
      </c>
      <c r="C61" s="255">
        <f>IF(D61&lt;10%,D61+3%,IF(AND(D61&gt;=10%,D61&lt;20%),D61+5%,D61+8%))</f>
        <v>0.03</v>
      </c>
      <c r="D61" s="383">
        <f>VLOOKUP(A61,'Asset Allocations'!A:K,10,FALSE)</f>
        <v>0</v>
      </c>
      <c r="E61" s="385">
        <f>VLOOKUP(A61,'Asset Allocations'!A:K,11,FALSE)</f>
        <v>0</v>
      </c>
      <c r="F61" s="363">
        <f t="shared" si="12"/>
        <v>0</v>
      </c>
      <c r="G61" s="600">
        <f t="shared" si="13"/>
        <v>0.05</v>
      </c>
      <c r="H61" s="364">
        <f t="shared" si="14"/>
        <v>0</v>
      </c>
      <c r="I61" s="188">
        <f t="shared" si="15"/>
        <v>0</v>
      </c>
      <c r="J61" s="365"/>
    </row>
    <row r="62" spans="1:10" ht="15.75" customHeight="1" x14ac:dyDescent="0.2">
      <c r="A62" s="371" t="s">
        <v>48</v>
      </c>
      <c r="B62" s="255">
        <f>MAX(0,IF(D62&lt;10%,D62-3%,IF(AND(D62&gt;=10%,D62&lt;20%),D62-5%,D62-8%)))</f>
        <v>0</v>
      </c>
      <c r="C62" s="255">
        <f>IF(D62&lt;10%,D62+3%,IF(AND(D62&gt;=10%,D62&lt;20%),D62+5%,D62+8%))</f>
        <v>0.03</v>
      </c>
      <c r="D62" s="383">
        <f>VLOOKUP(A62,'Asset Allocations'!A:K,10,FALSE)</f>
        <v>0</v>
      </c>
      <c r="E62" s="385">
        <f>VLOOKUP(A62,'Asset Allocations'!A:K,11,FALSE)</f>
        <v>0</v>
      </c>
      <c r="F62" s="363">
        <f t="shared" si="12"/>
        <v>0</v>
      </c>
      <c r="G62" s="600">
        <f t="shared" si="13"/>
        <v>0.03</v>
      </c>
      <c r="H62" s="364">
        <f t="shared" si="14"/>
        <v>0</v>
      </c>
      <c r="I62" s="188">
        <f t="shared" si="15"/>
        <v>0</v>
      </c>
      <c r="J62" s="365"/>
    </row>
    <row r="63" spans="1:10" ht="15.75" customHeight="1" x14ac:dyDescent="0.25">
      <c r="A63" s="366" t="s">
        <v>9536</v>
      </c>
      <c r="B63" s="189">
        <f t="shared" ref="B63:C63" si="22">SUM(B61:B62)</f>
        <v>0</v>
      </c>
      <c r="C63" s="189">
        <f t="shared" si="22"/>
        <v>0.06</v>
      </c>
      <c r="D63" s="189">
        <f>VLOOKUP(A63,'Asset Allocations'!A:K,10,FALSE)</f>
        <v>0</v>
      </c>
      <c r="E63" s="189">
        <f>VLOOKUP(A63,'Asset Allocations'!A:K,11,FALSE)</f>
        <v>0</v>
      </c>
      <c r="F63" s="367">
        <f t="shared" si="12"/>
        <v>0</v>
      </c>
      <c r="G63" s="547">
        <f>SUM(G61:G62)</f>
        <v>0.08</v>
      </c>
      <c r="H63" s="547">
        <f>SUM(H62)</f>
        <v>0</v>
      </c>
      <c r="I63" s="369" t="str">
        <f>IFERROR(IF(H63=0,"",H63-D63),"")</f>
        <v/>
      </c>
      <c r="J63" s="370"/>
    </row>
    <row r="64" spans="1:10" ht="15.75" customHeight="1" thickBot="1" x14ac:dyDescent="0.3">
      <c r="A64" s="377" t="s">
        <v>9532</v>
      </c>
      <c r="B64" s="378"/>
      <c r="C64" s="379"/>
      <c r="D64" s="378">
        <f>D49+D56+D58+D60+D63</f>
        <v>1</v>
      </c>
      <c r="E64" s="378">
        <f>E49+E56+E58+E60+E63</f>
        <v>1</v>
      </c>
      <c r="F64" s="380"/>
      <c r="G64" s="378">
        <f>G49+G56+G58+G60+G63</f>
        <v>1</v>
      </c>
      <c r="H64" s="378">
        <f>H49+H56+H58+H60+H63</f>
        <v>1</v>
      </c>
      <c r="I64" s="381"/>
      <c r="J64" s="382"/>
    </row>
    <row r="65" spans="1:10" ht="15.75" customHeight="1" thickTop="1" x14ac:dyDescent="0.2"/>
    <row r="66" spans="1:10" ht="15" thickBot="1" x14ac:dyDescent="0.25">
      <c r="A66" s="45"/>
      <c r="J66" s="46"/>
    </row>
    <row r="67" spans="1:10" ht="15" x14ac:dyDescent="0.25">
      <c r="A67" s="86" t="s">
        <v>50</v>
      </c>
      <c r="B67" s="87"/>
      <c r="C67" s="87"/>
      <c r="D67" s="87"/>
      <c r="E67" s="87"/>
      <c r="F67" s="87"/>
      <c r="G67" s="603"/>
      <c r="H67" s="87"/>
      <c r="I67" s="87"/>
      <c r="J67" s="88"/>
    </row>
    <row r="68" spans="1:10" x14ac:dyDescent="0.2">
      <c r="A68" s="89"/>
      <c r="B68" s="57"/>
      <c r="C68" s="57"/>
      <c r="D68" s="57"/>
      <c r="E68" s="57"/>
      <c r="F68" s="57"/>
      <c r="G68" s="604"/>
      <c r="H68" s="57"/>
      <c r="I68" s="57"/>
      <c r="J68" s="90"/>
    </row>
    <row r="69" spans="1:10" x14ac:dyDescent="0.2">
      <c r="A69" s="113" t="s">
        <v>9527</v>
      </c>
      <c r="B69" s="81"/>
      <c r="C69" s="57"/>
      <c r="D69" s="57"/>
      <c r="E69" s="57"/>
      <c r="F69" s="57"/>
      <c r="G69" s="604"/>
      <c r="H69" s="57"/>
      <c r="I69" s="57"/>
      <c r="J69" s="90"/>
    </row>
    <row r="70" spans="1:10" x14ac:dyDescent="0.2">
      <c r="A70" s="89"/>
      <c r="B70" s="562"/>
      <c r="C70" s="57"/>
      <c r="D70" s="57"/>
      <c r="E70" s="57"/>
      <c r="F70" s="57"/>
      <c r="G70" s="604"/>
      <c r="H70" s="57"/>
      <c r="I70" s="57"/>
      <c r="J70" s="90"/>
    </row>
    <row r="71" spans="1:10" x14ac:dyDescent="0.2">
      <c r="A71" s="89"/>
      <c r="B71" s="562"/>
      <c r="C71" s="57"/>
      <c r="D71" s="57"/>
      <c r="E71" s="57"/>
      <c r="F71" s="57"/>
      <c r="G71" s="604"/>
      <c r="H71" s="57"/>
      <c r="I71" s="57"/>
      <c r="J71" s="90"/>
    </row>
    <row r="72" spans="1:10" x14ac:dyDescent="0.2">
      <c r="A72" s="89"/>
      <c r="B72" s="562"/>
      <c r="C72" s="57"/>
      <c r="D72" s="57"/>
      <c r="E72" s="57"/>
      <c r="F72" s="57"/>
      <c r="G72" s="604"/>
      <c r="H72" s="57"/>
      <c r="I72" s="57"/>
      <c r="J72" s="90"/>
    </row>
    <row r="73" spans="1:10" x14ac:dyDescent="0.2">
      <c r="A73" s="89"/>
      <c r="B73" s="562"/>
      <c r="C73" s="57"/>
      <c r="D73" s="57"/>
      <c r="E73" s="57"/>
      <c r="F73" s="57"/>
      <c r="G73" s="604"/>
      <c r="H73" s="57"/>
      <c r="I73" s="57"/>
      <c r="J73" s="90"/>
    </row>
    <row r="74" spans="1:10" x14ac:dyDescent="0.2">
      <c r="A74" s="89"/>
      <c r="B74" s="57"/>
      <c r="C74" s="57"/>
      <c r="D74" s="57"/>
      <c r="E74" s="57"/>
      <c r="F74" s="57"/>
      <c r="G74" s="604"/>
      <c r="H74" s="57"/>
      <c r="I74" s="57"/>
      <c r="J74" s="90"/>
    </row>
    <row r="75" spans="1:10" x14ac:dyDescent="0.2">
      <c r="A75" s="89"/>
      <c r="B75" s="57"/>
      <c r="C75" s="57"/>
      <c r="D75" s="57"/>
      <c r="E75" s="57"/>
      <c r="F75" s="57"/>
      <c r="G75" s="604"/>
      <c r="H75" s="57"/>
      <c r="I75" s="57"/>
      <c r="J75" s="90"/>
    </row>
    <row r="76" spans="1:10" x14ac:dyDescent="0.2">
      <c r="A76" s="89"/>
      <c r="B76" s="57"/>
      <c r="C76" s="57"/>
      <c r="D76" s="57"/>
      <c r="E76" s="57"/>
      <c r="F76" s="57"/>
      <c r="G76" s="604"/>
      <c r="H76" s="57"/>
      <c r="I76" s="57"/>
      <c r="J76" s="90"/>
    </row>
    <row r="77" spans="1:10" x14ac:dyDescent="0.2">
      <c r="A77" s="89"/>
      <c r="B77" s="57"/>
      <c r="C77" s="57"/>
      <c r="D77" s="57"/>
      <c r="E77" s="57"/>
      <c r="F77" s="57"/>
      <c r="G77" s="604"/>
      <c r="H77" s="57"/>
      <c r="I77" s="57"/>
      <c r="J77" s="90"/>
    </row>
    <row r="78" spans="1:10" x14ac:dyDescent="0.2">
      <c r="A78" s="81" t="s">
        <v>9562</v>
      </c>
      <c r="B78" s="57"/>
      <c r="C78" s="57"/>
      <c r="D78" s="57"/>
      <c r="E78" s="57"/>
      <c r="F78" s="57"/>
      <c r="G78" s="604"/>
      <c r="H78" s="57"/>
      <c r="I78" s="57"/>
      <c r="J78" s="90"/>
    </row>
    <row r="79" spans="1:10" x14ac:dyDescent="0.2">
      <c r="A79" s="89"/>
      <c r="B79" s="57"/>
      <c r="C79" s="57"/>
      <c r="D79" s="57"/>
      <c r="E79" s="57"/>
      <c r="F79" s="57"/>
      <c r="G79" s="604"/>
      <c r="H79" s="57"/>
      <c r="I79" s="57"/>
      <c r="J79" s="90"/>
    </row>
    <row r="80" spans="1:10" x14ac:dyDescent="0.2">
      <c r="A80" s="89"/>
      <c r="B80" s="57"/>
      <c r="C80" s="57"/>
      <c r="D80" s="57"/>
      <c r="E80" s="57"/>
      <c r="F80" s="57"/>
      <c r="G80" s="604"/>
      <c r="H80" s="57"/>
      <c r="I80" s="57"/>
      <c r="J80" s="90"/>
    </row>
    <row r="81" spans="1:10" x14ac:dyDescent="0.2">
      <c r="A81" s="89"/>
      <c r="B81" s="57"/>
      <c r="C81" s="57"/>
      <c r="D81" s="57"/>
      <c r="E81" s="57"/>
      <c r="F81" s="57"/>
      <c r="G81" s="604"/>
      <c r="H81" s="57"/>
      <c r="I81" s="57"/>
      <c r="J81" s="90"/>
    </row>
    <row r="82" spans="1:10" x14ac:dyDescent="0.2">
      <c r="A82" s="89"/>
      <c r="B82" s="57"/>
      <c r="C82" s="57"/>
      <c r="D82" s="57"/>
      <c r="E82" s="57"/>
      <c r="F82" s="57"/>
      <c r="G82" s="604"/>
      <c r="H82" s="57"/>
      <c r="I82" s="57"/>
      <c r="J82" s="90"/>
    </row>
    <row r="83" spans="1:10" x14ac:dyDescent="0.2">
      <c r="A83" s="89"/>
      <c r="B83" s="57"/>
      <c r="C83" s="57"/>
      <c r="D83" s="57"/>
      <c r="E83" s="57"/>
      <c r="F83" s="57"/>
      <c r="G83" s="604"/>
      <c r="H83" s="57"/>
      <c r="I83" s="57"/>
      <c r="J83" s="90"/>
    </row>
    <row r="84" spans="1:10" x14ac:dyDescent="0.2">
      <c r="A84" s="89"/>
      <c r="B84" s="57"/>
      <c r="C84" s="57"/>
      <c r="D84" s="57"/>
      <c r="E84" s="57"/>
      <c r="F84" s="57"/>
      <c r="G84" s="604"/>
      <c r="H84" s="57"/>
      <c r="I84" s="57"/>
      <c r="J84" s="90"/>
    </row>
    <row r="85" spans="1:10" x14ac:dyDescent="0.2">
      <c r="A85" s="89"/>
      <c r="B85" s="57"/>
      <c r="C85" s="57"/>
      <c r="D85" s="57"/>
      <c r="E85" s="57"/>
      <c r="F85" s="57"/>
      <c r="G85" s="604"/>
      <c r="H85" s="57"/>
      <c r="I85" s="57"/>
      <c r="J85" s="90"/>
    </row>
    <row r="86" spans="1:10" x14ac:dyDescent="0.2">
      <c r="A86" s="89"/>
      <c r="B86" s="57"/>
      <c r="C86" s="57"/>
      <c r="D86" s="57"/>
      <c r="E86" s="57"/>
      <c r="F86" s="57"/>
      <c r="G86" s="604"/>
      <c r="H86" s="57"/>
      <c r="I86" s="57"/>
      <c r="J86" s="90"/>
    </row>
    <row r="87" spans="1:10" x14ac:dyDescent="0.2">
      <c r="A87" s="89"/>
      <c r="B87" s="57"/>
      <c r="C87" s="57"/>
      <c r="D87" s="57"/>
      <c r="E87" s="57"/>
      <c r="F87" s="57"/>
      <c r="G87" s="604"/>
      <c r="H87" s="57"/>
      <c r="I87" s="57"/>
      <c r="J87" s="90"/>
    </row>
    <row r="88" spans="1:10" x14ac:dyDescent="0.2">
      <c r="A88" s="89"/>
      <c r="B88" s="57"/>
      <c r="C88" s="57"/>
      <c r="D88" s="57"/>
      <c r="E88" s="57"/>
      <c r="F88" s="57"/>
      <c r="G88" s="604"/>
      <c r="H88" s="57"/>
      <c r="I88" s="57"/>
      <c r="J88" s="90"/>
    </row>
    <row r="89" spans="1:10" x14ac:dyDescent="0.2">
      <c r="A89" s="89"/>
      <c r="B89" s="57"/>
      <c r="C89" s="57"/>
      <c r="D89" s="57"/>
      <c r="E89" s="57"/>
      <c r="F89" s="57"/>
      <c r="G89" s="604"/>
      <c r="H89" s="57"/>
      <c r="I89" s="57"/>
      <c r="J89" s="90"/>
    </row>
    <row r="90" spans="1:10" x14ac:dyDescent="0.2">
      <c r="A90" s="89"/>
      <c r="B90" s="57"/>
      <c r="C90" s="57"/>
      <c r="D90" s="57"/>
      <c r="E90" s="57"/>
      <c r="F90" s="57"/>
      <c r="G90" s="604"/>
      <c r="H90" s="57"/>
      <c r="I90" s="57"/>
      <c r="J90" s="90"/>
    </row>
    <row r="91" spans="1:10" x14ac:dyDescent="0.2">
      <c r="A91" s="89"/>
      <c r="B91" s="57"/>
      <c r="C91" s="57"/>
      <c r="D91" s="57"/>
      <c r="E91" s="57"/>
      <c r="F91" s="57"/>
      <c r="G91" s="604"/>
      <c r="H91" s="57"/>
      <c r="I91" s="57"/>
      <c r="J91" s="90"/>
    </row>
    <row r="92" spans="1:10" x14ac:dyDescent="0.2">
      <c r="A92" s="89"/>
      <c r="B92" s="57"/>
      <c r="C92" s="57"/>
      <c r="D92" s="57"/>
      <c r="E92" s="57"/>
      <c r="F92" s="57"/>
      <c r="G92" s="604"/>
      <c r="H92" s="57"/>
      <c r="I92" s="57"/>
      <c r="J92" s="90"/>
    </row>
    <row r="93" spans="1:10" x14ac:dyDescent="0.2">
      <c r="A93" s="89"/>
      <c r="B93" s="57"/>
      <c r="C93" s="57"/>
      <c r="D93" s="57"/>
      <c r="E93" s="57"/>
      <c r="F93" s="57"/>
      <c r="G93" s="604"/>
      <c r="H93" s="57"/>
      <c r="I93" s="57"/>
      <c r="J93" s="90"/>
    </row>
    <row r="94" spans="1:10" x14ac:dyDescent="0.2">
      <c r="A94" s="89"/>
      <c r="B94" s="57"/>
      <c r="C94" s="57"/>
      <c r="D94" s="57"/>
      <c r="E94" s="57"/>
      <c r="F94" s="57"/>
      <c r="G94" s="604"/>
      <c r="H94" s="57"/>
      <c r="I94" s="57"/>
      <c r="J94" s="90"/>
    </row>
    <row r="95" spans="1:10" x14ac:dyDescent="0.2">
      <c r="A95" s="89"/>
      <c r="B95" s="57"/>
      <c r="C95" s="57"/>
      <c r="D95" s="57"/>
      <c r="E95" s="57"/>
      <c r="F95" s="57"/>
      <c r="G95" s="604"/>
      <c r="H95" s="57"/>
      <c r="I95" s="57"/>
      <c r="J95" s="90"/>
    </row>
    <row r="96" spans="1:10" x14ac:dyDescent="0.2">
      <c r="A96" s="89"/>
      <c r="B96" s="57"/>
      <c r="C96" s="57"/>
      <c r="D96" s="57"/>
      <c r="E96" s="57"/>
      <c r="F96" s="57"/>
      <c r="G96" s="604"/>
      <c r="H96" s="57"/>
      <c r="I96" s="57"/>
      <c r="J96" s="90"/>
    </row>
    <row r="97" spans="1:10" x14ac:dyDescent="0.2">
      <c r="A97" s="89"/>
      <c r="B97" s="57"/>
      <c r="C97" s="57"/>
      <c r="D97" s="57"/>
      <c r="E97" s="57"/>
      <c r="F97" s="57"/>
      <c r="G97" s="604"/>
      <c r="H97" s="57"/>
      <c r="I97" s="57"/>
      <c r="J97" s="90"/>
    </row>
    <row r="98" spans="1:10" x14ac:dyDescent="0.2">
      <c r="A98" s="89"/>
      <c r="B98" s="57"/>
      <c r="C98" s="57"/>
      <c r="D98" s="57"/>
      <c r="E98" s="57"/>
      <c r="F98" s="57"/>
      <c r="G98" s="604"/>
      <c r="H98" s="57"/>
      <c r="I98" s="57"/>
      <c r="J98" s="90"/>
    </row>
    <row r="99" spans="1:10" x14ac:dyDescent="0.2">
      <c r="A99" s="89"/>
      <c r="B99" s="57"/>
      <c r="C99" s="57"/>
      <c r="D99" s="57"/>
      <c r="E99" s="57"/>
      <c r="F99" s="57"/>
      <c r="G99" s="604"/>
      <c r="H99" s="57"/>
      <c r="I99" s="57"/>
      <c r="J99" s="90"/>
    </row>
    <row r="100" spans="1:10" x14ac:dyDescent="0.2">
      <c r="A100" s="89"/>
      <c r="B100" s="57"/>
      <c r="C100" s="57"/>
      <c r="D100" s="57"/>
      <c r="E100" s="57"/>
      <c r="F100" s="57"/>
      <c r="G100" s="604"/>
      <c r="H100" s="57"/>
      <c r="I100" s="57"/>
      <c r="J100" s="90"/>
    </row>
    <row r="101" spans="1:10" ht="15" thickBot="1" x14ac:dyDescent="0.25">
      <c r="A101" s="91"/>
      <c r="B101" s="92"/>
      <c r="C101" s="92"/>
      <c r="D101" s="92"/>
      <c r="E101" s="92"/>
      <c r="F101" s="92"/>
      <c r="G101" s="605"/>
      <c r="H101" s="92"/>
      <c r="I101" s="92"/>
      <c r="J101" s="93"/>
    </row>
  </sheetData>
  <sheetProtection selectLockedCells="1"/>
  <sortState xmlns:xlrd2="http://schemas.microsoft.com/office/spreadsheetml/2017/richdata2" ref="A5:J33">
    <sortCondition ref="E5:E33"/>
    <sortCondition ref="B5:B33"/>
  </sortState>
  <mergeCells count="2">
    <mergeCell ref="A1:K1"/>
    <mergeCell ref="B2:K2"/>
  </mergeCells>
  <phoneticPr fontId="9" type="noConversion"/>
  <conditionalFormatting sqref="A4:G4 B25:G26 B5:E24 G5:G24 A27:G34 A35:K38">
    <cfRule type="expression" dxfId="215" priority="37">
      <formula>AND($F4&lt;&gt;"",$F4=0%)</formula>
    </cfRule>
  </conditionalFormatting>
  <conditionalFormatting sqref="A4:G4 B25:G26 B5:E24 G5:G24 A27:G34 A35:K38">
    <cfRule type="expression" dxfId="214" priority="38">
      <formula>AND($G4&lt;&gt;"",$G4=0%)</formula>
    </cfRule>
  </conditionalFormatting>
  <conditionalFormatting sqref="H35:H38">
    <cfRule type="iconSet" priority="41">
      <iconSet iconSet="3Arrows">
        <cfvo type="percent" val="0"/>
        <cfvo type="num" val="0"/>
        <cfvo type="num" val="0" gte="0"/>
      </iconSet>
    </cfRule>
  </conditionalFormatting>
  <conditionalFormatting sqref="A4 F4:G4 G5:G24 A27:A38 F25:G38">
    <cfRule type="expression" dxfId="213" priority="39">
      <formula>$A4=""</formula>
    </cfRule>
    <cfRule type="expression" dxfId="212" priority="40">
      <formula>$A4&lt;&gt;""</formula>
    </cfRule>
  </conditionalFormatting>
  <conditionalFormatting sqref="H42:H55 H57 H59 H61:H62 G49">
    <cfRule type="cellIs" dxfId="211" priority="24" operator="lessThan">
      <formula>$B42</formula>
    </cfRule>
    <cfRule type="cellIs" dxfId="210" priority="25" operator="greaterThan">
      <formula>$C42</formula>
    </cfRule>
  </conditionalFormatting>
  <conditionalFormatting sqref="G56:H56">
    <cfRule type="cellIs" dxfId="209" priority="22" operator="lessThan">
      <formula>$B56</formula>
    </cfRule>
    <cfRule type="cellIs" dxfId="208" priority="23" operator="greaterThan">
      <formula>$C56</formula>
    </cfRule>
  </conditionalFormatting>
  <conditionalFormatting sqref="G56:H56">
    <cfRule type="expression" priority="21" stopIfTrue="1">
      <formula>$G$39=0</formula>
    </cfRule>
  </conditionalFormatting>
  <conditionalFormatting sqref="G58:H58">
    <cfRule type="cellIs" dxfId="207" priority="19" operator="lessThan">
      <formula>$B58</formula>
    </cfRule>
    <cfRule type="cellIs" dxfId="206" priority="20" operator="greaterThan">
      <formula>$C58</formula>
    </cfRule>
  </conditionalFormatting>
  <conditionalFormatting sqref="G58:H58">
    <cfRule type="expression" priority="18" stopIfTrue="1">
      <formula>$G$39=0</formula>
    </cfRule>
  </conditionalFormatting>
  <conditionalFormatting sqref="G60:H60">
    <cfRule type="cellIs" dxfId="205" priority="16" operator="lessThan">
      <formula>$B60</formula>
    </cfRule>
    <cfRule type="cellIs" dxfId="204" priority="17" operator="greaterThan">
      <formula>$C60</formula>
    </cfRule>
  </conditionalFormatting>
  <conditionalFormatting sqref="G60:H60">
    <cfRule type="expression" priority="15" stopIfTrue="1">
      <formula>$G$39=0</formula>
    </cfRule>
  </conditionalFormatting>
  <conditionalFormatting sqref="G63:H63">
    <cfRule type="cellIs" dxfId="203" priority="13" operator="lessThan">
      <formula>$B63</formula>
    </cfRule>
    <cfRule type="cellIs" dxfId="202" priority="14" operator="greaterThan">
      <formula>$C63</formula>
    </cfRule>
  </conditionalFormatting>
  <conditionalFormatting sqref="G63:H63">
    <cfRule type="expression" priority="12" stopIfTrue="1">
      <formula>$G$39=0</formula>
    </cfRule>
  </conditionalFormatting>
  <conditionalFormatting sqref="G49:H49">
    <cfRule type="expression" priority="11" stopIfTrue="1">
      <formula>$G$39=0</formula>
    </cfRule>
  </conditionalFormatting>
  <conditionalFormatting sqref="A25:A26">
    <cfRule type="expression" dxfId="201" priority="9">
      <formula>AND($F25&lt;&gt;"",$F25=0%)</formula>
    </cfRule>
  </conditionalFormatting>
  <conditionalFormatting sqref="A25:A26">
    <cfRule type="expression" dxfId="200" priority="10">
      <formula>AND($G25&lt;&gt;"",$G25=0%)</formula>
    </cfRule>
  </conditionalFormatting>
  <conditionalFormatting sqref="A5:A24">
    <cfRule type="expression" dxfId="199" priority="5">
      <formula>AND($F5&lt;&gt;"",$F5=0%)</formula>
    </cfRule>
  </conditionalFormatting>
  <conditionalFormatting sqref="A5:A24">
    <cfRule type="expression" dxfId="198" priority="6">
      <formula>AND($G5&lt;&gt;"",$G5=0%)</formula>
    </cfRule>
  </conditionalFormatting>
  <conditionalFormatting sqref="A5:A24">
    <cfRule type="expression" dxfId="197" priority="7">
      <formula>$A5=""</formula>
    </cfRule>
    <cfRule type="expression" dxfId="196" priority="8">
      <formula>$A5&lt;&gt;""</formula>
    </cfRule>
  </conditionalFormatting>
  <conditionalFormatting sqref="F5:F24">
    <cfRule type="expression" dxfId="195" priority="1">
      <formula>AND($F5&lt;&gt;"",$F5=0%)</formula>
    </cfRule>
  </conditionalFormatting>
  <conditionalFormatting sqref="F5:F24">
    <cfRule type="expression" dxfId="194" priority="2">
      <formula>AND($G5&lt;&gt;"",$G5=0%)</formula>
    </cfRule>
  </conditionalFormatting>
  <conditionalFormatting sqref="F5:F24">
    <cfRule type="expression" dxfId="193" priority="3">
      <formula>$A5=""</formula>
    </cfRule>
    <cfRule type="expression" dxfId="192" priority="4">
      <formula>$A5&lt;&gt;""</formula>
    </cfRule>
  </conditionalFormatting>
  <pageMargins left="0.25" right="0.25" top="0.75" bottom="0.75" header="0.3" footer="0.3"/>
  <pageSetup paperSize="9" scale="71" orientation="landscape" r:id="rId1"/>
  <ignoredErrors>
    <ignoredError sqref="C60 C5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863FACE1-CD7A-45AF-908B-B0CE4240B3D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27" id="{D62671CF-8F21-4E14-AE25-191167902F7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26" id="{63E68234-69E3-4C8F-B33C-CA08459225B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29" id="{198FFA4C-6997-4408-AEF1-6198036E66F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30" id="{AFF57147-9E38-4AD7-B93A-EC7B152278C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I57:I62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E29C5-789B-4377-BA10-763A8A041467}">
  <sheetPr>
    <pageSetUpPr fitToPage="1"/>
  </sheetPr>
  <dimension ref="A1:R102"/>
  <sheetViews>
    <sheetView topLeftCell="F1" zoomScale="90" zoomScaleNormal="90" workbookViewId="0">
      <selection activeCell="O25" sqref="O25"/>
    </sheetView>
  </sheetViews>
  <sheetFormatPr defaultColWidth="9" defaultRowHeight="14.25" x14ac:dyDescent="0.2"/>
  <cols>
    <col min="1" max="4" width="17.625" customWidth="1"/>
    <col min="5" max="5" width="22.375" customWidth="1"/>
    <col min="6" max="10" width="15.625" customWidth="1"/>
    <col min="14" max="14" width="21" bestFit="1" customWidth="1"/>
  </cols>
  <sheetData>
    <row r="1" spans="1:18" ht="30" x14ac:dyDescent="0.2">
      <c r="A1" s="836" t="s">
        <v>70</v>
      </c>
      <c r="B1" s="837"/>
      <c r="C1" s="837"/>
      <c r="D1" s="837"/>
      <c r="E1" s="837"/>
      <c r="F1" s="837"/>
      <c r="G1" s="837"/>
      <c r="H1" s="837"/>
      <c r="I1" s="837"/>
      <c r="J1" s="838"/>
    </row>
    <row r="2" spans="1:18" ht="15" x14ac:dyDescent="0.25">
      <c r="A2" s="733" t="s">
        <v>2</v>
      </c>
      <c r="B2" s="839">
        <f>Date</f>
        <v>44733</v>
      </c>
      <c r="C2" s="839"/>
      <c r="D2" s="839"/>
      <c r="E2" s="839"/>
      <c r="F2" s="839"/>
      <c r="G2" s="839"/>
      <c r="H2" s="839"/>
      <c r="I2" s="839"/>
      <c r="J2" s="840"/>
    </row>
    <row r="3" spans="1:18" ht="15.75" x14ac:dyDescent="0.25">
      <c r="A3" s="734" t="s">
        <v>3</v>
      </c>
      <c r="B3" s="735" t="s">
        <v>4</v>
      </c>
      <c r="C3" s="735"/>
      <c r="D3" s="735"/>
      <c r="E3" s="735" t="s">
        <v>5</v>
      </c>
      <c r="F3" s="736" t="s">
        <v>6</v>
      </c>
      <c r="G3" s="736" t="s">
        <v>7</v>
      </c>
      <c r="H3" s="736" t="s">
        <v>9578</v>
      </c>
      <c r="I3" s="737" t="s">
        <v>9579</v>
      </c>
      <c r="J3" s="738" t="s">
        <v>9582</v>
      </c>
      <c r="O3" s="736" t="s">
        <v>9578</v>
      </c>
      <c r="P3" s="737" t="s">
        <v>9579</v>
      </c>
      <c r="Q3" s="738" t="s">
        <v>9582</v>
      </c>
    </row>
    <row r="4" spans="1:18" x14ac:dyDescent="0.2">
      <c r="A4" s="739" t="s">
        <v>11</v>
      </c>
      <c r="B4" s="740" t="s">
        <v>11</v>
      </c>
      <c r="C4" s="741"/>
      <c r="D4" s="741"/>
      <c r="E4" s="742" t="str">
        <f>IFERROR(VLOOKUP(A4,NoviaFunds[],6,FALSE),"")</f>
        <v>Cash</v>
      </c>
      <c r="F4" s="743">
        <v>0.02</v>
      </c>
      <c r="G4" s="743">
        <v>0.02</v>
      </c>
      <c r="H4" s="744">
        <v>3.5000000000000003E-2</v>
      </c>
      <c r="I4" s="745">
        <v>4.7E-2</v>
      </c>
      <c r="J4" s="746">
        <v>0.02</v>
      </c>
      <c r="M4" s="7"/>
      <c r="N4" s="7" t="s">
        <v>11</v>
      </c>
      <c r="O4" s="7">
        <f ca="1">SUMIF($E$4:$E$38,$N4,H$4:H$37)</f>
        <v>3.5000000000000003E-2</v>
      </c>
      <c r="P4" s="7">
        <f t="shared" ref="P4:R4" si="0">SUMIF($E$4:$E$38,$N4,I$4:I$38)</f>
        <v>4.7E-2</v>
      </c>
      <c r="Q4" s="7">
        <f t="shared" si="0"/>
        <v>0.02</v>
      </c>
      <c r="R4" s="7">
        <f t="shared" si="0"/>
        <v>0</v>
      </c>
    </row>
    <row r="5" spans="1:18" x14ac:dyDescent="0.2">
      <c r="A5" s="739" t="s">
        <v>564</v>
      </c>
      <c r="B5" s="740" t="str">
        <f>IFERROR(VLOOKUP(A5,NoviaFunds[],2,FALSE),"")</f>
        <v>ASI Asia Pacific Equity Enhanced Index B Acc in GB</v>
      </c>
      <c r="C5" s="741"/>
      <c r="D5" s="741"/>
      <c r="E5" s="742" t="str">
        <f>IFERROR(VLOOKUP(A5,NoviaFunds[],6,FALSE),"")</f>
        <v>Asia Pacific</v>
      </c>
      <c r="F5" s="743">
        <v>0</v>
      </c>
      <c r="G5" s="743">
        <v>7.1999999999999995E-2</v>
      </c>
      <c r="H5" s="747">
        <v>0</v>
      </c>
      <c r="I5" s="748">
        <v>7.1999999999999995E-2</v>
      </c>
      <c r="J5" s="746">
        <v>7.1999999999999995E-2</v>
      </c>
      <c r="M5" s="7"/>
      <c r="N5" s="7" t="s">
        <v>48</v>
      </c>
      <c r="O5" s="7">
        <f t="shared" ref="O5:O19" ca="1" si="1">SUMIF($E$4:$E$38,$N5,H$4:H$37)</f>
        <v>0</v>
      </c>
      <c r="P5" s="7">
        <f t="shared" ref="P5:P19" si="2">SUMIF($E$4:$E$38,$N5,I$4:I$38)</f>
        <v>0</v>
      </c>
      <c r="Q5" s="7">
        <f t="shared" ref="Q5:Q19" si="3">SUMIF($E$4:$E$38,$N5,J$4:J$38)</f>
        <v>0</v>
      </c>
      <c r="R5" s="7">
        <f t="shared" ref="R5:R19" si="4">SUMIF($E$4:$E$38,$N5,K$4:K$38)</f>
        <v>0</v>
      </c>
    </row>
    <row r="6" spans="1:18" x14ac:dyDescent="0.2">
      <c r="A6" s="739" t="s">
        <v>71</v>
      </c>
      <c r="B6" s="740" t="str">
        <f>IFERROR(VLOOKUP(A6,NoviaFunds[],2,FALSE),"")</f>
        <v>ASI Asia Pacific Equity I Acc TR in GB</v>
      </c>
      <c r="C6" s="741"/>
      <c r="D6" s="741"/>
      <c r="E6" s="742" t="str">
        <f>IFERROR(VLOOKUP(A6,NoviaFunds[],6,FALSE),"")</f>
        <v>Asia Pacific</v>
      </c>
      <c r="F6" s="743">
        <v>6.5000000000000002E-2</v>
      </c>
      <c r="G6" s="743">
        <v>0</v>
      </c>
      <c r="H6" s="747">
        <v>6.5000000000000002E-2</v>
      </c>
      <c r="I6" s="749">
        <v>0</v>
      </c>
      <c r="J6" s="746">
        <v>0</v>
      </c>
      <c r="M6" s="7"/>
      <c r="N6" s="7" t="s">
        <v>35</v>
      </c>
      <c r="O6" s="7">
        <f t="shared" ca="1" si="1"/>
        <v>0.26599999999999996</v>
      </c>
      <c r="P6" s="7">
        <f t="shared" si="2"/>
        <v>0.27299999999999996</v>
      </c>
      <c r="Q6" s="7">
        <f t="shared" si="3"/>
        <v>0.24</v>
      </c>
      <c r="R6" s="7">
        <f t="shared" si="4"/>
        <v>0</v>
      </c>
    </row>
    <row r="7" spans="1:18" x14ac:dyDescent="0.2">
      <c r="A7" s="739" t="s">
        <v>1461</v>
      </c>
      <c r="B7" s="740" t="str">
        <f>IFERROR(VLOOKUP(A7,NoviaFunds[],2,FALSE),"")</f>
        <v>Baillie Gifford Pacific B Acc TR in GB</v>
      </c>
      <c r="C7" s="741"/>
      <c r="D7" s="741"/>
      <c r="E7" s="742" t="str">
        <f>IFERROR(VLOOKUP(A7,NoviaFunds[],6,FALSE),"")</f>
        <v>Asia Pacific</v>
      </c>
      <c r="F7" s="743">
        <v>0</v>
      </c>
      <c r="G7" s="743">
        <v>7.1999999999999995E-2</v>
      </c>
      <c r="H7" s="750">
        <v>0</v>
      </c>
      <c r="I7" s="745">
        <v>0</v>
      </c>
      <c r="J7" s="751">
        <v>7.1999999999999995E-2</v>
      </c>
      <c r="M7" s="7"/>
      <c r="N7" s="7" t="s">
        <v>36</v>
      </c>
      <c r="O7" s="7">
        <f t="shared" ca="1" si="1"/>
        <v>0.28000000000000003</v>
      </c>
      <c r="P7" s="7">
        <f t="shared" si="2"/>
        <v>0.27</v>
      </c>
      <c r="Q7" s="7">
        <f t="shared" si="3"/>
        <v>0.27</v>
      </c>
      <c r="R7" s="7">
        <f t="shared" si="4"/>
        <v>0</v>
      </c>
    </row>
    <row r="8" spans="1:18" x14ac:dyDescent="0.2">
      <c r="A8" s="739" t="s">
        <v>58</v>
      </c>
      <c r="B8" s="740" t="str">
        <f>IFERROR(VLOOKUP(A8,NoviaFunds[],2,FALSE),"")</f>
        <v>Fidelity Asia W Acc in GB</v>
      </c>
      <c r="C8" s="741"/>
      <c r="D8" s="741"/>
      <c r="E8" s="742" t="str">
        <f>IFERROR(VLOOKUP(A8,NoviaFunds[],6,FALSE),"")</f>
        <v>Asia Pacific</v>
      </c>
      <c r="F8" s="743">
        <v>6.5000000000000002E-2</v>
      </c>
      <c r="G8" s="743">
        <v>0</v>
      </c>
      <c r="H8" s="750">
        <v>6.5000000000000002E-2</v>
      </c>
      <c r="I8" s="745">
        <v>6.5000000000000002E-2</v>
      </c>
      <c r="J8" s="752">
        <v>0</v>
      </c>
      <c r="M8" s="7"/>
      <c r="N8" s="7" t="s">
        <v>34</v>
      </c>
      <c r="O8" s="7">
        <f t="shared" ca="1" si="1"/>
        <v>0.06</v>
      </c>
      <c r="P8" s="7">
        <f t="shared" si="2"/>
        <v>0.06</v>
      </c>
      <c r="Q8" s="7">
        <f t="shared" si="3"/>
        <v>0.06</v>
      </c>
      <c r="R8" s="7">
        <f t="shared" si="4"/>
        <v>0</v>
      </c>
    </row>
    <row r="9" spans="1:18" x14ac:dyDescent="0.2">
      <c r="A9" s="739" t="s">
        <v>64</v>
      </c>
      <c r="B9" s="740" t="str">
        <f>IFERROR(VLOOKUP(A9,NoviaFunds[],2,FALSE),"")</f>
        <v>Schroder Asian Income Z Acc in GB</v>
      </c>
      <c r="C9" s="741"/>
      <c r="D9" s="741"/>
      <c r="E9" s="742" t="str">
        <f>IFERROR(VLOOKUP(A9,NoviaFunds[],6,FALSE),"")</f>
        <v>Asia Pacific</v>
      </c>
      <c r="F9" s="743">
        <v>6.5000000000000002E-2</v>
      </c>
      <c r="G9" s="743">
        <v>4.8000000000000001E-2</v>
      </c>
      <c r="H9" s="753">
        <v>4.8000000000000001E-2</v>
      </c>
      <c r="I9" s="745">
        <v>4.8000000000000001E-2</v>
      </c>
      <c r="J9" s="754">
        <v>4.8000000000000001E-2</v>
      </c>
      <c r="M9" s="7"/>
      <c r="N9" s="7" t="s">
        <v>40</v>
      </c>
      <c r="O9" s="7">
        <f t="shared" ca="1" si="1"/>
        <v>0</v>
      </c>
      <c r="P9" s="7">
        <f t="shared" si="2"/>
        <v>0</v>
      </c>
      <c r="Q9" s="7">
        <f t="shared" si="3"/>
        <v>0</v>
      </c>
      <c r="R9" s="7">
        <f t="shared" si="4"/>
        <v>0</v>
      </c>
    </row>
    <row r="10" spans="1:18" x14ac:dyDescent="0.2">
      <c r="A10" s="739" t="s">
        <v>65</v>
      </c>
      <c r="B10" s="740" t="str">
        <f>IFERROR(VLOOKUP(A10,NoviaFunds[],2,FALSE),"")</f>
        <v>Schroder Institutional Pacific I Acc in GB</v>
      </c>
      <c r="C10" s="741"/>
      <c r="D10" s="741"/>
      <c r="E10" s="742" t="str">
        <f>IFERROR(VLOOKUP(A10,NoviaFunds[],6,FALSE),"")</f>
        <v>Asia Pacific</v>
      </c>
      <c r="F10" s="743">
        <v>6.5000000000000002E-2</v>
      </c>
      <c r="G10" s="743">
        <v>4.8000000000000001E-2</v>
      </c>
      <c r="H10" s="753">
        <v>4.8000000000000001E-2</v>
      </c>
      <c r="I10" s="745">
        <v>4.8000000000000001E-2</v>
      </c>
      <c r="J10" s="754">
        <v>4.8000000000000001E-2</v>
      </c>
      <c r="M10" s="7"/>
      <c r="N10" s="7" t="s">
        <v>9528</v>
      </c>
      <c r="O10" s="7">
        <f t="shared" ca="1" si="1"/>
        <v>0.02</v>
      </c>
      <c r="P10" s="7">
        <f t="shared" si="2"/>
        <v>0.02</v>
      </c>
      <c r="Q10" s="7">
        <f t="shared" si="3"/>
        <v>0.02</v>
      </c>
      <c r="R10" s="7">
        <f t="shared" si="4"/>
        <v>0</v>
      </c>
    </row>
    <row r="11" spans="1:18" x14ac:dyDescent="0.2">
      <c r="A11" s="739" t="s">
        <v>52</v>
      </c>
      <c r="B11" s="740" t="str">
        <f>IFERROR(VLOOKUP(A11,NoviaFunds[],2,FALSE),"")</f>
        <v>Stewart Investors Asia Pacific Leaders Sustainability B Acc GBP in GB</v>
      </c>
      <c r="C11" s="741"/>
      <c r="D11" s="741"/>
      <c r="E11" s="742" t="str">
        <f>IFERROR(VLOOKUP(A11,NoviaFunds[],6,FALSE),"")</f>
        <v>Asia Pacific</v>
      </c>
      <c r="F11" s="743">
        <v>0.04</v>
      </c>
      <c r="G11" s="743">
        <v>0</v>
      </c>
      <c r="H11" s="747">
        <v>0.04</v>
      </c>
      <c r="I11" s="745">
        <v>0.04</v>
      </c>
      <c r="J11" s="752">
        <v>0</v>
      </c>
      <c r="M11" s="7"/>
      <c r="N11" s="7" t="s">
        <v>37</v>
      </c>
      <c r="O11" s="7">
        <f t="shared" ca="1" si="1"/>
        <v>0.06</v>
      </c>
      <c r="P11" s="7">
        <f t="shared" si="2"/>
        <v>0.06</v>
      </c>
      <c r="Q11" s="7">
        <f t="shared" si="3"/>
        <v>0.06</v>
      </c>
      <c r="R11" s="7">
        <f t="shared" si="4"/>
        <v>0</v>
      </c>
    </row>
    <row r="12" spans="1:18" x14ac:dyDescent="0.2">
      <c r="A12" s="739" t="s">
        <v>59</v>
      </c>
      <c r="B12" s="740" t="str">
        <f>IFERROR(VLOOKUP(A12,NoviaFunds[],2,FALSE),"")</f>
        <v>ASI Emerging Markets Income Equity Ret Platform 1 Acc GBP in GB</v>
      </c>
      <c r="C12" s="741"/>
      <c r="D12" s="741"/>
      <c r="E12" s="742" t="str">
        <f>IFERROR(VLOOKUP(A12,NoviaFunds[],6,FALSE),"")</f>
        <v>Emerging Markets</v>
      </c>
      <c r="F12" s="743">
        <v>7.0000000000000007E-2</v>
      </c>
      <c r="G12" s="743">
        <v>8.1000000000000003E-2</v>
      </c>
      <c r="H12" s="750">
        <v>7.0000000000000007E-2</v>
      </c>
      <c r="I12" s="748">
        <v>8.1000000000000003E-2</v>
      </c>
      <c r="J12" s="746">
        <v>8.1000000000000003E-2</v>
      </c>
      <c r="M12" s="7"/>
      <c r="N12" s="7" t="s">
        <v>45</v>
      </c>
      <c r="O12" s="7">
        <f t="shared" ca="1" si="1"/>
        <v>0</v>
      </c>
      <c r="P12" s="7">
        <f t="shared" si="2"/>
        <v>0</v>
      </c>
      <c r="Q12" s="7">
        <f t="shared" si="3"/>
        <v>0</v>
      </c>
      <c r="R12" s="7">
        <f t="shared" si="4"/>
        <v>0</v>
      </c>
    </row>
    <row r="13" spans="1:18" x14ac:dyDescent="0.2">
      <c r="A13" s="739" t="s">
        <v>53</v>
      </c>
      <c r="B13" s="740" t="str">
        <f>IFERROR(VLOOKUP(A13,NoviaFunds[],2,FALSE),"")</f>
        <v>Federated Hermes Global Emerging Markets F Acc</v>
      </c>
      <c r="C13" s="741"/>
      <c r="D13" s="741"/>
      <c r="E13" s="742" t="str">
        <f>IFERROR(VLOOKUP(A13,NoviaFunds[],6,FALSE),"")</f>
        <v>Emerging Markets</v>
      </c>
      <c r="F13" s="743">
        <v>7.0000000000000007E-2</v>
      </c>
      <c r="G13" s="743">
        <v>5.3999999999999999E-2</v>
      </c>
      <c r="H13" s="750">
        <v>7.0000000000000007E-2</v>
      </c>
      <c r="I13" s="749">
        <v>5.3999999999999999E-2</v>
      </c>
      <c r="J13" s="746">
        <v>5.3999999999999999E-2</v>
      </c>
      <c r="M13" s="7"/>
      <c r="N13" s="7" t="s">
        <v>38</v>
      </c>
      <c r="O13" s="7">
        <f t="shared" ca="1" si="1"/>
        <v>0</v>
      </c>
      <c r="P13" s="7">
        <f t="shared" si="2"/>
        <v>0</v>
      </c>
      <c r="Q13" s="7">
        <f t="shared" si="3"/>
        <v>0</v>
      </c>
      <c r="R13" s="7">
        <f t="shared" si="4"/>
        <v>0</v>
      </c>
    </row>
    <row r="14" spans="1:18" x14ac:dyDescent="0.2">
      <c r="A14" s="739" t="s">
        <v>66</v>
      </c>
      <c r="B14" s="740" t="str">
        <f>IFERROR(VLOOKUP(A14,NoviaFunds[],2,FALSE),"")</f>
        <v>JPM Emerging Markets Income C Acc in GB</v>
      </c>
      <c r="C14" s="741"/>
      <c r="D14" s="741"/>
      <c r="E14" s="742" t="str">
        <f>IFERROR(VLOOKUP(A14,NoviaFunds[],6,FALSE),"")</f>
        <v>Emerging Markets</v>
      </c>
      <c r="F14" s="743">
        <v>7.0000000000000007E-2</v>
      </c>
      <c r="G14" s="743">
        <v>8.1000000000000003E-2</v>
      </c>
      <c r="H14" s="750">
        <v>7.0000000000000007E-2</v>
      </c>
      <c r="I14" s="748">
        <v>8.1000000000000003E-2</v>
      </c>
      <c r="J14" s="746">
        <v>8.1000000000000003E-2</v>
      </c>
      <c r="K14" s="1"/>
      <c r="M14" s="7"/>
      <c r="N14" s="7" t="s">
        <v>49</v>
      </c>
      <c r="O14" s="7">
        <f t="shared" ca="1" si="1"/>
        <v>0</v>
      </c>
      <c r="P14" s="7">
        <f t="shared" si="2"/>
        <v>0</v>
      </c>
      <c r="Q14" s="7">
        <f t="shared" si="3"/>
        <v>0.05</v>
      </c>
      <c r="R14" s="7">
        <f t="shared" si="4"/>
        <v>0</v>
      </c>
    </row>
    <row r="15" spans="1:18" x14ac:dyDescent="0.2">
      <c r="A15" s="739" t="s">
        <v>67</v>
      </c>
      <c r="B15" s="740" t="str">
        <f>IFERROR(VLOOKUP(A15,NoviaFunds[],2,FALSE),"")</f>
        <v>UBS Global Emerging Markets Equity C Acc in GB</v>
      </c>
      <c r="C15" s="741"/>
      <c r="D15" s="741"/>
      <c r="E15" s="742" t="str">
        <f>IFERROR(VLOOKUP(A15,NoviaFunds[],6,FALSE),"")</f>
        <v>Emerging Markets</v>
      </c>
      <c r="F15" s="743">
        <v>7.0000000000000007E-2</v>
      </c>
      <c r="G15" s="743">
        <v>5.3999999999999999E-2</v>
      </c>
      <c r="H15" s="750">
        <v>7.0000000000000007E-2</v>
      </c>
      <c r="I15" s="749">
        <v>5.3999999999999999E-2</v>
      </c>
      <c r="J15" s="746">
        <v>5.3999999999999999E-2</v>
      </c>
      <c r="M15" s="7"/>
      <c r="N15" s="7" t="s">
        <v>47</v>
      </c>
      <c r="O15" s="7">
        <f t="shared" ca="1" si="1"/>
        <v>0</v>
      </c>
      <c r="P15" s="7">
        <f t="shared" si="2"/>
        <v>0</v>
      </c>
      <c r="Q15" s="7">
        <f t="shared" si="3"/>
        <v>0</v>
      </c>
      <c r="R15" s="7">
        <f t="shared" si="4"/>
        <v>0</v>
      </c>
    </row>
    <row r="16" spans="1:18" x14ac:dyDescent="0.2">
      <c r="A16" s="739" t="s">
        <v>54</v>
      </c>
      <c r="B16" s="740" t="str">
        <f>IFERROR(VLOOKUP(A16,NoviaFunds[],2,FALSE),"")</f>
        <v>BlackRock Continental European D Acc in GB</v>
      </c>
      <c r="C16" s="741"/>
      <c r="D16" s="741"/>
      <c r="E16" s="742" t="str">
        <f>IFERROR(VLOOKUP(A16,NoviaFunds[],6,FALSE),"")</f>
        <v>European Equities</v>
      </c>
      <c r="F16" s="743">
        <v>0.04</v>
      </c>
      <c r="G16" s="743">
        <v>0</v>
      </c>
      <c r="H16" s="750">
        <v>0.04</v>
      </c>
      <c r="I16" s="749">
        <v>0</v>
      </c>
      <c r="J16" s="746">
        <v>0</v>
      </c>
      <c r="M16" s="7"/>
      <c r="N16" s="7" t="s">
        <v>9530</v>
      </c>
      <c r="O16" s="7">
        <f t="shared" ca="1" si="1"/>
        <v>0</v>
      </c>
      <c r="P16" s="7">
        <f t="shared" si="2"/>
        <v>0</v>
      </c>
      <c r="Q16" s="7">
        <f t="shared" si="3"/>
        <v>0</v>
      </c>
      <c r="R16" s="7">
        <f t="shared" si="4"/>
        <v>0</v>
      </c>
    </row>
    <row r="17" spans="1:18" x14ac:dyDescent="0.2">
      <c r="A17" s="739" t="s">
        <v>3087</v>
      </c>
      <c r="B17" s="740" t="str">
        <f>IFERROR(VLOOKUP(A17,NoviaFunds[],2,FALSE),"")</f>
        <v>HSBC European Index C Acc in GB</v>
      </c>
      <c r="C17" s="741"/>
      <c r="D17" s="741"/>
      <c r="E17" s="742" t="str">
        <f>IFERROR(VLOOKUP(A17,NoviaFunds[],6,FALSE),"")</f>
        <v>European Equities</v>
      </c>
      <c r="F17" s="743">
        <v>0</v>
      </c>
      <c r="G17" s="743">
        <v>0.06</v>
      </c>
      <c r="H17" s="744">
        <v>0.02</v>
      </c>
      <c r="I17" s="748">
        <v>0.06</v>
      </c>
      <c r="J17" s="746">
        <v>0.06</v>
      </c>
      <c r="M17" s="7"/>
      <c r="N17" s="7" t="s">
        <v>32</v>
      </c>
      <c r="O17" s="7">
        <f t="shared" ca="1" si="1"/>
        <v>0.189</v>
      </c>
      <c r="P17" s="7">
        <f t="shared" si="2"/>
        <v>0.18</v>
      </c>
      <c r="Q17" s="7">
        <f t="shared" si="3"/>
        <v>0.18</v>
      </c>
      <c r="R17" s="7">
        <f t="shared" si="4"/>
        <v>0</v>
      </c>
    </row>
    <row r="18" spans="1:18" x14ac:dyDescent="0.2">
      <c r="A18" s="739" t="s">
        <v>3624</v>
      </c>
      <c r="B18" s="740" t="str">
        <f>IFERROR(VLOOKUP(A18,NoviaFunds[],2,FALSE),"")</f>
        <v>iShares Overseas Corporate Bond Index (UK) D Acc in GB</v>
      </c>
      <c r="C18" s="741"/>
      <c r="D18" s="741"/>
      <c r="E18" s="742" t="str">
        <f>IFERROR(VLOOKUP(A18,NoviaFunds[],6,FALSE),"")</f>
        <v>Global Investment Grade</v>
      </c>
      <c r="F18" s="743">
        <v>0</v>
      </c>
      <c r="G18" s="743">
        <v>0.02</v>
      </c>
      <c r="H18" s="744">
        <v>0.02</v>
      </c>
      <c r="I18" s="745">
        <v>0.02</v>
      </c>
      <c r="J18" s="746">
        <v>0.02</v>
      </c>
      <c r="M18" s="7"/>
      <c r="N18" s="7" t="s">
        <v>9529</v>
      </c>
      <c r="O18" s="7">
        <f t="shared" ca="1" si="1"/>
        <v>0</v>
      </c>
      <c r="P18" s="7">
        <f t="shared" si="2"/>
        <v>0</v>
      </c>
      <c r="Q18" s="7">
        <f t="shared" si="3"/>
        <v>0</v>
      </c>
      <c r="R18" s="7">
        <f t="shared" si="4"/>
        <v>0</v>
      </c>
    </row>
    <row r="19" spans="1:18" x14ac:dyDescent="0.2">
      <c r="A19" s="739" t="s">
        <v>56</v>
      </c>
      <c r="B19" s="740" t="str">
        <f>IFERROR(VLOOKUP(A19,NoviaFunds[],2,FALSE),"")</f>
        <v>Baillie Gifford Japanese B Acc in GB**</v>
      </c>
      <c r="C19" s="741"/>
      <c r="D19" s="741"/>
      <c r="E19" s="742" t="str">
        <f>IFERROR(VLOOKUP(A19,NoviaFunds[],6,FALSE),"")</f>
        <v>Japanese Equities</v>
      </c>
      <c r="F19" s="743">
        <v>0.04</v>
      </c>
      <c r="G19" s="743">
        <v>0.06</v>
      </c>
      <c r="H19" s="744">
        <v>0.06</v>
      </c>
      <c r="I19" s="745">
        <v>0.06</v>
      </c>
      <c r="J19" s="746">
        <v>0.06</v>
      </c>
      <c r="M19" s="7"/>
      <c r="N19" s="7" t="s">
        <v>33</v>
      </c>
      <c r="O19" s="7">
        <f t="shared" ca="1" si="1"/>
        <v>0.09</v>
      </c>
      <c r="P19" s="7">
        <f t="shared" si="2"/>
        <v>0.09</v>
      </c>
      <c r="Q19" s="7">
        <f t="shared" si="3"/>
        <v>0.1</v>
      </c>
      <c r="R19" s="7">
        <f t="shared" si="4"/>
        <v>0</v>
      </c>
    </row>
    <row r="20" spans="1:18" x14ac:dyDescent="0.2">
      <c r="A20" s="739" t="s">
        <v>68</v>
      </c>
      <c r="B20" s="740" t="str">
        <f>IFERROR(VLOOKUP(A20,NoviaFunds[],2,FALSE),"")</f>
        <v>JPM Japan C Hedged Acc in GB</v>
      </c>
      <c r="C20" s="741"/>
      <c r="D20" s="741"/>
      <c r="E20" s="742" t="str">
        <f>IFERROR(VLOOKUP(A20,NoviaFunds[],6,FALSE),"")</f>
        <v>Japanese Equities</v>
      </c>
      <c r="F20" s="743">
        <v>0.04</v>
      </c>
      <c r="G20" s="743">
        <v>0</v>
      </c>
      <c r="H20" s="753">
        <v>0</v>
      </c>
      <c r="I20" s="745">
        <v>0</v>
      </c>
      <c r="J20" s="746">
        <v>0</v>
      </c>
      <c r="M20" s="7"/>
      <c r="N20" s="7"/>
      <c r="O20" s="7"/>
      <c r="P20" s="7"/>
    </row>
    <row r="21" spans="1:18" x14ac:dyDescent="0.2">
      <c r="A21" s="739" t="s">
        <v>19</v>
      </c>
      <c r="B21" s="740" t="str">
        <f>IFERROR(VLOOKUP(A21,NoviaFunds[],2,FALSE),"")</f>
        <v>LF Blue Whale Growth I Acc GBP in GB</v>
      </c>
      <c r="C21" s="741"/>
      <c r="D21" s="741"/>
      <c r="E21" s="742" t="str">
        <f>IFERROR(VLOOKUP(A21,NoviaFunds[],6,FALSE),"")</f>
        <v>Other Equities</v>
      </c>
      <c r="F21" s="743">
        <v>6.5000000000000002E-2</v>
      </c>
      <c r="G21" s="743">
        <v>0</v>
      </c>
      <c r="H21" s="753">
        <v>0</v>
      </c>
      <c r="I21" s="745">
        <v>0</v>
      </c>
      <c r="J21" s="746">
        <v>0</v>
      </c>
      <c r="M21" s="7"/>
      <c r="N21" s="7"/>
      <c r="O21" s="7"/>
      <c r="P21" s="7"/>
    </row>
    <row r="22" spans="1:18" x14ac:dyDescent="0.2">
      <c r="A22" s="739" t="s">
        <v>9540</v>
      </c>
      <c r="B22" s="740" t="str">
        <f>IFERROR(VLOOKUP(A22,NoviaFunds[],2,FALSE),"")</f>
        <v>iShares MSCI Target UK Real Estate UCITS ETF GBP</v>
      </c>
      <c r="C22" s="741"/>
      <c r="D22" s="741"/>
      <c r="E22" s="742" t="str">
        <f>IFERROR(VLOOKUP(A22,NoviaFunds[],6,FALSE),"")</f>
        <v>Property</v>
      </c>
      <c r="F22" s="743">
        <v>0</v>
      </c>
      <c r="G22" s="743">
        <v>0.05</v>
      </c>
      <c r="H22" s="750">
        <v>0</v>
      </c>
      <c r="I22" s="750">
        <v>0</v>
      </c>
      <c r="J22" s="755">
        <v>0.05</v>
      </c>
      <c r="M22" s="7"/>
      <c r="N22" s="7"/>
      <c r="O22" s="7"/>
      <c r="P22" s="7"/>
    </row>
    <row r="23" spans="1:18" x14ac:dyDescent="0.2">
      <c r="A23" s="739" t="s">
        <v>20</v>
      </c>
      <c r="B23" s="740" t="str">
        <f>IFERROR(VLOOKUP(A23,NoviaFunds[],2,FALSE),"")</f>
        <v>Jupiter Gold &amp; Silver I Acc</v>
      </c>
      <c r="C23" s="741"/>
      <c r="D23" s="741"/>
      <c r="E23" s="742" t="str">
        <f>IFERROR(VLOOKUP(A23,NoviaFunds[],6,FALSE),"")</f>
        <v>Specialist</v>
      </c>
      <c r="F23" s="743">
        <v>0.05</v>
      </c>
      <c r="G23" s="743">
        <v>0</v>
      </c>
      <c r="H23" s="753">
        <v>0</v>
      </c>
      <c r="I23" s="745">
        <v>0</v>
      </c>
      <c r="J23" s="746">
        <v>0</v>
      </c>
      <c r="M23" s="7"/>
      <c r="N23" s="7"/>
      <c r="O23" s="7">
        <f ca="1">SUM(O5,O9,O10,O12,O16,O18)</f>
        <v>0.02</v>
      </c>
      <c r="P23" s="7">
        <f t="shared" ref="P23:R23" si="5">SUM(P5,P9,P10,P12,P16,P18)</f>
        <v>0.02</v>
      </c>
      <c r="Q23" s="7">
        <f t="shared" si="5"/>
        <v>0.02</v>
      </c>
      <c r="R23" s="7">
        <f t="shared" si="5"/>
        <v>0</v>
      </c>
    </row>
    <row r="24" spans="1:18" x14ac:dyDescent="0.2">
      <c r="A24" s="739" t="s">
        <v>23</v>
      </c>
      <c r="B24" s="740" t="str">
        <f>IFERROR(VLOOKUP(A24,NoviaFunds[],2,FALSE),"")</f>
        <v>Allianz UK Listed Equity Income E Inc GBP</v>
      </c>
      <c r="C24" s="741"/>
      <c r="D24" s="741"/>
      <c r="E24" s="742" t="str">
        <f>IFERROR(VLOOKUP(A24,NoviaFunds[],6,FALSE),"")</f>
        <v>UK Equities</v>
      </c>
      <c r="F24" s="743">
        <v>0.04</v>
      </c>
      <c r="G24" s="743">
        <v>4.4999999999999998E-2</v>
      </c>
      <c r="H24" s="744">
        <v>4.4999999999999998E-2</v>
      </c>
      <c r="I24" s="745">
        <v>4.4999999999999998E-2</v>
      </c>
      <c r="J24" s="746">
        <v>4.4999999999999998E-2</v>
      </c>
      <c r="M24" s="7"/>
      <c r="N24" s="7"/>
      <c r="O24" s="7">
        <f ca="1">SUM(O6,O7,O8,O11,O13,O17,O19)</f>
        <v>0.94500000000000017</v>
      </c>
      <c r="P24" s="7">
        <f t="shared" ref="P24:Q24" si="6">SUM(P6,P7,P8,P11,P13,P17,P19)</f>
        <v>0.93299999999999994</v>
      </c>
      <c r="Q24" s="7">
        <f t="shared" si="6"/>
        <v>0.91</v>
      </c>
      <c r="R24" s="7">
        <f>SUM(R6,R7,R8,R11,R13,R17,R19)</f>
        <v>0</v>
      </c>
    </row>
    <row r="25" spans="1:18" x14ac:dyDescent="0.2">
      <c r="A25" s="739" t="s">
        <v>25</v>
      </c>
      <c r="B25" s="740" t="str">
        <f>IFERROR(VLOOKUP(A25,NoviaFunds[],2,FALSE),"")</f>
        <v>FTF Franklin UK Equity Income W Acc TR in GB</v>
      </c>
      <c r="C25" s="741"/>
      <c r="D25" s="741"/>
      <c r="E25" s="742" t="str">
        <f>IFERROR(VLOOKUP(A25,NoviaFunds[],6,FALSE),"")</f>
        <v>UK Equities</v>
      </c>
      <c r="F25" s="743">
        <v>0</v>
      </c>
      <c r="G25" s="743">
        <v>4.4999999999999998E-2</v>
      </c>
      <c r="H25" s="744">
        <v>4.4999999999999998E-2</v>
      </c>
      <c r="I25" s="756">
        <v>4.4999999999999998E-2</v>
      </c>
      <c r="J25" s="746">
        <v>4.4999999999999998E-2</v>
      </c>
      <c r="M25" s="7"/>
      <c r="N25" s="7"/>
      <c r="O25" s="7"/>
      <c r="P25" s="7"/>
    </row>
    <row r="26" spans="1:18" x14ac:dyDescent="0.2">
      <c r="A26" s="739" t="s">
        <v>22</v>
      </c>
      <c r="B26" s="740" t="str">
        <f>IFERROR(VLOOKUP(A26,NoviaFunds[],2,FALSE),"")</f>
        <v>Slater Growth P Acc in GB</v>
      </c>
      <c r="C26" s="741"/>
      <c r="D26" s="741"/>
      <c r="E26" s="742" t="str">
        <f>IFERROR(VLOOKUP(A26,NoviaFunds[],6,FALSE),"")</f>
        <v>UK Equities</v>
      </c>
      <c r="F26" s="743">
        <v>4.4999999999999998E-2</v>
      </c>
      <c r="G26" s="743">
        <v>3.5999999999999997E-2</v>
      </c>
      <c r="H26" s="750">
        <v>4.4999999999999998E-2</v>
      </c>
      <c r="I26" s="749">
        <v>3.5999999999999997E-2</v>
      </c>
      <c r="J26" s="746">
        <v>3.5999999999999997E-2</v>
      </c>
      <c r="M26" s="7"/>
      <c r="N26" s="7"/>
      <c r="O26" s="7"/>
      <c r="P26" s="7"/>
    </row>
    <row r="27" spans="1:18" x14ac:dyDescent="0.2">
      <c r="A27" s="739" t="s">
        <v>8389</v>
      </c>
      <c r="B27" s="740" t="str">
        <f>IFERROR(VLOOKUP(A27,NoviaFunds[],2,FALSE),"")</f>
        <v>Vanguard FTSE U.K. All Share Index Unit Trust A Acc GBP in GB</v>
      </c>
      <c r="C27" s="741"/>
      <c r="D27" s="741"/>
      <c r="E27" s="742" t="str">
        <f>IFERROR(VLOOKUP(A27,NoviaFunds[],6,FALSE),"")</f>
        <v>UK Equities</v>
      </c>
      <c r="F27" s="743">
        <v>0</v>
      </c>
      <c r="G27" s="743">
        <v>5.3999999999999999E-2</v>
      </c>
      <c r="H27" s="744">
        <v>5.3999999999999999E-2</v>
      </c>
      <c r="I27" s="745">
        <v>5.3999999999999999E-2</v>
      </c>
      <c r="J27" s="746">
        <v>5.3999999999999999E-2</v>
      </c>
      <c r="M27" s="7"/>
      <c r="N27" s="7"/>
      <c r="O27" s="7"/>
      <c r="P27" s="7"/>
    </row>
    <row r="28" spans="1:18" x14ac:dyDescent="0.2">
      <c r="A28" s="739" t="s">
        <v>62</v>
      </c>
      <c r="B28" s="740" t="str">
        <f>IFERROR(VLOOKUP(A28,NoviaFunds[],2,FALSE),"")</f>
        <v>Artemis US Smaller Companies I Acc GBP in GB</v>
      </c>
      <c r="C28" s="741"/>
      <c r="D28" s="741"/>
      <c r="E28" s="742" t="str">
        <f>IFERROR(VLOOKUP(A28,NoviaFunds[],6,FALSE),"")</f>
        <v>USA Equities</v>
      </c>
      <c r="F28" s="743">
        <v>0.04</v>
      </c>
      <c r="G28" s="743">
        <v>2.5000000000000001E-2</v>
      </c>
      <c r="H28" s="750">
        <v>0.04</v>
      </c>
      <c r="I28" s="745">
        <v>0.04</v>
      </c>
      <c r="J28" s="752">
        <v>2.5000000000000001E-2</v>
      </c>
      <c r="M28" s="7"/>
      <c r="N28" s="7"/>
      <c r="O28" s="7"/>
      <c r="P28" s="7"/>
    </row>
    <row r="29" spans="1:18" x14ac:dyDescent="0.2">
      <c r="A29" s="739" t="s">
        <v>2706</v>
      </c>
      <c r="B29" s="740" t="str">
        <f>IFERROR(VLOOKUP(A29,NoviaFunds[],2,FALSE),"")</f>
        <v>Fidelity Index US P in GB</v>
      </c>
      <c r="C29" s="741"/>
      <c r="D29" s="741"/>
      <c r="E29" s="742" t="str">
        <f>IFERROR(VLOOKUP(A29,NoviaFunds[],6,FALSE),"")</f>
        <v>USA Equities</v>
      </c>
      <c r="F29" s="743">
        <v>0</v>
      </c>
      <c r="G29" s="743">
        <v>0.05</v>
      </c>
      <c r="H29" s="744">
        <v>0.05</v>
      </c>
      <c r="I29" s="745">
        <v>0.05</v>
      </c>
      <c r="J29" s="746">
        <v>0.05</v>
      </c>
      <c r="M29" s="7"/>
      <c r="N29" s="7"/>
      <c r="O29" s="7"/>
      <c r="P29" s="7"/>
    </row>
    <row r="30" spans="1:18" x14ac:dyDescent="0.2">
      <c r="A30" s="739" t="s">
        <v>60</v>
      </c>
      <c r="B30" s="740" t="str">
        <f>IFERROR(VLOOKUP(A30,NoviaFunds[],2,FALSE),"")</f>
        <v>Vanguard US Equity Index Acc GBP in GB</v>
      </c>
      <c r="C30" s="741"/>
      <c r="D30" s="741"/>
      <c r="E30" s="742" t="str">
        <f>IFERROR(VLOOKUP(A30,NoviaFunds[],6,FALSE),"")</f>
        <v>USA Equities</v>
      </c>
      <c r="F30" s="743">
        <v>0.04</v>
      </c>
      <c r="G30" s="743">
        <v>0</v>
      </c>
      <c r="H30" s="753">
        <v>0</v>
      </c>
      <c r="I30" s="745">
        <v>0</v>
      </c>
      <c r="J30" s="746">
        <v>0</v>
      </c>
      <c r="M30" s="7"/>
      <c r="N30" s="7"/>
      <c r="O30" s="7"/>
      <c r="P30" s="7"/>
    </row>
    <row r="31" spans="1:18" x14ac:dyDescent="0.2">
      <c r="A31" s="739" t="s">
        <v>9539</v>
      </c>
      <c r="B31" s="740" t="str">
        <f>IFERROR(VLOOKUP(A31,NoviaFunds[],2,FALSE),"")</f>
        <v>Xtrackers S&amp;P 500 Equal Weight UCITS ETF</v>
      </c>
      <c r="C31" s="741"/>
      <c r="D31" s="741"/>
      <c r="E31" s="742" t="str">
        <f>IFERROR(VLOOKUP(A31,NoviaFunds[],6,FALSE),"")</f>
        <v>USA Equities</v>
      </c>
      <c r="F31" s="743">
        <v>0</v>
      </c>
      <c r="G31" s="743">
        <v>2.5000000000000001E-2</v>
      </c>
      <c r="H31" s="750">
        <v>0</v>
      </c>
      <c r="I31" s="745">
        <v>0</v>
      </c>
      <c r="J31" s="751">
        <v>2.5000000000000001E-2</v>
      </c>
      <c r="M31" s="7"/>
      <c r="N31" s="7"/>
      <c r="O31" s="7"/>
      <c r="P31" s="7"/>
    </row>
    <row r="32" spans="1:18" x14ac:dyDescent="0.2">
      <c r="A32" s="739"/>
      <c r="B32" s="740" t="str">
        <f>IFERROR(VLOOKUP(A32,NoviaFunds[],2,FALSE),"")</f>
        <v/>
      </c>
      <c r="C32" s="741"/>
      <c r="D32" s="741"/>
      <c r="E32" s="742" t="str">
        <f>IFERROR(VLOOKUP(A32,NoviaFunds[],6,FALSE),"")</f>
        <v/>
      </c>
      <c r="F32" s="743"/>
      <c r="G32" s="743"/>
      <c r="H32" s="750" t="str">
        <f t="shared" ref="H32:H39" si="7">IF(G32="","",G32-F32)</f>
        <v/>
      </c>
      <c r="I32" s="745" t="str">
        <f>IFERROR(VLOOKUP(A32,NoviaFunds[],4,FALSE),"")</f>
        <v/>
      </c>
      <c r="J32" s="746" t="str">
        <f>IF(G32="","",IFERROR(VLOOKUP(A32,NoviaFunds[],4,FALSE),""))</f>
        <v/>
      </c>
      <c r="M32" s="7"/>
      <c r="N32" s="7"/>
      <c r="O32" s="7"/>
      <c r="P32" s="7"/>
    </row>
    <row r="33" spans="1:16" x14ac:dyDescent="0.2">
      <c r="A33" s="739"/>
      <c r="B33" s="740" t="str">
        <f>IFERROR(VLOOKUP(A33,NoviaFunds[],2,FALSE),"")</f>
        <v/>
      </c>
      <c r="C33" s="741"/>
      <c r="D33" s="741"/>
      <c r="E33" s="742" t="str">
        <f>IFERROR(VLOOKUP(A33,NoviaFunds[],6,FALSE),"")</f>
        <v/>
      </c>
      <c r="F33" s="743"/>
      <c r="G33" s="743"/>
      <c r="H33" s="750" t="str">
        <f t="shared" si="7"/>
        <v/>
      </c>
      <c r="I33" s="745" t="str">
        <f>IFERROR(VLOOKUP(A33,NoviaFunds[],4,FALSE),"")</f>
        <v/>
      </c>
      <c r="J33" s="746" t="str">
        <f>IF(G33="","",IFERROR(VLOOKUP(A33,NoviaFunds[],4,FALSE),""))</f>
        <v/>
      </c>
      <c r="M33" s="7"/>
      <c r="N33" s="7"/>
      <c r="O33" s="7"/>
      <c r="P33" s="7"/>
    </row>
    <row r="34" spans="1:16" x14ac:dyDescent="0.2">
      <c r="A34" s="739"/>
      <c r="B34" s="740" t="str">
        <f>IFERROR(VLOOKUP(A34,NoviaFunds[],2,FALSE),"")</f>
        <v/>
      </c>
      <c r="C34" s="741"/>
      <c r="D34" s="741"/>
      <c r="E34" s="742" t="str">
        <f>IFERROR(VLOOKUP(A34,NoviaFunds[],6,FALSE),"")</f>
        <v/>
      </c>
      <c r="F34" s="743"/>
      <c r="G34" s="743"/>
      <c r="H34" s="750" t="str">
        <f t="shared" si="7"/>
        <v/>
      </c>
      <c r="I34" s="745" t="str">
        <f>IFERROR(VLOOKUP(A34,NoviaFunds[],4,FALSE),"")</f>
        <v/>
      </c>
      <c r="J34" s="746" t="str">
        <f>IF(G34="","",IFERROR(VLOOKUP(A34,NoviaFunds[],4,FALSE),""))</f>
        <v/>
      </c>
      <c r="M34" s="7"/>
      <c r="N34" s="7"/>
      <c r="O34" s="7"/>
      <c r="P34" s="7"/>
    </row>
    <row r="35" spans="1:16" x14ac:dyDescent="0.2">
      <c r="A35" s="739"/>
      <c r="B35" s="740" t="str">
        <f>IFERROR(VLOOKUP(A35,NoviaFunds[],2,FALSE),"")</f>
        <v/>
      </c>
      <c r="C35" s="741"/>
      <c r="D35" s="741"/>
      <c r="E35" s="742" t="str">
        <f>IFERROR(VLOOKUP(A35,NoviaFunds[],6,FALSE),"")</f>
        <v/>
      </c>
      <c r="F35" s="743"/>
      <c r="G35" s="743"/>
      <c r="H35" s="750" t="str">
        <f t="shared" si="7"/>
        <v/>
      </c>
      <c r="I35" s="745" t="str">
        <f>IFERROR(VLOOKUP(A35,NoviaFunds[],4,FALSE),"")</f>
        <v/>
      </c>
      <c r="J35" s="746" t="str">
        <f>IF(G35="","",IFERROR(VLOOKUP(A35,NoviaFunds[],4,FALSE),""))</f>
        <v/>
      </c>
    </row>
    <row r="36" spans="1:16" x14ac:dyDescent="0.2">
      <c r="A36" s="739"/>
      <c r="B36" s="740" t="str">
        <f>IFERROR(VLOOKUP(A36,NoviaFunds[],2,FALSE),"")</f>
        <v/>
      </c>
      <c r="C36" s="741"/>
      <c r="D36" s="741"/>
      <c r="E36" s="742" t="str">
        <f>IFERROR(VLOOKUP(A36,NoviaFunds[],6,FALSE),"")</f>
        <v/>
      </c>
      <c r="F36" s="743"/>
      <c r="G36" s="743"/>
      <c r="H36" s="750" t="str">
        <f t="shared" si="7"/>
        <v/>
      </c>
      <c r="I36" s="745" t="str">
        <f>IFERROR(VLOOKUP(A36,NoviaFunds[],4,FALSE),"")</f>
        <v/>
      </c>
      <c r="J36" s="746" t="str">
        <f>IF(G36="","",IFERROR(VLOOKUP(A36,NoviaFunds[],4,FALSE),""))</f>
        <v/>
      </c>
    </row>
    <row r="37" spans="1:16" x14ac:dyDescent="0.2">
      <c r="A37" s="739"/>
      <c r="B37" s="740" t="str">
        <f>IFERROR(VLOOKUP(A37,NoviaFunds[],2,FALSE),"")</f>
        <v/>
      </c>
      <c r="C37" s="741"/>
      <c r="D37" s="741"/>
      <c r="E37" s="742" t="str">
        <f>IFERROR(VLOOKUP(A37,NoviaFunds[],6,FALSE),"")</f>
        <v/>
      </c>
      <c r="F37" s="743"/>
      <c r="G37" s="743"/>
      <c r="H37" s="750" t="str">
        <f t="shared" si="7"/>
        <v/>
      </c>
      <c r="I37" s="745" t="str">
        <f>IFERROR(VLOOKUP(A37,NoviaFunds[],4,FALSE),"")</f>
        <v/>
      </c>
      <c r="J37" s="746" t="str">
        <f>IF(G37="","",IFERROR(VLOOKUP(A37,NoviaFunds[],4,FALSE),""))</f>
        <v/>
      </c>
    </row>
    <row r="38" spans="1:16" x14ac:dyDescent="0.2">
      <c r="A38" s="739"/>
      <c r="B38" s="740" t="str">
        <f>IFERROR(VLOOKUP(A38,NoviaFunds[],2,FALSE),"")</f>
        <v/>
      </c>
      <c r="C38" s="741"/>
      <c r="D38" s="741"/>
      <c r="E38" s="742" t="str">
        <f>IFERROR(VLOOKUP(A38,NoviaFunds[],6,FALSE),"")</f>
        <v/>
      </c>
      <c r="F38" s="743"/>
      <c r="G38" s="743"/>
      <c r="H38" s="750" t="str">
        <f t="shared" si="7"/>
        <v/>
      </c>
      <c r="I38" s="745" t="str">
        <f>IFERROR(VLOOKUP(A38,NoviaFunds[],4,FALSE),"")</f>
        <v/>
      </c>
      <c r="J38" s="746" t="str">
        <f>IF(G38="","",IFERROR(VLOOKUP(A38,NoviaFunds[],4,FALSE),""))</f>
        <v/>
      </c>
    </row>
    <row r="39" spans="1:16" x14ac:dyDescent="0.2">
      <c r="A39" s="739"/>
      <c r="B39" s="740" t="str">
        <f>IFERROR(VLOOKUP(A39,NoviaFunds[],2,FALSE),"")</f>
        <v/>
      </c>
      <c r="C39" s="741"/>
      <c r="D39" s="741"/>
      <c r="E39" s="742" t="str">
        <f>IFERROR(VLOOKUP(A39,NoviaFunds[],6,FALSE),"")</f>
        <v/>
      </c>
      <c r="F39" s="743"/>
      <c r="G39" s="743"/>
      <c r="H39" s="750" t="str">
        <f t="shared" si="7"/>
        <v/>
      </c>
      <c r="I39" s="745" t="str">
        <f>IFERROR(VLOOKUP(A39,NoviaFunds[],4,FALSE),"")</f>
        <v/>
      </c>
      <c r="J39" s="746" t="str">
        <f>IF(G39="","",IFERROR(VLOOKUP(A39,NoviaFunds[],4,FALSE),""))</f>
        <v/>
      </c>
    </row>
    <row r="40" spans="1:16" ht="16.5" thickBot="1" x14ac:dyDescent="0.3">
      <c r="A40" s="757"/>
      <c r="B40" s="758"/>
      <c r="C40" s="758"/>
      <c r="D40" s="758"/>
      <c r="E40" s="759"/>
      <c r="F40" s="760">
        <f>SUM(F4:F39)</f>
        <v>1.0000000000000002</v>
      </c>
      <c r="G40" s="760">
        <f>SUM(G4:G39)</f>
        <v>1.0000000000000004</v>
      </c>
      <c r="H40" s="760">
        <f t="shared" ref="H40:J40" si="8">SUM(H4:H39)</f>
        <v>1.0000000000000002</v>
      </c>
      <c r="I40" s="760">
        <f t="shared" si="8"/>
        <v>1.0000000000000002</v>
      </c>
      <c r="J40" s="761">
        <f t="shared" si="8"/>
        <v>1.0000000000000004</v>
      </c>
    </row>
    <row r="41" spans="1:16" ht="15" thickBot="1" x14ac:dyDescent="0.25">
      <c r="A41" s="191"/>
      <c r="B41" s="161"/>
      <c r="C41" s="161"/>
      <c r="D41" s="161"/>
      <c r="E41" s="162"/>
      <c r="F41" s="163"/>
      <c r="G41" s="164"/>
      <c r="H41" s="164"/>
      <c r="I41" s="162"/>
      <c r="J41" s="192"/>
    </row>
    <row r="42" spans="1:16" ht="30.75" thickTop="1" x14ac:dyDescent="0.2">
      <c r="A42" s="386" t="s">
        <v>5</v>
      </c>
      <c r="B42" s="387" t="s">
        <v>26</v>
      </c>
      <c r="C42" s="387" t="s">
        <v>27</v>
      </c>
      <c r="D42" s="388" t="s">
        <v>28</v>
      </c>
      <c r="E42" s="388" t="s">
        <v>9555</v>
      </c>
      <c r="F42" s="389" t="s">
        <v>30</v>
      </c>
      <c r="G42" s="390" t="s">
        <v>9572</v>
      </c>
      <c r="H42" s="390" t="s">
        <v>9573</v>
      </c>
      <c r="I42" s="389" t="s">
        <v>30</v>
      </c>
      <c r="J42" s="391"/>
    </row>
    <row r="43" spans="1:16" x14ac:dyDescent="0.2">
      <c r="A43" s="392" t="s">
        <v>32</v>
      </c>
      <c r="B43" s="393">
        <f>MAX(0,IF(D43&lt;10%,D43-3%,IF(AND(D43&gt;=10%,D43&lt;20%),D43-5%,D43-8%)))</f>
        <v>0.13</v>
      </c>
      <c r="C43" s="393">
        <f>IF(D43&lt;10%,D43+3%,IF(AND(D43&gt;=10%,D43&lt;20%),D43+5%,D43+8%))</f>
        <v>0.22999999999999998</v>
      </c>
      <c r="D43" s="412">
        <f>VLOOKUP(A43,'Asset Allocations'!A:M,12,FALSE)</f>
        <v>0.18</v>
      </c>
      <c r="E43" s="414">
        <f>VLOOKUP(A43,'Asset Allocations'!A:M,13,FALSE)</f>
        <v>0.18</v>
      </c>
      <c r="F43" s="394">
        <f>IFERROR(E43-D43,"")</f>
        <v>0</v>
      </c>
      <c r="G43" s="579">
        <f>IF(SUMIF($E$4:$E$38,$A43,$F$4:$F$38)=0,0,SUMIF($E$4:$E$38,$A43,$F$4:$F$38))</f>
        <v>8.4999999999999992E-2</v>
      </c>
      <c r="H43" s="364">
        <f>IF(SUMIF($E$4:$E$38,$A43,$G$4:$G$38)=0,0,SUMIF($E$4:$E$38,$A43,$G$4:$G$38))</f>
        <v>0.18</v>
      </c>
      <c r="I43" s="395">
        <f>IFERROR(H43-D43,"")</f>
        <v>0</v>
      </c>
      <c r="J43" s="396"/>
    </row>
    <row r="44" spans="1:16" x14ac:dyDescent="0.2">
      <c r="A44" s="392" t="s">
        <v>33</v>
      </c>
      <c r="B44" s="393">
        <f t="shared" ref="B44:B49" si="9">MAX(0,IF(D44&lt;10%,D44-3%,IF(AND(D44&gt;=10%,D44&lt;20%),D44-5%,D44-8%)))</f>
        <v>0.05</v>
      </c>
      <c r="C44" s="393">
        <f t="shared" ref="C44:C49" si="10">IF(D44&lt;10%,D44+3%,IF(AND(D44&gt;=10%,D44&lt;20%),D44+5%,D44+8%))</f>
        <v>0.15000000000000002</v>
      </c>
      <c r="D44" s="412">
        <f>VLOOKUP(A44,'Asset Allocations'!A:M,12,FALSE)</f>
        <v>0.1</v>
      </c>
      <c r="E44" s="414">
        <f>VLOOKUP(A44,'Asset Allocations'!A:M,13,FALSE)</f>
        <v>0.1</v>
      </c>
      <c r="F44" s="394">
        <f t="shared" ref="F44:F64" si="11">IFERROR(E44-D44,"")</f>
        <v>0</v>
      </c>
      <c r="G44" s="606">
        <f t="shared" ref="G44:G63" si="12">IF(SUMIF($E$4:$E$38,$A44,$F$4:$F$38)=0,0,SUMIF($E$4:$E$38,$A44,$F$4:$F$38))</f>
        <v>0.08</v>
      </c>
      <c r="H44" s="364">
        <f t="shared" ref="H44:H63" si="13">IF(SUMIF($E$4:$E$38,$A44,$G$4:$G$38)=0,0,SUMIF($E$4:$E$38,$A44,$G$4:$G$38))</f>
        <v>0.1</v>
      </c>
      <c r="I44" s="395">
        <f>IFERROR(H44-D44,"")</f>
        <v>0</v>
      </c>
      <c r="J44" s="396"/>
    </row>
    <row r="45" spans="1:16" x14ac:dyDescent="0.2">
      <c r="A45" s="392" t="s">
        <v>34</v>
      </c>
      <c r="B45" s="393">
        <f t="shared" si="9"/>
        <v>0.03</v>
      </c>
      <c r="C45" s="393">
        <f t="shared" si="10"/>
        <v>0.09</v>
      </c>
      <c r="D45" s="412">
        <f>VLOOKUP(A45,'Asset Allocations'!A:M,12,FALSE)</f>
        <v>0.06</v>
      </c>
      <c r="E45" s="414">
        <f>VLOOKUP(A45,'Asset Allocations'!A:M,13,FALSE)</f>
        <v>0.06</v>
      </c>
      <c r="F45" s="394">
        <f t="shared" si="11"/>
        <v>0</v>
      </c>
      <c r="G45" s="606">
        <f t="shared" si="12"/>
        <v>0.04</v>
      </c>
      <c r="H45" s="364">
        <f t="shared" si="13"/>
        <v>0.06</v>
      </c>
      <c r="I45" s="395">
        <f t="shared" ref="I45:I63" si="14">IFERROR(H45-D45,"")</f>
        <v>0</v>
      </c>
      <c r="J45" s="396"/>
    </row>
    <row r="46" spans="1:16" x14ac:dyDescent="0.2">
      <c r="A46" s="392" t="s">
        <v>35</v>
      </c>
      <c r="B46" s="393">
        <f t="shared" si="9"/>
        <v>0.15999999999999998</v>
      </c>
      <c r="C46" s="393">
        <f t="shared" si="10"/>
        <v>0.32</v>
      </c>
      <c r="D46" s="412">
        <f>VLOOKUP(A46,'Asset Allocations'!A:M,12,FALSE)</f>
        <v>0.24</v>
      </c>
      <c r="E46" s="414">
        <f>VLOOKUP(A46,'Asset Allocations'!A:M,13,FALSE)</f>
        <v>0.24</v>
      </c>
      <c r="F46" s="394">
        <f t="shared" si="11"/>
        <v>0</v>
      </c>
      <c r="G46" s="606">
        <f t="shared" si="12"/>
        <v>0.3</v>
      </c>
      <c r="H46" s="364">
        <f t="shared" si="13"/>
        <v>0.24</v>
      </c>
      <c r="I46" s="395">
        <f t="shared" si="14"/>
        <v>0</v>
      </c>
      <c r="J46" s="396"/>
    </row>
    <row r="47" spans="1:16" x14ac:dyDescent="0.2">
      <c r="A47" s="392" t="s">
        <v>36</v>
      </c>
      <c r="B47" s="393">
        <f t="shared" si="9"/>
        <v>0.19</v>
      </c>
      <c r="C47" s="393">
        <f t="shared" si="10"/>
        <v>0.35000000000000003</v>
      </c>
      <c r="D47" s="412">
        <f>VLOOKUP(A47,'Asset Allocations'!A:M,12,FALSE)</f>
        <v>0.27</v>
      </c>
      <c r="E47" s="414">
        <f>VLOOKUP(A47,'Asset Allocations'!A:M,13,FALSE)</f>
        <v>0.27</v>
      </c>
      <c r="F47" s="394">
        <f t="shared" si="11"/>
        <v>0</v>
      </c>
      <c r="G47" s="606">
        <f t="shared" si="12"/>
        <v>0.28000000000000003</v>
      </c>
      <c r="H47" s="364">
        <f t="shared" si="13"/>
        <v>0.27</v>
      </c>
      <c r="I47" s="395">
        <f t="shared" si="14"/>
        <v>0</v>
      </c>
      <c r="J47" s="396"/>
    </row>
    <row r="48" spans="1:16" x14ac:dyDescent="0.2">
      <c r="A48" s="392" t="s">
        <v>37</v>
      </c>
      <c r="B48" s="393">
        <f t="shared" si="9"/>
        <v>0.03</v>
      </c>
      <c r="C48" s="393">
        <f t="shared" si="10"/>
        <v>0.09</v>
      </c>
      <c r="D48" s="412">
        <f>VLOOKUP(A48,'Asset Allocations'!A:M,12,FALSE)</f>
        <v>0.06</v>
      </c>
      <c r="E48" s="414">
        <f>VLOOKUP(A48,'Asset Allocations'!A:M,13,FALSE)</f>
        <v>0.06</v>
      </c>
      <c r="F48" s="394">
        <f t="shared" si="11"/>
        <v>0</v>
      </c>
      <c r="G48" s="606">
        <f t="shared" si="12"/>
        <v>0.08</v>
      </c>
      <c r="H48" s="364">
        <f t="shared" si="13"/>
        <v>0.06</v>
      </c>
      <c r="I48" s="395">
        <f t="shared" si="14"/>
        <v>0</v>
      </c>
      <c r="J48" s="396"/>
    </row>
    <row r="49" spans="1:10" x14ac:dyDescent="0.2">
      <c r="A49" s="609" t="s">
        <v>38</v>
      </c>
      <c r="B49" s="610">
        <f t="shared" si="9"/>
        <v>0</v>
      </c>
      <c r="C49" s="610">
        <f t="shared" si="10"/>
        <v>0.03</v>
      </c>
      <c r="D49" s="611">
        <f>VLOOKUP(A49,'Asset Allocations'!A:M,12,FALSE)</f>
        <v>0</v>
      </c>
      <c r="E49" s="612">
        <f>VLOOKUP(A49,'Asset Allocations'!A:M,13,FALSE)</f>
        <v>0</v>
      </c>
      <c r="F49" s="613">
        <f t="shared" si="11"/>
        <v>0</v>
      </c>
      <c r="G49" s="614">
        <f t="shared" si="12"/>
        <v>6.5000000000000002E-2</v>
      </c>
      <c r="H49" s="615">
        <f t="shared" si="13"/>
        <v>0</v>
      </c>
      <c r="I49" s="616">
        <f t="shared" si="14"/>
        <v>0</v>
      </c>
      <c r="J49" s="617"/>
    </row>
    <row r="50" spans="1:10" ht="15" x14ac:dyDescent="0.25">
      <c r="A50" s="397" t="s">
        <v>39</v>
      </c>
      <c r="B50" s="193">
        <f>MAX(0,D50-5%)</f>
        <v>0.8600000000000001</v>
      </c>
      <c r="C50" s="193">
        <f>MIN(98%,D50+5%)</f>
        <v>0.96000000000000019</v>
      </c>
      <c r="D50" s="193">
        <f>VLOOKUP(A50,'Asset Allocations'!A:M,12,FALSE)</f>
        <v>0.91000000000000014</v>
      </c>
      <c r="E50" s="193">
        <f>VLOOKUP(A50,'Asset Allocations'!A:M,13,FALSE)</f>
        <v>0.91000000000000014</v>
      </c>
      <c r="F50" s="398">
        <f t="shared" si="11"/>
        <v>0</v>
      </c>
      <c r="G50" s="399">
        <f>SUM(G43:G49)</f>
        <v>0.92999999999999994</v>
      </c>
      <c r="H50" s="399">
        <f>SUM(H43:H49)</f>
        <v>0.91000000000000014</v>
      </c>
      <c r="I50" s="400">
        <f t="shared" ref="I50:I61" si="15">IFERROR(IF(H50=0,"",H50-D50),"")</f>
        <v>0</v>
      </c>
      <c r="J50" s="401"/>
    </row>
    <row r="51" spans="1:10" x14ac:dyDescent="0.2">
      <c r="A51" s="618" t="s">
        <v>40</v>
      </c>
      <c r="B51" s="619">
        <f>MAX(0,IF(D51&lt;10%,D51-3%,IF(AND(D51&gt;=10%,D51&lt;20%),D51-5%,D51-8%)))</f>
        <v>0</v>
      </c>
      <c r="C51" s="619">
        <f t="shared" ref="C51:C56" si="16">IF(D51&lt;10%,D51+3%,IF(AND(D51&gt;=10%,D51&lt;20%),D51+5%,D51+8%))</f>
        <v>0.03</v>
      </c>
      <c r="D51" s="620">
        <f>VLOOKUP(A51,'Asset Allocations'!A:M,12,FALSE)</f>
        <v>0</v>
      </c>
      <c r="E51" s="621">
        <f>VLOOKUP(A51,'Asset Allocations'!A:M,13,FALSE)</f>
        <v>0</v>
      </c>
      <c r="F51" s="622">
        <f t="shared" si="11"/>
        <v>0</v>
      </c>
      <c r="G51" s="623">
        <f t="shared" si="12"/>
        <v>0</v>
      </c>
      <c r="H51" s="624">
        <f t="shared" si="13"/>
        <v>0</v>
      </c>
      <c r="I51" s="625">
        <f t="shared" si="14"/>
        <v>0</v>
      </c>
      <c r="J51" s="626"/>
    </row>
    <row r="52" spans="1:10" x14ac:dyDescent="0.2">
      <c r="A52" s="402" t="s">
        <v>9529</v>
      </c>
      <c r="B52" s="393">
        <f t="shared" ref="B52:B56" si="17">MAX(0,IF(D52&lt;10%,D52-3%,IF(AND(D52&gt;=10%,D52&lt;20%),D52-5%,D52-8%)))</f>
        <v>0</v>
      </c>
      <c r="C52" s="393">
        <f t="shared" si="16"/>
        <v>0.03</v>
      </c>
      <c r="D52" s="412">
        <f>VLOOKUP(A52,'Asset Allocations'!A:M,12,FALSE)</f>
        <v>0</v>
      </c>
      <c r="E52" s="414">
        <f>VLOOKUP(A52,'Asset Allocations'!A:M,13,FALSE)</f>
        <v>0</v>
      </c>
      <c r="F52" s="394">
        <f t="shared" si="11"/>
        <v>0</v>
      </c>
      <c r="G52" s="606">
        <f t="shared" si="12"/>
        <v>0</v>
      </c>
      <c r="H52" s="364">
        <f t="shared" si="13"/>
        <v>0</v>
      </c>
      <c r="I52" s="395">
        <f t="shared" si="14"/>
        <v>0</v>
      </c>
      <c r="J52" s="396"/>
    </row>
    <row r="53" spans="1:10" x14ac:dyDescent="0.2">
      <c r="A53" s="402" t="s">
        <v>9528</v>
      </c>
      <c r="B53" s="393">
        <f t="shared" si="17"/>
        <v>0</v>
      </c>
      <c r="C53" s="393">
        <f t="shared" si="16"/>
        <v>0.03</v>
      </c>
      <c r="D53" s="412">
        <f>VLOOKUP(A53,'Asset Allocations'!A:M,12,FALSE)</f>
        <v>0</v>
      </c>
      <c r="E53" s="414">
        <f>VLOOKUP(A53,'Asset Allocations'!A:M,13,FALSE)</f>
        <v>0.02</v>
      </c>
      <c r="F53" s="394">
        <f t="shared" si="11"/>
        <v>0.02</v>
      </c>
      <c r="G53" s="606">
        <f t="shared" si="12"/>
        <v>0</v>
      </c>
      <c r="H53" s="364">
        <f t="shared" si="13"/>
        <v>0.02</v>
      </c>
      <c r="I53" s="395">
        <f t="shared" si="14"/>
        <v>0.02</v>
      </c>
      <c r="J53" s="396"/>
    </row>
    <row r="54" spans="1:10" x14ac:dyDescent="0.2">
      <c r="A54" s="402" t="s">
        <v>9530</v>
      </c>
      <c r="B54" s="393">
        <f t="shared" si="17"/>
        <v>0</v>
      </c>
      <c r="C54" s="393">
        <f t="shared" si="16"/>
        <v>0.03</v>
      </c>
      <c r="D54" s="412">
        <f>VLOOKUP(A54,'Asset Allocations'!A:M,12,FALSE)</f>
        <v>0</v>
      </c>
      <c r="E54" s="414">
        <f>VLOOKUP(A54,'Asset Allocations'!A:M,13,FALSE)</f>
        <v>0</v>
      </c>
      <c r="F54" s="394">
        <f t="shared" si="11"/>
        <v>0</v>
      </c>
      <c r="G54" s="606">
        <f t="shared" si="12"/>
        <v>0</v>
      </c>
      <c r="H54" s="364">
        <f t="shared" si="13"/>
        <v>0</v>
      </c>
      <c r="I54" s="395">
        <f t="shared" si="14"/>
        <v>0</v>
      </c>
      <c r="J54" s="396"/>
    </row>
    <row r="55" spans="1:10" ht="15" x14ac:dyDescent="0.2">
      <c r="A55" s="402" t="s">
        <v>9531</v>
      </c>
      <c r="B55" s="393">
        <f t="shared" si="17"/>
        <v>1.0000000000000002E-2</v>
      </c>
      <c r="C55" s="393">
        <f t="shared" si="16"/>
        <v>7.0000000000000007E-2</v>
      </c>
      <c r="D55" s="412">
        <f>VLOOKUP(A55,'Asset Allocations'!A:M,12,FALSE)</f>
        <v>0.04</v>
      </c>
      <c r="E55" s="414">
        <f>VLOOKUP(A55,'Asset Allocations'!A:M,13,FALSE)</f>
        <v>0</v>
      </c>
      <c r="F55" s="394">
        <f t="shared" si="11"/>
        <v>-0.04</v>
      </c>
      <c r="G55" s="606">
        <f t="shared" si="12"/>
        <v>0</v>
      </c>
      <c r="H55" s="364">
        <f t="shared" si="13"/>
        <v>0</v>
      </c>
      <c r="I55" s="395">
        <f t="shared" si="14"/>
        <v>-0.04</v>
      </c>
      <c r="J55" s="396"/>
    </row>
    <row r="56" spans="1:10" x14ac:dyDescent="0.2">
      <c r="A56" s="403" t="s">
        <v>45</v>
      </c>
      <c r="B56" s="393">
        <f t="shared" si="17"/>
        <v>0</v>
      </c>
      <c r="C56" s="393">
        <f t="shared" si="16"/>
        <v>0.03</v>
      </c>
      <c r="D56" s="412">
        <f>VLOOKUP(A56,'Asset Allocations'!A:M,12,FALSE)</f>
        <v>0</v>
      </c>
      <c r="E56" s="414">
        <f>VLOOKUP(A56,'Asset Allocations'!A:M,13,FALSE)</f>
        <v>0</v>
      </c>
      <c r="F56" s="394">
        <f t="shared" si="11"/>
        <v>0</v>
      </c>
      <c r="G56" s="606">
        <f t="shared" si="12"/>
        <v>0</v>
      </c>
      <c r="H56" s="364">
        <f t="shared" si="13"/>
        <v>0</v>
      </c>
      <c r="I56" s="395">
        <f t="shared" si="14"/>
        <v>0</v>
      </c>
      <c r="J56" s="396"/>
    </row>
    <row r="57" spans="1:10" ht="15" x14ac:dyDescent="0.25">
      <c r="A57" s="397" t="s">
        <v>46</v>
      </c>
      <c r="B57" s="193">
        <f>MAX(0,$D$57-5%)</f>
        <v>0</v>
      </c>
      <c r="C57" s="193">
        <f>MIN(100%,$D$57+5%)</f>
        <v>0.09</v>
      </c>
      <c r="D57" s="193">
        <f>VLOOKUP(A57,'Asset Allocations'!A:M,12,FALSE)</f>
        <v>0.04</v>
      </c>
      <c r="E57" s="193">
        <f>VLOOKUP(A57,'Asset Allocations'!A:M,13,FALSE)</f>
        <v>0.02</v>
      </c>
      <c r="F57" s="398">
        <f t="shared" si="11"/>
        <v>-0.02</v>
      </c>
      <c r="G57" s="608">
        <f>SUM(G51:G56)</f>
        <v>0</v>
      </c>
      <c r="H57" s="608">
        <f>SUM(H51:H56)</f>
        <v>0.02</v>
      </c>
      <c r="I57" s="400">
        <f t="shared" si="15"/>
        <v>-0.02</v>
      </c>
      <c r="J57" s="627"/>
    </row>
    <row r="58" spans="1:10" x14ac:dyDescent="0.2">
      <c r="A58" s="404" t="s">
        <v>11</v>
      </c>
      <c r="B58" s="393">
        <f>MAX(0,IF(D58&lt;10%,D58-3%,IF(AND(D58&gt;=10%,D58&lt;20%),D58-5%,D58-8%)))</f>
        <v>0</v>
      </c>
      <c r="C58" s="393">
        <f>IF(D58&lt;10%,D58+3%,IF(AND(D58&gt;=10%,D58&lt;20%),D58+5%,D58+8%))</f>
        <v>0.03</v>
      </c>
      <c r="D58" s="413">
        <f>VLOOKUP(A58,'Asset Allocations'!A:M,12,FALSE)</f>
        <v>0</v>
      </c>
      <c r="E58" s="414">
        <f>VLOOKUP(A58,'Asset Allocations'!A:M,13,FALSE)</f>
        <v>0.02</v>
      </c>
      <c r="F58" s="394">
        <f t="shared" si="11"/>
        <v>0.02</v>
      </c>
      <c r="G58" s="607">
        <f t="shared" si="12"/>
        <v>0.02</v>
      </c>
      <c r="H58" s="364">
        <f t="shared" si="13"/>
        <v>0.02</v>
      </c>
      <c r="I58" s="395">
        <f t="shared" si="14"/>
        <v>0.02</v>
      </c>
      <c r="J58" s="405"/>
    </row>
    <row r="59" spans="1:10" ht="15" x14ac:dyDescent="0.25">
      <c r="A59" s="397" t="s">
        <v>9534</v>
      </c>
      <c r="B59" s="193">
        <f>B58</f>
        <v>0</v>
      </c>
      <c r="C59" s="193">
        <f>C58</f>
        <v>0.03</v>
      </c>
      <c r="D59" s="193">
        <f>VLOOKUP(A59,'Asset Allocations'!A:M,12,FALSE)</f>
        <v>0</v>
      </c>
      <c r="E59" s="193">
        <f>VLOOKUP(A59,'Asset Allocations'!A:M,13,FALSE)</f>
        <v>0.02</v>
      </c>
      <c r="F59" s="628"/>
      <c r="G59" s="608">
        <f>SUM(G58)</f>
        <v>0.02</v>
      </c>
      <c r="H59" s="608">
        <f>SUM(H58)</f>
        <v>0.02</v>
      </c>
      <c r="I59" s="400">
        <f t="shared" si="15"/>
        <v>0.02</v>
      </c>
      <c r="J59" s="627"/>
    </row>
    <row r="60" spans="1:10" x14ac:dyDescent="0.2">
      <c r="A60" s="404" t="s">
        <v>49</v>
      </c>
      <c r="B60" s="393">
        <f>MAX(0,IF(D60&lt;10%,D60-3%,IF(AND(D60&gt;=10%,D60&lt;20%),D60-5%,D60-8%)))</f>
        <v>2.0000000000000004E-2</v>
      </c>
      <c r="C60" s="393">
        <f>IF(D60&lt;10%,D60+3%,IF(AND(D60&gt;=10%,D60&lt;20%),D60+5%,D60+8%))</f>
        <v>0.08</v>
      </c>
      <c r="D60" s="413">
        <f>VLOOKUP(A60,'Asset Allocations'!A:M,12,FALSE)</f>
        <v>0.05</v>
      </c>
      <c r="E60" s="414">
        <f>VLOOKUP(A60,'Asset Allocations'!A:M,13,FALSE)</f>
        <v>0.05</v>
      </c>
      <c r="F60" s="394">
        <f t="shared" ref="F60" si="18">IFERROR(E60-D60,"")</f>
        <v>0</v>
      </c>
      <c r="G60" s="607">
        <f t="shared" si="12"/>
        <v>0</v>
      </c>
      <c r="H60" s="364">
        <f t="shared" si="13"/>
        <v>0.05</v>
      </c>
      <c r="I60" s="395">
        <f t="shared" ref="I60" si="19">IFERROR(H60-D60,"")</f>
        <v>0</v>
      </c>
      <c r="J60" s="405"/>
    </row>
    <row r="61" spans="1:10" ht="15" x14ac:dyDescent="0.25">
      <c r="A61" s="397" t="s">
        <v>9535</v>
      </c>
      <c r="B61" s="193">
        <f>B60</f>
        <v>2.0000000000000004E-2</v>
      </c>
      <c r="C61" s="193">
        <f t="shared" ref="C61" si="20">C60</f>
        <v>0.08</v>
      </c>
      <c r="D61" s="193">
        <f>VLOOKUP(A61,'Asset Allocations'!A:M,12,FALSE)</f>
        <v>0.05</v>
      </c>
      <c r="E61" s="193">
        <f>VLOOKUP(A61,'Asset Allocations'!A:M,13,FALSE)</f>
        <v>0.05</v>
      </c>
      <c r="F61" s="628"/>
      <c r="G61" s="608">
        <f>SUM(G60)</f>
        <v>0</v>
      </c>
      <c r="H61" s="608">
        <f>SUM(H60)</f>
        <v>0.05</v>
      </c>
      <c r="I61" s="400">
        <f t="shared" si="15"/>
        <v>0</v>
      </c>
      <c r="J61" s="627"/>
    </row>
    <row r="62" spans="1:10" x14ac:dyDescent="0.2">
      <c r="A62" s="402" t="s">
        <v>47</v>
      </c>
      <c r="B62" s="393">
        <f>MAX(0,IF(D62&lt;10%,D62-3%,IF(AND(D62&gt;=10%,D62&lt;20%),D62-5%,D62-8%)))</f>
        <v>0</v>
      </c>
      <c r="C62" s="393">
        <f>IF(D62&lt;10%,D62+3%,IF(AND(D62&gt;=10%,D62&lt;20%),D62+5%,D62+8%))</f>
        <v>0.03</v>
      </c>
      <c r="D62" s="412">
        <f>VLOOKUP(A62,'Asset Allocations'!A:M,12,FALSE)</f>
        <v>0</v>
      </c>
      <c r="E62" s="414">
        <f>VLOOKUP(A62,'Asset Allocations'!A:M,13,FALSE)</f>
        <v>0</v>
      </c>
      <c r="F62" s="394">
        <f t="shared" si="11"/>
        <v>0</v>
      </c>
      <c r="G62" s="606">
        <f t="shared" si="12"/>
        <v>0.05</v>
      </c>
      <c r="H62" s="364">
        <f t="shared" si="13"/>
        <v>0</v>
      </c>
      <c r="I62" s="395">
        <f t="shared" si="14"/>
        <v>0</v>
      </c>
      <c r="J62" s="396"/>
    </row>
    <row r="63" spans="1:10" x14ac:dyDescent="0.2">
      <c r="A63" s="402" t="s">
        <v>48</v>
      </c>
      <c r="B63" s="393">
        <f>MAX(0,IF(D63&lt;10%,D63-3%,IF(AND(D63&gt;=10%,D63&lt;20%),D63-5%,D63-8%)))</f>
        <v>0</v>
      </c>
      <c r="C63" s="393">
        <f>IF(D63&lt;10%,D63+3%,IF(AND(D63&gt;=10%,D63&lt;20%),D63+5%,D63+8%))</f>
        <v>0.03</v>
      </c>
      <c r="D63" s="412">
        <f>VLOOKUP(A63,'Asset Allocations'!A:M,12,FALSE)</f>
        <v>0</v>
      </c>
      <c r="E63" s="414">
        <f>VLOOKUP(A63,'Asset Allocations'!A:M,13,FALSE)</f>
        <v>0</v>
      </c>
      <c r="F63" s="394">
        <f t="shared" si="11"/>
        <v>0</v>
      </c>
      <c r="G63" s="606">
        <f t="shared" si="12"/>
        <v>0</v>
      </c>
      <c r="H63" s="364">
        <f t="shared" si="13"/>
        <v>0</v>
      </c>
      <c r="I63" s="395">
        <f t="shared" si="14"/>
        <v>0</v>
      </c>
      <c r="J63" s="396"/>
    </row>
    <row r="64" spans="1:10" ht="15" x14ac:dyDescent="0.25">
      <c r="A64" s="397" t="s">
        <v>9536</v>
      </c>
      <c r="B64" s="193">
        <f t="shared" ref="B64:C64" si="21">SUM(B62:B63)</f>
        <v>0</v>
      </c>
      <c r="C64" s="193">
        <f t="shared" si="21"/>
        <v>0.06</v>
      </c>
      <c r="D64" s="193">
        <f>VLOOKUP(A64,'Asset Allocations'!A:M,12,FALSE)</f>
        <v>0</v>
      </c>
      <c r="E64" s="193">
        <f>VLOOKUP(A64,'Asset Allocations'!A:M,13,FALSE)</f>
        <v>0</v>
      </c>
      <c r="F64" s="398">
        <f t="shared" si="11"/>
        <v>0</v>
      </c>
      <c r="G64" s="608">
        <f>SUM(G62:G63)</f>
        <v>0.05</v>
      </c>
      <c r="H64" s="608">
        <f>SUM(H62:H63)</f>
        <v>0</v>
      </c>
      <c r="I64" s="400" t="str">
        <f t="shared" ref="I64" si="22">IFERROR(IF(H64=0,"",H64-D64),"")</f>
        <v/>
      </c>
      <c r="J64" s="627"/>
    </row>
    <row r="65" spans="1:10" ht="15.75" thickBot="1" x14ac:dyDescent="0.3">
      <c r="A65" s="406" t="s">
        <v>9532</v>
      </c>
      <c r="B65" s="407"/>
      <c r="C65" s="408"/>
      <c r="D65" s="407">
        <f>D50+D57+D59+D61+D64</f>
        <v>1.0000000000000002</v>
      </c>
      <c r="E65" s="407">
        <f>E50+E57+E59+E61+E64</f>
        <v>1.0000000000000002</v>
      </c>
      <c r="F65" s="409"/>
      <c r="G65" s="407">
        <f>G50+G57+G59+G61+G64</f>
        <v>1</v>
      </c>
      <c r="H65" s="407">
        <f>H50+H57+H59+H61+H64</f>
        <v>1.0000000000000002</v>
      </c>
      <c r="I65" s="410"/>
      <c r="J65" s="411"/>
    </row>
    <row r="66" spans="1:10" ht="15" thickTop="1" x14ac:dyDescent="0.2">
      <c r="A66" s="42"/>
      <c r="J66" s="43"/>
    </row>
    <row r="67" spans="1:10" ht="15" thickBot="1" x14ac:dyDescent="0.25">
      <c r="A67" s="42"/>
      <c r="J67" s="43"/>
    </row>
    <row r="68" spans="1:10" ht="15" x14ac:dyDescent="0.25">
      <c r="A68" s="78" t="s">
        <v>50</v>
      </c>
      <c r="B68" s="79"/>
      <c r="C68" s="79"/>
      <c r="D68" s="79"/>
      <c r="E68" s="79"/>
      <c r="F68" s="79"/>
      <c r="G68" s="79"/>
      <c r="H68" s="79"/>
      <c r="I68" s="79"/>
      <c r="J68" s="80"/>
    </row>
    <row r="69" spans="1:10" x14ac:dyDescent="0.2">
      <c r="A69" s="81"/>
      <c r="B69" s="57"/>
      <c r="C69" s="57"/>
      <c r="D69" s="57"/>
      <c r="E69" s="57"/>
      <c r="F69" s="57"/>
      <c r="G69" s="57"/>
      <c r="H69" s="57"/>
      <c r="I69" s="57"/>
      <c r="J69" s="82"/>
    </row>
    <row r="70" spans="1:10" x14ac:dyDescent="0.2">
      <c r="A70" s="113" t="s">
        <v>9527</v>
      </c>
      <c r="B70" s="81"/>
      <c r="C70" s="57"/>
      <c r="D70" s="57"/>
      <c r="E70" s="57"/>
      <c r="F70" s="57"/>
      <c r="G70" s="57"/>
      <c r="H70" s="57"/>
      <c r="I70" s="57"/>
      <c r="J70" s="82"/>
    </row>
    <row r="71" spans="1:10" x14ac:dyDescent="0.2">
      <c r="A71" s="81"/>
      <c r="B71" s="562"/>
      <c r="C71" s="57"/>
      <c r="D71" s="57"/>
      <c r="E71" s="57"/>
      <c r="F71" s="57"/>
      <c r="G71" s="57"/>
      <c r="H71" s="57"/>
      <c r="I71" s="57"/>
      <c r="J71" s="82"/>
    </row>
    <row r="72" spans="1:10" x14ac:dyDescent="0.2">
      <c r="A72" s="81"/>
      <c r="B72" s="57"/>
      <c r="C72" s="57"/>
      <c r="D72" s="57"/>
      <c r="E72" s="57"/>
      <c r="F72" s="57"/>
      <c r="G72" s="57"/>
      <c r="H72" s="57"/>
      <c r="I72" s="57"/>
      <c r="J72" s="82"/>
    </row>
    <row r="73" spans="1:10" x14ac:dyDescent="0.2">
      <c r="A73" s="81"/>
      <c r="B73" s="57"/>
      <c r="C73" s="57"/>
      <c r="D73" s="57"/>
      <c r="E73" s="57"/>
      <c r="F73" s="57"/>
      <c r="G73" s="57"/>
      <c r="H73" s="57"/>
      <c r="I73" s="57"/>
      <c r="J73" s="82"/>
    </row>
    <row r="74" spans="1:10" x14ac:dyDescent="0.2">
      <c r="A74" s="81"/>
      <c r="B74" s="57"/>
      <c r="C74" s="57"/>
      <c r="D74" s="57"/>
      <c r="E74" s="57"/>
      <c r="F74" s="57"/>
      <c r="G74" s="57"/>
      <c r="H74" s="57"/>
      <c r="I74" s="57"/>
      <c r="J74" s="82"/>
    </row>
    <row r="75" spans="1:10" x14ac:dyDescent="0.2">
      <c r="A75" s="81"/>
      <c r="B75" s="57"/>
      <c r="C75" s="57"/>
      <c r="D75" s="57"/>
      <c r="E75" s="57"/>
      <c r="F75" s="57"/>
      <c r="G75" s="57"/>
      <c r="H75" s="57"/>
      <c r="I75" s="57"/>
      <c r="J75" s="82"/>
    </row>
    <row r="76" spans="1:10" x14ac:dyDescent="0.2">
      <c r="A76" s="81"/>
      <c r="B76" s="57"/>
      <c r="C76" s="57"/>
      <c r="D76" s="57"/>
      <c r="E76" s="57"/>
      <c r="F76" s="57"/>
      <c r="G76" s="57"/>
      <c r="H76" s="57"/>
      <c r="I76" s="57"/>
      <c r="J76" s="82"/>
    </row>
    <row r="77" spans="1:10" x14ac:dyDescent="0.2">
      <c r="A77" s="81"/>
      <c r="B77" s="57"/>
      <c r="C77" s="57"/>
      <c r="D77" s="57"/>
      <c r="E77" s="57"/>
      <c r="F77" s="57"/>
      <c r="G77" s="57"/>
      <c r="H77" s="57"/>
      <c r="I77" s="57"/>
      <c r="J77" s="82"/>
    </row>
    <row r="78" spans="1:10" x14ac:dyDescent="0.2">
      <c r="A78" s="81"/>
      <c r="B78" s="57"/>
      <c r="C78" s="57"/>
      <c r="D78" s="57"/>
      <c r="E78" s="57"/>
      <c r="F78" s="57"/>
      <c r="G78" s="57"/>
      <c r="H78" s="57"/>
      <c r="I78" s="57"/>
      <c r="J78" s="82"/>
    </row>
    <row r="79" spans="1:10" x14ac:dyDescent="0.2">
      <c r="A79" s="81" t="s">
        <v>9561</v>
      </c>
      <c r="B79" s="57"/>
      <c r="C79" s="57"/>
      <c r="D79" s="57"/>
      <c r="E79" s="57"/>
      <c r="F79" s="57"/>
      <c r="G79" s="57"/>
      <c r="H79" s="57"/>
      <c r="I79" s="57"/>
      <c r="J79" s="82"/>
    </row>
    <row r="80" spans="1:10" x14ac:dyDescent="0.2">
      <c r="A80" s="81"/>
      <c r="B80" s="57"/>
      <c r="C80" s="57"/>
      <c r="D80" s="57"/>
      <c r="E80" s="57"/>
      <c r="F80" s="57"/>
      <c r="G80" s="57"/>
      <c r="H80" s="57"/>
      <c r="I80" s="57"/>
      <c r="J80" s="82"/>
    </row>
    <row r="81" spans="1:10" x14ac:dyDescent="0.2">
      <c r="A81" s="81"/>
      <c r="B81" s="57"/>
      <c r="C81" s="57"/>
      <c r="D81" s="57"/>
      <c r="E81" s="57"/>
      <c r="F81" s="57"/>
      <c r="G81" s="57"/>
      <c r="H81" s="57"/>
      <c r="I81" s="57"/>
      <c r="J81" s="82"/>
    </row>
    <row r="82" spans="1:10" x14ac:dyDescent="0.2">
      <c r="A82" s="81"/>
      <c r="B82" s="57"/>
      <c r="C82" s="57"/>
      <c r="D82" s="57"/>
      <c r="E82" s="57"/>
      <c r="F82" s="57"/>
      <c r="G82" s="57"/>
      <c r="H82" s="57"/>
      <c r="I82" s="57"/>
      <c r="J82" s="82"/>
    </row>
    <row r="83" spans="1:10" x14ac:dyDescent="0.2">
      <c r="A83" s="81"/>
      <c r="B83" s="57"/>
      <c r="C83" s="57"/>
      <c r="D83" s="57"/>
      <c r="E83" s="57"/>
      <c r="F83" s="57"/>
      <c r="G83" s="57"/>
      <c r="H83" s="57"/>
      <c r="I83" s="57"/>
      <c r="J83" s="82"/>
    </row>
    <row r="84" spans="1:10" x14ac:dyDescent="0.2">
      <c r="A84" s="81"/>
      <c r="B84" s="57"/>
      <c r="C84" s="57"/>
      <c r="D84" s="57"/>
      <c r="E84" s="57"/>
      <c r="F84" s="57"/>
      <c r="G84" s="57"/>
      <c r="H84" s="57"/>
      <c r="I84" s="57"/>
      <c r="J84" s="82"/>
    </row>
    <row r="85" spans="1:10" x14ac:dyDescent="0.2">
      <c r="A85" s="81"/>
      <c r="B85" s="57"/>
      <c r="C85" s="57"/>
      <c r="D85" s="57"/>
      <c r="E85" s="57"/>
      <c r="F85" s="57"/>
      <c r="G85" s="57"/>
      <c r="H85" s="57"/>
      <c r="I85" s="57"/>
      <c r="J85" s="82"/>
    </row>
    <row r="86" spans="1:10" x14ac:dyDescent="0.2">
      <c r="A86" s="81"/>
      <c r="B86" s="57"/>
      <c r="C86" s="57"/>
      <c r="D86" s="57"/>
      <c r="E86" s="57"/>
      <c r="F86" s="57"/>
      <c r="G86" s="57"/>
      <c r="H86" s="57"/>
      <c r="I86" s="57"/>
      <c r="J86" s="82"/>
    </row>
    <row r="87" spans="1:10" x14ac:dyDescent="0.2">
      <c r="A87" s="81"/>
      <c r="B87" s="57"/>
      <c r="C87" s="57"/>
      <c r="D87" s="57"/>
      <c r="E87" s="57"/>
      <c r="F87" s="57"/>
      <c r="G87" s="57"/>
      <c r="H87" s="57"/>
      <c r="I87" s="57"/>
      <c r="J87" s="82"/>
    </row>
    <row r="88" spans="1:10" x14ac:dyDescent="0.2">
      <c r="A88" s="81"/>
      <c r="B88" s="57"/>
      <c r="C88" s="57"/>
      <c r="D88" s="57"/>
      <c r="E88" s="57"/>
      <c r="F88" s="57"/>
      <c r="G88" s="57"/>
      <c r="H88" s="57"/>
      <c r="I88" s="57"/>
      <c r="J88" s="82"/>
    </row>
    <row r="89" spans="1:10" x14ac:dyDescent="0.2">
      <c r="A89" s="81"/>
      <c r="B89" s="57"/>
      <c r="C89" s="57"/>
      <c r="D89" s="57"/>
      <c r="E89" s="57"/>
      <c r="F89" s="57"/>
      <c r="G89" s="57"/>
      <c r="H89" s="57"/>
      <c r="I89" s="57"/>
      <c r="J89" s="82"/>
    </row>
    <row r="90" spans="1:10" x14ac:dyDescent="0.2">
      <c r="A90" s="81"/>
      <c r="B90" s="57"/>
      <c r="C90" s="57"/>
      <c r="D90" s="57"/>
      <c r="E90" s="57"/>
      <c r="F90" s="57"/>
      <c r="G90" s="57"/>
      <c r="H90" s="57"/>
      <c r="I90" s="57"/>
      <c r="J90" s="82"/>
    </row>
    <row r="91" spans="1:10" x14ac:dyDescent="0.2">
      <c r="A91" s="81"/>
      <c r="B91" s="57"/>
      <c r="C91" s="57"/>
      <c r="D91" s="57"/>
      <c r="E91" s="57"/>
      <c r="F91" s="57"/>
      <c r="G91" s="57"/>
      <c r="H91" s="57"/>
      <c r="I91" s="57"/>
      <c r="J91" s="82"/>
    </row>
    <row r="92" spans="1:10" x14ac:dyDescent="0.2">
      <c r="A92" s="81"/>
      <c r="B92" s="57"/>
      <c r="C92" s="57"/>
      <c r="D92" s="57"/>
      <c r="E92" s="57"/>
      <c r="F92" s="57"/>
      <c r="G92" s="57"/>
      <c r="H92" s="57"/>
      <c r="I92" s="57"/>
      <c r="J92" s="82"/>
    </row>
    <row r="93" spans="1:10" x14ac:dyDescent="0.2">
      <c r="A93" s="81"/>
      <c r="B93" s="57"/>
      <c r="C93" s="57"/>
      <c r="D93" s="57"/>
      <c r="E93" s="57"/>
      <c r="F93" s="57"/>
      <c r="G93" s="57"/>
      <c r="H93" s="57"/>
      <c r="I93" s="57"/>
      <c r="J93" s="82"/>
    </row>
    <row r="94" spans="1:10" x14ac:dyDescent="0.2">
      <c r="A94" s="81"/>
      <c r="B94" s="57"/>
      <c r="C94" s="57"/>
      <c r="D94" s="57"/>
      <c r="E94" s="57"/>
      <c r="F94" s="57"/>
      <c r="G94" s="57"/>
      <c r="H94" s="57"/>
      <c r="I94" s="57"/>
      <c r="J94" s="82"/>
    </row>
    <row r="95" spans="1:10" x14ac:dyDescent="0.2">
      <c r="A95" s="81"/>
      <c r="B95" s="57"/>
      <c r="C95" s="57"/>
      <c r="D95" s="57"/>
      <c r="E95" s="57"/>
      <c r="F95" s="57"/>
      <c r="G95" s="57"/>
      <c r="H95" s="57"/>
      <c r="I95" s="57"/>
      <c r="J95" s="82"/>
    </row>
    <row r="96" spans="1:10" x14ac:dyDescent="0.2">
      <c r="A96" s="81"/>
      <c r="B96" s="57"/>
      <c r="C96" s="57"/>
      <c r="D96" s="57"/>
      <c r="E96" s="57"/>
      <c r="F96" s="57"/>
      <c r="G96" s="57"/>
      <c r="H96" s="57"/>
      <c r="I96" s="57"/>
      <c r="J96" s="82"/>
    </row>
    <row r="97" spans="1:10" x14ac:dyDescent="0.2">
      <c r="A97" s="81"/>
      <c r="B97" s="57"/>
      <c r="C97" s="57"/>
      <c r="D97" s="57"/>
      <c r="E97" s="57"/>
      <c r="F97" s="57"/>
      <c r="G97" s="57"/>
      <c r="H97" s="57"/>
      <c r="I97" s="57"/>
      <c r="J97" s="82"/>
    </row>
    <row r="98" spans="1:10" x14ac:dyDescent="0.2">
      <c r="A98" s="81"/>
      <c r="B98" s="57"/>
      <c r="C98" s="57"/>
      <c r="D98" s="57"/>
      <c r="E98" s="57"/>
      <c r="F98" s="57"/>
      <c r="G98" s="57"/>
      <c r="H98" s="57"/>
      <c r="I98" s="57"/>
      <c r="J98" s="82"/>
    </row>
    <row r="99" spans="1:10" x14ac:dyDescent="0.2">
      <c r="A99" s="81"/>
      <c r="B99" s="57"/>
      <c r="C99" s="57"/>
      <c r="D99" s="57"/>
      <c r="E99" s="57"/>
      <c r="F99" s="57"/>
      <c r="G99" s="57"/>
      <c r="H99" s="57"/>
      <c r="I99" s="57"/>
      <c r="J99" s="82"/>
    </row>
    <row r="100" spans="1:10" x14ac:dyDescent="0.2">
      <c r="A100" s="81"/>
      <c r="B100" s="57"/>
      <c r="C100" s="57"/>
      <c r="D100" s="57"/>
      <c r="E100" s="57"/>
      <c r="F100" s="57"/>
      <c r="G100" s="57"/>
      <c r="H100" s="57"/>
      <c r="I100" s="57"/>
      <c r="J100" s="82"/>
    </row>
    <row r="101" spans="1:10" x14ac:dyDescent="0.2">
      <c r="A101" s="81"/>
      <c r="B101" s="57"/>
      <c r="C101" s="57"/>
      <c r="D101" s="57"/>
      <c r="E101" s="57"/>
      <c r="F101" s="57"/>
      <c r="G101" s="57"/>
      <c r="H101" s="57"/>
      <c r="I101" s="57"/>
      <c r="J101" s="82"/>
    </row>
    <row r="102" spans="1:10" ht="15" thickBot="1" x14ac:dyDescent="0.25">
      <c r="A102" s="83"/>
      <c r="B102" s="84"/>
      <c r="C102" s="84"/>
      <c r="D102" s="84"/>
      <c r="E102" s="84"/>
      <c r="F102" s="84"/>
      <c r="G102" s="84"/>
      <c r="H102" s="84"/>
      <c r="I102" s="84"/>
      <c r="J102" s="85"/>
    </row>
  </sheetData>
  <sheetProtection selectLockedCells="1"/>
  <sortState xmlns:xlrd2="http://schemas.microsoft.com/office/spreadsheetml/2017/richdata2" ref="A5:J31">
    <sortCondition ref="E5:E31"/>
    <sortCondition ref="B5:B31"/>
  </sortState>
  <mergeCells count="2">
    <mergeCell ref="A1:J1"/>
    <mergeCell ref="B2:J2"/>
  </mergeCells>
  <phoneticPr fontId="9" type="noConversion"/>
  <conditionalFormatting sqref="A4:G4 B5:E22 G5:G22 A32:J39 A23:G31">
    <cfRule type="expression" dxfId="191" priority="33">
      <formula>AND($F4&lt;&gt;"",$F4=0%)</formula>
    </cfRule>
  </conditionalFormatting>
  <conditionalFormatting sqref="A4:G4 B5:E22 G5:G22 A32:J39 A23:G31">
    <cfRule type="expression" dxfId="190" priority="34">
      <formula>AND($G4&lt;&gt;"",$G4=0%)</formula>
    </cfRule>
  </conditionalFormatting>
  <conditionalFormatting sqref="H32:H39">
    <cfRule type="iconSet" priority="37">
      <iconSet iconSet="3Arrows">
        <cfvo type="percent" val="0"/>
        <cfvo type="num" val="0"/>
        <cfvo type="num" val="0" gte="0"/>
      </iconSet>
    </cfRule>
  </conditionalFormatting>
  <conditionalFormatting sqref="A4 F4:G4 A23:A39 G5:G22 F23:G39">
    <cfRule type="expression" dxfId="189" priority="35">
      <formula>$A4=""</formula>
    </cfRule>
    <cfRule type="expression" dxfId="188" priority="36">
      <formula>$A4&lt;&gt;""</formula>
    </cfRule>
  </conditionalFormatting>
  <conditionalFormatting sqref="A5:A22">
    <cfRule type="expression" dxfId="187" priority="7">
      <formula>AND($F5&lt;&gt;"",$F5=0%)</formula>
    </cfRule>
  </conditionalFormatting>
  <conditionalFormatting sqref="A5:A22">
    <cfRule type="expression" dxfId="186" priority="8">
      <formula>AND($G5&lt;&gt;"",$G5=0%)</formula>
    </cfRule>
  </conditionalFormatting>
  <conditionalFormatting sqref="A5:A22">
    <cfRule type="expression" dxfId="185" priority="9">
      <formula>$A5=""</formula>
    </cfRule>
    <cfRule type="expression" dxfId="184" priority="10">
      <formula>$A5&lt;&gt;""</formula>
    </cfRule>
  </conditionalFormatting>
  <conditionalFormatting sqref="F5:F22">
    <cfRule type="expression" dxfId="183" priority="3">
      <formula>AND($F5&lt;&gt;"",$F5=0%)</formula>
    </cfRule>
  </conditionalFormatting>
  <conditionalFormatting sqref="F5:F22">
    <cfRule type="expression" dxfId="182" priority="4">
      <formula>AND($G5&lt;&gt;"",$G5=0%)</formula>
    </cfRule>
  </conditionalFormatting>
  <conditionalFormatting sqref="F5:F22">
    <cfRule type="expression" dxfId="181" priority="5">
      <formula>$A5=""</formula>
    </cfRule>
    <cfRule type="expression" dxfId="180" priority="6">
      <formula>$A5&lt;&gt;""</formula>
    </cfRule>
  </conditionalFormatting>
  <conditionalFormatting sqref="H43:H64 G61 G59 G57 G50 G64">
    <cfRule type="cellIs" dxfId="179" priority="1" operator="lessThan">
      <formula>$B43</formula>
    </cfRule>
    <cfRule type="cellIs" dxfId="178" priority="2" operator="greaterThan">
      <formula>$C43</formula>
    </cfRule>
  </conditionalFormatting>
  <pageMargins left="0.25" right="0.25" top="0.75" bottom="0.75" header="0.3" footer="0.3"/>
  <pageSetup paperSize="9" scale="76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7438573A-EE3C-46E4-9699-B940BEEAA3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I43:I49</xm:sqref>
        </x14:conditionalFormatting>
        <x14:conditionalFormatting xmlns:xm="http://schemas.microsoft.com/office/excel/2006/main">
          <x14:cfRule type="iconSet" priority="27" id="{4B709CF3-93CB-458E-AB35-30BADB338BA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F65</xm:sqref>
        </x14:conditionalFormatting>
        <x14:conditionalFormatting xmlns:xm="http://schemas.microsoft.com/office/excel/2006/main">
          <x14:cfRule type="iconSet" priority="26" id="{BF570F76-4FA9-4F5C-A217-FE3ACA691C6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I51:I56</xm:sqref>
        </x14:conditionalFormatting>
        <x14:conditionalFormatting xmlns:xm="http://schemas.microsoft.com/office/excel/2006/main">
          <x14:cfRule type="iconSet" priority="29" id="{655B0469-AEB5-44A1-B8DD-ECC9A89A4DD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F43:F64</xm:sqref>
        </x14:conditionalFormatting>
        <x14:conditionalFormatting xmlns:xm="http://schemas.microsoft.com/office/excel/2006/main">
          <x14:cfRule type="iconSet" priority="30" id="{32CC48DC-1106-4198-8725-3093DEB5770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I58 I60 I62:I63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CD0C3-87F4-4F9B-A9B3-61EF995844E2}">
  <sheetPr>
    <pageSetUpPr fitToPage="1"/>
  </sheetPr>
  <dimension ref="A1:L101"/>
  <sheetViews>
    <sheetView topLeftCell="A4" workbookViewId="0">
      <selection sqref="A1:J1"/>
    </sheetView>
  </sheetViews>
  <sheetFormatPr defaultColWidth="9" defaultRowHeight="14.25" x14ac:dyDescent="0.2"/>
  <cols>
    <col min="1" max="1" width="21.375" customWidth="1"/>
    <col min="2" max="5" width="17.625" customWidth="1"/>
    <col min="6" max="6" width="15.625" customWidth="1"/>
    <col min="7" max="7" width="14.75" customWidth="1"/>
    <col min="8" max="10" width="15.625" customWidth="1"/>
  </cols>
  <sheetData>
    <row r="1" spans="1:12" ht="30.75" thickBot="1" x14ac:dyDescent="0.25">
      <c r="A1" s="841" t="s">
        <v>72</v>
      </c>
      <c r="B1" s="842"/>
      <c r="C1" s="842"/>
      <c r="D1" s="842"/>
      <c r="E1" s="842"/>
      <c r="F1" s="842"/>
      <c r="G1" s="842"/>
      <c r="H1" s="842"/>
      <c r="I1" s="842"/>
      <c r="J1" s="843"/>
    </row>
    <row r="2" spans="1:12" ht="15.75" thickTop="1" x14ac:dyDescent="0.25">
      <c r="A2" s="39" t="s">
        <v>2</v>
      </c>
      <c r="B2" s="844">
        <f>Date</f>
        <v>44733</v>
      </c>
      <c r="C2" s="844"/>
      <c r="D2" s="844"/>
      <c r="E2" s="844"/>
      <c r="F2" s="844"/>
      <c r="G2" s="844"/>
      <c r="H2" s="844"/>
      <c r="I2" s="844"/>
      <c r="J2" s="845"/>
    </row>
    <row r="3" spans="1:12" ht="15.75" x14ac:dyDescent="0.25">
      <c r="A3" s="194" t="s">
        <v>3</v>
      </c>
      <c r="B3" s="195" t="s">
        <v>4</v>
      </c>
      <c r="C3" s="195"/>
      <c r="D3" s="195"/>
      <c r="E3" s="195" t="s">
        <v>5</v>
      </c>
      <c r="F3" s="196" t="s">
        <v>6</v>
      </c>
      <c r="G3" s="196" t="s">
        <v>7</v>
      </c>
      <c r="H3" s="196" t="s">
        <v>8</v>
      </c>
      <c r="I3" s="197" t="s">
        <v>9</v>
      </c>
      <c r="J3" s="198" t="s">
        <v>10</v>
      </c>
    </row>
    <row r="4" spans="1:12" x14ac:dyDescent="0.2">
      <c r="A4" s="17" t="s">
        <v>11</v>
      </c>
      <c r="B4" s="21" t="s">
        <v>11</v>
      </c>
      <c r="C4" s="22"/>
      <c r="D4" s="22"/>
      <c r="E4" s="23" t="str">
        <f>IFERROR(VLOOKUP(A4,NoviaFunds[],6,FALSE),"")</f>
        <v>Cash</v>
      </c>
      <c r="F4" s="14">
        <v>0.02</v>
      </c>
      <c r="G4" s="14">
        <v>0.02</v>
      </c>
      <c r="H4" s="24">
        <f t="shared" ref="H4" si="0">IF(G4="","",G4-F4)</f>
        <v>0</v>
      </c>
      <c r="I4" s="25">
        <f>IFERROR(VLOOKUP(A4,NoviaFunds[],4,FALSE),"")</f>
        <v>0</v>
      </c>
      <c r="J4" s="28">
        <f>IF(G4="","",IFERROR(VLOOKUP(A4,NoviaFunds[],4,FALSE),""))</f>
        <v>0</v>
      </c>
    </row>
    <row r="5" spans="1:12" x14ac:dyDescent="0.2">
      <c r="A5" s="17" t="s">
        <v>564</v>
      </c>
      <c r="B5" s="21" t="str">
        <f>IFERROR(VLOOKUP(A5,NoviaFunds[],2,FALSE),"")</f>
        <v>ASI Asia Pacific Equity Enhanced Index B Acc in GB</v>
      </c>
      <c r="C5" s="22"/>
      <c r="D5" s="22"/>
      <c r="E5" s="23" t="str">
        <f>IFERROR(VLOOKUP(A5,NoviaFunds[],6,FALSE),"")</f>
        <v>Asia Pacific</v>
      </c>
      <c r="F5" s="14">
        <v>0</v>
      </c>
      <c r="G5" s="14">
        <v>7.4999999999999997E-2</v>
      </c>
      <c r="H5" s="24">
        <f t="shared" ref="H5:H29" si="1">IF(G5="","",G5-F5)</f>
        <v>7.4999999999999997E-2</v>
      </c>
      <c r="I5" s="25">
        <f>IFERROR(VLOOKUP(A5,NoviaFunds[],4,FALSE),"")</f>
        <v>2.8999999999999998E-3</v>
      </c>
      <c r="J5" s="28">
        <f>IF(G5="","",IFERROR(VLOOKUP(A5,NoviaFunds[],4,FALSE),""))</f>
        <v>2.8999999999999998E-3</v>
      </c>
    </row>
    <row r="6" spans="1:12" x14ac:dyDescent="0.2">
      <c r="A6" s="17" t="s">
        <v>71</v>
      </c>
      <c r="B6" s="21" t="str">
        <f>IFERROR(VLOOKUP(A6,NoviaFunds[],2,FALSE),"")</f>
        <v>ASI Asia Pacific Equity I Acc TR in GB</v>
      </c>
      <c r="C6" s="22"/>
      <c r="D6" s="22"/>
      <c r="E6" s="23" t="str">
        <f>IFERROR(VLOOKUP(A6,NoviaFunds[],6,FALSE),"")</f>
        <v>Asia Pacific</v>
      </c>
      <c r="F6" s="14">
        <v>0.04</v>
      </c>
      <c r="G6" s="14">
        <v>0</v>
      </c>
      <c r="H6" s="24">
        <f t="shared" si="1"/>
        <v>-0.04</v>
      </c>
      <c r="I6" s="25">
        <f>IFERROR(VLOOKUP(A6,NoviaFunds[],4,FALSE),"")</f>
        <v>8.5000000000000006E-3</v>
      </c>
      <c r="J6" s="28">
        <f>IF(G6="","",IFERROR(VLOOKUP(A6,NoviaFunds[],4,FALSE),""))</f>
        <v>8.5000000000000006E-3</v>
      </c>
    </row>
    <row r="7" spans="1:12" x14ac:dyDescent="0.2">
      <c r="A7" s="17" t="s">
        <v>1461</v>
      </c>
      <c r="B7" s="21" t="str">
        <f>IFERROR(VLOOKUP(A7,NoviaFunds[],2,FALSE),"")</f>
        <v>Baillie Gifford Pacific B Acc TR in GB</v>
      </c>
      <c r="C7" s="22"/>
      <c r="D7" s="22"/>
      <c r="E7" s="23" t="str">
        <f>IFERROR(VLOOKUP(A7,NoviaFunds[],6,FALSE),"")</f>
        <v>Asia Pacific</v>
      </c>
      <c r="F7" s="14">
        <v>0</v>
      </c>
      <c r="G7" s="14">
        <v>7.4999999999999997E-2</v>
      </c>
      <c r="H7" s="24">
        <f t="shared" si="1"/>
        <v>7.4999999999999997E-2</v>
      </c>
      <c r="I7" s="25">
        <f>IFERROR(VLOOKUP(A7,NoviaFunds[],4,FALSE),"")</f>
        <v>7.0999999999999995E-3</v>
      </c>
      <c r="J7" s="28">
        <f>IF(G7="","",IFERROR(VLOOKUP(A7,NoviaFunds[],4,FALSE),""))</f>
        <v>7.0999999999999995E-3</v>
      </c>
    </row>
    <row r="8" spans="1:12" x14ac:dyDescent="0.2">
      <c r="A8" s="17" t="s">
        <v>58</v>
      </c>
      <c r="B8" s="21" t="str">
        <f>IFERROR(VLOOKUP(A8,NoviaFunds[],2,FALSE),"")</f>
        <v>Fidelity Asia W Acc in GB</v>
      </c>
      <c r="C8" s="22"/>
      <c r="D8" s="22"/>
      <c r="E8" s="23" t="str">
        <f>IFERROR(VLOOKUP(A8,NoviaFunds[],6,FALSE),"")</f>
        <v>Asia Pacific</v>
      </c>
      <c r="F8" s="14">
        <v>0.08</v>
      </c>
      <c r="G8" s="14">
        <v>0</v>
      </c>
      <c r="H8" s="24">
        <f t="shared" si="1"/>
        <v>-0.08</v>
      </c>
      <c r="I8" s="25">
        <f>IFERROR(VLOOKUP(A8,NoviaFunds[],4,FALSE),"")</f>
        <v>9.300000000000001E-3</v>
      </c>
      <c r="J8" s="28">
        <f>IF(G8="","",IFERROR(VLOOKUP(A8,NoviaFunds[],4,FALSE),""))</f>
        <v>9.300000000000001E-3</v>
      </c>
    </row>
    <row r="9" spans="1:12" x14ac:dyDescent="0.2">
      <c r="A9" s="17" t="s">
        <v>64</v>
      </c>
      <c r="B9" s="21" t="str">
        <f>IFERROR(VLOOKUP(A9,NoviaFunds[],2,FALSE),"")</f>
        <v>Schroder Asian Income Z Acc in GB</v>
      </c>
      <c r="C9" s="22"/>
      <c r="D9" s="22"/>
      <c r="E9" s="23" t="str">
        <f>IFERROR(VLOOKUP(A9,NoviaFunds[],6,FALSE),"")</f>
        <v>Asia Pacific</v>
      </c>
      <c r="F9" s="14">
        <v>7.0000000000000007E-2</v>
      </c>
      <c r="G9" s="14">
        <v>0.05</v>
      </c>
      <c r="H9" s="24">
        <f t="shared" si="1"/>
        <v>-2.0000000000000004E-2</v>
      </c>
      <c r="I9" s="25">
        <f>IFERROR(VLOOKUP(A9,NoviaFunds[],4,FALSE),"")</f>
        <v>9.0000000000000011E-3</v>
      </c>
      <c r="J9" s="28">
        <f>IF(G9="","",IFERROR(VLOOKUP(A9,NoviaFunds[],4,FALSE),""))</f>
        <v>9.0000000000000011E-3</v>
      </c>
    </row>
    <row r="10" spans="1:12" x14ac:dyDescent="0.2">
      <c r="A10" s="17" t="s">
        <v>65</v>
      </c>
      <c r="B10" s="21" t="str">
        <f>IFERROR(VLOOKUP(A10,NoviaFunds[],2,FALSE),"")</f>
        <v>Schroder Institutional Pacific I Acc in GB</v>
      </c>
      <c r="C10" s="22"/>
      <c r="D10" s="22"/>
      <c r="E10" s="23" t="str">
        <f>IFERROR(VLOOKUP(A10,NoviaFunds[],6,FALSE),"")</f>
        <v>Asia Pacific</v>
      </c>
      <c r="F10" s="14">
        <v>0.03</v>
      </c>
      <c r="G10" s="14">
        <v>0.05</v>
      </c>
      <c r="H10" s="24">
        <f t="shared" si="1"/>
        <v>2.0000000000000004E-2</v>
      </c>
      <c r="I10" s="25">
        <f>IFERROR(VLOOKUP(A10,NoviaFunds[],4,FALSE),"")</f>
        <v>5.3E-3</v>
      </c>
      <c r="J10" s="28">
        <f>IF(G10="","",IFERROR(VLOOKUP(A10,NoviaFunds[],4,FALSE),""))</f>
        <v>5.3E-3</v>
      </c>
    </row>
    <row r="11" spans="1:12" x14ac:dyDescent="0.2">
      <c r="A11" s="17" t="s">
        <v>52</v>
      </c>
      <c r="B11" s="21" t="str">
        <f>IFERROR(VLOOKUP(A11,NoviaFunds[],2,FALSE),"")</f>
        <v>Stewart Investors Asia Pacific Leaders Sustainability B Acc GBP in GB</v>
      </c>
      <c r="C11" s="22"/>
      <c r="D11" s="22"/>
      <c r="E11" s="23" t="str">
        <f>IFERROR(VLOOKUP(A11,NoviaFunds[],6,FALSE),"")</f>
        <v>Asia Pacific</v>
      </c>
      <c r="F11" s="14">
        <v>0.03</v>
      </c>
      <c r="G11" s="14">
        <v>0</v>
      </c>
      <c r="H11" s="24">
        <f t="shared" si="1"/>
        <v>-0.03</v>
      </c>
      <c r="I11" s="25">
        <f>IFERROR(VLOOKUP(A11,NoviaFunds[],4,FALSE),"")</f>
        <v>8.3999999999999995E-3</v>
      </c>
      <c r="J11" s="28">
        <f>IF(G11="","",IFERROR(VLOOKUP(A11,NoviaFunds[],4,FALSE),""))</f>
        <v>8.3999999999999995E-3</v>
      </c>
    </row>
    <row r="12" spans="1:12" x14ac:dyDescent="0.2">
      <c r="A12" s="17" t="s">
        <v>59</v>
      </c>
      <c r="B12" s="21" t="str">
        <f>IFERROR(VLOOKUP(A12,NoviaFunds[],2,FALSE),"")</f>
        <v>ASI Emerging Markets Income Equity Ret Platform 1 Acc GBP in GB</v>
      </c>
      <c r="C12" s="22"/>
      <c r="D12" s="22"/>
      <c r="E12" s="23" t="str">
        <f>IFERROR(VLOOKUP(A12,NoviaFunds[],6,FALSE),"")</f>
        <v>Emerging Markets</v>
      </c>
      <c r="F12" s="14">
        <v>7.0000000000000007E-2</v>
      </c>
      <c r="G12" s="14">
        <v>0.12</v>
      </c>
      <c r="H12" s="24">
        <f t="shared" si="1"/>
        <v>4.9999999999999989E-2</v>
      </c>
      <c r="I12" s="25">
        <f>IFERROR(VLOOKUP(A12,NoviaFunds[],4,FALSE),"")</f>
        <v>9.300000000000001E-3</v>
      </c>
      <c r="J12" s="28">
        <f>IF(G12="","",IFERROR(VLOOKUP(A12,NoviaFunds[],4,FALSE),""))</f>
        <v>9.300000000000001E-3</v>
      </c>
    </row>
    <row r="13" spans="1:12" x14ac:dyDescent="0.2">
      <c r="A13" s="17" t="s">
        <v>53</v>
      </c>
      <c r="B13" s="21" t="str">
        <f>IFERROR(VLOOKUP(A13,NoviaFunds[],2,FALSE),"")</f>
        <v>Federated Hermes Global Emerging Markets F Acc</v>
      </c>
      <c r="C13" s="22"/>
      <c r="D13" s="22"/>
      <c r="E13" s="23" t="str">
        <f>IFERROR(VLOOKUP(A13,NoviaFunds[],6,FALSE),"")</f>
        <v>Emerging Markets</v>
      </c>
      <c r="F13" s="14">
        <v>0.08</v>
      </c>
      <c r="G13" s="14">
        <v>0.08</v>
      </c>
      <c r="H13" s="24">
        <f t="shared" si="1"/>
        <v>0</v>
      </c>
      <c r="I13" s="25">
        <f>IFERROR(VLOOKUP(A13,NoviaFunds[],4,FALSE),"")</f>
        <v>1.1000000000000001E-2</v>
      </c>
      <c r="J13" s="28">
        <f>IF(G13="","",IFERROR(VLOOKUP(A13,NoviaFunds[],4,FALSE),""))</f>
        <v>1.1000000000000001E-2</v>
      </c>
    </row>
    <row r="14" spans="1:12" x14ac:dyDescent="0.2">
      <c r="A14" s="17" t="s">
        <v>66</v>
      </c>
      <c r="B14" s="21" t="str">
        <f>IFERROR(VLOOKUP(A14,NoviaFunds[],2,FALSE),"")</f>
        <v>JPM Emerging Markets Income C Acc in GB</v>
      </c>
      <c r="C14" s="22"/>
      <c r="D14" s="22"/>
      <c r="E14" s="23" t="str">
        <f>IFERROR(VLOOKUP(A14,NoviaFunds[],6,FALSE),"")</f>
        <v>Emerging Markets</v>
      </c>
      <c r="F14" s="14">
        <v>7.0000000000000007E-2</v>
      </c>
      <c r="G14" s="14">
        <v>0.12</v>
      </c>
      <c r="H14" s="24">
        <f t="shared" si="1"/>
        <v>4.9999999999999989E-2</v>
      </c>
      <c r="I14" s="25">
        <f>IFERROR(VLOOKUP(A14,NoviaFunds[],4,FALSE),"")</f>
        <v>9.0000000000000011E-3</v>
      </c>
      <c r="J14" s="28">
        <f>IF(G14="","",IFERROR(VLOOKUP(A14,NoviaFunds[],4,FALSE),""))</f>
        <v>9.0000000000000011E-3</v>
      </c>
      <c r="L14" s="1"/>
    </row>
    <row r="15" spans="1:12" x14ac:dyDescent="0.2">
      <c r="A15" s="17" t="s">
        <v>73</v>
      </c>
      <c r="B15" s="21" t="str">
        <f>IFERROR(VLOOKUP(A15,NoviaFunds[],2,FALSE),"")</f>
        <v>Threadneedle Global Emerging Market Equity ZNA GBP in GB</v>
      </c>
      <c r="C15" s="22"/>
      <c r="D15" s="22"/>
      <c r="E15" s="23" t="str">
        <f>IFERROR(VLOOKUP(A15,NoviaFunds[],6,FALSE),"")</f>
        <v>Emerging Markets</v>
      </c>
      <c r="F15" s="14">
        <v>0.03</v>
      </c>
      <c r="G15" s="14">
        <v>0</v>
      </c>
      <c r="H15" s="24">
        <f t="shared" si="1"/>
        <v>-0.03</v>
      </c>
      <c r="I15" s="25">
        <f>IFERROR(VLOOKUP(A15,NoviaFunds[],4,FALSE),"")</f>
        <v>9.0000000000000011E-3</v>
      </c>
      <c r="J15" s="28">
        <f>IF(G15="","",IFERROR(VLOOKUP(A15,NoviaFunds[],4,FALSE),""))</f>
        <v>9.0000000000000011E-3</v>
      </c>
    </row>
    <row r="16" spans="1:12" x14ac:dyDescent="0.2">
      <c r="A16" s="17" t="s">
        <v>67</v>
      </c>
      <c r="B16" s="21" t="str">
        <f>IFERROR(VLOOKUP(A16,NoviaFunds[],2,FALSE),"")</f>
        <v>UBS Global Emerging Markets Equity C Acc in GB</v>
      </c>
      <c r="C16" s="22"/>
      <c r="D16" s="22"/>
      <c r="E16" s="23" t="str">
        <f>IFERROR(VLOOKUP(A16,NoviaFunds[],6,FALSE),"")</f>
        <v>Emerging Markets</v>
      </c>
      <c r="F16" s="14">
        <v>0.05</v>
      </c>
      <c r="G16" s="14">
        <v>0.08</v>
      </c>
      <c r="H16" s="24">
        <f t="shared" si="1"/>
        <v>0.03</v>
      </c>
      <c r="I16" s="25">
        <f>IFERROR(VLOOKUP(A16,NoviaFunds[],4,FALSE),"")</f>
        <v>8.8999999999999999E-3</v>
      </c>
      <c r="J16" s="28">
        <f>IF(G16="","",IFERROR(VLOOKUP(A16,NoviaFunds[],4,FALSE),""))</f>
        <v>8.8999999999999999E-3</v>
      </c>
    </row>
    <row r="17" spans="1:10" x14ac:dyDescent="0.2">
      <c r="A17" s="17" t="s">
        <v>54</v>
      </c>
      <c r="B17" s="21" t="str">
        <f>IFERROR(VLOOKUP(A17,NoviaFunds[],2,FALSE),"")</f>
        <v>BlackRock Continental European D Acc in GB</v>
      </c>
      <c r="C17" s="22"/>
      <c r="D17" s="22"/>
      <c r="E17" s="23" t="str">
        <f>IFERROR(VLOOKUP(A17,NoviaFunds[],6,FALSE),"")</f>
        <v>European Equities</v>
      </c>
      <c r="F17" s="14">
        <v>0.08</v>
      </c>
      <c r="G17" s="14">
        <v>0</v>
      </c>
      <c r="H17" s="24">
        <f t="shared" si="1"/>
        <v>-0.08</v>
      </c>
      <c r="I17" s="25">
        <f>IFERROR(VLOOKUP(A17,NoviaFunds[],4,FALSE),"")</f>
        <v>9.1999999999999998E-3</v>
      </c>
      <c r="J17" s="28">
        <f>IF(G17="","",IFERROR(VLOOKUP(A17,NoviaFunds[],4,FALSE),""))</f>
        <v>9.1999999999999998E-3</v>
      </c>
    </row>
    <row r="18" spans="1:10" x14ac:dyDescent="0.2">
      <c r="A18" s="17" t="s">
        <v>3087</v>
      </c>
      <c r="B18" s="21" t="str">
        <f>IFERROR(VLOOKUP(A18,NoviaFunds[],2,FALSE),"")</f>
        <v>HSBC European Index C Acc in GB</v>
      </c>
      <c r="C18" s="22"/>
      <c r="D18" s="22"/>
      <c r="E18" s="23" t="str">
        <f>IFERROR(VLOOKUP(A18,NoviaFunds[],6,FALSE),"")</f>
        <v>European Equities</v>
      </c>
      <c r="F18" s="14">
        <v>0</v>
      </c>
      <c r="G18" s="14">
        <v>0.06</v>
      </c>
      <c r="H18" s="24">
        <f t="shared" si="1"/>
        <v>0.06</v>
      </c>
      <c r="I18" s="25">
        <f>IFERROR(VLOOKUP(A18,NoviaFunds[],4,FALSE),"")</f>
        <v>5.9999999999999995E-4</v>
      </c>
      <c r="J18" s="28">
        <f>IF(G18="","",IFERROR(VLOOKUP(A18,NoviaFunds[],4,FALSE),""))</f>
        <v>5.9999999999999995E-4</v>
      </c>
    </row>
    <row r="19" spans="1:10" x14ac:dyDescent="0.2">
      <c r="A19" s="17" t="s">
        <v>56</v>
      </c>
      <c r="B19" s="21" t="str">
        <f>IFERROR(VLOOKUP(A19,NoviaFunds[],2,FALSE),"")</f>
        <v>Baillie Gifford Japanese B Acc in GB**</v>
      </c>
      <c r="C19" s="22"/>
      <c r="D19" s="22"/>
      <c r="E19" s="23" t="str">
        <f>IFERROR(VLOOKUP(A19,NoviaFunds[],6,FALSE),"")</f>
        <v>Japanese Equities</v>
      </c>
      <c r="F19" s="14">
        <v>0.08</v>
      </c>
      <c r="G19" s="14">
        <v>0.06</v>
      </c>
      <c r="H19" s="24">
        <f t="shared" si="1"/>
        <v>-2.0000000000000004E-2</v>
      </c>
      <c r="I19" s="25">
        <f>IFERROR(VLOOKUP(A19,NoviaFunds[],4,FALSE),"")</f>
        <v>6.0999999999999995E-3</v>
      </c>
      <c r="J19" s="28">
        <f>IF(G19="","",IFERROR(VLOOKUP(A19,NoviaFunds[],4,FALSE),""))</f>
        <v>6.0999999999999995E-3</v>
      </c>
    </row>
    <row r="20" spans="1:10" x14ac:dyDescent="0.2">
      <c r="A20" s="17" t="s">
        <v>68</v>
      </c>
      <c r="B20" s="21" t="str">
        <f>IFERROR(VLOOKUP(A20,NoviaFunds[],2,FALSE),"")</f>
        <v>JPM Japan C Hedged Acc in GB</v>
      </c>
      <c r="C20" s="22"/>
      <c r="D20" s="22"/>
      <c r="E20" s="23" t="str">
        <f>IFERROR(VLOOKUP(A20,NoviaFunds[],6,FALSE),"")</f>
        <v>Japanese Equities</v>
      </c>
      <c r="F20" s="14">
        <v>0.04</v>
      </c>
      <c r="G20" s="14">
        <v>0</v>
      </c>
      <c r="H20" s="24">
        <f t="shared" si="1"/>
        <v>-0.04</v>
      </c>
      <c r="I20" s="25">
        <f>IFERROR(VLOOKUP(A20,NoviaFunds[],4,FALSE),"")</f>
        <v>8.3000000000000001E-3</v>
      </c>
      <c r="J20" s="28">
        <f>IF(G20="","",IFERROR(VLOOKUP(A20,NoviaFunds[],4,FALSE),""))</f>
        <v>8.3000000000000001E-3</v>
      </c>
    </row>
    <row r="21" spans="1:10" x14ac:dyDescent="0.2">
      <c r="A21" s="17" t="s">
        <v>20</v>
      </c>
      <c r="B21" s="21" t="str">
        <f>IFERROR(VLOOKUP(A21,NoviaFunds[],2,FALSE),"")</f>
        <v>Jupiter Gold &amp; Silver I Acc</v>
      </c>
      <c r="C21" s="22"/>
      <c r="D21" s="22"/>
      <c r="E21" s="23" t="str">
        <f>IFERROR(VLOOKUP(A21,NoviaFunds[],6,FALSE),"")</f>
        <v>Specialist</v>
      </c>
      <c r="F21" s="14">
        <v>0.05</v>
      </c>
      <c r="G21" s="14">
        <v>0</v>
      </c>
      <c r="H21" s="24">
        <f t="shared" si="1"/>
        <v>-0.05</v>
      </c>
      <c r="I21" s="25">
        <f>IFERROR(VLOOKUP(A21,NoviaFunds[],4,FALSE),"")</f>
        <v>8.8000000000000005E-3</v>
      </c>
      <c r="J21" s="28">
        <f>IF(G21="","",IFERROR(VLOOKUP(A21,NoviaFunds[],4,FALSE),""))</f>
        <v>8.8000000000000005E-3</v>
      </c>
    </row>
    <row r="22" spans="1:10" x14ac:dyDescent="0.2">
      <c r="A22" s="17" t="s">
        <v>23</v>
      </c>
      <c r="B22" s="21" t="str">
        <f>IFERROR(VLOOKUP(A22,NoviaFunds[],2,FALSE),"")</f>
        <v>Allianz UK Listed Equity Income E Inc GBP</v>
      </c>
      <c r="C22" s="22"/>
      <c r="D22" s="22"/>
      <c r="E22" s="23" t="str">
        <f>IFERROR(VLOOKUP(A22,NoviaFunds[],6,FALSE),"")</f>
        <v>UK Equities</v>
      </c>
      <c r="F22" s="14">
        <v>0</v>
      </c>
      <c r="G22" s="14">
        <v>3.2500000000000001E-2</v>
      </c>
      <c r="H22" s="24">
        <f t="shared" si="1"/>
        <v>3.2500000000000001E-2</v>
      </c>
      <c r="I22" s="25">
        <f>IFERROR(VLOOKUP(A22,NoviaFunds[],4,FALSE),"")</f>
        <v>3.8E-3</v>
      </c>
      <c r="J22" s="28">
        <f>IF(G22="","",IFERROR(VLOOKUP(A22,NoviaFunds[],4,FALSE),""))</f>
        <v>3.8E-3</v>
      </c>
    </row>
    <row r="23" spans="1:10" x14ac:dyDescent="0.2">
      <c r="A23" s="17" t="s">
        <v>25</v>
      </c>
      <c r="B23" s="21" t="str">
        <f>IFERROR(VLOOKUP(A23,NoviaFunds[],2,FALSE),"")</f>
        <v>FTF Franklin UK Equity Income W Acc TR in GB</v>
      </c>
      <c r="C23" s="22"/>
      <c r="D23" s="22"/>
      <c r="E23" s="23" t="str">
        <f>IFERROR(VLOOKUP(A23,NoviaFunds[],6,FALSE),"")</f>
        <v>UK Equities</v>
      </c>
      <c r="F23" s="14">
        <v>0</v>
      </c>
      <c r="G23" s="14">
        <v>3.2500000000000001E-2</v>
      </c>
      <c r="H23" s="24">
        <f t="shared" si="1"/>
        <v>3.2500000000000001E-2</v>
      </c>
      <c r="I23" s="25">
        <f>IFERROR(VLOOKUP(A23,NoviaFunds[],4,FALSE),"")</f>
        <v>5.1999999999999998E-3</v>
      </c>
      <c r="J23" s="28">
        <f>IF(G23="","",IFERROR(VLOOKUP(A23,NoviaFunds[],4,FALSE),""))</f>
        <v>5.1999999999999998E-3</v>
      </c>
    </row>
    <row r="24" spans="1:10" x14ac:dyDescent="0.2">
      <c r="A24" s="17" t="s">
        <v>22</v>
      </c>
      <c r="B24" s="21" t="str">
        <f>IFERROR(VLOOKUP(A24,NoviaFunds[],2,FALSE),"")</f>
        <v>Slater Growth P Acc in GB</v>
      </c>
      <c r="C24" s="22"/>
      <c r="D24" s="22"/>
      <c r="E24" s="23" t="str">
        <f>IFERROR(VLOOKUP(A24,NoviaFunds[],6,FALSE),"")</f>
        <v>UK Equities</v>
      </c>
      <c r="F24" s="14">
        <v>0.08</v>
      </c>
      <c r="G24" s="14">
        <v>2.5999999999999999E-2</v>
      </c>
      <c r="H24" s="24">
        <f t="shared" si="1"/>
        <v>-5.4000000000000006E-2</v>
      </c>
      <c r="I24" s="25">
        <f>IFERROR(VLOOKUP(A24,NoviaFunds[],4,FALSE),"")</f>
        <v>8.1000000000000013E-3</v>
      </c>
      <c r="J24" s="28">
        <f>IF(G24="","",IFERROR(VLOOKUP(A24,NoviaFunds[],4,FALSE),""))</f>
        <v>8.1000000000000013E-3</v>
      </c>
    </row>
    <row r="25" spans="1:10" x14ac:dyDescent="0.2">
      <c r="A25" s="17" t="s">
        <v>8389</v>
      </c>
      <c r="B25" s="21" t="str">
        <f>IFERROR(VLOOKUP(A25,NoviaFunds[],2,FALSE),"")</f>
        <v>Vanguard FTSE U.K. All Share Index Unit Trust A Acc GBP in GB</v>
      </c>
      <c r="C25" s="22"/>
      <c r="D25" s="22"/>
      <c r="E25" s="23" t="str">
        <f>IFERROR(VLOOKUP(A25,NoviaFunds[],6,FALSE),"")</f>
        <v>UK Equities</v>
      </c>
      <c r="F25" s="14">
        <v>0</v>
      </c>
      <c r="G25" s="14">
        <v>3.9E-2</v>
      </c>
      <c r="H25" s="24">
        <f t="shared" si="1"/>
        <v>3.9E-2</v>
      </c>
      <c r="I25" s="25">
        <f>IFERROR(VLOOKUP(A25,NoviaFunds[],4,FALSE),"")</f>
        <v>5.9999999999999995E-4</v>
      </c>
      <c r="J25" s="28">
        <f>IF(G25="","",IFERROR(VLOOKUP(A25,NoviaFunds[],4,FALSE),""))</f>
        <v>5.9999999999999995E-4</v>
      </c>
    </row>
    <row r="26" spans="1:10" x14ac:dyDescent="0.2">
      <c r="A26" s="17" t="s">
        <v>62</v>
      </c>
      <c r="B26" s="21" t="str">
        <f>IFERROR(VLOOKUP(A26,NoviaFunds[],2,FALSE),"")</f>
        <v>Artemis US Smaller Companies I Acc GBP in GB</v>
      </c>
      <c r="C26" s="22"/>
      <c r="D26" s="22"/>
      <c r="E26" s="23" t="str">
        <f>IFERROR(VLOOKUP(A26,NoviaFunds[],6,FALSE),"")</f>
        <v>USA Equities</v>
      </c>
      <c r="F26" s="14">
        <v>7.0000000000000007E-2</v>
      </c>
      <c r="G26" s="14">
        <v>0.02</v>
      </c>
      <c r="H26" s="24">
        <f t="shared" si="1"/>
        <v>-0.05</v>
      </c>
      <c r="I26" s="25">
        <f>IFERROR(VLOOKUP(A26,NoviaFunds[],4,FALSE),"")</f>
        <v>8.8999999999999999E-3</v>
      </c>
      <c r="J26" s="28">
        <f>IF(G26="","",IFERROR(VLOOKUP(A26,NoviaFunds[],4,FALSE),""))</f>
        <v>8.8999999999999999E-3</v>
      </c>
    </row>
    <row r="27" spans="1:10" x14ac:dyDescent="0.2">
      <c r="A27" s="17" t="s">
        <v>2706</v>
      </c>
      <c r="B27" s="21" t="str">
        <f>IFERROR(VLOOKUP(A27,NoviaFunds[],2,FALSE),"")</f>
        <v>Fidelity Index US P in GB</v>
      </c>
      <c r="C27" s="22"/>
      <c r="D27" s="22"/>
      <c r="E27" s="23" t="str">
        <f>IFERROR(VLOOKUP(A27,NoviaFunds[],6,FALSE),"")</f>
        <v>USA Equities</v>
      </c>
      <c r="F27" s="14">
        <v>0</v>
      </c>
      <c r="G27" s="14">
        <v>0.04</v>
      </c>
      <c r="H27" s="24">
        <f t="shared" si="1"/>
        <v>0.04</v>
      </c>
      <c r="I27" s="25">
        <f>IFERROR(VLOOKUP(A27,NoviaFunds[],4,FALSE),"")</f>
        <v>5.9999999999999995E-4</v>
      </c>
      <c r="J27" s="28">
        <f>IF(G27="","",IFERROR(VLOOKUP(A27,NoviaFunds[],4,FALSE),""))</f>
        <v>5.9999999999999995E-4</v>
      </c>
    </row>
    <row r="28" spans="1:10" x14ac:dyDescent="0.2">
      <c r="A28" s="17" t="s">
        <v>60</v>
      </c>
      <c r="B28" s="21" t="str">
        <f>IFERROR(VLOOKUP(A28,NoviaFunds[],2,FALSE),"")</f>
        <v>Vanguard US Equity Index Acc GBP in GB</v>
      </c>
      <c r="C28" s="22"/>
      <c r="D28" s="22"/>
      <c r="E28" s="23" t="str">
        <f>IFERROR(VLOOKUP(A28,NoviaFunds[],6,FALSE),"")</f>
        <v>USA Equities</v>
      </c>
      <c r="F28" s="14">
        <v>0.03</v>
      </c>
      <c r="G28" s="14">
        <v>0</v>
      </c>
      <c r="H28" s="24">
        <f t="shared" si="1"/>
        <v>-0.03</v>
      </c>
      <c r="I28" s="25">
        <f>IFERROR(VLOOKUP(A28,NoviaFunds[],4,FALSE),"")</f>
        <v>1E-3</v>
      </c>
      <c r="J28" s="28">
        <f>IF(G28="","",IFERROR(VLOOKUP(A28,NoviaFunds[],4,FALSE),""))</f>
        <v>1E-3</v>
      </c>
    </row>
    <row r="29" spans="1:10" x14ac:dyDescent="0.2">
      <c r="A29" s="17" t="s">
        <v>9539</v>
      </c>
      <c r="B29" s="21" t="str">
        <f>IFERROR(VLOOKUP(A29,NoviaFunds[],2,FALSE),"")</f>
        <v>Xtrackers S&amp;P 500 Equal Weight UCITS ETF</v>
      </c>
      <c r="C29" s="22"/>
      <c r="D29" s="22"/>
      <c r="E29" s="23" t="str">
        <f>IFERROR(VLOOKUP(A29,NoviaFunds[],6,FALSE),"")</f>
        <v>USA Equities</v>
      </c>
      <c r="F29" s="14">
        <v>0</v>
      </c>
      <c r="G29" s="14">
        <v>0.02</v>
      </c>
      <c r="H29" s="24">
        <f t="shared" si="1"/>
        <v>0.02</v>
      </c>
      <c r="I29" s="25">
        <f>IFERROR(VLOOKUP(A29,NoviaFunds[],4,FALSE),"")</f>
        <v>2.5000000000000001E-3</v>
      </c>
      <c r="J29" s="28">
        <f>IF(G29="","",IFERROR(VLOOKUP(A29,NoviaFunds[],4,FALSE),""))</f>
        <v>2.5000000000000001E-3</v>
      </c>
    </row>
    <row r="30" spans="1:10" x14ac:dyDescent="0.2">
      <c r="A30" s="17"/>
      <c r="B30" s="21" t="str">
        <f>IFERROR(VLOOKUP(A30,NoviaFunds[],2,FALSE),"")</f>
        <v/>
      </c>
      <c r="C30" s="22"/>
      <c r="D30" s="22"/>
      <c r="E30" s="23" t="str">
        <f>IFERROR(VLOOKUP(A30,NoviaFunds[],6,FALSE),"")</f>
        <v/>
      </c>
      <c r="F30" s="14"/>
      <c r="G30" s="14"/>
      <c r="H30" s="24"/>
      <c r="I30" s="25" t="str">
        <f>IFERROR(VLOOKUP(A30,NoviaFunds[],4,FALSE),"")</f>
        <v/>
      </c>
      <c r="J30" s="28" t="str">
        <f>IF(G30="","",IFERROR(VLOOKUP(A30,NoviaFunds[],4,FALSE),""))</f>
        <v/>
      </c>
    </row>
    <row r="31" spans="1:10" x14ac:dyDescent="0.2">
      <c r="A31" s="17"/>
      <c r="B31" s="21" t="str">
        <f>IFERROR(VLOOKUP(A31,NoviaFunds[],2,FALSE),"")</f>
        <v/>
      </c>
      <c r="C31" s="22"/>
      <c r="D31" s="22"/>
      <c r="E31" s="23" t="str">
        <f>IFERROR(VLOOKUP(A31,NoviaFunds[],6,FALSE),"")</f>
        <v/>
      </c>
      <c r="F31" s="14"/>
      <c r="G31" s="14"/>
      <c r="H31" s="24"/>
      <c r="I31" s="25" t="str">
        <f>IFERROR(VLOOKUP(A31,NoviaFunds[],4,FALSE),"")</f>
        <v/>
      </c>
      <c r="J31" s="28" t="str">
        <f>IF(G31="","",IFERROR(VLOOKUP(A31,NoviaFunds[],4,FALSE),""))</f>
        <v/>
      </c>
    </row>
    <row r="32" spans="1:10" x14ac:dyDescent="0.2">
      <c r="A32" s="17"/>
      <c r="B32" s="21" t="str">
        <f>IFERROR(VLOOKUP(A32,NoviaFunds[],2,FALSE),"")</f>
        <v/>
      </c>
      <c r="C32" s="22"/>
      <c r="D32" s="22"/>
      <c r="E32" s="23" t="str">
        <f>IFERROR(VLOOKUP(A32,NoviaFunds[],6,FALSE),"")</f>
        <v/>
      </c>
      <c r="F32" s="14"/>
      <c r="G32" s="14"/>
      <c r="H32" s="24"/>
      <c r="I32" s="25" t="str">
        <f>IFERROR(VLOOKUP(A32,NoviaFunds[],4,FALSE),"")</f>
        <v/>
      </c>
      <c r="J32" s="28" t="str">
        <f>IF(G32="","",IFERROR(VLOOKUP(A32,NoviaFunds[],4,FALSE),""))</f>
        <v/>
      </c>
    </row>
    <row r="33" spans="1:10" x14ac:dyDescent="0.2">
      <c r="A33" s="17"/>
      <c r="B33" s="21" t="str">
        <f>IFERROR(VLOOKUP(A33,NoviaFunds[],2,FALSE),"")</f>
        <v/>
      </c>
      <c r="C33" s="22"/>
      <c r="D33" s="22"/>
      <c r="E33" s="23" t="str">
        <f>IFERROR(VLOOKUP(A33,NoviaFunds[],6,FALSE),"")</f>
        <v/>
      </c>
      <c r="F33" s="14"/>
      <c r="G33" s="14"/>
      <c r="H33" s="24"/>
      <c r="I33" s="25" t="str">
        <f>IFERROR(VLOOKUP(A33,NoviaFunds[],4,FALSE),"")</f>
        <v/>
      </c>
      <c r="J33" s="28" t="str">
        <f>IF(G33="","",IFERROR(VLOOKUP(A33,NoviaFunds[],4,FALSE),""))</f>
        <v/>
      </c>
    </row>
    <row r="34" spans="1:10" x14ac:dyDescent="0.2">
      <c r="A34" s="17"/>
      <c r="B34" s="21" t="str">
        <f>IFERROR(VLOOKUP(A34,NoviaFunds[],2,FALSE),"")</f>
        <v/>
      </c>
      <c r="C34" s="22"/>
      <c r="D34" s="22"/>
      <c r="E34" s="23" t="str">
        <f>IFERROR(VLOOKUP(A34,NoviaFunds[],6,FALSE),"")</f>
        <v/>
      </c>
      <c r="F34" s="14"/>
      <c r="G34" s="14"/>
      <c r="H34" s="24"/>
      <c r="I34" s="25" t="str">
        <f>IFERROR(VLOOKUP(A34,NoviaFunds[],4,FALSE),"")</f>
        <v/>
      </c>
      <c r="J34" s="28" t="str">
        <f>IF(G34="","",IFERROR(VLOOKUP(A34,NoviaFunds[],4,FALSE),""))</f>
        <v/>
      </c>
    </row>
    <row r="35" spans="1:10" x14ac:dyDescent="0.2">
      <c r="A35" s="17"/>
      <c r="B35" s="21" t="str">
        <f>IFERROR(VLOOKUP(A35,NoviaFunds[],2,FALSE),"")</f>
        <v/>
      </c>
      <c r="C35" s="22"/>
      <c r="D35" s="22"/>
      <c r="E35" s="23" t="str">
        <f>IFERROR(VLOOKUP(A35,NoviaFunds[],6,FALSE),"")</f>
        <v/>
      </c>
      <c r="F35" s="14"/>
      <c r="G35" s="14"/>
      <c r="H35" s="24"/>
      <c r="I35" s="25" t="str">
        <f>IFERROR(VLOOKUP(A35,NoviaFunds[],4,FALSE),"")</f>
        <v/>
      </c>
      <c r="J35" s="28" t="str">
        <f>IF(G35="","",IFERROR(VLOOKUP(A35,NoviaFunds[],4,FALSE),""))</f>
        <v/>
      </c>
    </row>
    <row r="36" spans="1:10" x14ac:dyDescent="0.2">
      <c r="A36" s="17"/>
      <c r="B36" s="21" t="str">
        <f>IFERROR(VLOOKUP(A36,NoviaFunds[],2,FALSE),"")</f>
        <v/>
      </c>
      <c r="C36" s="22"/>
      <c r="D36" s="22"/>
      <c r="E36" s="23" t="str">
        <f>IFERROR(VLOOKUP(A36,NoviaFunds[],6,FALSE),"")</f>
        <v/>
      </c>
      <c r="F36" s="14"/>
      <c r="G36" s="14"/>
      <c r="H36" s="24"/>
      <c r="I36" s="25" t="str">
        <f>IFERROR(VLOOKUP(A36,NoviaFunds[],4,FALSE),"")</f>
        <v/>
      </c>
      <c r="J36" s="28" t="str">
        <f>IF(G36="","",IFERROR(VLOOKUP(A36,NoviaFunds[],4,FALSE),""))</f>
        <v/>
      </c>
    </row>
    <row r="37" spans="1:10" x14ac:dyDescent="0.2">
      <c r="A37" s="17"/>
      <c r="B37" s="21" t="str">
        <f>IFERROR(VLOOKUP(A37,NoviaFunds[],2,FALSE),"")</f>
        <v/>
      </c>
      <c r="C37" s="22"/>
      <c r="D37" s="22"/>
      <c r="E37" s="23" t="str">
        <f>IFERROR(VLOOKUP(A37,NoviaFunds[],6,FALSE),"")</f>
        <v/>
      </c>
      <c r="F37" s="14"/>
      <c r="G37" s="14"/>
      <c r="H37" s="24"/>
      <c r="I37" s="25" t="str">
        <f>IFERROR(VLOOKUP(A37,NoviaFunds[],4,FALSE),"")</f>
        <v/>
      </c>
      <c r="J37" s="28" t="str">
        <f>IF(G37="","",IFERROR(VLOOKUP(A37,NoviaFunds[],4,FALSE),""))</f>
        <v/>
      </c>
    </row>
    <row r="38" spans="1:10" x14ac:dyDescent="0.2">
      <c r="A38" s="17"/>
      <c r="B38" s="21" t="str">
        <f>IFERROR(VLOOKUP(A38,NoviaFunds[],2,FALSE),"")</f>
        <v/>
      </c>
      <c r="C38" s="22"/>
      <c r="D38" s="22"/>
      <c r="E38" s="23" t="str">
        <f>IFERROR(VLOOKUP(A38,NoviaFunds[],6,FALSE),"")</f>
        <v/>
      </c>
      <c r="F38" s="14"/>
      <c r="G38" s="14"/>
      <c r="H38" s="24"/>
      <c r="I38" s="25" t="str">
        <f>IFERROR(VLOOKUP(A38,NoviaFunds[],4,FALSE),"")</f>
        <v/>
      </c>
      <c r="J38" s="28" t="str">
        <f>IF(G38="","",IFERROR(VLOOKUP(A38,NoviaFunds[],4,FALSE),""))</f>
        <v/>
      </c>
    </row>
    <row r="39" spans="1:10" ht="16.5" thickBot="1" x14ac:dyDescent="0.3">
      <c r="A39" s="199"/>
      <c r="B39" s="200"/>
      <c r="C39" s="200"/>
      <c r="D39" s="200"/>
      <c r="E39" s="201"/>
      <c r="F39" s="202">
        <f>SUM(F4:F38)</f>
        <v>1</v>
      </c>
      <c r="G39" s="202">
        <f>SUM(G4:G38)</f>
        <v>1</v>
      </c>
      <c r="H39" s="202"/>
      <c r="I39" s="203">
        <f>SUMPRODUCT(F4:F38,I4:I38)</f>
        <v>8.2980000000000016E-3</v>
      </c>
      <c r="J39" s="204">
        <f>SUMPRODUCT(G4:G38,J4:J38)</f>
        <v>6.4334999999999991E-3</v>
      </c>
    </row>
    <row r="40" spans="1:10" ht="15.75" thickTop="1" thickBot="1" x14ac:dyDescent="0.25">
      <c r="A40" s="205"/>
      <c r="B40" s="161"/>
      <c r="C40" s="161"/>
      <c r="D40" s="161"/>
      <c r="E40" s="162"/>
      <c r="F40" s="163"/>
      <c r="G40" s="164"/>
      <c r="H40" s="164"/>
      <c r="I40" s="162"/>
      <c r="J40" s="206"/>
    </row>
    <row r="41" spans="1:10" ht="30.75" thickTop="1" x14ac:dyDescent="0.2">
      <c r="A41" s="477" t="s">
        <v>5</v>
      </c>
      <c r="B41" s="478" t="s">
        <v>26</v>
      </c>
      <c r="C41" s="478" t="s">
        <v>27</v>
      </c>
      <c r="D41" s="479" t="s">
        <v>28</v>
      </c>
      <c r="E41" s="479" t="s">
        <v>9555</v>
      </c>
      <c r="F41" s="480" t="s">
        <v>30</v>
      </c>
      <c r="G41" s="481" t="s">
        <v>9572</v>
      </c>
      <c r="H41" s="481" t="s">
        <v>31</v>
      </c>
      <c r="I41" s="480" t="s">
        <v>30</v>
      </c>
      <c r="J41" s="482"/>
    </row>
    <row r="42" spans="1:10" x14ac:dyDescent="0.2">
      <c r="A42" s="483" t="s">
        <v>32</v>
      </c>
      <c r="B42" s="484">
        <f>MAX(0,IF(D42&lt;10%,D42-3%,IF(AND(D42&gt;=10%,D42&lt;20%),D42-5%,D42-8%)))</f>
        <v>0.08</v>
      </c>
      <c r="C42" s="484">
        <f>IF(D42&lt;10%,D42+3%,IF(AND(D42&gt;=10%,D42&lt;20%),D42+5%,D42+8%))</f>
        <v>0.18</v>
      </c>
      <c r="D42" s="485">
        <f>VLOOKUP(A42,'Asset Allocations'!A:Q,14,FALSE)</f>
        <v>0.13</v>
      </c>
      <c r="E42" s="414">
        <f>VLOOKUP(A42,'Asset Allocations'!A:O,15,FALSE)</f>
        <v>0.13</v>
      </c>
      <c r="F42" s="487">
        <f>IFERROR(E42-D42,"")</f>
        <v>0</v>
      </c>
      <c r="G42" s="579">
        <f>IF(SUMIF($E$4:$E$38,$A42,$F$4:$F$38)=0,0,SUMIF($E$4:$E$38,$A42,$F$4:$F$38))</f>
        <v>0.08</v>
      </c>
      <c r="H42" s="488">
        <f>IF(SUMIF($E$4:$E$38,$A42,$G$4:$G$38)=0,0,SUMIF($E$4:$E$38,$A42,$G$4:$G$38))</f>
        <v>0.13</v>
      </c>
      <c r="I42" s="207">
        <f>IFERROR(H42-D42,"")</f>
        <v>0</v>
      </c>
      <c r="J42" s="489"/>
    </row>
    <row r="43" spans="1:10" x14ac:dyDescent="0.2">
      <c r="A43" s="483" t="s">
        <v>33</v>
      </c>
      <c r="B43" s="484">
        <f t="shared" ref="B43:B48" si="2">MAX(0,IF(D43&lt;10%,D43-3%,IF(AND(D43&gt;=10%,D43&lt;20%),D43-5%,D43-8%)))</f>
        <v>0.05</v>
      </c>
      <c r="C43" s="484">
        <f t="shared" ref="C43:C48" si="3">IF(D43&lt;10%,D43+3%,IF(AND(D43&gt;=10%,D43&lt;20%),D43+5%,D43+8%))</f>
        <v>0.11</v>
      </c>
      <c r="D43" s="490">
        <f>VLOOKUP(A43,'Asset Allocations'!A:Q,14,FALSE)</f>
        <v>0.08</v>
      </c>
      <c r="E43" s="486">
        <f>VLOOKUP(A43,'Asset Allocations'!A:O,15,FALSE)</f>
        <v>0.08</v>
      </c>
      <c r="F43" s="487">
        <f t="shared" ref="F43:F63" si="4">IFERROR(E43-D43,"")</f>
        <v>0</v>
      </c>
      <c r="G43" s="579">
        <f t="shared" ref="G43:G48" si="5">IF(SUMIF($E$4:$E$38,$A43,$F$4:$F$38)=0,0,SUMIF($E$4:$E$38,$A43,$F$4:$F$38))</f>
        <v>0.1</v>
      </c>
      <c r="H43" s="488">
        <f t="shared" ref="H43:H62" si="6">IF(SUMIF($E$4:$E$38,$A43,$G$4:$G$38)=0,0,SUMIF($E$4:$E$38,$A43,$G$4:$G$38))</f>
        <v>0.08</v>
      </c>
      <c r="I43" s="207">
        <f>IFERROR(H43-D43,"")</f>
        <v>0</v>
      </c>
      <c r="J43" s="489"/>
    </row>
    <row r="44" spans="1:10" x14ac:dyDescent="0.2">
      <c r="A44" s="483" t="s">
        <v>34</v>
      </c>
      <c r="B44" s="484">
        <f t="shared" si="2"/>
        <v>0.03</v>
      </c>
      <c r="C44" s="484">
        <f t="shared" si="3"/>
        <v>0.09</v>
      </c>
      <c r="D44" s="485">
        <f>VLOOKUP(A44,'Asset Allocations'!A:Q,14,FALSE)</f>
        <v>0.06</v>
      </c>
      <c r="E44" s="486">
        <f>VLOOKUP(A44,'Asset Allocations'!A:O,15,FALSE)</f>
        <v>0.06</v>
      </c>
      <c r="F44" s="487">
        <f t="shared" si="4"/>
        <v>0</v>
      </c>
      <c r="G44" s="579">
        <f t="shared" si="5"/>
        <v>0.08</v>
      </c>
      <c r="H44" s="488">
        <f t="shared" si="6"/>
        <v>0.06</v>
      </c>
      <c r="I44" s="207">
        <f t="shared" ref="I44:I62" si="7">IFERROR(H44-D44,"")</f>
        <v>0</v>
      </c>
      <c r="J44" s="489"/>
    </row>
    <row r="45" spans="1:10" x14ac:dyDescent="0.2">
      <c r="A45" s="483" t="s">
        <v>35</v>
      </c>
      <c r="B45" s="484">
        <f t="shared" si="2"/>
        <v>0.16999999999999998</v>
      </c>
      <c r="C45" s="484">
        <f t="shared" si="3"/>
        <v>0.33</v>
      </c>
      <c r="D45" s="485">
        <f>VLOOKUP(A45,'Asset Allocations'!A:Q,14,FALSE)</f>
        <v>0.25</v>
      </c>
      <c r="E45" s="486">
        <f>VLOOKUP(A45,'Asset Allocations'!A:O,15,FALSE)</f>
        <v>0.25</v>
      </c>
      <c r="F45" s="487">
        <f t="shared" si="4"/>
        <v>0</v>
      </c>
      <c r="G45" s="579">
        <f t="shared" si="5"/>
        <v>0.25</v>
      </c>
      <c r="H45" s="488">
        <f t="shared" si="6"/>
        <v>0.25</v>
      </c>
      <c r="I45" s="207">
        <f t="shared" si="7"/>
        <v>0</v>
      </c>
      <c r="J45" s="489"/>
    </row>
    <row r="46" spans="1:10" x14ac:dyDescent="0.2">
      <c r="A46" s="483" t="s">
        <v>36</v>
      </c>
      <c r="B46" s="484">
        <f t="shared" si="2"/>
        <v>0.33999999999999997</v>
      </c>
      <c r="C46" s="484">
        <f t="shared" si="3"/>
        <v>0.5</v>
      </c>
      <c r="D46" s="485">
        <f>VLOOKUP(A46,'Asset Allocations'!A:Q,14,FALSE)</f>
        <v>0.42</v>
      </c>
      <c r="E46" s="486">
        <f>VLOOKUP(A46,'Asset Allocations'!A:O,15,FALSE)</f>
        <v>0.4</v>
      </c>
      <c r="F46" s="487">
        <f t="shared" si="4"/>
        <v>-1.9999999999999962E-2</v>
      </c>
      <c r="G46" s="579">
        <f t="shared" si="5"/>
        <v>0.3</v>
      </c>
      <c r="H46" s="488">
        <f t="shared" si="6"/>
        <v>0.4</v>
      </c>
      <c r="I46" s="207">
        <f t="shared" si="7"/>
        <v>-1.9999999999999962E-2</v>
      </c>
      <c r="J46" s="489"/>
    </row>
    <row r="47" spans="1:10" x14ac:dyDescent="0.2">
      <c r="A47" s="483" t="s">
        <v>37</v>
      </c>
      <c r="B47" s="484">
        <f t="shared" si="2"/>
        <v>0.03</v>
      </c>
      <c r="C47" s="484">
        <f t="shared" si="3"/>
        <v>0.09</v>
      </c>
      <c r="D47" s="485">
        <f>VLOOKUP(A47,'Asset Allocations'!A:Q,14,FALSE)</f>
        <v>0.06</v>
      </c>
      <c r="E47" s="486">
        <f>VLOOKUP(A47,'Asset Allocations'!A:O,15,FALSE)</f>
        <v>0.06</v>
      </c>
      <c r="F47" s="487">
        <f t="shared" si="4"/>
        <v>0</v>
      </c>
      <c r="G47" s="579">
        <f t="shared" si="5"/>
        <v>0.12</v>
      </c>
      <c r="H47" s="488">
        <f t="shared" si="6"/>
        <v>0.06</v>
      </c>
      <c r="I47" s="207">
        <f t="shared" si="7"/>
        <v>0</v>
      </c>
      <c r="J47" s="489"/>
    </row>
    <row r="48" spans="1:10" x14ac:dyDescent="0.2">
      <c r="A48" s="483" t="s">
        <v>38</v>
      </c>
      <c r="B48" s="484">
        <f t="shared" si="2"/>
        <v>0</v>
      </c>
      <c r="C48" s="484">
        <f t="shared" si="3"/>
        <v>0.03</v>
      </c>
      <c r="D48" s="485">
        <f>VLOOKUP(A48,'Asset Allocations'!A:Q,14,FALSE)</f>
        <v>0</v>
      </c>
      <c r="E48" s="486">
        <f>VLOOKUP(A48,'Asset Allocations'!A:O,15,FALSE)</f>
        <v>0</v>
      </c>
      <c r="F48" s="487">
        <f t="shared" si="4"/>
        <v>0</v>
      </c>
      <c r="G48" s="579">
        <f t="shared" si="5"/>
        <v>0</v>
      </c>
      <c r="H48" s="488">
        <f t="shared" si="6"/>
        <v>0</v>
      </c>
      <c r="I48" s="207">
        <f t="shared" si="7"/>
        <v>0</v>
      </c>
      <c r="J48" s="489"/>
    </row>
    <row r="49" spans="1:10" ht="15" x14ac:dyDescent="0.25">
      <c r="A49" s="491" t="s">
        <v>39</v>
      </c>
      <c r="B49" s="208">
        <f>MAX(0,D49-5%)</f>
        <v>0.95</v>
      </c>
      <c r="C49" s="208">
        <f>MIN(98%,D49+5%)</f>
        <v>0.98</v>
      </c>
      <c r="D49" s="208">
        <f>VLOOKUP(A49,'Asset Allocations'!A:Q,14,FALSE)</f>
        <v>1</v>
      </c>
      <c r="E49" s="208">
        <f>VLOOKUP(A49,'Asset Allocations'!A:O,15,FALSE)</f>
        <v>0.98</v>
      </c>
      <c r="F49" s="492">
        <f t="shared" si="4"/>
        <v>-2.0000000000000018E-2</v>
      </c>
      <c r="G49" s="585"/>
      <c r="H49" s="493">
        <f>SUM(H42:H48)</f>
        <v>0.98</v>
      </c>
      <c r="I49" s="13">
        <f t="shared" ref="I49:I56" si="8">IFERROR(IF(H49=0,"",H49-D49),"")</f>
        <v>-2.0000000000000018E-2</v>
      </c>
      <c r="J49" s="494"/>
    </row>
    <row r="50" spans="1:10" x14ac:dyDescent="0.2">
      <c r="A50" s="495" t="s">
        <v>40</v>
      </c>
      <c r="B50" s="484">
        <f>MAX(0,IF(D50&lt;10%,D50-3%,IF(AND(D50&gt;=10%,D50&lt;20%),D50-5%,D50-8%)))</f>
        <v>0</v>
      </c>
      <c r="C50" s="484">
        <f t="shared" ref="C50:C55" si="9">IF(D50&lt;10%,D50+3%,IF(AND(D50&gt;=10%,D50&lt;20%),D50+5%,D50+8%))</f>
        <v>0.03</v>
      </c>
      <c r="D50" s="485">
        <f>VLOOKUP(A50,'Asset Allocations'!A:Q,14,FALSE)</f>
        <v>0</v>
      </c>
      <c r="E50" s="486">
        <f>VLOOKUP(A50,'Asset Allocations'!A:O,15,FALSE)</f>
        <v>0</v>
      </c>
      <c r="F50" s="487">
        <f t="shared" si="4"/>
        <v>0</v>
      </c>
      <c r="G50" s="579">
        <f>IF(SUMIF($E$4:$E$38,$A50,$F$4:$F$38)=0,0,SUMIF($E$4:$E$38,$A50,$F$4:$F$38))</f>
        <v>0</v>
      </c>
      <c r="H50" s="488">
        <f t="shared" si="6"/>
        <v>0</v>
      </c>
      <c r="I50" s="207">
        <f t="shared" si="7"/>
        <v>0</v>
      </c>
      <c r="J50" s="489"/>
    </row>
    <row r="51" spans="1:10" x14ac:dyDescent="0.2">
      <c r="A51" s="495" t="s">
        <v>9529</v>
      </c>
      <c r="B51" s="484">
        <f t="shared" ref="B51:B55" si="10">MAX(0,IF(D51&lt;10%,D51-3%,IF(AND(D51&gt;=10%,D51&lt;20%),D51-5%,D51-8%)))</f>
        <v>0</v>
      </c>
      <c r="C51" s="484">
        <f t="shared" si="9"/>
        <v>0.03</v>
      </c>
      <c r="D51" s="485">
        <f>VLOOKUP(A51,'Asset Allocations'!A:Q,14,FALSE)</f>
        <v>0</v>
      </c>
      <c r="E51" s="486">
        <f>VLOOKUP(A51,'Asset Allocations'!A:O,15,FALSE)</f>
        <v>0</v>
      </c>
      <c r="F51" s="487">
        <f t="shared" si="4"/>
        <v>0</v>
      </c>
      <c r="G51" s="579">
        <f t="shared" ref="G51:G55" si="11">IF(SUMIF($E$4:$E$38,$A51,$F$4:$F$38)=0,0,SUMIF($E$4:$E$38,$A51,$F$4:$F$38))</f>
        <v>0</v>
      </c>
      <c r="H51" s="488">
        <f t="shared" si="6"/>
        <v>0</v>
      </c>
      <c r="I51" s="207">
        <f t="shared" si="7"/>
        <v>0</v>
      </c>
      <c r="J51" s="489"/>
    </row>
    <row r="52" spans="1:10" x14ac:dyDescent="0.2">
      <c r="A52" s="495" t="s">
        <v>9528</v>
      </c>
      <c r="B52" s="484">
        <f t="shared" si="10"/>
        <v>0</v>
      </c>
      <c r="C52" s="484">
        <f t="shared" si="9"/>
        <v>0.03</v>
      </c>
      <c r="D52" s="485">
        <f>VLOOKUP(A52,'Asset Allocations'!A:Q,14,FALSE)</f>
        <v>0</v>
      </c>
      <c r="E52" s="486">
        <f>VLOOKUP(A52,'Asset Allocations'!A:O,15,FALSE)</f>
        <v>0</v>
      </c>
      <c r="F52" s="487">
        <f t="shared" si="4"/>
        <v>0</v>
      </c>
      <c r="G52" s="579">
        <f t="shared" si="11"/>
        <v>0</v>
      </c>
      <c r="H52" s="488">
        <f t="shared" si="6"/>
        <v>0</v>
      </c>
      <c r="I52" s="207">
        <f t="shared" si="7"/>
        <v>0</v>
      </c>
      <c r="J52" s="489"/>
    </row>
    <row r="53" spans="1:10" x14ac:dyDescent="0.2">
      <c r="A53" s="495" t="s">
        <v>9530</v>
      </c>
      <c r="B53" s="484">
        <f t="shared" si="10"/>
        <v>0</v>
      </c>
      <c r="C53" s="484">
        <f t="shared" si="9"/>
        <v>0.03</v>
      </c>
      <c r="D53" s="485">
        <f>VLOOKUP(A53,'Asset Allocations'!A:Q,14,FALSE)</f>
        <v>0</v>
      </c>
      <c r="E53" s="486">
        <f>VLOOKUP(A53,'Asset Allocations'!A:O,15,FALSE)</f>
        <v>0</v>
      </c>
      <c r="F53" s="487">
        <f t="shared" si="4"/>
        <v>0</v>
      </c>
      <c r="G53" s="579">
        <f t="shared" si="11"/>
        <v>0</v>
      </c>
      <c r="H53" s="488">
        <f t="shared" si="6"/>
        <v>0</v>
      </c>
      <c r="I53" s="207">
        <f t="shared" si="7"/>
        <v>0</v>
      </c>
      <c r="J53" s="489"/>
    </row>
    <row r="54" spans="1:10" x14ac:dyDescent="0.2">
      <c r="A54" s="495" t="s">
        <v>9531</v>
      </c>
      <c r="B54" s="484">
        <f t="shared" si="10"/>
        <v>0</v>
      </c>
      <c r="C54" s="484">
        <f t="shared" si="9"/>
        <v>0.03</v>
      </c>
      <c r="D54" s="485">
        <f>VLOOKUP(A54,'Asset Allocations'!A:Q,14,FALSE)</f>
        <v>0</v>
      </c>
      <c r="E54" s="486">
        <f>VLOOKUP(A54,'Asset Allocations'!A:O,15,FALSE)</f>
        <v>0</v>
      </c>
      <c r="F54" s="487">
        <f t="shared" si="4"/>
        <v>0</v>
      </c>
      <c r="G54" s="579">
        <f t="shared" si="11"/>
        <v>0</v>
      </c>
      <c r="H54" s="488">
        <f t="shared" si="6"/>
        <v>0</v>
      </c>
      <c r="I54" s="207">
        <f t="shared" si="7"/>
        <v>0</v>
      </c>
      <c r="J54" s="489"/>
    </row>
    <row r="55" spans="1:10" x14ac:dyDescent="0.2">
      <c r="A55" s="496" t="s">
        <v>45</v>
      </c>
      <c r="B55" s="484">
        <f t="shared" si="10"/>
        <v>0</v>
      </c>
      <c r="C55" s="484">
        <f t="shared" si="9"/>
        <v>0.03</v>
      </c>
      <c r="D55" s="485">
        <f>VLOOKUP(A55,'Asset Allocations'!A:Q,14,FALSE)</f>
        <v>0</v>
      </c>
      <c r="E55" s="486">
        <f>VLOOKUP(A55,'Asset Allocations'!A:O,15,FALSE)</f>
        <v>0</v>
      </c>
      <c r="F55" s="487">
        <f t="shared" si="4"/>
        <v>0</v>
      </c>
      <c r="G55" s="579">
        <f t="shared" si="11"/>
        <v>0</v>
      </c>
      <c r="H55" s="488">
        <f t="shared" si="6"/>
        <v>0</v>
      </c>
      <c r="I55" s="207">
        <f t="shared" si="7"/>
        <v>0</v>
      </c>
      <c r="J55" s="489"/>
    </row>
    <row r="56" spans="1:10" ht="15" x14ac:dyDescent="0.25">
      <c r="A56" s="491" t="s">
        <v>46</v>
      </c>
      <c r="B56" s="208">
        <f>MAX(0,$D$56-5%)</f>
        <v>0</v>
      </c>
      <c r="C56" s="208">
        <f>MIN(100%,$D$56+5%)</f>
        <v>0.05</v>
      </c>
      <c r="D56" s="208">
        <f>VLOOKUP(A56,'Asset Allocations'!A:Q,14,FALSE)</f>
        <v>0</v>
      </c>
      <c r="E56" s="208">
        <f>VLOOKUP(A56,'Asset Allocations'!A:O,15,FALSE)</f>
        <v>0</v>
      </c>
      <c r="F56" s="492">
        <f t="shared" si="4"/>
        <v>0</v>
      </c>
      <c r="G56" s="209"/>
      <c r="H56" s="548">
        <f>SUM(H50:H55)</f>
        <v>0</v>
      </c>
      <c r="I56" s="13" t="str">
        <f t="shared" si="8"/>
        <v/>
      </c>
      <c r="J56" s="494"/>
    </row>
    <row r="57" spans="1:10" x14ac:dyDescent="0.2">
      <c r="A57" s="497" t="s">
        <v>11</v>
      </c>
      <c r="B57" s="484">
        <f>MAX(0,IF(D57&lt;10%,D57-3%,IF(AND(D57&gt;=10%,D57&lt;20%),D57-5%,D57-8%)))</f>
        <v>0</v>
      </c>
      <c r="C57" s="484">
        <f>IF(D57&lt;10%,D57+3%,IF(AND(D57&gt;=10%,D57&lt;20%),D57+5%,D57+8%))</f>
        <v>0.03</v>
      </c>
      <c r="D57" s="498">
        <f>VLOOKUP(A57,'Asset Allocations'!A:Q,14,FALSE)</f>
        <v>0</v>
      </c>
      <c r="E57" s="486">
        <f>VLOOKUP(A57,'Asset Allocations'!A:O,15,FALSE)</f>
        <v>0.02</v>
      </c>
      <c r="F57" s="487">
        <f t="shared" si="4"/>
        <v>0.02</v>
      </c>
      <c r="G57" s="579">
        <f>IF(SUMIF($E$4:$E$38,$A57,$F$4:$F$38)=0,0,SUMIF($E$4:$E$38,$A57,$F$4:$F$38))</f>
        <v>0.02</v>
      </c>
      <c r="H57" s="488">
        <f t="shared" si="6"/>
        <v>0.02</v>
      </c>
      <c r="I57" s="207">
        <f t="shared" si="7"/>
        <v>0.02</v>
      </c>
      <c r="J57" s="499"/>
    </row>
    <row r="58" spans="1:10" ht="15" x14ac:dyDescent="0.25">
      <c r="A58" s="491" t="s">
        <v>9534</v>
      </c>
      <c r="B58" s="208">
        <f>B57</f>
        <v>0</v>
      </c>
      <c r="C58" s="208">
        <f>C57</f>
        <v>0.03</v>
      </c>
      <c r="D58" s="208">
        <f>VLOOKUP(A58,'Asset Allocations'!A:Q,14,FALSE)</f>
        <v>0</v>
      </c>
      <c r="E58" s="208">
        <f>VLOOKUP(A58,'Asset Allocations'!A:O,15,FALSE)</f>
        <v>0.02</v>
      </c>
      <c r="F58" s="500"/>
      <c r="G58" s="501"/>
      <c r="H58" s="548">
        <f>SUM(H57)</f>
        <v>0.02</v>
      </c>
      <c r="I58" s="209"/>
      <c r="J58" s="502"/>
    </row>
    <row r="59" spans="1:10" x14ac:dyDescent="0.2">
      <c r="A59" s="497" t="s">
        <v>49</v>
      </c>
      <c r="B59" s="484">
        <f>MAX(0,IF(D59&lt;10%,D59-3%,IF(AND(D59&gt;=10%,D59&lt;20%),D59-5%,D59-8%)))</f>
        <v>0</v>
      </c>
      <c r="C59" s="484">
        <f>IF(D59&lt;10%,D59+3%,IF(AND(D59&gt;=10%,D59&lt;20%),D59+5%,D59+8%))</f>
        <v>0.03</v>
      </c>
      <c r="D59" s="498">
        <f>VLOOKUP(A59,'Asset Allocations'!A:Q,14,FALSE)</f>
        <v>0</v>
      </c>
      <c r="E59" s="486">
        <f>VLOOKUP(A59,'Asset Allocations'!A:O,15,FALSE)</f>
        <v>0</v>
      </c>
      <c r="F59" s="487">
        <f t="shared" ref="F59" si="12">IFERROR(E59-D59,"")</f>
        <v>0</v>
      </c>
      <c r="G59" s="579">
        <f>IF(SUMIF($E$4:$E$38,$A59,$F$4:$F$38)=0,0,SUMIF($E$4:$E$38,$A59,$F$4:$F$38))</f>
        <v>0</v>
      </c>
      <c r="H59" s="488">
        <f t="shared" si="6"/>
        <v>0</v>
      </c>
      <c r="I59" s="207">
        <f t="shared" ref="I59" si="13">IFERROR(H59-D59,"")</f>
        <v>0</v>
      </c>
      <c r="J59" s="499"/>
    </row>
    <row r="60" spans="1:10" ht="15" x14ac:dyDescent="0.25">
      <c r="A60" s="491" t="s">
        <v>9535</v>
      </c>
      <c r="B60" s="208">
        <f>B59</f>
        <v>0</v>
      </c>
      <c r="C60" s="208">
        <f t="shared" ref="C60" si="14">C59</f>
        <v>0.03</v>
      </c>
      <c r="D60" s="208">
        <f>VLOOKUP(A60,'Asset Allocations'!A:Q,14,FALSE)</f>
        <v>0</v>
      </c>
      <c r="E60" s="208">
        <f>VLOOKUP(A60,'Asset Allocations'!A:O,15,FALSE)</f>
        <v>0</v>
      </c>
      <c r="F60" s="500"/>
      <c r="G60" s="501"/>
      <c r="H60" s="548">
        <f>SUM(H59)</f>
        <v>0</v>
      </c>
      <c r="I60" s="209"/>
      <c r="J60" s="502"/>
    </row>
    <row r="61" spans="1:10" x14ac:dyDescent="0.2">
      <c r="A61" s="495" t="s">
        <v>47</v>
      </c>
      <c r="B61" s="484">
        <f>MAX(0,IF(D61&lt;10%,D61-3%,IF(AND(D61&gt;=10%,D61&lt;20%),D61-5%,D61-8%)))</f>
        <v>0</v>
      </c>
      <c r="C61" s="484">
        <f>IF(D61&lt;10%,D61+3%,IF(AND(D61&gt;=10%,D61&lt;20%),D61+5%,D61+8%))</f>
        <v>0.03</v>
      </c>
      <c r="D61" s="485">
        <f>VLOOKUP(A61,'Asset Allocations'!A:Q,14,FALSE)</f>
        <v>0</v>
      </c>
      <c r="E61" s="486">
        <f>VLOOKUP(A61,'Asset Allocations'!A:O,15,FALSE)</f>
        <v>0</v>
      </c>
      <c r="F61" s="487">
        <f t="shared" si="4"/>
        <v>0</v>
      </c>
      <c r="G61" s="579">
        <f>IF(SUMIF($E$4:$E$38,$A61,$F$4:$F$38)=0,0,SUMIF($E$4:$E$38,$A61,$F$4:$F$38))</f>
        <v>0.05</v>
      </c>
      <c r="H61" s="488">
        <f t="shared" si="6"/>
        <v>0</v>
      </c>
      <c r="I61" s="207">
        <f t="shared" si="7"/>
        <v>0</v>
      </c>
      <c r="J61" s="489"/>
    </row>
    <row r="62" spans="1:10" x14ac:dyDescent="0.2">
      <c r="A62" s="495" t="s">
        <v>48</v>
      </c>
      <c r="B62" s="484">
        <f>MAX(0,IF(D62&lt;10%,D62-3%,IF(AND(D62&gt;=10%,D62&lt;20%),D62-5%,D62-8%)))</f>
        <v>0</v>
      </c>
      <c r="C62" s="484">
        <f>IF(D62&lt;10%,D62+3%,IF(AND(D62&gt;=10%,D62&lt;20%),D62+5%,D62+8%))</f>
        <v>0.03</v>
      </c>
      <c r="D62" s="485">
        <f>VLOOKUP(A62,'Asset Allocations'!A:Q,14,FALSE)</f>
        <v>0</v>
      </c>
      <c r="E62" s="486">
        <f>VLOOKUP(A62,'Asset Allocations'!A:O,15,FALSE)</f>
        <v>0</v>
      </c>
      <c r="F62" s="487">
        <f t="shared" si="4"/>
        <v>0</v>
      </c>
      <c r="G62" s="579">
        <f>IF(SUMIF($E$4:$E$38,$A62,$F$4:$F$38)=0,0,SUMIF($E$4:$E$38,$A62,$F$4:$F$38))</f>
        <v>0</v>
      </c>
      <c r="H62" s="488">
        <f t="shared" si="6"/>
        <v>0</v>
      </c>
      <c r="I62" s="207">
        <f t="shared" si="7"/>
        <v>0</v>
      </c>
      <c r="J62" s="489"/>
    </row>
    <row r="63" spans="1:10" ht="15" x14ac:dyDescent="0.25">
      <c r="A63" s="491" t="s">
        <v>9536</v>
      </c>
      <c r="B63" s="208">
        <f t="shared" ref="B63:C63" si="15">SUM(B61:B62)</f>
        <v>0</v>
      </c>
      <c r="C63" s="208">
        <f t="shared" si="15"/>
        <v>0.06</v>
      </c>
      <c r="D63" s="208">
        <f>VLOOKUP(A63,'Asset Allocations'!A:Q,14,FALSE)</f>
        <v>0</v>
      </c>
      <c r="E63" s="208">
        <f>SUM(E61:E62)</f>
        <v>0</v>
      </c>
      <c r="F63" s="492">
        <f t="shared" si="4"/>
        <v>0</v>
      </c>
      <c r="G63" s="209"/>
      <c r="H63" s="548">
        <f>SUM(H62)</f>
        <v>0</v>
      </c>
      <c r="I63" s="13" t="str">
        <f>IFERROR(IF(H63=0,"",H63-D63),"")</f>
        <v/>
      </c>
      <c r="J63" s="494"/>
    </row>
    <row r="64" spans="1:10" ht="15.75" thickBot="1" x14ac:dyDescent="0.3">
      <c r="A64" s="503" t="s">
        <v>9532</v>
      </c>
      <c r="B64" s="504"/>
      <c r="C64" s="505"/>
      <c r="D64" s="504">
        <f>D49+D56+D58+D60+D63</f>
        <v>1</v>
      </c>
      <c r="E64" s="504">
        <f>E49+E56+E58+E60+E63</f>
        <v>1</v>
      </c>
      <c r="F64" s="506"/>
      <c r="G64" s="507"/>
      <c r="H64" s="504">
        <f>H49+H56+H58+H60+H63</f>
        <v>1</v>
      </c>
      <c r="I64" s="508"/>
      <c r="J64" s="509"/>
    </row>
    <row r="65" spans="1:10" ht="15" thickTop="1" x14ac:dyDescent="0.2">
      <c r="A65" s="40"/>
      <c r="J65" s="41"/>
    </row>
    <row r="66" spans="1:10" ht="15" thickBot="1" x14ac:dyDescent="0.25">
      <c r="A66" s="40"/>
      <c r="J66" s="41"/>
    </row>
    <row r="67" spans="1:10" ht="15" x14ac:dyDescent="0.25">
      <c r="A67" s="70" t="s">
        <v>50</v>
      </c>
      <c r="B67" s="71"/>
      <c r="C67" s="71"/>
      <c r="D67" s="71"/>
      <c r="E67" s="71"/>
      <c r="F67" s="71"/>
      <c r="G67" s="71"/>
      <c r="H67" s="71"/>
      <c r="I67" s="71"/>
      <c r="J67" s="72"/>
    </row>
    <row r="68" spans="1:10" x14ac:dyDescent="0.2">
      <c r="A68" s="73"/>
      <c r="B68" s="57"/>
      <c r="C68" s="57"/>
      <c r="D68" s="57"/>
      <c r="E68" s="57"/>
      <c r="F68" s="57"/>
      <c r="G68" s="57"/>
      <c r="H68" s="57"/>
      <c r="I68" s="57"/>
      <c r="J68" s="74"/>
    </row>
    <row r="69" spans="1:10" x14ac:dyDescent="0.2">
      <c r="A69" s="73"/>
      <c r="B69" s="57"/>
      <c r="C69" s="57"/>
      <c r="D69" s="57"/>
      <c r="E69" s="57"/>
      <c r="F69" s="57"/>
      <c r="G69" s="57"/>
      <c r="H69" s="57"/>
      <c r="I69" s="57"/>
      <c r="J69" s="74"/>
    </row>
    <row r="70" spans="1:10" x14ac:dyDescent="0.2">
      <c r="A70" s="73"/>
      <c r="B70" s="57"/>
      <c r="C70" s="57"/>
      <c r="D70" s="57"/>
      <c r="E70" s="57"/>
      <c r="F70" s="57"/>
      <c r="G70" s="57"/>
      <c r="H70" s="57"/>
      <c r="I70" s="57"/>
      <c r="J70" s="74"/>
    </row>
    <row r="71" spans="1:10" x14ac:dyDescent="0.2">
      <c r="A71" s="73"/>
      <c r="B71" s="57"/>
      <c r="C71" s="57"/>
      <c r="D71" s="57"/>
      <c r="E71" s="57"/>
      <c r="F71" s="57"/>
      <c r="G71" s="57"/>
      <c r="H71" s="57"/>
      <c r="I71" s="57"/>
      <c r="J71" s="74"/>
    </row>
    <row r="72" spans="1:10" x14ac:dyDescent="0.2">
      <c r="A72" s="73"/>
      <c r="B72" s="57"/>
      <c r="C72" s="57"/>
      <c r="D72" s="57"/>
      <c r="E72" s="57"/>
      <c r="F72" s="57"/>
      <c r="G72" s="57"/>
      <c r="H72" s="57"/>
      <c r="I72" s="57"/>
      <c r="J72" s="74"/>
    </row>
    <row r="73" spans="1:10" x14ac:dyDescent="0.2">
      <c r="A73" s="73"/>
      <c r="B73" s="57"/>
      <c r="C73" s="57"/>
      <c r="D73" s="57"/>
      <c r="E73" s="57"/>
      <c r="F73" s="57"/>
      <c r="G73" s="57"/>
      <c r="H73" s="57"/>
      <c r="I73" s="57"/>
      <c r="J73" s="74"/>
    </row>
    <row r="74" spans="1:10" x14ac:dyDescent="0.2">
      <c r="A74" s="73"/>
      <c r="B74" s="57"/>
      <c r="C74" s="57"/>
      <c r="D74" s="57"/>
      <c r="E74" s="57"/>
      <c r="F74" s="57"/>
      <c r="G74" s="57"/>
      <c r="H74" s="57"/>
      <c r="I74" s="57"/>
      <c r="J74" s="74"/>
    </row>
    <row r="75" spans="1:10" x14ac:dyDescent="0.2">
      <c r="A75" s="73"/>
      <c r="B75" s="57"/>
      <c r="C75" s="57"/>
      <c r="D75" s="57"/>
      <c r="E75" s="57"/>
      <c r="F75" s="57"/>
      <c r="G75" s="57"/>
      <c r="H75" s="57"/>
      <c r="I75" s="57"/>
      <c r="J75" s="74"/>
    </row>
    <row r="76" spans="1:10" x14ac:dyDescent="0.2">
      <c r="A76" s="73"/>
      <c r="B76" s="57"/>
      <c r="C76" s="57"/>
      <c r="D76" s="57"/>
      <c r="E76" s="57"/>
      <c r="F76" s="57"/>
      <c r="G76" s="57"/>
      <c r="H76" s="57"/>
      <c r="I76" s="57"/>
      <c r="J76" s="74"/>
    </row>
    <row r="77" spans="1:10" x14ac:dyDescent="0.2">
      <c r="A77" s="73"/>
      <c r="B77" s="57"/>
      <c r="C77" s="57"/>
      <c r="D77" s="57"/>
      <c r="E77" s="57"/>
      <c r="F77" s="57"/>
      <c r="G77" s="57"/>
      <c r="H77" s="57"/>
      <c r="I77" s="57"/>
      <c r="J77" s="74"/>
    </row>
    <row r="78" spans="1:10" x14ac:dyDescent="0.2">
      <c r="A78" s="73"/>
      <c r="B78" s="57"/>
      <c r="C78" s="57"/>
      <c r="D78" s="57"/>
      <c r="E78" s="57"/>
      <c r="F78" s="57"/>
      <c r="G78" s="57"/>
      <c r="H78" s="57"/>
      <c r="I78" s="57"/>
      <c r="J78" s="74"/>
    </row>
    <row r="79" spans="1:10" x14ac:dyDescent="0.2">
      <c r="A79" s="73"/>
      <c r="B79" s="57"/>
      <c r="C79" s="57"/>
      <c r="D79" s="57"/>
      <c r="E79" s="57"/>
      <c r="F79" s="57"/>
      <c r="G79" s="57"/>
      <c r="H79" s="57"/>
      <c r="I79" s="57"/>
      <c r="J79" s="74"/>
    </row>
    <row r="80" spans="1:10" x14ac:dyDescent="0.2">
      <c r="A80" s="73"/>
      <c r="B80" s="57"/>
      <c r="C80" s="57"/>
      <c r="D80" s="57"/>
      <c r="E80" s="57"/>
      <c r="F80" s="57"/>
      <c r="G80" s="57"/>
      <c r="H80" s="57"/>
      <c r="I80" s="57"/>
      <c r="J80" s="74"/>
    </row>
    <row r="81" spans="1:10" x14ac:dyDescent="0.2">
      <c r="A81" s="73" t="s">
        <v>9537</v>
      </c>
      <c r="B81" s="57"/>
      <c r="C81" s="57"/>
      <c r="D81" s="57"/>
      <c r="E81" s="57"/>
      <c r="F81" s="57"/>
      <c r="G81" s="57"/>
      <c r="H81" s="57"/>
      <c r="I81" s="57"/>
      <c r="J81" s="74"/>
    </row>
    <row r="82" spans="1:10" x14ac:dyDescent="0.2">
      <c r="A82" s="73"/>
      <c r="B82" s="57"/>
      <c r="C82" s="57"/>
      <c r="D82" s="57"/>
      <c r="E82" s="57"/>
      <c r="F82" s="57"/>
      <c r="G82" s="57"/>
      <c r="H82" s="57"/>
      <c r="I82" s="57"/>
      <c r="J82" s="74"/>
    </row>
    <row r="83" spans="1:10" x14ac:dyDescent="0.2">
      <c r="A83" s="73"/>
      <c r="B83" s="57"/>
      <c r="C83" s="57"/>
      <c r="D83" s="57"/>
      <c r="E83" s="57"/>
      <c r="F83" s="57"/>
      <c r="G83" s="57"/>
      <c r="H83" s="57"/>
      <c r="I83" s="57"/>
      <c r="J83" s="74"/>
    </row>
    <row r="84" spans="1:10" x14ac:dyDescent="0.2">
      <c r="A84" s="73"/>
      <c r="B84" s="57"/>
      <c r="C84" s="57"/>
      <c r="D84" s="57"/>
      <c r="E84" s="57"/>
      <c r="F84" s="57"/>
      <c r="G84" s="57"/>
      <c r="H84" s="57"/>
      <c r="I84" s="57"/>
      <c r="J84" s="74"/>
    </row>
    <row r="85" spans="1:10" x14ac:dyDescent="0.2">
      <c r="A85" s="73"/>
      <c r="B85" s="57"/>
      <c r="C85" s="57"/>
      <c r="D85" s="57"/>
      <c r="E85" s="57"/>
      <c r="F85" s="57"/>
      <c r="G85" s="57"/>
      <c r="H85" s="57"/>
      <c r="I85" s="57"/>
      <c r="J85" s="74"/>
    </row>
    <row r="86" spans="1:10" x14ac:dyDescent="0.2">
      <c r="A86" s="73"/>
      <c r="B86" s="57"/>
      <c r="C86" s="57"/>
      <c r="D86" s="57"/>
      <c r="E86" s="57"/>
      <c r="F86" s="57"/>
      <c r="G86" s="57"/>
      <c r="H86" s="57"/>
      <c r="I86" s="57"/>
      <c r="J86" s="74"/>
    </row>
    <row r="87" spans="1:10" x14ac:dyDescent="0.2">
      <c r="A87" s="73"/>
      <c r="B87" s="57"/>
      <c r="C87" s="57"/>
      <c r="D87" s="57"/>
      <c r="E87" s="57"/>
      <c r="F87" s="57"/>
      <c r="G87" s="57"/>
      <c r="H87" s="57"/>
      <c r="I87" s="57"/>
      <c r="J87" s="74"/>
    </row>
    <row r="88" spans="1:10" x14ac:dyDescent="0.2">
      <c r="A88" s="73"/>
      <c r="B88" s="57"/>
      <c r="C88" s="57"/>
      <c r="D88" s="57"/>
      <c r="E88" s="57"/>
      <c r="F88" s="57"/>
      <c r="G88" s="57"/>
      <c r="H88" s="57"/>
      <c r="I88" s="57"/>
      <c r="J88" s="74"/>
    </row>
    <row r="89" spans="1:10" x14ac:dyDescent="0.2">
      <c r="A89" s="73"/>
      <c r="B89" s="57"/>
      <c r="C89" s="57"/>
      <c r="D89" s="57"/>
      <c r="E89" s="57"/>
      <c r="F89" s="57"/>
      <c r="G89" s="57"/>
      <c r="H89" s="57"/>
      <c r="I89" s="57"/>
      <c r="J89" s="74"/>
    </row>
    <row r="90" spans="1:10" x14ac:dyDescent="0.2">
      <c r="A90" s="73"/>
      <c r="B90" s="57"/>
      <c r="C90" s="57"/>
      <c r="D90" s="57"/>
      <c r="E90" s="57"/>
      <c r="F90" s="57"/>
      <c r="G90" s="57"/>
      <c r="H90" s="57"/>
      <c r="I90" s="57"/>
      <c r="J90" s="74"/>
    </row>
    <row r="91" spans="1:10" x14ac:dyDescent="0.2">
      <c r="A91" s="73"/>
      <c r="B91" s="57"/>
      <c r="C91" s="57"/>
      <c r="D91" s="57"/>
      <c r="E91" s="57"/>
      <c r="F91" s="57"/>
      <c r="G91" s="57"/>
      <c r="H91" s="57"/>
      <c r="I91" s="57"/>
      <c r="J91" s="74"/>
    </row>
    <row r="92" spans="1:10" x14ac:dyDescent="0.2">
      <c r="A92" s="73"/>
      <c r="B92" s="57"/>
      <c r="C92" s="57"/>
      <c r="D92" s="57"/>
      <c r="E92" s="57"/>
      <c r="F92" s="57"/>
      <c r="G92" s="57"/>
      <c r="H92" s="57"/>
      <c r="I92" s="57"/>
      <c r="J92" s="74"/>
    </row>
    <row r="93" spans="1:10" x14ac:dyDescent="0.2">
      <c r="A93" s="73"/>
      <c r="B93" s="57"/>
      <c r="C93" s="57"/>
      <c r="D93" s="57"/>
      <c r="E93" s="57"/>
      <c r="F93" s="57"/>
      <c r="G93" s="57"/>
      <c r="H93" s="57"/>
      <c r="I93" s="57"/>
      <c r="J93" s="74"/>
    </row>
    <row r="94" spans="1:10" x14ac:dyDescent="0.2">
      <c r="A94" s="73"/>
      <c r="B94" s="57"/>
      <c r="C94" s="57"/>
      <c r="D94" s="57"/>
      <c r="E94" s="57"/>
      <c r="F94" s="57"/>
      <c r="G94" s="57"/>
      <c r="H94" s="57"/>
      <c r="I94" s="57"/>
      <c r="J94" s="74"/>
    </row>
    <row r="95" spans="1:10" x14ac:dyDescent="0.2">
      <c r="A95" s="73"/>
      <c r="B95" s="57"/>
      <c r="C95" s="57"/>
      <c r="D95" s="57"/>
      <c r="E95" s="57"/>
      <c r="F95" s="57"/>
      <c r="G95" s="57"/>
      <c r="H95" s="57"/>
      <c r="I95" s="57"/>
      <c r="J95" s="74"/>
    </row>
    <row r="96" spans="1:10" x14ac:dyDescent="0.2">
      <c r="A96" s="73"/>
      <c r="B96" s="57"/>
      <c r="C96" s="57"/>
      <c r="D96" s="57"/>
      <c r="E96" s="57"/>
      <c r="F96" s="57"/>
      <c r="G96" s="57"/>
      <c r="H96" s="57"/>
      <c r="I96" s="57"/>
      <c r="J96" s="74"/>
    </row>
    <row r="97" spans="1:10" x14ac:dyDescent="0.2">
      <c r="A97" s="73"/>
      <c r="B97" s="57"/>
      <c r="C97" s="57"/>
      <c r="D97" s="57"/>
      <c r="E97" s="57"/>
      <c r="F97" s="57"/>
      <c r="G97" s="57"/>
      <c r="H97" s="57"/>
      <c r="I97" s="57"/>
      <c r="J97" s="74"/>
    </row>
    <row r="98" spans="1:10" x14ac:dyDescent="0.2">
      <c r="A98" s="73"/>
      <c r="B98" s="57"/>
      <c r="C98" s="57"/>
      <c r="D98" s="57"/>
      <c r="E98" s="57"/>
      <c r="F98" s="57"/>
      <c r="G98" s="57"/>
      <c r="H98" s="57"/>
      <c r="I98" s="57"/>
      <c r="J98" s="74"/>
    </row>
    <row r="99" spans="1:10" x14ac:dyDescent="0.2">
      <c r="A99" s="73"/>
      <c r="B99" s="57"/>
      <c r="C99" s="57"/>
      <c r="D99" s="57"/>
      <c r="E99" s="57"/>
      <c r="F99" s="57"/>
      <c r="G99" s="57"/>
      <c r="H99" s="57"/>
      <c r="I99" s="57"/>
      <c r="J99" s="74"/>
    </row>
    <row r="100" spans="1:10" x14ac:dyDescent="0.2">
      <c r="A100" s="73"/>
      <c r="B100" s="57"/>
      <c r="C100" s="57"/>
      <c r="D100" s="57"/>
      <c r="E100" s="57"/>
      <c r="F100" s="57"/>
      <c r="G100" s="57"/>
      <c r="H100" s="57"/>
      <c r="I100" s="57"/>
      <c r="J100" s="74"/>
    </row>
    <row r="101" spans="1:10" ht="15" thickBot="1" x14ac:dyDescent="0.25">
      <c r="A101" s="75"/>
      <c r="B101" s="76"/>
      <c r="C101" s="76"/>
      <c r="D101" s="76"/>
      <c r="E101" s="76"/>
      <c r="F101" s="76"/>
      <c r="G101" s="76"/>
      <c r="H101" s="76"/>
      <c r="I101" s="76"/>
      <c r="J101" s="77"/>
    </row>
  </sheetData>
  <sheetProtection selectLockedCells="1"/>
  <sortState xmlns:xlrd2="http://schemas.microsoft.com/office/spreadsheetml/2017/richdata2" ref="A5:J29">
    <sortCondition ref="E5:E29"/>
    <sortCondition ref="B5:B29"/>
  </sortState>
  <mergeCells count="2">
    <mergeCell ref="A1:J1"/>
    <mergeCell ref="B2:J2"/>
  </mergeCells>
  <phoneticPr fontId="9" type="noConversion"/>
  <conditionalFormatting sqref="A4:J4 B5:E21 G5:J21 A22:J38">
    <cfRule type="expression" dxfId="177" priority="39">
      <formula>AND($F4&lt;&gt;"",$F4=0%)</formula>
    </cfRule>
  </conditionalFormatting>
  <conditionalFormatting sqref="A4:J4 B5:E21 G5:J21 A22:J38">
    <cfRule type="expression" dxfId="176" priority="40">
      <formula>AND($G4&lt;&gt;"",$G4=0%)</formula>
    </cfRule>
  </conditionalFormatting>
  <conditionalFormatting sqref="H4:H38"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A4 F4:G4 G5:G21 A22:A38 F22:G38">
    <cfRule type="expression" dxfId="175" priority="41">
      <formula>$A4=""</formula>
    </cfRule>
    <cfRule type="expression" dxfId="174" priority="42">
      <formula>$A4&lt;&gt;""</formula>
    </cfRule>
  </conditionalFormatting>
  <conditionalFormatting sqref="H42:H55 H57 H59 H61:H62">
    <cfRule type="cellIs" dxfId="173" priority="22" operator="lessThan">
      <formula>$B42</formula>
    </cfRule>
    <cfRule type="cellIs" dxfId="172" priority="23" operator="greaterThan">
      <formula>$C42</formula>
    </cfRule>
  </conditionalFormatting>
  <conditionalFormatting sqref="H56">
    <cfRule type="cellIs" dxfId="171" priority="20" operator="lessThan">
      <formula>$B56</formula>
    </cfRule>
    <cfRule type="cellIs" dxfId="170" priority="21" operator="greaterThan">
      <formula>$C56</formula>
    </cfRule>
  </conditionalFormatting>
  <conditionalFormatting sqref="H56">
    <cfRule type="expression" priority="19" stopIfTrue="1">
      <formula>$G$39=0</formula>
    </cfRule>
  </conditionalFormatting>
  <conditionalFormatting sqref="H58">
    <cfRule type="cellIs" dxfId="169" priority="17" operator="lessThan">
      <formula>$B58</formula>
    </cfRule>
    <cfRule type="cellIs" dxfId="168" priority="18" operator="greaterThan">
      <formula>$C58</formula>
    </cfRule>
  </conditionalFormatting>
  <conditionalFormatting sqref="H58">
    <cfRule type="expression" priority="16" stopIfTrue="1">
      <formula>$G$39=0</formula>
    </cfRule>
  </conditionalFormatting>
  <conditionalFormatting sqref="H60">
    <cfRule type="cellIs" dxfId="167" priority="14" operator="lessThan">
      <formula>$B60</formula>
    </cfRule>
    <cfRule type="cellIs" dxfId="166" priority="15" operator="greaterThan">
      <formula>$C60</formula>
    </cfRule>
  </conditionalFormatting>
  <conditionalFormatting sqref="H60">
    <cfRule type="expression" priority="13" stopIfTrue="1">
      <formula>$G$39=0</formula>
    </cfRule>
  </conditionalFormatting>
  <conditionalFormatting sqref="H63">
    <cfRule type="cellIs" dxfId="165" priority="11" operator="lessThan">
      <formula>$B63</formula>
    </cfRule>
    <cfRule type="cellIs" dxfId="164" priority="12" operator="greaterThan">
      <formula>$C63</formula>
    </cfRule>
  </conditionalFormatting>
  <conditionalFormatting sqref="H63">
    <cfRule type="expression" priority="10" stopIfTrue="1">
      <formula>$G$39=0</formula>
    </cfRule>
  </conditionalFormatting>
  <conditionalFormatting sqref="H49">
    <cfRule type="expression" priority="9" stopIfTrue="1">
      <formula>$G$39=0</formula>
    </cfRule>
  </conditionalFormatting>
  <conditionalFormatting sqref="A5:A21">
    <cfRule type="expression" dxfId="163" priority="5">
      <formula>AND($F5&lt;&gt;"",$F5=0%)</formula>
    </cfRule>
  </conditionalFormatting>
  <conditionalFormatting sqref="A5:A21">
    <cfRule type="expression" dxfId="162" priority="6">
      <formula>AND($G5&lt;&gt;"",$G5=0%)</formula>
    </cfRule>
  </conditionalFormatting>
  <conditionalFormatting sqref="A5:A21">
    <cfRule type="expression" dxfId="161" priority="7">
      <formula>$A5=""</formula>
    </cfRule>
    <cfRule type="expression" dxfId="160" priority="8">
      <formula>$A5&lt;&gt;""</formula>
    </cfRule>
  </conditionalFormatting>
  <conditionalFormatting sqref="F5:F21">
    <cfRule type="expression" dxfId="159" priority="1">
      <formula>AND($F5&lt;&gt;"",$F5=0%)</formula>
    </cfRule>
  </conditionalFormatting>
  <conditionalFormatting sqref="F5:F21">
    <cfRule type="expression" dxfId="158" priority="2">
      <formula>AND($G5&lt;&gt;"",$G5=0%)</formula>
    </cfRule>
  </conditionalFormatting>
  <conditionalFormatting sqref="F5:F21">
    <cfRule type="expression" dxfId="157" priority="3">
      <formula>$A5=""</formula>
    </cfRule>
    <cfRule type="expression" dxfId="156" priority="4">
      <formula>$A5&lt;&gt;""</formula>
    </cfRule>
  </conditionalFormatting>
  <pageMargins left="0.25" right="0.25" top="0.75" bottom="0.75" header="0.3" footer="0.3"/>
  <pageSetup paperSize="9" scale="51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0956A371-19B4-4D2C-9D09-17FFDD136FD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25" id="{BD5CDEF0-3628-4D83-A9BB-D208B08A0AEB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24" id="{102878D8-D115-4A7A-9568-1C804C6490A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27" id="{4DEBB729-AC04-4073-A144-7A4A21BC148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28" id="{428106FF-85C9-4C61-8264-283AB38CD29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I57:I62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8512C-C064-4787-83CB-C3F0D3BC8EBC}">
  <sheetPr>
    <pageSetUpPr fitToPage="1"/>
  </sheetPr>
  <dimension ref="A1:L101"/>
  <sheetViews>
    <sheetView workbookViewId="0">
      <selection sqref="A1:J1"/>
    </sheetView>
  </sheetViews>
  <sheetFormatPr defaultColWidth="9" defaultRowHeight="14.25" x14ac:dyDescent="0.2"/>
  <cols>
    <col min="1" max="5" width="17.625" customWidth="1"/>
    <col min="6" max="6" width="15.625" customWidth="1"/>
    <col min="7" max="7" width="15.625" style="589" customWidth="1"/>
    <col min="8" max="10" width="15.625" customWidth="1"/>
  </cols>
  <sheetData>
    <row r="1" spans="1:12" ht="30.75" thickBot="1" x14ac:dyDescent="0.25">
      <c r="A1" s="846" t="s">
        <v>74</v>
      </c>
      <c r="B1" s="847"/>
      <c r="C1" s="847"/>
      <c r="D1" s="847"/>
      <c r="E1" s="847"/>
      <c r="F1" s="847"/>
      <c r="G1" s="847"/>
      <c r="H1" s="847"/>
      <c r="I1" s="847"/>
      <c r="J1" s="848"/>
    </row>
    <row r="2" spans="1:12" ht="15.75" thickTop="1" x14ac:dyDescent="0.25">
      <c r="A2" s="35" t="s">
        <v>2</v>
      </c>
      <c r="B2" s="844">
        <f>Date</f>
        <v>44733</v>
      </c>
      <c r="C2" s="844"/>
      <c r="D2" s="844"/>
      <c r="E2" s="844"/>
      <c r="F2" s="844"/>
      <c r="G2" s="844"/>
      <c r="H2" s="844"/>
      <c r="I2" s="844"/>
      <c r="J2" s="849"/>
    </row>
    <row r="3" spans="1:12" ht="15.75" x14ac:dyDescent="0.25">
      <c r="A3" s="210" t="s">
        <v>3</v>
      </c>
      <c r="B3" s="211" t="s">
        <v>4</v>
      </c>
      <c r="C3" s="211"/>
      <c r="D3" s="211"/>
      <c r="E3" s="211" t="s">
        <v>5</v>
      </c>
      <c r="F3" s="36" t="s">
        <v>6</v>
      </c>
      <c r="G3" s="36" t="s">
        <v>7</v>
      </c>
      <c r="H3" s="36" t="s">
        <v>8</v>
      </c>
      <c r="I3" s="212" t="s">
        <v>9</v>
      </c>
      <c r="J3" s="213" t="s">
        <v>10</v>
      </c>
    </row>
    <row r="4" spans="1:12" x14ac:dyDescent="0.2">
      <c r="A4" s="18" t="s">
        <v>11</v>
      </c>
      <c r="B4" s="21" t="s">
        <v>11</v>
      </c>
      <c r="C4" s="22"/>
      <c r="D4" s="22"/>
      <c r="E4" s="23" t="str">
        <f>IFERROR(VLOOKUP(A4,NoviaFunds[],6,FALSE),"")</f>
        <v>Cash</v>
      </c>
      <c r="F4" s="14">
        <v>0.02</v>
      </c>
      <c r="G4" s="14">
        <v>0.02</v>
      </c>
      <c r="H4" s="24">
        <f t="shared" ref="H4" si="0">IF(G4="","",G4-F4)</f>
        <v>0</v>
      </c>
      <c r="I4" s="25">
        <f>IFERROR(VLOOKUP(A4,NoviaFunds[],4,FALSE),"")</f>
        <v>0</v>
      </c>
      <c r="J4" s="27">
        <f>IF(G4="","",IFERROR(VLOOKUP(A4,NoviaFunds[],4,FALSE),""))</f>
        <v>0</v>
      </c>
    </row>
    <row r="5" spans="1:12" x14ac:dyDescent="0.2">
      <c r="A5" s="18" t="s">
        <v>564</v>
      </c>
      <c r="B5" s="21" t="str">
        <f>IFERROR(VLOOKUP(A5,NoviaFunds[],2,FALSE),"")</f>
        <v>ASI Asia Pacific Equity Enhanced Index B Acc in GB</v>
      </c>
      <c r="C5" s="22"/>
      <c r="D5" s="22"/>
      <c r="E5" s="23" t="str">
        <f>IFERROR(VLOOKUP(A5,NoviaFunds[],6,FALSE),"")</f>
        <v>Asia Pacific</v>
      </c>
      <c r="F5" s="14">
        <v>0</v>
      </c>
      <c r="G5" s="14">
        <v>8.1000000000000003E-2</v>
      </c>
      <c r="H5" s="24">
        <f t="shared" ref="H5:H21" si="1">IF(G5="","",G5-F5)</f>
        <v>8.1000000000000003E-2</v>
      </c>
      <c r="I5" s="25">
        <f>IFERROR(VLOOKUP(A5,NoviaFunds[],4,FALSE),"")</f>
        <v>2.8999999999999998E-3</v>
      </c>
      <c r="J5" s="27">
        <f>IF(G5="","",IFERROR(VLOOKUP(A5,NoviaFunds[],4,FALSE),""))</f>
        <v>2.8999999999999998E-3</v>
      </c>
      <c r="L5" t="s">
        <v>9546</v>
      </c>
    </row>
    <row r="6" spans="1:12" x14ac:dyDescent="0.2">
      <c r="A6" s="18" t="s">
        <v>71</v>
      </c>
      <c r="B6" s="21" t="str">
        <f>IFERROR(VLOOKUP(A6,NoviaFunds[],2,FALSE),"")</f>
        <v>ASI Asia Pacific Equity I Acc TR in GB</v>
      </c>
      <c r="C6" s="22"/>
      <c r="D6" s="22"/>
      <c r="E6" s="23" t="str">
        <f>IFERROR(VLOOKUP(A6,NoviaFunds[],6,FALSE),"")</f>
        <v>Asia Pacific</v>
      </c>
      <c r="F6" s="14">
        <v>0.09</v>
      </c>
      <c r="G6" s="14">
        <v>0</v>
      </c>
      <c r="H6" s="24">
        <f t="shared" si="1"/>
        <v>-0.09</v>
      </c>
      <c r="I6" s="25">
        <f>IFERROR(VLOOKUP(A6,NoviaFunds[],4,FALSE),"")</f>
        <v>8.5000000000000006E-3</v>
      </c>
      <c r="J6" s="27">
        <f>IF(G6="","",IFERROR(VLOOKUP(A6,NoviaFunds[],4,FALSE),""))</f>
        <v>8.5000000000000006E-3</v>
      </c>
      <c r="L6" t="s">
        <v>9548</v>
      </c>
    </row>
    <row r="7" spans="1:12" x14ac:dyDescent="0.2">
      <c r="A7" s="18" t="s">
        <v>1461</v>
      </c>
      <c r="B7" s="21" t="str">
        <f>IFERROR(VLOOKUP(A7,NoviaFunds[],2,FALSE),"")</f>
        <v>Baillie Gifford Pacific B Acc TR in GB</v>
      </c>
      <c r="C7" s="22"/>
      <c r="D7" s="22"/>
      <c r="E7" s="23" t="str">
        <f>IFERROR(VLOOKUP(A7,NoviaFunds[],6,FALSE),"")</f>
        <v>Asia Pacific</v>
      </c>
      <c r="F7" s="14">
        <v>0</v>
      </c>
      <c r="G7" s="14">
        <v>8.1000000000000003E-2</v>
      </c>
      <c r="H7" s="24">
        <f t="shared" si="1"/>
        <v>8.1000000000000003E-2</v>
      </c>
      <c r="I7" s="25">
        <f>IFERROR(VLOOKUP(A7,NoviaFunds[],4,FALSE),"")</f>
        <v>7.0999999999999995E-3</v>
      </c>
      <c r="J7" s="27">
        <f>IF(G7="","",IFERROR(VLOOKUP(A7,NoviaFunds[],4,FALSE),""))</f>
        <v>7.0999999999999995E-3</v>
      </c>
      <c r="L7" t="s">
        <v>9548</v>
      </c>
    </row>
    <row r="8" spans="1:12" x14ac:dyDescent="0.2">
      <c r="A8" s="18" t="s">
        <v>58</v>
      </c>
      <c r="B8" s="21" t="str">
        <f>IFERROR(VLOOKUP(A8,NoviaFunds[],2,FALSE),"")</f>
        <v>Fidelity Asia W Acc in GB</v>
      </c>
      <c r="C8" s="22"/>
      <c r="D8" s="22"/>
      <c r="E8" s="23" t="str">
        <f>IFERROR(VLOOKUP(A8,NoviaFunds[],6,FALSE),"")</f>
        <v>Asia Pacific</v>
      </c>
      <c r="F8" s="14">
        <v>0.09</v>
      </c>
      <c r="G8" s="14">
        <v>0</v>
      </c>
      <c r="H8" s="24">
        <f t="shared" si="1"/>
        <v>-0.09</v>
      </c>
      <c r="I8" s="25">
        <f>IFERROR(VLOOKUP(A8,NoviaFunds[],4,FALSE),"")</f>
        <v>9.300000000000001E-3</v>
      </c>
      <c r="J8" s="27">
        <f>IF(G8="","",IFERROR(VLOOKUP(A8,NoviaFunds[],4,FALSE),""))</f>
        <v>9.300000000000001E-3</v>
      </c>
      <c r="L8" t="s">
        <v>9547</v>
      </c>
    </row>
    <row r="9" spans="1:12" x14ac:dyDescent="0.2">
      <c r="A9" s="18" t="s">
        <v>64</v>
      </c>
      <c r="B9" s="21" t="str">
        <f>IFERROR(VLOOKUP(A9,NoviaFunds[],2,FALSE),"")</f>
        <v>Schroder Asian Income Z Acc in GB</v>
      </c>
      <c r="C9" s="22"/>
      <c r="D9" s="22"/>
      <c r="E9" s="23" t="str">
        <f>IFERROR(VLOOKUP(A9,NoviaFunds[],6,FALSE),"")</f>
        <v>Asia Pacific</v>
      </c>
      <c r="F9" s="14">
        <v>0.09</v>
      </c>
      <c r="G9" s="14">
        <v>5.3999999999999999E-2</v>
      </c>
      <c r="H9" s="24">
        <f t="shared" si="1"/>
        <v>-3.5999999999999997E-2</v>
      </c>
      <c r="I9" s="25">
        <f>IFERROR(VLOOKUP(A9,NoviaFunds[],4,FALSE),"")</f>
        <v>9.0000000000000011E-3</v>
      </c>
      <c r="J9" s="27">
        <f>IF(G9="","",IFERROR(VLOOKUP(A9,NoviaFunds[],4,FALSE),""))</f>
        <v>9.0000000000000011E-3</v>
      </c>
      <c r="L9" t="s">
        <v>9547</v>
      </c>
    </row>
    <row r="10" spans="1:12" x14ac:dyDescent="0.2">
      <c r="A10" s="18" t="s">
        <v>65</v>
      </c>
      <c r="B10" s="21" t="str">
        <f>IFERROR(VLOOKUP(A10,NoviaFunds[],2,FALSE),"")</f>
        <v>Schroder Institutional Pacific I Acc in GB</v>
      </c>
      <c r="C10" s="22"/>
      <c r="D10" s="22"/>
      <c r="E10" s="23" t="str">
        <f>IFERROR(VLOOKUP(A10,NoviaFunds[],6,FALSE),"")</f>
        <v>Asia Pacific</v>
      </c>
      <c r="F10" s="14">
        <v>0.09</v>
      </c>
      <c r="G10" s="14">
        <v>5.3999999999999999E-2</v>
      </c>
      <c r="H10" s="24">
        <f t="shared" si="1"/>
        <v>-3.5999999999999997E-2</v>
      </c>
      <c r="I10" s="25">
        <f>IFERROR(VLOOKUP(A10,NoviaFunds[],4,FALSE),"")</f>
        <v>5.3E-3</v>
      </c>
      <c r="J10" s="27">
        <f>IF(G10="","",IFERROR(VLOOKUP(A10,NoviaFunds[],4,FALSE),""))</f>
        <v>5.3E-3</v>
      </c>
      <c r="L10" t="s">
        <v>9549</v>
      </c>
    </row>
    <row r="11" spans="1:12" x14ac:dyDescent="0.2">
      <c r="A11" s="246" t="s">
        <v>52</v>
      </c>
      <c r="B11" s="21" t="str">
        <f>IFERROR(VLOOKUP(A11,NoviaFunds[],2,FALSE),"")</f>
        <v>Stewart Investors Asia Pacific Leaders Sustainability B Acc GBP in GB</v>
      </c>
      <c r="C11" s="22"/>
      <c r="D11" s="22"/>
      <c r="E11" s="23" t="str">
        <f>IFERROR(VLOOKUP(A11,NoviaFunds[],6,FALSE),"")</f>
        <v>Asia Pacific</v>
      </c>
      <c r="F11" s="14">
        <v>0.04</v>
      </c>
      <c r="G11" s="14">
        <v>0</v>
      </c>
      <c r="H11" s="24">
        <f t="shared" si="1"/>
        <v>-0.04</v>
      </c>
      <c r="I11" s="25">
        <f>IFERROR(VLOOKUP(A11,NoviaFunds[],4,FALSE),"")</f>
        <v>8.3999999999999995E-3</v>
      </c>
      <c r="J11" s="27">
        <f>IF(G11="","",IFERROR(VLOOKUP(A11,NoviaFunds[],4,FALSE),""))</f>
        <v>8.3999999999999995E-3</v>
      </c>
      <c r="L11" t="s">
        <v>9550</v>
      </c>
    </row>
    <row r="12" spans="1:12" x14ac:dyDescent="0.2">
      <c r="A12" s="118" t="s">
        <v>59</v>
      </c>
      <c r="B12" s="21" t="str">
        <f>IFERROR(VLOOKUP(A12,NoviaFunds[],2,FALSE),"")</f>
        <v>ASI Emerging Markets Income Equity Ret Platform 1 Acc GBP in GB</v>
      </c>
      <c r="C12" s="22"/>
      <c r="D12" s="22"/>
      <c r="E12" s="23" t="str">
        <f>IFERROR(VLOOKUP(A12,NoviaFunds[],6,FALSE),"")</f>
        <v>Emerging Markets</v>
      </c>
      <c r="F12" s="14">
        <v>0.09</v>
      </c>
      <c r="G12" s="14">
        <v>0.183</v>
      </c>
      <c r="H12" s="24">
        <f t="shared" si="1"/>
        <v>9.2999999999999999E-2</v>
      </c>
      <c r="I12" s="25">
        <f>IFERROR(VLOOKUP(A12,NoviaFunds[],4,FALSE),"")</f>
        <v>9.300000000000001E-3</v>
      </c>
      <c r="J12" s="27">
        <f>IF(G12="","",IFERROR(VLOOKUP(A12,NoviaFunds[],4,FALSE),""))</f>
        <v>9.300000000000001E-3</v>
      </c>
      <c r="L12" t="s">
        <v>9549</v>
      </c>
    </row>
    <row r="13" spans="1:12" x14ac:dyDescent="0.2">
      <c r="A13" s="18" t="s">
        <v>53</v>
      </c>
      <c r="B13" s="21" t="str">
        <f>IFERROR(VLOOKUP(A13,NoviaFunds[],2,FALSE),"")</f>
        <v>Federated Hermes Global Emerging Markets F Acc</v>
      </c>
      <c r="C13" s="22"/>
      <c r="D13" s="22"/>
      <c r="E13" s="23" t="str">
        <f>IFERROR(VLOOKUP(A13,NoviaFunds[],6,FALSE),"")</f>
        <v>Emerging Markets</v>
      </c>
      <c r="F13" s="14">
        <v>0.09</v>
      </c>
      <c r="G13" s="14">
        <v>0.122</v>
      </c>
      <c r="H13" s="24">
        <f t="shared" si="1"/>
        <v>3.2000000000000001E-2</v>
      </c>
      <c r="I13" s="25">
        <f>IFERROR(VLOOKUP(A13,NoviaFunds[],4,FALSE),"")</f>
        <v>1.1000000000000001E-2</v>
      </c>
      <c r="J13" s="27">
        <f>IF(G13="","",IFERROR(VLOOKUP(A13,NoviaFunds[],4,FALSE),""))</f>
        <v>1.1000000000000001E-2</v>
      </c>
      <c r="L13" t="s">
        <v>9550</v>
      </c>
    </row>
    <row r="14" spans="1:12" x14ac:dyDescent="0.2">
      <c r="A14" s="18" t="s">
        <v>66</v>
      </c>
      <c r="B14" s="21" t="str">
        <f>IFERROR(VLOOKUP(A14,NoviaFunds[],2,FALSE),"")</f>
        <v>JPM Emerging Markets Income C Acc in GB</v>
      </c>
      <c r="C14" s="22"/>
      <c r="D14" s="22"/>
      <c r="E14" s="23" t="str">
        <f>IFERROR(VLOOKUP(A14,NoviaFunds[],6,FALSE),"")</f>
        <v>Emerging Markets</v>
      </c>
      <c r="F14" s="14">
        <v>0.09</v>
      </c>
      <c r="G14" s="14">
        <v>0.183</v>
      </c>
      <c r="H14" s="24">
        <f t="shared" si="1"/>
        <v>9.2999999999999999E-2</v>
      </c>
      <c r="I14" s="25">
        <f>IFERROR(VLOOKUP(A14,NoviaFunds[],4,FALSE),"")</f>
        <v>9.0000000000000011E-3</v>
      </c>
      <c r="J14" s="27">
        <f>IF(G14="","",IFERROR(VLOOKUP(A14,NoviaFunds[],4,FALSE),""))</f>
        <v>9.0000000000000011E-3</v>
      </c>
    </row>
    <row r="15" spans="1:12" x14ac:dyDescent="0.2">
      <c r="A15" s="18" t="s">
        <v>73</v>
      </c>
      <c r="B15" s="21" t="str">
        <f>IFERROR(VLOOKUP(A15,NoviaFunds[],2,FALSE),"")</f>
        <v>Threadneedle Global Emerging Market Equity ZNA GBP in GB</v>
      </c>
      <c r="C15" s="22"/>
      <c r="D15" s="22"/>
      <c r="E15" s="23" t="str">
        <f>IFERROR(VLOOKUP(A15,NoviaFunds[],6,FALSE),"")</f>
        <v>Emerging Markets</v>
      </c>
      <c r="F15" s="14">
        <v>0.09</v>
      </c>
      <c r="G15" s="14">
        <v>0</v>
      </c>
      <c r="H15" s="24">
        <f t="shared" si="1"/>
        <v>-0.09</v>
      </c>
      <c r="I15" s="25">
        <f>IFERROR(VLOOKUP(A15,NoviaFunds[],4,FALSE),"")</f>
        <v>9.0000000000000011E-3</v>
      </c>
      <c r="J15" s="27">
        <f>IF(G15="","",IFERROR(VLOOKUP(A15,NoviaFunds[],4,FALSE),""))</f>
        <v>9.0000000000000011E-3</v>
      </c>
    </row>
    <row r="16" spans="1:12" x14ac:dyDescent="0.2">
      <c r="A16" s="18" t="s">
        <v>67</v>
      </c>
      <c r="B16" s="21" t="str">
        <f>IFERROR(VLOOKUP(A16,NoviaFunds[],2,FALSE),"")</f>
        <v>UBS Global Emerging Markets Equity C Acc in GB</v>
      </c>
      <c r="C16" s="22"/>
      <c r="D16" s="22"/>
      <c r="E16" s="23" t="str">
        <f>IFERROR(VLOOKUP(A16,NoviaFunds[],6,FALSE),"")</f>
        <v>Emerging Markets</v>
      </c>
      <c r="F16" s="14">
        <v>0.09</v>
      </c>
      <c r="G16" s="14">
        <v>0.122</v>
      </c>
      <c r="H16" s="24">
        <f t="shared" si="1"/>
        <v>3.2000000000000001E-2</v>
      </c>
      <c r="I16" s="25">
        <f>IFERROR(VLOOKUP(A16,NoviaFunds[],4,FALSE),"")</f>
        <v>8.8999999999999999E-3</v>
      </c>
      <c r="J16" s="27">
        <f>IF(G16="","",IFERROR(VLOOKUP(A16,NoviaFunds[],4,FALSE),""))</f>
        <v>8.8999999999999999E-3</v>
      </c>
    </row>
    <row r="17" spans="1:10" x14ac:dyDescent="0.2">
      <c r="A17" s="558" t="s">
        <v>20</v>
      </c>
      <c r="B17" s="21" t="str">
        <f>IFERROR(VLOOKUP(A17,NoviaFunds[],2,FALSE),"")</f>
        <v>Jupiter Gold &amp; Silver I Acc</v>
      </c>
      <c r="C17" s="22"/>
      <c r="D17" s="22"/>
      <c r="E17" s="23" t="str">
        <f>IFERROR(VLOOKUP(A17,NoviaFunds[],6,FALSE),"")</f>
        <v>Specialist</v>
      </c>
      <c r="F17" s="14">
        <v>0.05</v>
      </c>
      <c r="G17" s="14">
        <v>0</v>
      </c>
      <c r="H17" s="24">
        <f t="shared" si="1"/>
        <v>-0.05</v>
      </c>
      <c r="I17" s="25">
        <f>IFERROR(VLOOKUP(A17,NoviaFunds[],4,FALSE),"")</f>
        <v>8.8000000000000005E-3</v>
      </c>
      <c r="J17" s="27">
        <f>IF(G17="","",IFERROR(VLOOKUP(A17,NoviaFunds[],4,FALSE),""))</f>
        <v>8.8000000000000005E-3</v>
      </c>
    </row>
    <row r="18" spans="1:10" x14ac:dyDescent="0.2">
      <c r="A18" s="18" t="s">
        <v>22</v>
      </c>
      <c r="B18" s="21" t="str">
        <f>IFERROR(VLOOKUP(A18,NoviaFunds[],2,FALSE),"")</f>
        <v>Slater Growth P Acc in GB</v>
      </c>
      <c r="C18" s="22"/>
      <c r="D18" s="22"/>
      <c r="E18" s="23" t="str">
        <f>IFERROR(VLOOKUP(A18,NoviaFunds[],6,FALSE),"")</f>
        <v>UK Equities</v>
      </c>
      <c r="F18" s="14">
        <v>0.04</v>
      </c>
      <c r="G18" s="14">
        <v>0</v>
      </c>
      <c r="H18" s="24">
        <f t="shared" si="1"/>
        <v>-0.04</v>
      </c>
      <c r="I18" s="25">
        <f>IFERROR(VLOOKUP(A18,NoviaFunds[],4,FALSE),"")</f>
        <v>8.1000000000000013E-3</v>
      </c>
      <c r="J18" s="27">
        <f>IF(G18="","",IFERROR(VLOOKUP(A18,NoviaFunds[],4,FALSE),""))</f>
        <v>8.1000000000000013E-3</v>
      </c>
    </row>
    <row r="19" spans="1:10" x14ac:dyDescent="0.2">
      <c r="A19" s="18" t="s">
        <v>8389</v>
      </c>
      <c r="B19" s="21" t="str">
        <f>IFERROR(VLOOKUP(A19,NoviaFunds[],2,FALSE),"")</f>
        <v>Vanguard FTSE U.K. All Share Index Unit Trust A Acc GBP in GB</v>
      </c>
      <c r="C19" s="22"/>
      <c r="D19" s="22"/>
      <c r="E19" s="23" t="str">
        <f>IFERROR(VLOOKUP(A19,NoviaFunds[],6,FALSE),"")</f>
        <v>UK Equities</v>
      </c>
      <c r="F19" s="14">
        <v>0</v>
      </c>
      <c r="G19" s="14">
        <v>0.03</v>
      </c>
      <c r="H19" s="24">
        <f t="shared" si="1"/>
        <v>0.03</v>
      </c>
      <c r="I19" s="25">
        <f>IFERROR(VLOOKUP(A19,NoviaFunds[],4,FALSE),"")</f>
        <v>5.9999999999999995E-4</v>
      </c>
      <c r="J19" s="27">
        <f>IF(G19="","",IFERROR(VLOOKUP(A19,NoviaFunds[],4,FALSE),""))</f>
        <v>5.9999999999999995E-4</v>
      </c>
    </row>
    <row r="20" spans="1:10" x14ac:dyDescent="0.2">
      <c r="A20" s="18" t="s">
        <v>62</v>
      </c>
      <c r="B20" s="21" t="str">
        <f>IFERROR(VLOOKUP(A20,NoviaFunds[],2,FALSE),"")</f>
        <v>Artemis US Smaller Companies I Acc GBP in GB</v>
      </c>
      <c r="C20" s="22"/>
      <c r="D20" s="22"/>
      <c r="E20" s="23" t="str">
        <f>IFERROR(VLOOKUP(A20,NoviaFunds[],6,FALSE),"")</f>
        <v>USA Equities</v>
      </c>
      <c r="F20" s="14">
        <v>0.04</v>
      </c>
      <c r="G20" s="14">
        <v>0</v>
      </c>
      <c r="H20" s="24">
        <f t="shared" si="1"/>
        <v>-0.04</v>
      </c>
      <c r="I20" s="25">
        <f>IFERROR(VLOOKUP(A20,NoviaFunds[],4,FALSE),"")</f>
        <v>8.8999999999999999E-3</v>
      </c>
      <c r="J20" s="27">
        <f>IF(G20="","",IFERROR(VLOOKUP(A20,NoviaFunds[],4,FALSE),""))</f>
        <v>8.8999999999999999E-3</v>
      </c>
    </row>
    <row r="21" spans="1:10" x14ac:dyDescent="0.2">
      <c r="A21" s="18" t="s">
        <v>2706</v>
      </c>
      <c r="B21" s="21" t="str">
        <f>IFERROR(VLOOKUP(A21,NoviaFunds[],2,FALSE),"")</f>
        <v>Fidelity Index US P in GB</v>
      </c>
      <c r="C21" s="22"/>
      <c r="D21" s="22"/>
      <c r="E21" s="23" t="str">
        <f>IFERROR(VLOOKUP(A21,NoviaFunds[],6,FALSE),"")</f>
        <v>USA Equities</v>
      </c>
      <c r="F21" s="14">
        <v>0</v>
      </c>
      <c r="G21" s="14">
        <v>7.0000000000000007E-2</v>
      </c>
      <c r="H21" s="24">
        <f t="shared" si="1"/>
        <v>7.0000000000000007E-2</v>
      </c>
      <c r="I21" s="25">
        <f>IFERROR(VLOOKUP(A21,NoviaFunds[],4,FALSE),"")</f>
        <v>5.9999999999999995E-4</v>
      </c>
      <c r="J21" s="27">
        <f>IF(G21="","",IFERROR(VLOOKUP(A21,NoviaFunds[],4,FALSE),""))</f>
        <v>5.9999999999999995E-4</v>
      </c>
    </row>
    <row r="22" spans="1:10" x14ac:dyDescent="0.2">
      <c r="A22" s="18"/>
      <c r="B22" s="21" t="str">
        <f>IFERROR(VLOOKUP(A22,NoviaFunds[],2,FALSE),"")</f>
        <v/>
      </c>
      <c r="C22" s="22"/>
      <c r="D22" s="22"/>
      <c r="E22" s="23" t="str">
        <f>IFERROR(VLOOKUP(A22,NoviaFunds[],6,FALSE),"")</f>
        <v/>
      </c>
      <c r="F22" s="14"/>
      <c r="G22" s="14"/>
      <c r="H22" s="24" t="str">
        <f t="shared" ref="H22:H23" si="2">IF(G22="","",G22-F22)</f>
        <v/>
      </c>
      <c r="I22" s="25" t="str">
        <f>IFERROR(VLOOKUP(A22,NoviaFunds[],4,FALSE),"")</f>
        <v/>
      </c>
      <c r="J22" s="27" t="str">
        <f>IF(G22="","",IFERROR(VLOOKUP(A22,NoviaFunds[],4,FALSE),""))</f>
        <v/>
      </c>
    </row>
    <row r="23" spans="1:10" x14ac:dyDescent="0.2">
      <c r="A23" s="18"/>
      <c r="B23" s="21" t="str">
        <f>IFERROR(VLOOKUP(A23,NoviaFunds[],2,FALSE),"")</f>
        <v/>
      </c>
      <c r="C23" s="22"/>
      <c r="D23" s="22"/>
      <c r="E23" s="23" t="str">
        <f>IFERROR(VLOOKUP(A23,NoviaFunds[],6,FALSE),"")</f>
        <v/>
      </c>
      <c r="F23" s="14"/>
      <c r="G23" s="14"/>
      <c r="H23" s="24" t="str">
        <f t="shared" si="2"/>
        <v/>
      </c>
      <c r="I23" s="25" t="str">
        <f>IFERROR(VLOOKUP(A23,NoviaFunds[],4,FALSE),"")</f>
        <v/>
      </c>
      <c r="J23" s="27" t="str">
        <f>IF(G23="","",IFERROR(VLOOKUP(A23,NoviaFunds[],4,FALSE),""))</f>
        <v/>
      </c>
    </row>
    <row r="24" spans="1:10" x14ac:dyDescent="0.2">
      <c r="A24" s="18"/>
      <c r="B24" s="21" t="str">
        <f>IFERROR(VLOOKUP(A24,NoviaFunds[],2,FALSE),"")</f>
        <v/>
      </c>
      <c r="C24" s="22"/>
      <c r="D24" s="22"/>
      <c r="E24" s="23" t="str">
        <f>IFERROR(VLOOKUP(A24,NoviaFunds[],6,FALSE),"")</f>
        <v/>
      </c>
      <c r="F24" s="14"/>
      <c r="G24" s="14"/>
      <c r="H24" s="24" t="str">
        <f t="shared" ref="H24:H38" si="3">IF(G24="","",G24-F24)</f>
        <v/>
      </c>
      <c r="I24" s="25" t="str">
        <f>IFERROR(VLOOKUP(A24,NoviaFunds[],4,FALSE),"")</f>
        <v/>
      </c>
      <c r="J24" s="27" t="str">
        <f>IF(G24="","",IFERROR(VLOOKUP(A24,NoviaFunds[],4,FALSE),""))</f>
        <v/>
      </c>
    </row>
    <row r="25" spans="1:10" x14ac:dyDescent="0.2">
      <c r="A25" s="18"/>
      <c r="B25" s="21" t="str">
        <f>IFERROR(VLOOKUP(A25,NoviaFunds[],2,FALSE),"")</f>
        <v/>
      </c>
      <c r="C25" s="22"/>
      <c r="D25" s="22"/>
      <c r="E25" s="23" t="str">
        <f>IFERROR(VLOOKUP(A25,NoviaFunds[],6,FALSE),"")</f>
        <v/>
      </c>
      <c r="F25" s="14"/>
      <c r="G25" s="14"/>
      <c r="H25" s="24" t="str">
        <f t="shared" si="3"/>
        <v/>
      </c>
      <c r="I25" s="25" t="str">
        <f>IFERROR(VLOOKUP(A25,NoviaFunds[],4,FALSE),"")</f>
        <v/>
      </c>
      <c r="J25" s="27" t="str">
        <f>IF(G25="","",IFERROR(VLOOKUP(A25,NoviaFunds[],4,FALSE),""))</f>
        <v/>
      </c>
    </row>
    <row r="26" spans="1:10" x14ac:dyDescent="0.2">
      <c r="A26" s="18"/>
      <c r="B26" s="21" t="str">
        <f>IFERROR(VLOOKUP(A26,NoviaFunds[],2,FALSE),"")</f>
        <v/>
      </c>
      <c r="C26" s="22"/>
      <c r="D26" s="22"/>
      <c r="E26" s="23" t="str">
        <f>IFERROR(VLOOKUP(A26,NoviaFunds[],6,FALSE),"")</f>
        <v/>
      </c>
      <c r="F26" s="14"/>
      <c r="G26" s="14"/>
      <c r="H26" s="24" t="str">
        <f t="shared" si="3"/>
        <v/>
      </c>
      <c r="I26" s="25" t="str">
        <f>IFERROR(VLOOKUP(A26,NoviaFunds[],4,FALSE),"")</f>
        <v/>
      </c>
      <c r="J26" s="27" t="str">
        <f>IF(G26="","",IFERROR(VLOOKUP(A26,NoviaFunds[],4,FALSE),""))</f>
        <v/>
      </c>
    </row>
    <row r="27" spans="1:10" x14ac:dyDescent="0.2">
      <c r="A27" s="18"/>
      <c r="B27" s="21" t="str">
        <f>IFERROR(VLOOKUP(A27,NoviaFunds[],2,FALSE),"")</f>
        <v/>
      </c>
      <c r="C27" s="22"/>
      <c r="D27" s="22"/>
      <c r="E27" s="23" t="str">
        <f>IFERROR(VLOOKUP(A27,NoviaFunds[],6,FALSE),"")</f>
        <v/>
      </c>
      <c r="F27" s="14"/>
      <c r="G27" s="14"/>
      <c r="H27" s="24" t="str">
        <f t="shared" si="3"/>
        <v/>
      </c>
      <c r="I27" s="25" t="str">
        <f>IFERROR(VLOOKUP(A27,NoviaFunds[],4,FALSE),"")</f>
        <v/>
      </c>
      <c r="J27" s="27" t="str">
        <f>IF(G27="","",IFERROR(VLOOKUP(A27,NoviaFunds[],4,FALSE),""))</f>
        <v/>
      </c>
    </row>
    <row r="28" spans="1:10" x14ac:dyDescent="0.2">
      <c r="A28" s="18"/>
      <c r="B28" s="21" t="str">
        <f>IFERROR(VLOOKUP(A28,NoviaFunds[],2,FALSE),"")</f>
        <v/>
      </c>
      <c r="C28" s="22"/>
      <c r="D28" s="22"/>
      <c r="E28" s="23" t="str">
        <f>IFERROR(VLOOKUP(A28,NoviaFunds[],6,FALSE),"")</f>
        <v/>
      </c>
      <c r="F28" s="14"/>
      <c r="G28" s="14"/>
      <c r="H28" s="24" t="str">
        <f t="shared" si="3"/>
        <v/>
      </c>
      <c r="I28" s="25" t="str">
        <f>IFERROR(VLOOKUP(A28,NoviaFunds[],4,FALSE),"")</f>
        <v/>
      </c>
      <c r="J28" s="27" t="str">
        <f>IF(G28="","",IFERROR(VLOOKUP(A28,NoviaFunds[],4,FALSE),""))</f>
        <v/>
      </c>
    </row>
    <row r="29" spans="1:10" x14ac:dyDescent="0.2">
      <c r="A29" s="18"/>
      <c r="B29" s="21" t="str">
        <f>IFERROR(VLOOKUP(A29,NoviaFunds[],2,FALSE),"")</f>
        <v/>
      </c>
      <c r="C29" s="22"/>
      <c r="D29" s="22"/>
      <c r="E29" s="23" t="str">
        <f>IFERROR(VLOOKUP(A29,NoviaFunds[],6,FALSE),"")</f>
        <v/>
      </c>
      <c r="F29" s="14"/>
      <c r="G29" s="14"/>
      <c r="H29" s="24" t="str">
        <f t="shared" si="3"/>
        <v/>
      </c>
      <c r="I29" s="25" t="str">
        <f>IFERROR(VLOOKUP(A29,NoviaFunds[],4,FALSE),"")</f>
        <v/>
      </c>
      <c r="J29" s="27" t="str">
        <f>IF(G29="","",IFERROR(VLOOKUP(A29,NoviaFunds[],4,FALSE),""))</f>
        <v/>
      </c>
    </row>
    <row r="30" spans="1:10" x14ac:dyDescent="0.2">
      <c r="A30" s="18"/>
      <c r="B30" s="21" t="str">
        <f>IFERROR(VLOOKUP(A30,NoviaFunds[],2,FALSE),"")</f>
        <v/>
      </c>
      <c r="C30" s="22"/>
      <c r="D30" s="22"/>
      <c r="E30" s="23" t="str">
        <f>IFERROR(VLOOKUP(A30,NoviaFunds[],6,FALSE),"")</f>
        <v/>
      </c>
      <c r="F30" s="14"/>
      <c r="G30" s="14"/>
      <c r="H30" s="24" t="str">
        <f t="shared" si="3"/>
        <v/>
      </c>
      <c r="I30" s="25" t="str">
        <f>IFERROR(VLOOKUP(A30,NoviaFunds[],4,FALSE),"")</f>
        <v/>
      </c>
      <c r="J30" s="27" t="str">
        <f>IF(G30="","",IFERROR(VLOOKUP(A30,NoviaFunds[],4,FALSE),""))</f>
        <v/>
      </c>
    </row>
    <row r="31" spans="1:10" x14ac:dyDescent="0.2">
      <c r="A31" s="18"/>
      <c r="B31" s="21" t="str">
        <f>IFERROR(VLOOKUP(A31,NoviaFunds[],2,FALSE),"")</f>
        <v/>
      </c>
      <c r="C31" s="22"/>
      <c r="D31" s="22"/>
      <c r="E31" s="23" t="str">
        <f>IFERROR(VLOOKUP(A31,NoviaFunds[],6,FALSE),"")</f>
        <v/>
      </c>
      <c r="F31" s="14"/>
      <c r="G31" s="14"/>
      <c r="H31" s="24" t="str">
        <f t="shared" si="3"/>
        <v/>
      </c>
      <c r="I31" s="25" t="str">
        <f>IFERROR(VLOOKUP(A31,NoviaFunds[],4,FALSE),"")</f>
        <v/>
      </c>
      <c r="J31" s="27" t="str">
        <f>IF(G31="","",IFERROR(VLOOKUP(A31,NoviaFunds[],4,FALSE),""))</f>
        <v/>
      </c>
    </row>
    <row r="32" spans="1:10" x14ac:dyDescent="0.2">
      <c r="A32" s="18"/>
      <c r="B32" s="21"/>
      <c r="C32" s="22"/>
      <c r="D32" s="22"/>
      <c r="E32" s="23"/>
      <c r="F32" s="14"/>
      <c r="G32" s="14"/>
      <c r="H32" s="24"/>
      <c r="I32" s="25"/>
      <c r="J32" s="27"/>
    </row>
    <row r="33" spans="1:10" x14ac:dyDescent="0.2">
      <c r="A33" s="18"/>
      <c r="B33" s="21"/>
      <c r="C33" s="22"/>
      <c r="D33" s="22"/>
      <c r="E33" s="23"/>
      <c r="F33" s="14"/>
      <c r="G33" s="14"/>
      <c r="H33" s="24"/>
      <c r="I33" s="25"/>
      <c r="J33" s="27"/>
    </row>
    <row r="34" spans="1:10" x14ac:dyDescent="0.2">
      <c r="A34" s="18"/>
      <c r="B34" s="21"/>
      <c r="C34" s="22"/>
      <c r="D34" s="22"/>
      <c r="E34" s="23"/>
      <c r="F34" s="14"/>
      <c r="G34" s="14"/>
      <c r="H34" s="24"/>
      <c r="I34" s="25"/>
      <c r="J34" s="27"/>
    </row>
    <row r="35" spans="1:10" x14ac:dyDescent="0.2">
      <c r="A35" s="18"/>
      <c r="B35" s="21"/>
      <c r="C35" s="22"/>
      <c r="D35" s="22"/>
      <c r="E35" s="23"/>
      <c r="F35" s="14"/>
      <c r="G35" s="14"/>
      <c r="H35" s="24"/>
      <c r="I35" s="25"/>
      <c r="J35" s="27"/>
    </row>
    <row r="36" spans="1:10" x14ac:dyDescent="0.2">
      <c r="A36" s="18"/>
      <c r="B36" s="21"/>
      <c r="C36" s="22"/>
      <c r="D36" s="22"/>
      <c r="E36" s="23"/>
      <c r="F36" s="14"/>
      <c r="G36" s="14"/>
      <c r="H36" s="24"/>
      <c r="I36" s="25"/>
      <c r="J36" s="27"/>
    </row>
    <row r="37" spans="1:10" x14ac:dyDescent="0.2">
      <c r="A37" s="18"/>
      <c r="B37" s="21"/>
      <c r="C37" s="22"/>
      <c r="D37" s="22"/>
      <c r="E37" s="23"/>
      <c r="F37" s="14"/>
      <c r="G37" s="14"/>
      <c r="H37" s="24"/>
      <c r="I37" s="25"/>
      <c r="J37" s="27"/>
    </row>
    <row r="38" spans="1:10" x14ac:dyDescent="0.2">
      <c r="A38" s="18"/>
      <c r="B38" s="21" t="str">
        <f>IFERROR(VLOOKUP(A38,NoviaFunds[],2,FALSE),"")</f>
        <v/>
      </c>
      <c r="C38" s="22"/>
      <c r="D38" s="22"/>
      <c r="E38" s="23" t="str">
        <f>IFERROR(VLOOKUP(A38,NoviaFunds[],6,FALSE),"")</f>
        <v/>
      </c>
      <c r="F38" s="14"/>
      <c r="G38" s="14"/>
      <c r="H38" s="24" t="str">
        <f t="shared" si="3"/>
        <v/>
      </c>
      <c r="I38" s="25" t="str">
        <f>IFERROR(VLOOKUP(A38,NoviaFunds[],4,FALSE),"")</f>
        <v/>
      </c>
      <c r="J38" s="27" t="str">
        <f>IF(G38="","",IFERROR(VLOOKUP(A38,NoviaFunds[],4,FALSE),""))</f>
        <v/>
      </c>
    </row>
    <row r="39" spans="1:10" ht="16.5" thickBot="1" x14ac:dyDescent="0.3">
      <c r="A39" s="214"/>
      <c r="B39" s="215"/>
      <c r="C39" s="215"/>
      <c r="D39" s="215"/>
      <c r="E39" s="216"/>
      <c r="F39" s="217">
        <f>SUM(F4:F38)</f>
        <v>1</v>
      </c>
      <c r="G39" s="217">
        <f>SUM(G4:G38)</f>
        <v>1</v>
      </c>
      <c r="H39" s="217"/>
      <c r="I39" s="218">
        <f>SUMPRODUCT(F4:F38,I4:I38)</f>
        <v>8.5929999999999982E-3</v>
      </c>
      <c r="J39" s="219">
        <f>SUMPRODUCT(G4:G38,J4:J38)</f>
        <v>7.4189E-3</v>
      </c>
    </row>
    <row r="40" spans="1:10" ht="15.75" thickTop="1" thickBot="1" x14ac:dyDescent="0.25">
      <c r="A40" s="220"/>
      <c r="B40" s="161"/>
      <c r="C40" s="161"/>
      <c r="D40" s="161"/>
      <c r="E40" s="162"/>
      <c r="F40" s="163"/>
      <c r="G40" s="163"/>
      <c r="H40" s="164"/>
      <c r="I40" s="162"/>
      <c r="J40" s="221"/>
    </row>
    <row r="41" spans="1:10" ht="30.75" thickTop="1" x14ac:dyDescent="0.2">
      <c r="A41" s="442" t="s">
        <v>5</v>
      </c>
      <c r="B41" s="443" t="s">
        <v>26</v>
      </c>
      <c r="C41" s="443" t="s">
        <v>27</v>
      </c>
      <c r="D41" s="444" t="s">
        <v>28</v>
      </c>
      <c r="E41" s="444" t="s">
        <v>29</v>
      </c>
      <c r="F41" s="445" t="s">
        <v>30</v>
      </c>
      <c r="G41" s="446" t="s">
        <v>9572</v>
      </c>
      <c r="H41" s="446" t="s">
        <v>31</v>
      </c>
      <c r="I41" s="445" t="s">
        <v>30</v>
      </c>
      <c r="J41" s="447"/>
    </row>
    <row r="42" spans="1:10" x14ac:dyDescent="0.2">
      <c r="A42" s="448" t="s">
        <v>32</v>
      </c>
      <c r="B42" s="449">
        <f>MAX(0,IF(D42&lt;10%,D42-3%,IF(AND(D42&gt;=10%,D42&lt;20%),D42-5%,D42-8%)))</f>
        <v>0</v>
      </c>
      <c r="C42" s="449">
        <f>IF(D42&lt;10%,D42+3%,IF(AND(D42&gt;=10%,D42&lt;20%),D42+5%,D42+8%))</f>
        <v>0.06</v>
      </c>
      <c r="D42" s="450">
        <f>VLOOKUP(A42,'Asset Allocations'!A:Q,16,FALSE)</f>
        <v>0.03</v>
      </c>
      <c r="E42" s="451">
        <f>VLOOKUP($A42,'Asset Allocations'!A:Q,17,FALSE)</f>
        <v>0.03</v>
      </c>
      <c r="F42" s="452">
        <f>IFERROR(E42-D42,"")</f>
        <v>0</v>
      </c>
      <c r="G42" s="579">
        <f>IF(SUMIF($E$4:$E$38,$A42,$F$4:$F$38)=0,0,SUMIF($E$4:$E$38,$A42,$F$4:$F$38))</f>
        <v>0.04</v>
      </c>
      <c r="H42" s="453">
        <f>IF(SUMIF($E$4:$E$38,$A42,$G$4:$G$38)=0,0,SUMIF($E$4:$E$38,$A42,$G$4:$G$38))</f>
        <v>0.03</v>
      </c>
      <c r="I42" s="454">
        <f>IFERROR(H42-D42,"")</f>
        <v>0</v>
      </c>
      <c r="J42" s="455"/>
    </row>
    <row r="43" spans="1:10" x14ac:dyDescent="0.2">
      <c r="A43" s="448" t="s">
        <v>33</v>
      </c>
      <c r="B43" s="449">
        <f t="shared" ref="B43:B48" si="4">MAX(0,IF(D43&lt;10%,D43-3%,IF(AND(D43&gt;=10%,D43&lt;20%),D43-5%,D43-8%)))</f>
        <v>4.0000000000000008E-2</v>
      </c>
      <c r="C43" s="449">
        <f t="shared" ref="C43:C48" si="5">IF(D43&lt;10%,D43+3%,IF(AND(D43&gt;=10%,D43&lt;20%),D43+5%,D43+8%))</f>
        <v>0.1</v>
      </c>
      <c r="D43" s="456">
        <f>VLOOKUP(A43,'Asset Allocations'!A:Q,16,FALSE)</f>
        <v>7.0000000000000007E-2</v>
      </c>
      <c r="E43" s="451">
        <f>VLOOKUP(A43,'Asset Allocations'!A:Q,17,FALSE)</f>
        <v>7.0000000000000007E-2</v>
      </c>
      <c r="F43" s="452">
        <f t="shared" ref="F43:F63" si="6">IFERROR(E43-D43,"")</f>
        <v>0</v>
      </c>
      <c r="G43" s="593">
        <f t="shared" ref="G43:G62" si="7">IF(SUMIF($E$4:$E$38,$A43,$F$4:$F$38)=0,0,SUMIF($E$4:$E$38,$A43,$F$4:$F$38))</f>
        <v>0.04</v>
      </c>
      <c r="H43" s="453">
        <f t="shared" ref="H43:H62" si="8">IF(SUMIF($E$4:$E$38,$A43,$G$4:$G$38)=0,0,SUMIF($E$4:$E$38,$A43,$G$4:$G$38))</f>
        <v>7.0000000000000007E-2</v>
      </c>
      <c r="I43" s="454">
        <f>IFERROR(H43-D43,"")</f>
        <v>0</v>
      </c>
      <c r="J43" s="455"/>
    </row>
    <row r="44" spans="1:10" x14ac:dyDescent="0.2">
      <c r="A44" s="448" t="s">
        <v>34</v>
      </c>
      <c r="B44" s="449">
        <f t="shared" si="4"/>
        <v>0</v>
      </c>
      <c r="C44" s="449">
        <f t="shared" si="5"/>
        <v>0.03</v>
      </c>
      <c r="D44" s="450">
        <f>VLOOKUP(A44,'Asset Allocations'!A:Q,16,FALSE)</f>
        <v>0</v>
      </c>
      <c r="E44" s="451">
        <f>VLOOKUP(A44,'Asset Allocations'!A:Q,17,FALSE)</f>
        <v>0</v>
      </c>
      <c r="F44" s="452">
        <f t="shared" si="6"/>
        <v>0</v>
      </c>
      <c r="G44" s="593">
        <f t="shared" si="7"/>
        <v>0</v>
      </c>
      <c r="H44" s="453">
        <f t="shared" si="8"/>
        <v>0</v>
      </c>
      <c r="I44" s="454">
        <f t="shared" ref="I44:I62" si="9">IFERROR(H44-D44,"")</f>
        <v>0</v>
      </c>
      <c r="J44" s="455"/>
    </row>
    <row r="45" spans="1:10" x14ac:dyDescent="0.2">
      <c r="A45" s="448" t="s">
        <v>35</v>
      </c>
      <c r="B45" s="449">
        <f t="shared" si="4"/>
        <v>0.19</v>
      </c>
      <c r="C45" s="449">
        <f t="shared" si="5"/>
        <v>0.35000000000000003</v>
      </c>
      <c r="D45" s="450">
        <f>VLOOKUP(A45,'Asset Allocations'!A:Q,16,FALSE)</f>
        <v>0.27</v>
      </c>
      <c r="E45" s="451">
        <f>VLOOKUP(A45,'Asset Allocations'!A:Q,17,FALSE)</f>
        <v>0.27</v>
      </c>
      <c r="F45" s="452">
        <f t="shared" si="6"/>
        <v>0</v>
      </c>
      <c r="G45" s="593">
        <f t="shared" si="7"/>
        <v>0.39999999999999997</v>
      </c>
      <c r="H45" s="453">
        <f t="shared" si="8"/>
        <v>0.27</v>
      </c>
      <c r="I45" s="454">
        <f t="shared" si="9"/>
        <v>0</v>
      </c>
      <c r="J45" s="455"/>
    </row>
    <row r="46" spans="1:10" x14ac:dyDescent="0.2">
      <c r="A46" s="448" t="s">
        <v>36</v>
      </c>
      <c r="B46" s="449">
        <f t="shared" si="4"/>
        <v>0.55000000000000004</v>
      </c>
      <c r="C46" s="449">
        <f t="shared" si="5"/>
        <v>0.71</v>
      </c>
      <c r="D46" s="450">
        <f>VLOOKUP(A46,'Asset Allocations'!A:Q,16,FALSE)</f>
        <v>0.63</v>
      </c>
      <c r="E46" s="451">
        <f>VLOOKUP(A46,'Asset Allocations'!A:Q,17,FALSE)</f>
        <v>0.61</v>
      </c>
      <c r="F46" s="452">
        <f t="shared" si="6"/>
        <v>-2.0000000000000018E-2</v>
      </c>
      <c r="G46" s="593">
        <f t="shared" si="7"/>
        <v>0.44999999999999996</v>
      </c>
      <c r="H46" s="453">
        <f t="shared" si="8"/>
        <v>0.61</v>
      </c>
      <c r="I46" s="454">
        <f t="shared" si="9"/>
        <v>-2.0000000000000018E-2</v>
      </c>
      <c r="J46" s="455"/>
    </row>
    <row r="47" spans="1:10" x14ac:dyDescent="0.2">
      <c r="A47" s="448" t="s">
        <v>37</v>
      </c>
      <c r="B47" s="449">
        <f t="shared" si="4"/>
        <v>0</v>
      </c>
      <c r="C47" s="449">
        <f t="shared" si="5"/>
        <v>0.03</v>
      </c>
      <c r="D47" s="450">
        <f>VLOOKUP(A47,'Asset Allocations'!A:Q,16,FALSE)</f>
        <v>0</v>
      </c>
      <c r="E47" s="451">
        <f>VLOOKUP(A47,'Asset Allocations'!A:Q,17,FALSE)</f>
        <v>0</v>
      </c>
      <c r="F47" s="452">
        <f t="shared" si="6"/>
        <v>0</v>
      </c>
      <c r="G47" s="593">
        <f t="shared" si="7"/>
        <v>0</v>
      </c>
      <c r="H47" s="453">
        <f t="shared" si="8"/>
        <v>0</v>
      </c>
      <c r="I47" s="454">
        <f t="shared" si="9"/>
        <v>0</v>
      </c>
      <c r="J47" s="455"/>
    </row>
    <row r="48" spans="1:10" x14ac:dyDescent="0.2">
      <c r="A48" s="448" t="s">
        <v>38</v>
      </c>
      <c r="B48" s="449">
        <f t="shared" si="4"/>
        <v>0</v>
      </c>
      <c r="C48" s="449">
        <f t="shared" si="5"/>
        <v>0.03</v>
      </c>
      <c r="D48" s="450">
        <f>VLOOKUP(A48,'Asset Allocations'!A:Q,16,FALSE)</f>
        <v>0</v>
      </c>
      <c r="E48" s="451">
        <f>VLOOKUP(A48,'Asset Allocations'!A:Q,17,FALSE)</f>
        <v>0</v>
      </c>
      <c r="F48" s="452">
        <f t="shared" si="6"/>
        <v>0</v>
      </c>
      <c r="G48" s="593">
        <f t="shared" si="7"/>
        <v>0</v>
      </c>
      <c r="H48" s="453">
        <f t="shared" si="8"/>
        <v>0</v>
      </c>
      <c r="I48" s="454">
        <f t="shared" si="9"/>
        <v>0</v>
      </c>
      <c r="J48" s="455"/>
    </row>
    <row r="49" spans="1:10" ht="15" x14ac:dyDescent="0.25">
      <c r="A49" s="457" t="s">
        <v>39</v>
      </c>
      <c r="B49" s="458">
        <f>MAX(0,D49-5%)</f>
        <v>0.95</v>
      </c>
      <c r="C49" s="458">
        <f>MIN(98%,D49+5%)</f>
        <v>0.98</v>
      </c>
      <c r="D49" s="458">
        <f>VLOOKUP(A49,'Asset Allocations'!A:Q,16,FALSE)</f>
        <v>1</v>
      </c>
      <c r="E49" s="458">
        <f>VLOOKUP(A49,'Asset Allocations'!A:Q,17,FALSE)</f>
        <v>0.98</v>
      </c>
      <c r="F49" s="459">
        <f t="shared" si="6"/>
        <v>-2.0000000000000018E-2</v>
      </c>
      <c r="G49" s="598">
        <f>SUM(G42:G48)</f>
        <v>0.92999999999999994</v>
      </c>
      <c r="H49" s="461">
        <f>SUM(H42:H48)</f>
        <v>0.98</v>
      </c>
      <c r="I49" s="462">
        <f t="shared" ref="I49:I56" si="10">IFERROR(IF(H49=0,"",H49-D49),"")</f>
        <v>-2.0000000000000018E-2</v>
      </c>
      <c r="J49" s="463"/>
    </row>
    <row r="50" spans="1:10" x14ac:dyDescent="0.2">
      <c r="A50" s="464" t="s">
        <v>40</v>
      </c>
      <c r="B50" s="449">
        <f>MAX(0,IF(D50&lt;10%,D50-3%,IF(AND(D50&gt;=10%,D50&lt;20%),D50-5%,D50-8%)))</f>
        <v>0</v>
      </c>
      <c r="C50" s="449">
        <f t="shared" ref="C50:C55" si="11">IF(D50&lt;10%,D50+3%,IF(AND(D50&gt;=10%,D50&lt;20%),D50+5%,D50+8%))</f>
        <v>0.03</v>
      </c>
      <c r="D50" s="450">
        <f>VLOOKUP(A50,'Asset Allocations'!A:Q,16,FALSE)</f>
        <v>0</v>
      </c>
      <c r="E50" s="451">
        <f>VLOOKUP(A50,'Asset Allocations'!A:Q,17,FALSE)</f>
        <v>0</v>
      </c>
      <c r="F50" s="452">
        <f t="shared" si="6"/>
        <v>0</v>
      </c>
      <c r="G50" s="593">
        <f t="shared" si="7"/>
        <v>0</v>
      </c>
      <c r="H50" s="453">
        <f t="shared" si="8"/>
        <v>0</v>
      </c>
      <c r="I50" s="454">
        <f t="shared" si="9"/>
        <v>0</v>
      </c>
      <c r="J50" s="455"/>
    </row>
    <row r="51" spans="1:10" x14ac:dyDescent="0.2">
      <c r="A51" s="464" t="s">
        <v>9529</v>
      </c>
      <c r="B51" s="449">
        <f t="shared" ref="B51:B55" si="12">MAX(0,IF(D51&lt;10%,D51-3%,IF(AND(D51&gt;=10%,D51&lt;20%),D51-5%,D51-8%)))</f>
        <v>0</v>
      </c>
      <c r="C51" s="449">
        <f t="shared" si="11"/>
        <v>0.03</v>
      </c>
      <c r="D51" s="450">
        <f>VLOOKUP(A51,'Asset Allocations'!A:Q,16,FALSE)</f>
        <v>0</v>
      </c>
      <c r="E51" s="451">
        <f>VLOOKUP(A51,'Asset Allocations'!A:Q,17,FALSE)</f>
        <v>0</v>
      </c>
      <c r="F51" s="452">
        <f t="shared" si="6"/>
        <v>0</v>
      </c>
      <c r="G51" s="593">
        <f t="shared" si="7"/>
        <v>0</v>
      </c>
      <c r="H51" s="453">
        <f t="shared" si="8"/>
        <v>0</v>
      </c>
      <c r="I51" s="454">
        <f t="shared" si="9"/>
        <v>0</v>
      </c>
      <c r="J51" s="455"/>
    </row>
    <row r="52" spans="1:10" x14ac:dyDescent="0.2">
      <c r="A52" s="464" t="s">
        <v>9528</v>
      </c>
      <c r="B52" s="449">
        <f t="shared" si="12"/>
        <v>0</v>
      </c>
      <c r="C52" s="449">
        <f t="shared" si="11"/>
        <v>0.03</v>
      </c>
      <c r="D52" s="450">
        <f>VLOOKUP(A52,'Asset Allocations'!A:Q,16,FALSE)</f>
        <v>0</v>
      </c>
      <c r="E52" s="451">
        <f>VLOOKUP(A52,'Asset Allocations'!A:Q,17,FALSE)</f>
        <v>0</v>
      </c>
      <c r="F52" s="452">
        <f t="shared" si="6"/>
        <v>0</v>
      </c>
      <c r="G52" s="593">
        <f t="shared" si="7"/>
        <v>0</v>
      </c>
      <c r="H52" s="453">
        <f t="shared" si="8"/>
        <v>0</v>
      </c>
      <c r="I52" s="454">
        <f t="shared" si="9"/>
        <v>0</v>
      </c>
      <c r="J52" s="455"/>
    </row>
    <row r="53" spans="1:10" x14ac:dyDescent="0.2">
      <c r="A53" s="464" t="s">
        <v>9530</v>
      </c>
      <c r="B53" s="449">
        <f t="shared" si="12"/>
        <v>0</v>
      </c>
      <c r="C53" s="449">
        <f t="shared" si="11"/>
        <v>0.03</v>
      </c>
      <c r="D53" s="450">
        <f>VLOOKUP(A53,'Asset Allocations'!A:Q,16,FALSE)</f>
        <v>0</v>
      </c>
      <c r="E53" s="451">
        <f>VLOOKUP(A53,'Asset Allocations'!A:Q,17,FALSE)</f>
        <v>0</v>
      </c>
      <c r="F53" s="452">
        <f t="shared" si="6"/>
        <v>0</v>
      </c>
      <c r="G53" s="593">
        <f t="shared" si="7"/>
        <v>0</v>
      </c>
      <c r="H53" s="453">
        <f t="shared" si="8"/>
        <v>0</v>
      </c>
      <c r="I53" s="454">
        <f t="shared" si="9"/>
        <v>0</v>
      </c>
      <c r="J53" s="455"/>
    </row>
    <row r="54" spans="1:10" x14ac:dyDescent="0.2">
      <c r="A54" s="464" t="s">
        <v>9531</v>
      </c>
      <c r="B54" s="449">
        <f t="shared" si="12"/>
        <v>0</v>
      </c>
      <c r="C54" s="449">
        <f t="shared" si="11"/>
        <v>0.03</v>
      </c>
      <c r="D54" s="450">
        <f>VLOOKUP(A54,'Asset Allocations'!A:Q,16,FALSE)</f>
        <v>0</v>
      </c>
      <c r="E54" s="451">
        <f>VLOOKUP(A54,'Asset Allocations'!A:Q,17,FALSE)</f>
        <v>0</v>
      </c>
      <c r="F54" s="452">
        <f t="shared" si="6"/>
        <v>0</v>
      </c>
      <c r="G54" s="593">
        <f t="shared" si="7"/>
        <v>0</v>
      </c>
      <c r="H54" s="453">
        <f t="shared" si="8"/>
        <v>0</v>
      </c>
      <c r="I54" s="454">
        <f t="shared" si="9"/>
        <v>0</v>
      </c>
      <c r="J54" s="455"/>
    </row>
    <row r="55" spans="1:10" x14ac:dyDescent="0.2">
      <c r="A55" s="465" t="s">
        <v>45</v>
      </c>
      <c r="B55" s="449">
        <f t="shared" si="12"/>
        <v>0</v>
      </c>
      <c r="C55" s="449">
        <f t="shared" si="11"/>
        <v>0.03</v>
      </c>
      <c r="D55" s="450">
        <f>VLOOKUP(A55,'Asset Allocations'!A:Q,16,FALSE)</f>
        <v>0</v>
      </c>
      <c r="E55" s="451">
        <f>VLOOKUP(A55,'Asset Allocations'!A:Q,17,FALSE)</f>
        <v>0</v>
      </c>
      <c r="F55" s="452">
        <f t="shared" si="6"/>
        <v>0</v>
      </c>
      <c r="G55" s="593">
        <f t="shared" si="7"/>
        <v>0</v>
      </c>
      <c r="H55" s="453">
        <f t="shared" si="8"/>
        <v>0</v>
      </c>
      <c r="I55" s="454">
        <f t="shared" si="9"/>
        <v>0</v>
      </c>
      <c r="J55" s="455"/>
    </row>
    <row r="56" spans="1:10" ht="15" x14ac:dyDescent="0.25">
      <c r="A56" s="457" t="s">
        <v>46</v>
      </c>
      <c r="B56" s="458">
        <f>MAX(0,$D$56-5%)</f>
        <v>0</v>
      </c>
      <c r="C56" s="458">
        <f>MIN(100%,$D$56+5%)</f>
        <v>0.05</v>
      </c>
      <c r="D56" s="458">
        <f>VLOOKUP(A56,'Asset Allocations'!A:Q,16,FALSE)</f>
        <v>0</v>
      </c>
      <c r="E56" s="458">
        <f>VLOOKUP(A56,'Asset Allocations'!A:Q,17,FALSE)</f>
        <v>0</v>
      </c>
      <c r="F56" s="459">
        <f t="shared" si="6"/>
        <v>0</v>
      </c>
      <c r="G56" s="549">
        <f>SUM(G50:G55)</f>
        <v>0</v>
      </c>
      <c r="H56" s="549">
        <f>SUM(H50:H55)</f>
        <v>0</v>
      </c>
      <c r="I56" s="462" t="str">
        <f t="shared" si="10"/>
        <v/>
      </c>
      <c r="J56" s="463"/>
    </row>
    <row r="57" spans="1:10" x14ac:dyDescent="0.2">
      <c r="A57" s="466" t="s">
        <v>11</v>
      </c>
      <c r="B57" s="449">
        <f>MAX(0,IF(D57&lt;10%,D57-3%,IF(AND(D57&gt;=10%,D57&lt;20%),D57-5%,D57-8%)))</f>
        <v>0</v>
      </c>
      <c r="C57" s="449">
        <f>IF(D57&lt;10%,D57+3%,IF(AND(D57&gt;=10%,D57&lt;20%),D57+5%,D57+8%))</f>
        <v>0.03</v>
      </c>
      <c r="D57" s="467">
        <f>VLOOKUP(A57,'Asset Allocations'!A:Q,16,FALSE)</f>
        <v>0</v>
      </c>
      <c r="E57" s="451">
        <f>VLOOKUP(A57,'Asset Allocations'!A:Q,17,FALSE)</f>
        <v>0.02</v>
      </c>
      <c r="F57" s="452">
        <f t="shared" si="6"/>
        <v>0.02</v>
      </c>
      <c r="G57" s="594">
        <f t="shared" si="7"/>
        <v>0.02</v>
      </c>
      <c r="H57" s="453">
        <f t="shared" si="8"/>
        <v>0.02</v>
      </c>
      <c r="I57" s="454">
        <f t="shared" si="9"/>
        <v>0.02</v>
      </c>
      <c r="J57" s="468"/>
    </row>
    <row r="58" spans="1:10" ht="15" x14ac:dyDescent="0.25">
      <c r="A58" s="457" t="s">
        <v>9534</v>
      </c>
      <c r="B58" s="458">
        <f>B57</f>
        <v>0</v>
      </c>
      <c r="C58" s="458">
        <f>C57</f>
        <v>0.03</v>
      </c>
      <c r="D58" s="458">
        <f>VLOOKUP(A58,'Asset Allocations'!A:Q,16,FALSE)</f>
        <v>0</v>
      </c>
      <c r="E58" s="458">
        <f>VLOOKUP(A58,'Asset Allocations'!A:Q,17,FALSE)</f>
        <v>0.02</v>
      </c>
      <c r="F58" s="469"/>
      <c r="G58" s="549">
        <f>SUM(G57)</f>
        <v>0.02</v>
      </c>
      <c r="H58" s="549">
        <f>SUM(H57)</f>
        <v>0.02</v>
      </c>
      <c r="I58" s="460"/>
      <c r="J58" s="470"/>
    </row>
    <row r="59" spans="1:10" x14ac:dyDescent="0.2">
      <c r="A59" s="466" t="s">
        <v>49</v>
      </c>
      <c r="B59" s="449">
        <f>MAX(0,IF(D59&lt;10%,D59-3%,IF(AND(D59&gt;=10%,D59&lt;20%),D59-5%,D59-8%)))</f>
        <v>0</v>
      </c>
      <c r="C59" s="449">
        <f>IF(D59&lt;10%,D59+3%,IF(AND(D59&gt;=10%,D59&lt;20%),D59+5%,D59+8%))</f>
        <v>0.03</v>
      </c>
      <c r="D59" s="467">
        <f>VLOOKUP(A59,'Asset Allocations'!A:Q,16,FALSE)</f>
        <v>0</v>
      </c>
      <c r="E59" s="451">
        <f>VLOOKUP(A59,'Asset Allocations'!A:Q,17,FALSE)</f>
        <v>0</v>
      </c>
      <c r="F59" s="452">
        <f t="shared" ref="F59" si="13">IFERROR(E59-D59,"")</f>
        <v>0</v>
      </c>
      <c r="G59" s="594">
        <f t="shared" si="7"/>
        <v>0</v>
      </c>
      <c r="H59" s="453">
        <f t="shared" si="8"/>
        <v>0</v>
      </c>
      <c r="I59" s="454">
        <f t="shared" ref="I59" si="14">IFERROR(H59-D59,"")</f>
        <v>0</v>
      </c>
      <c r="J59" s="468"/>
    </row>
    <row r="60" spans="1:10" ht="15" x14ac:dyDescent="0.25">
      <c r="A60" s="457" t="s">
        <v>9535</v>
      </c>
      <c r="B60" s="458">
        <f>B59</f>
        <v>0</v>
      </c>
      <c r="C60" s="458">
        <f t="shared" ref="C60" si="15">C59</f>
        <v>0.03</v>
      </c>
      <c r="D60" s="458">
        <f>VLOOKUP(A60,'Asset Allocations'!A:Q,16,FALSE)</f>
        <v>0</v>
      </c>
      <c r="E60" s="458">
        <f>VLOOKUP(A60,'Asset Allocations'!A:Q,17,FALSE)</f>
        <v>0</v>
      </c>
      <c r="F60" s="469"/>
      <c r="G60" s="549">
        <f>SUM(G59)</f>
        <v>0</v>
      </c>
      <c r="H60" s="549">
        <f>SUM(H59)</f>
        <v>0</v>
      </c>
      <c r="I60" s="460"/>
      <c r="J60" s="470"/>
    </row>
    <row r="61" spans="1:10" x14ac:dyDescent="0.2">
      <c r="A61" s="464" t="s">
        <v>47</v>
      </c>
      <c r="B61" s="449">
        <f>MAX(0,IF(D61&lt;10%,D61-3%,IF(AND(D61&gt;=10%,D61&lt;20%),D61-5%,D61-8%)))</f>
        <v>0</v>
      </c>
      <c r="C61" s="449">
        <f>IF(D61&lt;10%,D61+3%,IF(AND(D61&gt;=10%,D61&lt;20%),D61+5%,D61+8%))</f>
        <v>0.03</v>
      </c>
      <c r="D61" s="450">
        <f>VLOOKUP(A61,'Asset Allocations'!A:Q,16,FALSE)</f>
        <v>0</v>
      </c>
      <c r="E61" s="451">
        <f>VLOOKUP(A61,'Asset Allocations'!A:Q,17,FALSE)</f>
        <v>0</v>
      </c>
      <c r="F61" s="452">
        <f t="shared" si="6"/>
        <v>0</v>
      </c>
      <c r="G61" s="593">
        <f t="shared" si="7"/>
        <v>0.05</v>
      </c>
      <c r="H61" s="453">
        <f t="shared" si="8"/>
        <v>0</v>
      </c>
      <c r="I61" s="454">
        <f t="shared" si="9"/>
        <v>0</v>
      </c>
      <c r="J61" s="455"/>
    </row>
    <row r="62" spans="1:10" x14ac:dyDescent="0.2">
      <c r="A62" s="464" t="s">
        <v>48</v>
      </c>
      <c r="B62" s="449">
        <f>MAX(0,IF(D62&lt;10%,D62-3%,IF(AND(D62&gt;=10%,D62&lt;20%),D62-5%,D62-8%)))</f>
        <v>0</v>
      </c>
      <c r="C62" s="449">
        <f>IF(D62&lt;10%,D62+3%,IF(AND(D62&gt;=10%,D62&lt;20%),D62+5%,D62+8%))</f>
        <v>0.03</v>
      </c>
      <c r="D62" s="450">
        <f>VLOOKUP(A62,'Asset Allocations'!A:Q,16,FALSE)</f>
        <v>0</v>
      </c>
      <c r="E62" s="451">
        <f>VLOOKUP(A62,'Asset Allocations'!A:Q,17,FALSE)</f>
        <v>0</v>
      </c>
      <c r="F62" s="452">
        <f t="shared" si="6"/>
        <v>0</v>
      </c>
      <c r="G62" s="593">
        <f t="shared" si="7"/>
        <v>0</v>
      </c>
      <c r="H62" s="453">
        <f t="shared" si="8"/>
        <v>0</v>
      </c>
      <c r="I62" s="454">
        <f t="shared" si="9"/>
        <v>0</v>
      </c>
      <c r="J62" s="455"/>
    </row>
    <row r="63" spans="1:10" ht="15" x14ac:dyDescent="0.25">
      <c r="A63" s="457" t="s">
        <v>9536</v>
      </c>
      <c r="B63" s="458">
        <f t="shared" ref="B63:C63" si="16">SUM(B61:B62)</f>
        <v>0</v>
      </c>
      <c r="C63" s="458">
        <f t="shared" si="16"/>
        <v>0.06</v>
      </c>
      <c r="D63" s="458">
        <f>VLOOKUP(A63,'Asset Allocations'!A:Q,16,FALSE)</f>
        <v>0</v>
      </c>
      <c r="E63" s="458">
        <f>VLOOKUP(A63,'Asset Allocations'!A:Q,17,FALSE)</f>
        <v>0</v>
      </c>
      <c r="F63" s="459">
        <f t="shared" si="6"/>
        <v>0</v>
      </c>
      <c r="G63" s="549">
        <f>SUM(G62)</f>
        <v>0</v>
      </c>
      <c r="H63" s="549">
        <f>SUM(H62)</f>
        <v>0</v>
      </c>
      <c r="I63" s="462" t="str">
        <f>IFERROR(IF(H63=0,"",H63-D63),"")</f>
        <v/>
      </c>
      <c r="J63" s="463"/>
    </row>
    <row r="64" spans="1:10" ht="15.75" thickBot="1" x14ac:dyDescent="0.3">
      <c r="A64" s="471" t="s">
        <v>9532</v>
      </c>
      <c r="B64" s="472"/>
      <c r="C64" s="473"/>
      <c r="D64" s="472">
        <f>D49+D56+D58+D60+D63</f>
        <v>1</v>
      </c>
      <c r="E64" s="472">
        <f>E49+E56+E58+E60+E63</f>
        <v>1</v>
      </c>
      <c r="F64" s="474"/>
      <c r="G64" s="595"/>
      <c r="H64" s="472">
        <f>H49+H56+H58+H60+H63</f>
        <v>1</v>
      </c>
      <c r="I64" s="475"/>
      <c r="J64" s="476"/>
    </row>
    <row r="65" spans="1:10" ht="15" thickTop="1" x14ac:dyDescent="0.2">
      <c r="A65" s="37"/>
      <c r="J65" s="38"/>
    </row>
    <row r="66" spans="1:10" ht="15" thickBot="1" x14ac:dyDescent="0.25">
      <c r="A66" s="37"/>
      <c r="J66" s="38"/>
    </row>
    <row r="67" spans="1:10" ht="15" x14ac:dyDescent="0.25">
      <c r="A67" s="62" t="s">
        <v>50</v>
      </c>
      <c r="B67" s="63"/>
      <c r="C67" s="63"/>
      <c r="D67" s="63"/>
      <c r="E67" s="63"/>
      <c r="F67" s="63"/>
      <c r="G67" s="596"/>
      <c r="H67" s="63"/>
      <c r="I67" s="63"/>
      <c r="J67" s="64"/>
    </row>
    <row r="68" spans="1:10" x14ac:dyDescent="0.2">
      <c r="A68" s="65"/>
      <c r="B68" s="57"/>
      <c r="C68" s="57"/>
      <c r="D68" s="57"/>
      <c r="E68" s="57"/>
      <c r="F68" s="57"/>
      <c r="G68" s="591"/>
      <c r="H68" s="57"/>
      <c r="I68" s="57"/>
      <c r="J68" s="66"/>
    </row>
    <row r="69" spans="1:10" x14ac:dyDescent="0.2">
      <c r="A69" s="65"/>
      <c r="B69" s="57"/>
      <c r="C69" s="57"/>
      <c r="D69" s="57"/>
      <c r="E69" s="57"/>
      <c r="F69" s="57"/>
      <c r="G69" s="591"/>
      <c r="H69" s="57"/>
      <c r="I69" s="57"/>
      <c r="J69" s="66"/>
    </row>
    <row r="70" spans="1:10" x14ac:dyDescent="0.2">
      <c r="A70" s="65"/>
      <c r="B70" s="57"/>
      <c r="C70" s="57"/>
      <c r="D70" s="57"/>
      <c r="E70" s="57"/>
      <c r="F70" s="57"/>
      <c r="G70" s="591"/>
      <c r="H70" s="57"/>
      <c r="I70" s="57"/>
      <c r="J70" s="66"/>
    </row>
    <row r="71" spans="1:10" x14ac:dyDescent="0.2">
      <c r="A71" s="65"/>
      <c r="B71" s="57"/>
      <c r="C71" s="57"/>
      <c r="D71" s="57"/>
      <c r="E71" s="57"/>
      <c r="F71" s="57"/>
      <c r="G71" s="591"/>
      <c r="H71" s="57"/>
      <c r="I71" s="57"/>
      <c r="J71" s="66"/>
    </row>
    <row r="72" spans="1:10" x14ac:dyDescent="0.2">
      <c r="A72" s="65"/>
      <c r="B72" s="57"/>
      <c r="C72" s="57"/>
      <c r="D72" s="57"/>
      <c r="E72" s="57"/>
      <c r="F72" s="57"/>
      <c r="G72" s="591"/>
      <c r="H72" s="57"/>
      <c r="I72" s="57"/>
      <c r="J72" s="66"/>
    </row>
    <row r="73" spans="1:10" x14ac:dyDescent="0.2">
      <c r="A73" s="65"/>
      <c r="B73" s="57"/>
      <c r="C73" s="57"/>
      <c r="D73" s="57"/>
      <c r="E73" s="57"/>
      <c r="F73" s="57"/>
      <c r="G73" s="591"/>
      <c r="H73" s="57"/>
      <c r="I73" s="57"/>
      <c r="J73" s="66"/>
    </row>
    <row r="74" spans="1:10" x14ac:dyDescent="0.2">
      <c r="A74" s="65"/>
      <c r="B74" s="57"/>
      <c r="C74" s="57"/>
      <c r="D74" s="57"/>
      <c r="E74" s="57"/>
      <c r="F74" s="57"/>
      <c r="G74" s="591"/>
      <c r="H74" s="57"/>
      <c r="I74" s="57"/>
      <c r="J74" s="66"/>
    </row>
    <row r="75" spans="1:10" x14ac:dyDescent="0.2">
      <c r="A75" s="65"/>
      <c r="B75" s="57"/>
      <c r="C75" s="57"/>
      <c r="D75" s="57"/>
      <c r="E75" s="57"/>
      <c r="F75" s="57"/>
      <c r="G75" s="591"/>
      <c r="H75" s="57"/>
      <c r="I75" s="57"/>
      <c r="J75" s="66"/>
    </row>
    <row r="76" spans="1:10" x14ac:dyDescent="0.2">
      <c r="A76" s="65"/>
      <c r="B76" s="57"/>
      <c r="C76" s="57"/>
      <c r="D76" s="57"/>
      <c r="E76" s="57"/>
      <c r="F76" s="57"/>
      <c r="G76" s="591"/>
      <c r="H76" s="57"/>
      <c r="I76" s="57"/>
      <c r="J76" s="66"/>
    </row>
    <row r="77" spans="1:10" x14ac:dyDescent="0.2">
      <c r="A77" s="65"/>
      <c r="B77" s="57"/>
      <c r="C77" s="57"/>
      <c r="D77" s="57"/>
      <c r="E77" s="57"/>
      <c r="F77" s="57"/>
      <c r="G77" s="591"/>
      <c r="H77" s="57"/>
      <c r="I77" s="57"/>
      <c r="J77" s="66"/>
    </row>
    <row r="78" spans="1:10" x14ac:dyDescent="0.2">
      <c r="A78" s="65" t="s">
        <v>9537</v>
      </c>
      <c r="B78" s="57"/>
      <c r="C78" s="57"/>
      <c r="D78" s="57"/>
      <c r="E78" s="57"/>
      <c r="F78" s="57"/>
      <c r="G78" s="591"/>
      <c r="H78" s="57"/>
      <c r="I78" s="57"/>
      <c r="J78" s="66"/>
    </row>
    <row r="79" spans="1:10" x14ac:dyDescent="0.2">
      <c r="A79" s="65"/>
      <c r="B79" s="57"/>
      <c r="C79" s="57"/>
      <c r="D79" s="57"/>
      <c r="E79" s="57"/>
      <c r="F79" s="57"/>
      <c r="G79" s="591"/>
      <c r="H79" s="57"/>
      <c r="I79" s="57"/>
      <c r="J79" s="66"/>
    </row>
    <row r="80" spans="1:10" x14ac:dyDescent="0.2">
      <c r="A80" s="65"/>
      <c r="B80" s="57"/>
      <c r="C80" s="57"/>
      <c r="D80" s="57"/>
      <c r="E80" s="57"/>
      <c r="F80" s="57"/>
      <c r="G80" s="591"/>
      <c r="H80" s="57"/>
      <c r="I80" s="57"/>
      <c r="J80" s="66"/>
    </row>
    <row r="81" spans="1:10" x14ac:dyDescent="0.2">
      <c r="A81" s="65"/>
      <c r="B81" s="57"/>
      <c r="C81" s="57"/>
      <c r="D81" s="57"/>
      <c r="E81" s="57"/>
      <c r="F81" s="57"/>
      <c r="G81" s="591"/>
      <c r="H81" s="57"/>
      <c r="I81" s="57"/>
      <c r="J81" s="66"/>
    </row>
    <row r="82" spans="1:10" x14ac:dyDescent="0.2">
      <c r="A82" s="65"/>
      <c r="B82" s="57"/>
      <c r="C82" s="57"/>
      <c r="D82" s="57"/>
      <c r="E82" s="57"/>
      <c r="F82" s="57"/>
      <c r="G82" s="591"/>
      <c r="H82" s="57"/>
      <c r="I82" s="57"/>
      <c r="J82" s="66"/>
    </row>
    <row r="83" spans="1:10" x14ac:dyDescent="0.2">
      <c r="A83" s="65"/>
      <c r="B83" s="57"/>
      <c r="C83" s="57"/>
      <c r="D83" s="57"/>
      <c r="E83" s="57"/>
      <c r="F83" s="57"/>
      <c r="G83" s="591"/>
      <c r="H83" s="57"/>
      <c r="I83" s="57"/>
      <c r="J83" s="66"/>
    </row>
    <row r="84" spans="1:10" x14ac:dyDescent="0.2">
      <c r="A84" s="65"/>
      <c r="B84" s="57"/>
      <c r="C84" s="57"/>
      <c r="D84" s="57"/>
      <c r="E84" s="57"/>
      <c r="F84" s="57"/>
      <c r="G84" s="591"/>
      <c r="H84" s="57"/>
      <c r="I84" s="57"/>
      <c r="J84" s="66"/>
    </row>
    <row r="85" spans="1:10" x14ac:dyDescent="0.2">
      <c r="A85" s="65"/>
      <c r="B85" s="57"/>
      <c r="C85" s="57"/>
      <c r="D85" s="57"/>
      <c r="E85" s="57"/>
      <c r="F85" s="57"/>
      <c r="G85" s="591"/>
      <c r="H85" s="57"/>
      <c r="I85" s="57"/>
      <c r="J85" s="66"/>
    </row>
    <row r="86" spans="1:10" x14ac:dyDescent="0.2">
      <c r="A86" s="65"/>
      <c r="B86" s="57"/>
      <c r="C86" s="57"/>
      <c r="D86" s="57"/>
      <c r="E86" s="57"/>
      <c r="F86" s="57"/>
      <c r="G86" s="591"/>
      <c r="H86" s="57"/>
      <c r="I86" s="57"/>
      <c r="J86" s="66"/>
    </row>
    <row r="87" spans="1:10" x14ac:dyDescent="0.2">
      <c r="A87" s="65"/>
      <c r="B87" s="57"/>
      <c r="C87" s="57"/>
      <c r="D87" s="57"/>
      <c r="E87" s="57"/>
      <c r="F87" s="57"/>
      <c r="G87" s="591"/>
      <c r="H87" s="57"/>
      <c r="I87" s="57"/>
      <c r="J87" s="66"/>
    </row>
    <row r="88" spans="1:10" x14ac:dyDescent="0.2">
      <c r="A88" s="65"/>
      <c r="B88" s="57"/>
      <c r="C88" s="57"/>
      <c r="D88" s="57"/>
      <c r="E88" s="57"/>
      <c r="F88" s="57"/>
      <c r="G88" s="591"/>
      <c r="H88" s="57"/>
      <c r="I88" s="57"/>
      <c r="J88" s="66"/>
    </row>
    <row r="89" spans="1:10" x14ac:dyDescent="0.2">
      <c r="A89" s="65"/>
      <c r="B89" s="57"/>
      <c r="C89" s="57"/>
      <c r="D89" s="57"/>
      <c r="E89" s="57"/>
      <c r="F89" s="57"/>
      <c r="G89" s="591"/>
      <c r="H89" s="57"/>
      <c r="I89" s="57"/>
      <c r="J89" s="66"/>
    </row>
    <row r="90" spans="1:10" x14ac:dyDescent="0.2">
      <c r="A90" s="65"/>
      <c r="B90" s="57"/>
      <c r="C90" s="57"/>
      <c r="D90" s="57"/>
      <c r="E90" s="57"/>
      <c r="F90" s="57"/>
      <c r="G90" s="591"/>
      <c r="H90" s="57"/>
      <c r="I90" s="57"/>
      <c r="J90" s="66"/>
    </row>
    <row r="91" spans="1:10" x14ac:dyDescent="0.2">
      <c r="A91" s="65"/>
      <c r="B91" s="57"/>
      <c r="C91" s="57"/>
      <c r="D91" s="57"/>
      <c r="E91" s="57"/>
      <c r="F91" s="57"/>
      <c r="G91" s="591"/>
      <c r="H91" s="57"/>
      <c r="I91" s="57"/>
      <c r="J91" s="66"/>
    </row>
    <row r="92" spans="1:10" x14ac:dyDescent="0.2">
      <c r="A92" s="65"/>
      <c r="B92" s="57"/>
      <c r="C92" s="57"/>
      <c r="D92" s="57"/>
      <c r="E92" s="57"/>
      <c r="F92" s="57"/>
      <c r="G92" s="591"/>
      <c r="H92" s="57"/>
      <c r="I92" s="57"/>
      <c r="J92" s="66"/>
    </row>
    <row r="93" spans="1:10" x14ac:dyDescent="0.2">
      <c r="A93" s="65"/>
      <c r="B93" s="57"/>
      <c r="C93" s="57"/>
      <c r="D93" s="57"/>
      <c r="E93" s="57"/>
      <c r="F93" s="57"/>
      <c r="G93" s="591"/>
      <c r="H93" s="57"/>
      <c r="I93" s="57"/>
      <c r="J93" s="66"/>
    </row>
    <row r="94" spans="1:10" x14ac:dyDescent="0.2">
      <c r="A94" s="65"/>
      <c r="B94" s="57"/>
      <c r="C94" s="57"/>
      <c r="D94" s="57"/>
      <c r="E94" s="57"/>
      <c r="F94" s="57"/>
      <c r="G94" s="591"/>
      <c r="H94" s="57"/>
      <c r="I94" s="57"/>
      <c r="J94" s="66"/>
    </row>
    <row r="95" spans="1:10" x14ac:dyDescent="0.2">
      <c r="A95" s="65"/>
      <c r="B95" s="57"/>
      <c r="C95" s="57"/>
      <c r="D95" s="57"/>
      <c r="E95" s="57"/>
      <c r="F95" s="57"/>
      <c r="G95" s="591"/>
      <c r="H95" s="57"/>
      <c r="I95" s="57"/>
      <c r="J95" s="66"/>
    </row>
    <row r="96" spans="1:10" x14ac:dyDescent="0.2">
      <c r="A96" s="65"/>
      <c r="B96" s="57"/>
      <c r="C96" s="57"/>
      <c r="D96" s="57"/>
      <c r="E96" s="57"/>
      <c r="F96" s="57"/>
      <c r="G96" s="591"/>
      <c r="H96" s="57"/>
      <c r="I96" s="57"/>
      <c r="J96" s="66"/>
    </row>
    <row r="97" spans="1:10" x14ac:dyDescent="0.2">
      <c r="A97" s="65"/>
      <c r="B97" s="57"/>
      <c r="C97" s="57"/>
      <c r="D97" s="57"/>
      <c r="E97" s="57"/>
      <c r="F97" s="57"/>
      <c r="G97" s="591"/>
      <c r="H97" s="57"/>
      <c r="I97" s="57"/>
      <c r="J97" s="66"/>
    </row>
    <row r="98" spans="1:10" x14ac:dyDescent="0.2">
      <c r="A98" s="65"/>
      <c r="B98" s="57"/>
      <c r="C98" s="57"/>
      <c r="D98" s="57"/>
      <c r="E98" s="57"/>
      <c r="F98" s="57"/>
      <c r="G98" s="591"/>
      <c r="H98" s="57"/>
      <c r="I98" s="57"/>
      <c r="J98" s="66"/>
    </row>
    <row r="99" spans="1:10" x14ac:dyDescent="0.2">
      <c r="A99" s="65"/>
      <c r="B99" s="57"/>
      <c r="C99" s="57"/>
      <c r="D99" s="57"/>
      <c r="E99" s="57"/>
      <c r="F99" s="57"/>
      <c r="G99" s="591"/>
      <c r="H99" s="57"/>
      <c r="I99" s="57"/>
      <c r="J99" s="66"/>
    </row>
    <row r="100" spans="1:10" x14ac:dyDescent="0.2">
      <c r="A100" s="65"/>
      <c r="B100" s="57"/>
      <c r="C100" s="57"/>
      <c r="D100" s="57"/>
      <c r="E100" s="57"/>
      <c r="F100" s="57"/>
      <c r="G100" s="591"/>
      <c r="H100" s="57"/>
      <c r="I100" s="57"/>
      <c r="J100" s="66"/>
    </row>
    <row r="101" spans="1:10" ht="15" thickBot="1" x14ac:dyDescent="0.25">
      <c r="A101" s="67"/>
      <c r="B101" s="68"/>
      <c r="C101" s="68"/>
      <c r="D101" s="68"/>
      <c r="E101" s="68"/>
      <c r="F101" s="68"/>
      <c r="G101" s="597"/>
      <c r="H101" s="68"/>
      <c r="I101" s="68"/>
      <c r="J101" s="69"/>
    </row>
  </sheetData>
  <sheetProtection selectLockedCells="1"/>
  <sortState xmlns:xlrd2="http://schemas.microsoft.com/office/spreadsheetml/2017/richdata2" ref="A5:J21">
    <sortCondition ref="E5:E21"/>
    <sortCondition ref="B5:B21"/>
  </sortState>
  <mergeCells count="2">
    <mergeCell ref="A1:J1"/>
    <mergeCell ref="B2:J2"/>
  </mergeCells>
  <phoneticPr fontId="9" type="noConversion"/>
  <conditionalFormatting sqref="A4:E4 B5:E17 G4:J17 A18:J38">
    <cfRule type="expression" dxfId="155" priority="48">
      <formula>AND($F4&lt;&gt;"",$F4=0%)</formula>
    </cfRule>
  </conditionalFormatting>
  <conditionalFormatting sqref="A4:E4 B5:E17 G4:J17 A18:J38">
    <cfRule type="expression" dxfId="154" priority="49">
      <formula>AND($G4&lt;&gt;"",$G4=0%)</formula>
    </cfRule>
  </conditionalFormatting>
  <conditionalFormatting sqref="H4:H38">
    <cfRule type="iconSet" priority="52">
      <iconSet iconSet="3Arrows">
        <cfvo type="percent" val="0"/>
        <cfvo type="num" val="0"/>
        <cfvo type="num" val="0" gte="0"/>
      </iconSet>
    </cfRule>
  </conditionalFormatting>
  <conditionalFormatting sqref="A4 G4:G17 F18:G38 A18:A38">
    <cfRule type="expression" dxfId="153" priority="50">
      <formula>$A4=""</formula>
    </cfRule>
    <cfRule type="expression" dxfId="152" priority="51">
      <formula>$A4&lt;&gt;""</formula>
    </cfRule>
  </conditionalFormatting>
  <conditionalFormatting sqref="H42:H55 H57 H59 H61:H62">
    <cfRule type="cellIs" dxfId="151" priority="30" operator="lessThan">
      <formula>$B42</formula>
    </cfRule>
    <cfRule type="cellIs" dxfId="150" priority="31" operator="greaterThan">
      <formula>$C42</formula>
    </cfRule>
  </conditionalFormatting>
  <conditionalFormatting sqref="G56:H56">
    <cfRule type="cellIs" dxfId="149" priority="28" operator="lessThan">
      <formula>$B56</formula>
    </cfRule>
    <cfRule type="cellIs" dxfId="148" priority="29" operator="greaterThan">
      <formula>$C56</formula>
    </cfRule>
  </conditionalFormatting>
  <conditionalFormatting sqref="G56:H56">
    <cfRule type="expression" priority="27" stopIfTrue="1">
      <formula>$G$39=0</formula>
    </cfRule>
  </conditionalFormatting>
  <conditionalFormatting sqref="G58:H58">
    <cfRule type="cellIs" dxfId="147" priority="25" operator="lessThan">
      <formula>$B58</formula>
    </cfRule>
    <cfRule type="cellIs" dxfId="146" priority="26" operator="greaterThan">
      <formula>$C58</formula>
    </cfRule>
  </conditionalFormatting>
  <conditionalFormatting sqref="G58:H58">
    <cfRule type="expression" priority="24" stopIfTrue="1">
      <formula>$G$39=0</formula>
    </cfRule>
  </conditionalFormatting>
  <conditionalFormatting sqref="G60:H60">
    <cfRule type="cellIs" dxfId="145" priority="22" operator="lessThan">
      <formula>$B60</formula>
    </cfRule>
    <cfRule type="cellIs" dxfId="144" priority="23" operator="greaterThan">
      <formula>$C60</formula>
    </cfRule>
  </conditionalFormatting>
  <conditionalFormatting sqref="G60:H60">
    <cfRule type="expression" priority="21" stopIfTrue="1">
      <formula>$G$39=0</formula>
    </cfRule>
  </conditionalFormatting>
  <conditionalFormatting sqref="G63:H63">
    <cfRule type="cellIs" dxfId="143" priority="19" operator="lessThan">
      <formula>$B63</formula>
    </cfRule>
    <cfRule type="cellIs" dxfId="142" priority="20" operator="greaterThan">
      <formula>$C63</formula>
    </cfRule>
  </conditionalFormatting>
  <conditionalFormatting sqref="G63:H63">
    <cfRule type="expression" priority="18" stopIfTrue="1">
      <formula>$G$39=0</formula>
    </cfRule>
  </conditionalFormatting>
  <conditionalFormatting sqref="H49">
    <cfRule type="expression" priority="17" stopIfTrue="1">
      <formula>$G$39=0</formula>
    </cfRule>
  </conditionalFormatting>
  <conditionalFormatting sqref="A5:A14">
    <cfRule type="expression" dxfId="141" priority="13">
      <formula>AND($F5&lt;&gt;"",$F5=0%)</formula>
    </cfRule>
  </conditionalFormatting>
  <conditionalFormatting sqref="A5:A14">
    <cfRule type="expression" dxfId="140" priority="14">
      <formula>AND($G5&lt;&gt;"",$G5=0%)</formula>
    </cfRule>
  </conditionalFormatting>
  <conditionalFormatting sqref="A5:A10 A12:A14">
    <cfRule type="expression" dxfId="139" priority="15">
      <formula>$A5=""</formula>
    </cfRule>
    <cfRule type="expression" dxfId="138" priority="16">
      <formula>$A5&lt;&gt;""</formula>
    </cfRule>
  </conditionalFormatting>
  <conditionalFormatting sqref="A16:A17">
    <cfRule type="expression" dxfId="137" priority="9">
      <formula>AND($F16&lt;&gt;"",$F16=0%)</formula>
    </cfRule>
  </conditionalFormatting>
  <conditionalFormatting sqref="A16:A17">
    <cfRule type="expression" dxfId="136" priority="10">
      <formula>AND($G16&lt;&gt;"",$G16=0%)</formula>
    </cfRule>
  </conditionalFormatting>
  <conditionalFormatting sqref="A16:A17">
    <cfRule type="expression" dxfId="135" priority="11">
      <formula>$A16=""</formula>
    </cfRule>
    <cfRule type="expression" dxfId="134" priority="12">
      <formula>$A16&lt;&gt;""</formula>
    </cfRule>
  </conditionalFormatting>
  <conditionalFormatting sqref="A15">
    <cfRule type="expression" dxfId="133" priority="5">
      <formula>AND($F15&lt;&gt;"",$F15=0%)</formula>
    </cfRule>
  </conditionalFormatting>
  <conditionalFormatting sqref="A15">
    <cfRule type="expression" dxfId="132" priority="6">
      <formula>AND($G15&lt;&gt;"",$G15=0%)</formula>
    </cfRule>
  </conditionalFormatting>
  <conditionalFormatting sqref="A15">
    <cfRule type="expression" dxfId="131" priority="7">
      <formula>$A15=""</formula>
    </cfRule>
    <cfRule type="expression" dxfId="130" priority="8">
      <formula>$A15&lt;&gt;""</formula>
    </cfRule>
  </conditionalFormatting>
  <conditionalFormatting sqref="F4:F17">
    <cfRule type="expression" dxfId="129" priority="1">
      <formula>AND($F4&lt;&gt;"",$F4=0%)</formula>
    </cfRule>
  </conditionalFormatting>
  <conditionalFormatting sqref="F4:F17">
    <cfRule type="expression" dxfId="128" priority="2">
      <formula>AND($G4&lt;&gt;"",$G4=0%)</formula>
    </cfRule>
  </conditionalFormatting>
  <conditionalFormatting sqref="F4:F17">
    <cfRule type="expression" dxfId="127" priority="3">
      <formula>$A4=""</formula>
    </cfRule>
    <cfRule type="expression" dxfId="126" priority="4">
      <formula>$A4&lt;&gt;""</formula>
    </cfRule>
  </conditionalFormatting>
  <pageMargins left="0.25" right="0.25" top="0.75" bottom="0.75" header="0.3" footer="0.3"/>
  <pageSetup paperSize="9" scale="51" orientation="portrait" r:id="rId1"/>
  <ignoredErrors>
    <ignoredError sqref="H56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55DAB23F-DE68-43F0-AA33-72A10CE2E1B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33" id="{8AB9CF1E-DC49-4C27-80F2-D67EA3859CC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32" id="{2666C2A4-C7A1-4D19-8182-DC8E14FA283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35" id="{E3CA52B2-AD35-451A-91EC-B043B0A7D2C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36" id="{FDFA4AD4-B9EE-4CF3-AD15-95C1D007B74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I57:I62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09C6-0534-4FBD-AC52-5924D5359BE8}">
  <sheetPr>
    <pageSetUpPr fitToPage="1"/>
  </sheetPr>
  <dimension ref="A1:L40"/>
  <sheetViews>
    <sheetView zoomScale="85" zoomScaleNormal="85" workbookViewId="0">
      <selection sqref="A1:J1"/>
    </sheetView>
  </sheetViews>
  <sheetFormatPr defaultRowHeight="14.25" x14ac:dyDescent="0.2"/>
  <cols>
    <col min="1" max="1" width="15.375" bestFit="1" customWidth="1"/>
    <col min="2" max="2" width="55.75" bestFit="1" customWidth="1"/>
    <col min="3" max="3" width="2.125" customWidth="1"/>
    <col min="4" max="4" width="18.625" customWidth="1"/>
    <col min="5" max="10" width="12.375" customWidth="1"/>
    <col min="11" max="11" width="13.375" customWidth="1"/>
    <col min="12" max="12" width="12.375" customWidth="1"/>
  </cols>
  <sheetData>
    <row r="1" spans="1:12" ht="31.5" thickTop="1" thickBot="1" x14ac:dyDescent="0.25">
      <c r="A1" s="128" t="s">
        <v>75</v>
      </c>
      <c r="B1" s="129"/>
      <c r="C1" s="129"/>
      <c r="D1" s="129"/>
      <c r="E1" s="129"/>
      <c r="F1" s="129"/>
      <c r="G1" s="129"/>
      <c r="H1" s="129"/>
      <c r="I1" s="130"/>
      <c r="J1" s="131"/>
      <c r="K1" s="131"/>
      <c r="L1" s="132"/>
    </row>
    <row r="2" spans="1:12" ht="15.75" thickTop="1" x14ac:dyDescent="0.25">
      <c r="A2" s="133" t="s">
        <v>2</v>
      </c>
      <c r="B2" s="239">
        <f>Date</f>
        <v>44733</v>
      </c>
      <c r="C2" s="239"/>
      <c r="D2" s="239"/>
      <c r="E2" s="239"/>
      <c r="F2" s="239"/>
      <c r="G2" s="239"/>
      <c r="H2" s="239"/>
      <c r="I2" s="240"/>
      <c r="J2" s="134"/>
      <c r="K2" s="134"/>
      <c r="L2" s="135"/>
    </row>
    <row r="3" spans="1:12" ht="15.75" x14ac:dyDescent="0.25">
      <c r="A3" s="222" t="s">
        <v>3</v>
      </c>
      <c r="B3" s="120" t="s">
        <v>4</v>
      </c>
      <c r="C3" s="120" t="s">
        <v>76</v>
      </c>
      <c r="D3" s="120" t="s">
        <v>5</v>
      </c>
      <c r="E3" s="121" t="s">
        <v>77</v>
      </c>
      <c r="F3" s="121" t="s">
        <v>78</v>
      </c>
      <c r="G3" s="121" t="s">
        <v>79</v>
      </c>
      <c r="H3" s="122" t="s">
        <v>80</v>
      </c>
      <c r="I3" s="122" t="s">
        <v>81</v>
      </c>
      <c r="J3" s="121" t="s">
        <v>82</v>
      </c>
      <c r="K3" s="121" t="s">
        <v>83</v>
      </c>
      <c r="L3" s="136" t="s">
        <v>84</v>
      </c>
    </row>
    <row r="4" spans="1:12" x14ac:dyDescent="0.2">
      <c r="A4" s="137" t="s">
        <v>11</v>
      </c>
      <c r="B4" s="123" t="str">
        <f>IFERROR(VLOOKUP(A4,NoviaFunds[],2,FALSE),"")</f>
        <v>Cash</v>
      </c>
      <c r="C4" s="124"/>
      <c r="D4" s="125" t="str">
        <f>IFERROR(VLOOKUP(A4,NoviaFunds[],6,FALSE),"")</f>
        <v>Cash</v>
      </c>
      <c r="E4" s="127">
        <f>IFERROR(VLOOKUP(Table3[[#This Row],[ISIN Code]],'DT03 Defender'!$A$4:$J$32,6,FALSE),"")</f>
        <v>0.08</v>
      </c>
      <c r="F4" s="127">
        <f>IFERROR(VLOOKUP(Table3[[#This Row],[ISIN Code]],'DT04 Prudence'!$A$4:$J$32,6,FALSE),"")</f>
        <v>0.02</v>
      </c>
      <c r="G4" s="127">
        <f>IFERROR(VLOOKUP(Table3[[#This Row],[ISIN Code]],'DT05 Navigator'!$A$4:$J$32,6,FALSE),"")</f>
        <v>0.02</v>
      </c>
      <c r="H4" s="127">
        <f>IFERROR(VLOOKUP(Table3[[#This Row],[ISIN Code]],'DT06 Meridian'!$A$4:$J$32,6,FALSE),"")</f>
        <v>0.02</v>
      </c>
      <c r="I4" s="127">
        <f>IFERROR(VLOOKUP(Table3[[#This Row],[ISIN Code]],'DT07 Explorer'!$A$4:$J$32,6,FALSE),"")</f>
        <v>0.02</v>
      </c>
      <c r="J4" s="127">
        <f>IFERROR(VLOOKUP(Table3[[#This Row],[ISIN Code]],'DT08 Voyager'!$A$4:$J$39,6,FALSE),"")</f>
        <v>0.02</v>
      </c>
      <c r="K4" s="127">
        <f>IFERROR(VLOOKUP(Table3[[#This Row],[ISIN Code]],'DT09 Adventurer'!$A$4:$J$38,6,FALSE),"")</f>
        <v>0.02</v>
      </c>
      <c r="L4" s="224">
        <f>IFERROR(VLOOKUP(Table3[[#This Row],[ISIN Code]],'DT10 Pioneer'!$A$4:$J$38,6,FALSE),"")</f>
        <v>0.02</v>
      </c>
    </row>
    <row r="5" spans="1:12" x14ac:dyDescent="0.2">
      <c r="A5" s="137" t="s">
        <v>564</v>
      </c>
      <c r="B5" s="123" t="str">
        <f>IFERROR(VLOOKUP(A5,NoviaFunds[],2,FALSE),"")</f>
        <v>ASI Asia Pacific Equity Enhanced Index B Acc in GB</v>
      </c>
      <c r="C5" s="124"/>
      <c r="D5" s="125" t="str">
        <f>IFERROR(VLOOKUP(A5,NoviaFunds[],6,FALSE),"")</f>
        <v>Asia Pacific</v>
      </c>
      <c r="E5" s="127" t="str">
        <f>IFERROR(VLOOKUP(Table3[[#This Row],[ISIN Code]],'DT03 Defender'!$A$4:$J$32,6,FALSE),"")</f>
        <v/>
      </c>
      <c r="F5" s="127">
        <f>IFERROR(VLOOKUP(Table3[[#This Row],[ISIN Code]],'DT04 Prudence'!$A$4:$J$32,6,FALSE),"")</f>
        <v>0</v>
      </c>
      <c r="G5" s="127">
        <f>IFERROR(VLOOKUP(Table3[[#This Row],[ISIN Code]],'DT05 Navigator'!$A$4:$J$32,6,FALSE),"")</f>
        <v>0</v>
      </c>
      <c r="H5" s="225">
        <f>IFERROR(VLOOKUP(Table3[[#This Row],[ISIN Code]],'DT06 Meridian'!$A$4:$J$32,6,FALSE),"")</f>
        <v>0</v>
      </c>
      <c r="I5" s="225">
        <f>IFERROR(VLOOKUP(Table3[[#This Row],[ISIN Code]],'DT07 Explorer'!$A$4:$J$32,6,FALSE),"")</f>
        <v>0</v>
      </c>
      <c r="J5" s="226">
        <f>IFERROR(VLOOKUP(Table3[[#This Row],[ISIN Code]],'DT08 Voyager'!$A$4:$J$39,6,FALSE),"")</f>
        <v>0</v>
      </c>
      <c r="K5" s="226">
        <f>IFERROR(VLOOKUP(Table3[[#This Row],[ISIN Code]],'DT09 Adventurer'!$A$4:$J$38,6,FALSE),"")</f>
        <v>0</v>
      </c>
      <c r="L5" s="227">
        <f>IFERROR(VLOOKUP(Table3[[#This Row],[ISIN Code]],'DT10 Pioneer'!$A$4:$J$38,6,FALSE),"")</f>
        <v>0</v>
      </c>
    </row>
    <row r="6" spans="1:12" x14ac:dyDescent="0.2">
      <c r="A6" s="137" t="s">
        <v>1461</v>
      </c>
      <c r="B6" s="123" t="str">
        <f>IFERROR(VLOOKUP(A6,NoviaFunds[],2,FALSE),"")</f>
        <v>Baillie Gifford Pacific B Acc TR in GB</v>
      </c>
      <c r="C6" s="124"/>
      <c r="D6" s="125" t="str">
        <f>IFERROR(VLOOKUP(A6,NoviaFunds[],6,FALSE),"")</f>
        <v>Asia Pacific</v>
      </c>
      <c r="E6" s="127" t="str">
        <f>IFERROR(VLOOKUP(Table3[[#This Row],[ISIN Code]],'DT03 Defender'!$A$4:$J$32,6,FALSE),"")</f>
        <v/>
      </c>
      <c r="F6" s="127" t="str">
        <f>IFERROR(VLOOKUP(Table3[[#This Row],[ISIN Code]],'DT04 Prudence'!$A$4:$J$32,6,FALSE),"")</f>
        <v/>
      </c>
      <c r="G6" s="127" t="str">
        <f>IFERROR(VLOOKUP(Table3[[#This Row],[ISIN Code]],'DT05 Navigator'!$A$4:$J$32,6,FALSE),"")</f>
        <v/>
      </c>
      <c r="H6" s="225">
        <f>IFERROR(VLOOKUP(Table3[[#This Row],[ISIN Code]],'DT06 Meridian'!$A$4:$J$32,6,FALSE),"")</f>
        <v>0</v>
      </c>
      <c r="I6" s="225">
        <f>IFERROR(VLOOKUP(Table3[[#This Row],[ISIN Code]],'DT07 Explorer'!$A$4:$J$32,6,FALSE),"")</f>
        <v>0</v>
      </c>
      <c r="J6" s="226">
        <f>IFERROR(VLOOKUP(Table3[[#This Row],[ISIN Code]],'DT08 Voyager'!$A$4:$J$39,6,FALSE),"")</f>
        <v>0</v>
      </c>
      <c r="K6" s="226">
        <f>IFERROR(VLOOKUP(Table3[[#This Row],[ISIN Code]],'DT09 Adventurer'!$A$4:$J$38,6,FALSE),"")</f>
        <v>0</v>
      </c>
      <c r="L6" s="224">
        <f>IFERROR(VLOOKUP(Table3[[#This Row],[ISIN Code]],'DT10 Pioneer'!$A$4:$J$38,6,FALSE),"")</f>
        <v>0</v>
      </c>
    </row>
    <row r="7" spans="1:12" x14ac:dyDescent="0.2">
      <c r="A7" s="137" t="s">
        <v>58</v>
      </c>
      <c r="B7" s="123" t="str">
        <f>IFERROR(VLOOKUP(A7,NoviaFunds[],2,FALSE),"")</f>
        <v>Fidelity Asia W Acc in GB</v>
      </c>
      <c r="C7" s="124"/>
      <c r="D7" s="125" t="str">
        <f>IFERROR(VLOOKUP(A7,NoviaFunds[],6,FALSE),"")</f>
        <v>Asia Pacific</v>
      </c>
      <c r="E7" s="127" t="str">
        <f>IFERROR(VLOOKUP(Table3[[#This Row],[ISIN Code]],'DT03 Defender'!$A$4:$J$32,6,FALSE),"")</f>
        <v/>
      </c>
      <c r="F7" s="127" t="str">
        <f>IFERROR(VLOOKUP(Table3[[#This Row],[ISIN Code]],'DT04 Prudence'!$A$4:$J$32,6,FALSE),"")</f>
        <v/>
      </c>
      <c r="G7" s="127">
        <f>IFERROR(VLOOKUP(Table3[[#This Row],[ISIN Code]],'DT05 Navigator'!$A$4:$J$32,6,FALSE),"")</f>
        <v>4.4999999999999998E-2</v>
      </c>
      <c r="H7" s="225">
        <f>IFERROR(VLOOKUP(Table3[[#This Row],[ISIN Code]],'DT06 Meridian'!$A$4:$J$32,6,FALSE),"")</f>
        <v>7.0000000000000007E-2</v>
      </c>
      <c r="I7" s="225">
        <f>IFERROR(VLOOKUP(Table3[[#This Row],[ISIN Code]],'DT07 Explorer'!$A$4:$J$32,6,FALSE),"")</f>
        <v>0.05</v>
      </c>
      <c r="J7" s="226">
        <f>IFERROR(VLOOKUP(Table3[[#This Row],[ISIN Code]],'DT08 Voyager'!$A$4:$J$39,6,FALSE),"")</f>
        <v>6.5000000000000002E-2</v>
      </c>
      <c r="K7" s="226">
        <f>IFERROR(VLOOKUP(Table3[[#This Row],[ISIN Code]],'DT09 Adventurer'!$A$4:$J$38,6,FALSE),"")</f>
        <v>0.08</v>
      </c>
      <c r="L7" s="224">
        <f>IFERROR(VLOOKUP(Table3[[#This Row],[ISIN Code]],'DT10 Pioneer'!$A$4:$J$38,6,FALSE),"")</f>
        <v>0.09</v>
      </c>
    </row>
    <row r="8" spans="1:12" x14ac:dyDescent="0.2">
      <c r="A8" s="137" t="s">
        <v>64</v>
      </c>
      <c r="B8" s="123" t="str">
        <f>IFERROR(VLOOKUP(A8,NoviaFunds[],2,FALSE),"")</f>
        <v>Schroder Asian Income Z Acc in GB</v>
      </c>
      <c r="C8" s="124"/>
      <c r="D8" s="125" t="str">
        <f>IFERROR(VLOOKUP(A8,NoviaFunds[],6,FALSE),"")</f>
        <v>Asia Pacific</v>
      </c>
      <c r="E8" s="127" t="str">
        <f>IFERROR(VLOOKUP(Table3[[#This Row],[ISIN Code]],'DT03 Defender'!$A$4:$J$32,6,FALSE),"")</f>
        <v/>
      </c>
      <c r="F8" s="127" t="str">
        <f>IFERROR(VLOOKUP(Table3[[#This Row],[ISIN Code]],'DT04 Prudence'!$A$4:$J$32,6,FALSE),"")</f>
        <v/>
      </c>
      <c r="G8" s="127" t="str">
        <f>IFERROR(VLOOKUP(Table3[[#This Row],[ISIN Code]],'DT05 Navigator'!$A$4:$J$32,6,FALSE),"")</f>
        <v/>
      </c>
      <c r="H8" s="225">
        <f>IFERROR(VLOOKUP(Table3[[#This Row],[ISIN Code]],'DT06 Meridian'!$A$4:$J$32,6,FALSE),"")</f>
        <v>0</v>
      </c>
      <c r="I8" s="225">
        <f>IFERROR(VLOOKUP(Table3[[#This Row],[ISIN Code]],'DT07 Explorer'!$A$4:$J$32,6,FALSE),"")</f>
        <v>0.05</v>
      </c>
      <c r="J8" s="226">
        <f>IFERROR(VLOOKUP(Table3[[#This Row],[ISIN Code]],'DT08 Voyager'!$A$4:$J$39,6,FALSE),"")</f>
        <v>6.5000000000000002E-2</v>
      </c>
      <c r="K8" s="226">
        <f>IFERROR(VLOOKUP(Table3[[#This Row],[ISIN Code]],'DT09 Adventurer'!$A$4:$J$38,6,FALSE),"")</f>
        <v>7.0000000000000007E-2</v>
      </c>
      <c r="L8" s="224">
        <f>IFERROR(VLOOKUP(Table3[[#This Row],[ISIN Code]],'DT10 Pioneer'!$A$4:$J$38,6,FALSE),"")</f>
        <v>0.09</v>
      </c>
    </row>
    <row r="9" spans="1:12" x14ac:dyDescent="0.2">
      <c r="A9" s="137" t="s">
        <v>65</v>
      </c>
      <c r="B9" s="123" t="str">
        <f>IFERROR(VLOOKUP(A9,NoviaFunds[],2,FALSE),"")</f>
        <v>Schroder Institutional Pacific I Acc in GB</v>
      </c>
      <c r="C9" s="124"/>
      <c r="D9" s="125" t="str">
        <f>IFERROR(VLOOKUP(A9,NoviaFunds[],6,FALSE),"")</f>
        <v>Asia Pacific</v>
      </c>
      <c r="E9" s="127" t="str">
        <f>IFERROR(VLOOKUP(Table3[[#This Row],[ISIN Code]],'DT03 Defender'!$A$4:$J$32,6,FALSE),"")</f>
        <v/>
      </c>
      <c r="F9" s="127" t="str">
        <f>IFERROR(VLOOKUP(Table3[[#This Row],[ISIN Code]],'DT04 Prudence'!$A$4:$J$32,6,FALSE),"")</f>
        <v/>
      </c>
      <c r="G9" s="127" t="str">
        <f>IFERROR(VLOOKUP(Table3[[#This Row],[ISIN Code]],'DT05 Navigator'!$A$4:$J$32,6,FALSE),"")</f>
        <v/>
      </c>
      <c r="H9" s="225">
        <f>IFERROR(VLOOKUP(Table3[[#This Row],[ISIN Code]],'DT06 Meridian'!$A$4:$J$32,6,FALSE),"")</f>
        <v>0</v>
      </c>
      <c r="I9" s="225">
        <f>IFERROR(VLOOKUP(Table3[[#This Row],[ISIN Code]],'DT07 Explorer'!$A$4:$J$32,6,FALSE),"")</f>
        <v>0.05</v>
      </c>
      <c r="J9" s="226">
        <f>IFERROR(VLOOKUP(Table3[[#This Row],[ISIN Code]],'DT08 Voyager'!$A$4:$J$39,6,FALSE),"")</f>
        <v>6.5000000000000002E-2</v>
      </c>
      <c r="K9" s="226">
        <f>IFERROR(VLOOKUP(Table3[[#This Row],[ISIN Code]],'DT09 Adventurer'!$A$4:$J$38,6,FALSE),"")</f>
        <v>0.03</v>
      </c>
      <c r="L9" s="224">
        <f>IFERROR(VLOOKUP(Table3[[#This Row],[ISIN Code]],'DT10 Pioneer'!$A$4:$J$38,6,FALSE),"")</f>
        <v>0.09</v>
      </c>
    </row>
    <row r="10" spans="1:12" x14ac:dyDescent="0.2">
      <c r="A10" s="137" t="s">
        <v>59</v>
      </c>
      <c r="B10" s="123" t="str">
        <f>IFERROR(VLOOKUP(A10,NoviaFunds[],2,FALSE),"")</f>
        <v>ASI Emerging Markets Income Equity Ret Platform 1 Acc GBP in GB</v>
      </c>
      <c r="C10" s="124"/>
      <c r="D10" s="125" t="str">
        <f>IFERROR(VLOOKUP(A10,NoviaFunds[],6,FALSE),"")</f>
        <v>Emerging Markets</v>
      </c>
      <c r="E10" s="127" t="str">
        <f>IFERROR(VLOOKUP(Table3[[#This Row],[ISIN Code]],'DT03 Defender'!$A$4:$J$32,6,FALSE),"")</f>
        <v/>
      </c>
      <c r="F10" s="127" t="str">
        <f>IFERROR(VLOOKUP(Table3[[#This Row],[ISIN Code]],'DT04 Prudence'!$A$4:$J$32,6,FALSE),"")</f>
        <v/>
      </c>
      <c r="G10" s="127">
        <f>IFERROR(VLOOKUP(Table3[[#This Row],[ISIN Code]],'DT05 Navigator'!$A$4:$J$32,6,FALSE),"")</f>
        <v>3.5000000000000003E-2</v>
      </c>
      <c r="H10" s="225">
        <f>IFERROR(VLOOKUP(Table3[[#This Row],[ISIN Code]],'DT06 Meridian'!$A$4:$J$32,6,FALSE),"")</f>
        <v>0.06</v>
      </c>
      <c r="I10" s="225">
        <f>IFERROR(VLOOKUP(Table3[[#This Row],[ISIN Code]],'DT07 Explorer'!$A$4:$J$32,6,FALSE),"")</f>
        <v>0.05</v>
      </c>
      <c r="J10" s="226">
        <f>IFERROR(VLOOKUP(Table3[[#This Row],[ISIN Code]],'DT08 Voyager'!$A$4:$J$39,6,FALSE),"")</f>
        <v>7.0000000000000007E-2</v>
      </c>
      <c r="K10" s="226">
        <f>IFERROR(VLOOKUP(Table3[[#This Row],[ISIN Code]],'DT09 Adventurer'!$A$4:$J$38,6,FALSE),"")</f>
        <v>7.0000000000000007E-2</v>
      </c>
      <c r="L10" s="224">
        <f>IFERROR(VLOOKUP(Table3[[#This Row],[ISIN Code]],'DT10 Pioneer'!$A$4:$J$38,6,FALSE),"")</f>
        <v>0.09</v>
      </c>
    </row>
    <row r="11" spans="1:12" x14ac:dyDescent="0.2">
      <c r="A11" s="137" t="s">
        <v>53</v>
      </c>
      <c r="B11" s="123" t="str">
        <f>IFERROR(VLOOKUP(A11,NoviaFunds[],2,FALSE),"")</f>
        <v>Federated Hermes Global Emerging Markets F Acc</v>
      </c>
      <c r="C11" s="124"/>
      <c r="D11" s="125" t="str">
        <f>IFERROR(VLOOKUP(A11,NoviaFunds[],6,FALSE),"")</f>
        <v>Emerging Markets</v>
      </c>
      <c r="E11" s="127" t="str">
        <f>IFERROR(VLOOKUP(Table3[[#This Row],[ISIN Code]],'DT03 Defender'!$A$4:$J$32,6,FALSE),"")</f>
        <v/>
      </c>
      <c r="F11" s="127">
        <f>IFERROR(VLOOKUP(Table3[[#This Row],[ISIN Code]],'DT04 Prudence'!$A$4:$J$32,6,FALSE),"")</f>
        <v>0.04</v>
      </c>
      <c r="G11" s="127">
        <f>IFERROR(VLOOKUP(Table3[[#This Row],[ISIN Code]],'DT05 Navigator'!$A$4:$J$32,6,FALSE),"")</f>
        <v>3.5000000000000003E-2</v>
      </c>
      <c r="H11" s="225">
        <f>IFERROR(VLOOKUP(Table3[[#This Row],[ISIN Code]],'DT06 Meridian'!$A$4:$J$32,6,FALSE),"")</f>
        <v>0.06</v>
      </c>
      <c r="I11" s="225">
        <f>IFERROR(VLOOKUP(Table3[[#This Row],[ISIN Code]],'DT07 Explorer'!$A$4:$J$32,6,FALSE),"")</f>
        <v>0.05</v>
      </c>
      <c r="J11" s="226">
        <f>IFERROR(VLOOKUP(Table3[[#This Row],[ISIN Code]],'DT08 Voyager'!$A$4:$J$39,6,FALSE),"")</f>
        <v>7.0000000000000007E-2</v>
      </c>
      <c r="K11" s="226">
        <f>IFERROR(VLOOKUP(Table3[[#This Row],[ISIN Code]],'DT09 Adventurer'!$A$4:$J$38,6,FALSE),"")</f>
        <v>0.08</v>
      </c>
      <c r="L11" s="224">
        <f>IFERROR(VLOOKUP(Table3[[#This Row],[ISIN Code]],'DT10 Pioneer'!$A$4:$J$38,6,FALSE),"")</f>
        <v>0.09</v>
      </c>
    </row>
    <row r="12" spans="1:12" x14ac:dyDescent="0.2">
      <c r="A12" s="137" t="s">
        <v>66</v>
      </c>
      <c r="B12" s="123" t="str">
        <f>IFERROR(VLOOKUP(A12,NoviaFunds[],2,FALSE),"")</f>
        <v>JPM Emerging Markets Income C Acc in GB</v>
      </c>
      <c r="C12" s="124"/>
      <c r="D12" s="125" t="str">
        <f>IFERROR(VLOOKUP(A12,NoviaFunds[],6,FALSE),"")</f>
        <v>Emerging Markets</v>
      </c>
      <c r="E12" s="127" t="str">
        <f>IFERROR(VLOOKUP(Table3[[#This Row],[ISIN Code]],'DT03 Defender'!$A$4:$J$32,6,FALSE),"")</f>
        <v/>
      </c>
      <c r="F12" s="127" t="str">
        <f>IFERROR(VLOOKUP(Table3[[#This Row],[ISIN Code]],'DT04 Prudence'!$A$4:$J$32,6,FALSE),"")</f>
        <v/>
      </c>
      <c r="G12" s="127">
        <f>IFERROR(VLOOKUP(Table3[[#This Row],[ISIN Code]],'DT05 Navigator'!$A$4:$J$32,6,FALSE),"")</f>
        <v>0</v>
      </c>
      <c r="H12" s="225">
        <f>IFERROR(VLOOKUP(Table3[[#This Row],[ISIN Code]],'DT06 Meridian'!$A$4:$J$32,6,FALSE),"")</f>
        <v>0</v>
      </c>
      <c r="I12" s="225">
        <f>IFERROR(VLOOKUP(Table3[[#This Row],[ISIN Code]],'DT07 Explorer'!$A$4:$J$32,6,FALSE),"")</f>
        <v>0.05</v>
      </c>
      <c r="J12" s="226">
        <f>IFERROR(VLOOKUP(Table3[[#This Row],[ISIN Code]],'DT08 Voyager'!$A$4:$J$39,6,FALSE),"")</f>
        <v>7.0000000000000007E-2</v>
      </c>
      <c r="K12" s="226">
        <f>IFERROR(VLOOKUP(Table3[[#This Row],[ISIN Code]],'DT09 Adventurer'!$A$4:$J$38,6,FALSE),"")</f>
        <v>7.0000000000000007E-2</v>
      </c>
      <c r="L12" s="224">
        <f>IFERROR(VLOOKUP(Table3[[#This Row],[ISIN Code]],'DT10 Pioneer'!$A$4:$J$38,6,FALSE),"")</f>
        <v>0.09</v>
      </c>
    </row>
    <row r="13" spans="1:12" x14ac:dyDescent="0.2">
      <c r="A13" s="137" t="s">
        <v>67</v>
      </c>
      <c r="B13" s="123" t="str">
        <f>IFERROR(VLOOKUP(A13,NoviaFunds[],2,FALSE),"")</f>
        <v>UBS Global Emerging Markets Equity C Acc in GB</v>
      </c>
      <c r="C13" s="124"/>
      <c r="D13" s="125" t="str">
        <f>IFERROR(VLOOKUP(A13,NoviaFunds[],6,FALSE),"")</f>
        <v>Emerging Markets</v>
      </c>
      <c r="E13" s="127" t="str">
        <f>IFERROR(VLOOKUP(Table3[[#This Row],[ISIN Code]],'DT03 Defender'!$A$4:$J$32,6,FALSE),"")</f>
        <v/>
      </c>
      <c r="F13" s="127" t="str">
        <f>IFERROR(VLOOKUP(Table3[[#This Row],[ISIN Code]],'DT04 Prudence'!$A$4:$J$32,6,FALSE),"")</f>
        <v/>
      </c>
      <c r="G13" s="127" t="str">
        <f>IFERROR(VLOOKUP(Table3[[#This Row],[ISIN Code]],'DT05 Navigator'!$A$4:$J$32,6,FALSE),"")</f>
        <v/>
      </c>
      <c r="H13" s="225">
        <f>IFERROR(VLOOKUP(Table3[[#This Row],[ISIN Code]],'DT06 Meridian'!$A$4:$J$32,6,FALSE),"")</f>
        <v>0</v>
      </c>
      <c r="I13" s="225">
        <f>IFERROR(VLOOKUP(Table3[[#This Row],[ISIN Code]],'DT07 Explorer'!$A$4:$J$32,6,FALSE),"")</f>
        <v>0.04</v>
      </c>
      <c r="J13" s="226">
        <f>IFERROR(VLOOKUP(Table3[[#This Row],[ISIN Code]],'DT08 Voyager'!$A$4:$J$39,6,FALSE),"")</f>
        <v>7.0000000000000007E-2</v>
      </c>
      <c r="K13" s="226">
        <f>IFERROR(VLOOKUP(Table3[[#This Row],[ISIN Code]],'DT09 Adventurer'!$A$4:$J$38,6,FALSE),"")</f>
        <v>0.05</v>
      </c>
      <c r="L13" s="224">
        <f>IFERROR(VLOOKUP(Table3[[#This Row],[ISIN Code]],'DT10 Pioneer'!$A$4:$J$38,6,FALSE),"")</f>
        <v>0.09</v>
      </c>
    </row>
    <row r="14" spans="1:12" x14ac:dyDescent="0.2">
      <c r="A14" s="137" t="s">
        <v>3087</v>
      </c>
      <c r="B14" s="123" t="str">
        <f>IFERROR(VLOOKUP(A14,NoviaFunds[],2,FALSE),"")</f>
        <v>HSBC European Index C Acc in GB</v>
      </c>
      <c r="C14" s="124"/>
      <c r="D14" s="125" t="str">
        <f>IFERROR(VLOOKUP(A14,NoviaFunds[],6,FALSE),"")</f>
        <v>European Equities</v>
      </c>
      <c r="E14" s="127" t="str">
        <f>IFERROR(VLOOKUP(Table3[[#This Row],[ISIN Code]],'DT03 Defender'!$A$4:$J$32,6,FALSE),"")</f>
        <v/>
      </c>
      <c r="F14" s="127">
        <f>IFERROR(VLOOKUP(Table3[[#This Row],[ISIN Code]],'DT04 Prudence'!$A$4:$J$32,6,FALSE),"")</f>
        <v>0</v>
      </c>
      <c r="G14" s="127">
        <f>IFERROR(VLOOKUP(Table3[[#This Row],[ISIN Code]],'DT05 Navigator'!$A$4:$J$32,6,FALSE),"")</f>
        <v>0</v>
      </c>
      <c r="H14" s="225">
        <f>IFERROR(VLOOKUP(Table3[[#This Row],[ISIN Code]],'DT06 Meridian'!$A$4:$J$32,6,FALSE),"")</f>
        <v>0</v>
      </c>
      <c r="I14" s="225">
        <f>IFERROR(VLOOKUP(Table3[[#This Row],[ISIN Code]],'DT07 Explorer'!$A$4:$J$32,6,FALSE),"")</f>
        <v>0</v>
      </c>
      <c r="J14" s="226">
        <f>IFERROR(VLOOKUP(Table3[[#This Row],[ISIN Code]],'DT08 Voyager'!$A$4:$J$39,6,FALSE),"")</f>
        <v>0</v>
      </c>
      <c r="K14" s="226">
        <f>IFERROR(VLOOKUP(Table3[[#This Row],[ISIN Code]],'DT09 Adventurer'!$A$4:$J$38,6,FALSE),"")</f>
        <v>0</v>
      </c>
      <c r="L14" s="224" t="str">
        <f>IFERROR(VLOOKUP(Table3[[#This Row],[ISIN Code]],'DT10 Pioneer'!$A$4:$J$38,6,FALSE),"")</f>
        <v/>
      </c>
    </row>
    <row r="15" spans="1:12" x14ac:dyDescent="0.2">
      <c r="A15" s="137" t="s">
        <v>9551</v>
      </c>
      <c r="B15" s="123" t="str">
        <f>IFERROR(VLOOKUP(A15,NoviaFunds[],2,FALSE),"")</f>
        <v>iShares Global High Yield Corp Bond UCITS ETF</v>
      </c>
      <c r="C15" s="124"/>
      <c r="D15" s="125" t="str">
        <f>IFERROR(VLOOKUP(A15,NoviaFunds[],6,FALSE),"")</f>
        <v>Global High Yield</v>
      </c>
      <c r="E15" s="127" t="str">
        <f>IFERROR(VLOOKUP(Table3[[#This Row],[ISIN Code]],'DT03 Defender'!$A$4:$J$32,6,FALSE),"")</f>
        <v/>
      </c>
      <c r="F15" s="127" t="str">
        <f>IFERROR(VLOOKUP(Table3[[#This Row],[ISIN Code]],'DT04 Prudence'!$A$4:$J$32,6,FALSE),"")</f>
        <v/>
      </c>
      <c r="G15" s="127" t="str">
        <f>IFERROR(VLOOKUP(Table3[[#This Row],[ISIN Code]],'DT05 Navigator'!$A$4:$J$32,6,FALSE),"")</f>
        <v/>
      </c>
      <c r="H15" s="225" t="str">
        <f>IFERROR(VLOOKUP(Table3[[#This Row],[ISIN Code]],'DT06 Meridian'!$A$4:$J$32,6,FALSE),"")</f>
        <v/>
      </c>
      <c r="I15" s="225" t="str">
        <f>IFERROR(VLOOKUP(Table3[[#This Row],[ISIN Code]],'DT07 Explorer'!$A$4:$J$32,6,FALSE),"")</f>
        <v/>
      </c>
      <c r="J15" s="226" t="str">
        <f>IFERROR(VLOOKUP(Table3[[#This Row],[ISIN Code]],'DT08 Voyager'!$A$4:$J$39,6,FALSE),"")</f>
        <v/>
      </c>
      <c r="K15" s="226" t="str">
        <f>IFERROR(VLOOKUP(Table3[[#This Row],[ISIN Code]],'DT09 Adventurer'!$A$4:$J$38,6,FALSE),"")</f>
        <v/>
      </c>
      <c r="L15" s="224" t="str">
        <f>IFERROR(VLOOKUP(Table3[[#This Row],[ISIN Code]],'DT10 Pioneer'!$A$4:$J$38,6,FALSE),"")</f>
        <v/>
      </c>
    </row>
    <row r="16" spans="1:12" x14ac:dyDescent="0.2">
      <c r="A16" s="137" t="s">
        <v>3624</v>
      </c>
      <c r="B16" s="123" t="str">
        <f>IFERROR(VLOOKUP(A16,NoviaFunds[],2,FALSE),"")</f>
        <v>iShares Overseas Corporate Bond Index (UK) D Acc in GB</v>
      </c>
      <c r="C16" s="124"/>
      <c r="D16" s="125" t="str">
        <f>IFERROR(VLOOKUP(A16,NoviaFunds[],6,FALSE),"")</f>
        <v>Global Investment Grade</v>
      </c>
      <c r="E16" s="127">
        <f>IFERROR(VLOOKUP(Table3[[#This Row],[ISIN Code]],'DT03 Defender'!$A$4:$J$32,6,FALSE),"")</f>
        <v>0</v>
      </c>
      <c r="F16" s="127">
        <f>IFERROR(VLOOKUP(Table3[[#This Row],[ISIN Code]],'DT04 Prudence'!$A$4:$J$32,6,FALSE),"")</f>
        <v>0</v>
      </c>
      <c r="G16" s="127">
        <f>IFERROR(VLOOKUP(Table3[[#This Row],[ISIN Code]],'DT05 Navigator'!$A$4:$J$32,6,FALSE),"")</f>
        <v>0</v>
      </c>
      <c r="H16" s="225">
        <f>IFERROR(VLOOKUP(Table3[[#This Row],[ISIN Code]],'DT06 Meridian'!$A$4:$J$32,6,FALSE),"")</f>
        <v>0</v>
      </c>
      <c r="I16" s="225">
        <f>IFERROR(VLOOKUP(Table3[[#This Row],[ISIN Code]],'DT07 Explorer'!$A$4:$J$32,6,FALSE),"")</f>
        <v>0</v>
      </c>
      <c r="J16" s="226">
        <f>IFERROR(VLOOKUP(Table3[[#This Row],[ISIN Code]],'DT08 Voyager'!$A$4:$J$39,6,FALSE),"")</f>
        <v>0</v>
      </c>
      <c r="K16" s="226" t="str">
        <f>IFERROR(VLOOKUP(Table3[[#This Row],[ISIN Code]],'DT09 Adventurer'!$A$4:$J$38,6,FALSE),"")</f>
        <v/>
      </c>
      <c r="L16" s="224" t="str">
        <f>IFERROR(VLOOKUP(Table3[[#This Row],[ISIN Code]],'DT10 Pioneer'!$A$4:$J$38,6,FALSE),"")</f>
        <v/>
      </c>
    </row>
    <row r="17" spans="1:12" x14ac:dyDescent="0.2">
      <c r="A17" s="137" t="s">
        <v>56</v>
      </c>
      <c r="B17" s="123" t="str">
        <f>IFERROR(VLOOKUP(A17,NoviaFunds[],2,FALSE),"")</f>
        <v>Baillie Gifford Japanese B Acc in GB**</v>
      </c>
      <c r="C17" s="124"/>
      <c r="D17" s="125" t="str">
        <f>IFERROR(VLOOKUP(A17,NoviaFunds[],6,FALSE),"")</f>
        <v>Japanese Equities</v>
      </c>
      <c r="E17" s="127">
        <f>IFERROR(VLOOKUP(Table3[[#This Row],[ISIN Code]],'DT03 Defender'!$A$4:$J$32,6,FALSE),"")</f>
        <v>0</v>
      </c>
      <c r="F17" s="127">
        <f>IFERROR(VLOOKUP(Table3[[#This Row],[ISIN Code]],'DT04 Prudence'!$A$4:$J$32,6,FALSE),"")</f>
        <v>0.05</v>
      </c>
      <c r="G17" s="127">
        <f>IFERROR(VLOOKUP(Table3[[#This Row],[ISIN Code]],'DT05 Navigator'!$A$4:$J$32,6,FALSE),"")</f>
        <v>0.06</v>
      </c>
      <c r="H17" s="225">
        <f>IFERROR(VLOOKUP(Table3[[#This Row],[ISIN Code]],'DT06 Meridian'!$A$4:$J$32,6,FALSE),"")</f>
        <v>7.0000000000000007E-2</v>
      </c>
      <c r="I17" s="225">
        <f>IFERROR(VLOOKUP(Table3[[#This Row],[ISIN Code]],'DT07 Explorer'!$A$4:$J$32,6,FALSE),"")</f>
        <v>0.04</v>
      </c>
      <c r="J17" s="226">
        <f>IFERROR(VLOOKUP(Table3[[#This Row],[ISIN Code]],'DT08 Voyager'!$A$4:$J$39,6,FALSE),"")</f>
        <v>0.04</v>
      </c>
      <c r="K17" s="226">
        <f>IFERROR(VLOOKUP(Table3[[#This Row],[ISIN Code]],'DT09 Adventurer'!$A$4:$J$38,6,FALSE),"")</f>
        <v>0.08</v>
      </c>
      <c r="L17" s="224" t="str">
        <f>IFERROR(VLOOKUP(Table3[[#This Row],[ISIN Code]],'DT10 Pioneer'!$A$4:$J$38,6,FALSE),"")</f>
        <v/>
      </c>
    </row>
    <row r="18" spans="1:12" x14ac:dyDescent="0.2">
      <c r="A18" s="137" t="s">
        <v>9540</v>
      </c>
      <c r="B18" s="123" t="str">
        <f>IFERROR(VLOOKUP(A18,NoviaFunds[],2,FALSE),"")</f>
        <v>iShares MSCI Target UK Real Estate UCITS ETF GBP</v>
      </c>
      <c r="C18" s="124"/>
      <c r="D18" s="125" t="str">
        <f>IFERROR(VLOOKUP(A18,NoviaFunds[],6,FALSE),"")</f>
        <v>Property</v>
      </c>
      <c r="E18" s="127">
        <f>IFERROR(VLOOKUP(Table3[[#This Row],[ISIN Code]],'DT03 Defender'!$A$4:$J$32,6,FALSE),"")</f>
        <v>0</v>
      </c>
      <c r="F18" s="127">
        <f>IFERROR(VLOOKUP(Table3[[#This Row],[ISIN Code]],'DT04 Prudence'!$A$4:$J$32,6,FALSE),"")</f>
        <v>0</v>
      </c>
      <c r="G18" s="127">
        <f>IFERROR(VLOOKUP(Table3[[#This Row],[ISIN Code]],'DT05 Navigator'!$A$4:$J$32,6,FALSE),"")</f>
        <v>0</v>
      </c>
      <c r="H18" s="225">
        <f>IFERROR(VLOOKUP(Table3[[#This Row],[ISIN Code]],'DT06 Meridian'!$A$4:$J$32,6,FALSE),"")</f>
        <v>0</v>
      </c>
      <c r="I18" s="225">
        <f>IFERROR(VLOOKUP(Table3[[#This Row],[ISIN Code]],'DT07 Explorer'!$A$4:$J$32,6,FALSE),"")</f>
        <v>0</v>
      </c>
      <c r="J18" s="226">
        <f>IFERROR(VLOOKUP(Table3[[#This Row],[ISIN Code]],'DT08 Voyager'!$A$4:$J$39,6,FALSE),"")</f>
        <v>0</v>
      </c>
      <c r="K18" s="226" t="str">
        <f>IFERROR(VLOOKUP(Table3[[#This Row],[ISIN Code]],'DT09 Adventurer'!$A$4:$J$38,6,FALSE),"")</f>
        <v/>
      </c>
      <c r="L18" s="224" t="str">
        <f>IFERROR(VLOOKUP(Table3[[#This Row],[ISIN Code]],'DT10 Pioneer'!$A$4:$J$38,6,FALSE),"")</f>
        <v/>
      </c>
    </row>
    <row r="19" spans="1:12" x14ac:dyDescent="0.2">
      <c r="A19" s="137" t="s">
        <v>15</v>
      </c>
      <c r="B19" s="123" t="str">
        <f>IFERROR(VLOOKUP(A19,NoviaFunds[],2,FALSE),"")</f>
        <v>L&amp;G Short Dated Sterling Corporate Bond Index I Acc in GB</v>
      </c>
      <c r="C19" s="124"/>
      <c r="D19" s="125" t="str">
        <f>IFERROR(VLOOKUP(A19,NoviaFunds[],6,FALSE),"")</f>
        <v>Sterling Corporate Bonds</v>
      </c>
      <c r="E19" s="127">
        <f>IFERROR(VLOOKUP(Table3[[#This Row],[ISIN Code]],'DT03 Defender'!$A$4:$J$32,6,FALSE),"")</f>
        <v>0.11</v>
      </c>
      <c r="F19" s="127">
        <f>IFERROR(VLOOKUP(Table3[[#This Row],[ISIN Code]],'DT04 Prudence'!$A$4:$J$32,6,FALSE),"")</f>
        <v>8.5000000000000006E-2</v>
      </c>
      <c r="G19" s="127">
        <f>IFERROR(VLOOKUP(Table3[[#This Row],[ISIN Code]],'DT05 Navigator'!$A$4:$J$32,6,FALSE),"")</f>
        <v>0.06</v>
      </c>
      <c r="H19" s="225">
        <f>IFERROR(VLOOKUP(Table3[[#This Row],[ISIN Code]],'DT06 Meridian'!$A$4:$J$32,6,FALSE),"")</f>
        <v>0</v>
      </c>
      <c r="I19" s="225" t="str">
        <f>IFERROR(VLOOKUP(Table3[[#This Row],[ISIN Code]],'DT07 Explorer'!$A$4:$J$32,6,FALSE),"")</f>
        <v/>
      </c>
      <c r="J19" s="226" t="str">
        <f>IFERROR(VLOOKUP(Table3[[#This Row],[ISIN Code]],'DT08 Voyager'!$A$4:$J$39,6,FALSE),"")</f>
        <v/>
      </c>
      <c r="K19" s="226" t="str">
        <f>IFERROR(VLOOKUP(Table3[[#This Row],[ISIN Code]],'DT09 Adventurer'!$A$4:$J$38,6,FALSE),"")</f>
        <v/>
      </c>
      <c r="L19" s="224" t="str">
        <f>IFERROR(VLOOKUP(Table3[[#This Row],[ISIN Code]],'DT10 Pioneer'!$A$4:$J$38,6,FALSE),"")</f>
        <v/>
      </c>
    </row>
    <row r="20" spans="1:12" x14ac:dyDescent="0.2">
      <c r="A20" s="137" t="s">
        <v>6914</v>
      </c>
      <c r="B20" s="123" t="str">
        <f>IFERROR(VLOOKUP(A20,NoviaFunds[],2,FALSE),"")</f>
        <v>Royal London Sterling Credit Z Inc TR in GB</v>
      </c>
      <c r="C20" s="124"/>
      <c r="D20" s="125" t="str">
        <f>IFERROR(VLOOKUP(A20,NoviaFunds[],6,FALSE),"")</f>
        <v>Sterling Corporate Bonds</v>
      </c>
      <c r="E20" s="127">
        <f>IFERROR(VLOOKUP(Table3[[#This Row],[ISIN Code]],'DT03 Defender'!$A$4:$J$32,6,FALSE),"")</f>
        <v>0.05</v>
      </c>
      <c r="F20" s="127">
        <f>IFERROR(VLOOKUP(Table3[[#This Row],[ISIN Code]],'DT04 Prudence'!$A$4:$J$32,6,FALSE),"")</f>
        <v>6.5000000000000002E-2</v>
      </c>
      <c r="G20" s="127">
        <f>IFERROR(VLOOKUP(Table3[[#This Row],[ISIN Code]],'DT05 Navigator'!$A$4:$J$32,6,FALSE),"")</f>
        <v>0.04</v>
      </c>
      <c r="H20" s="225">
        <f>IFERROR(VLOOKUP(Table3[[#This Row],[ISIN Code]],'DT06 Meridian'!$A$4:$J$32,6,FALSE),"")</f>
        <v>0.04</v>
      </c>
      <c r="I20" s="225" t="str">
        <f>IFERROR(VLOOKUP(Table3[[#This Row],[ISIN Code]],'DT07 Explorer'!$A$4:$J$32,6,FALSE),"")</f>
        <v/>
      </c>
      <c r="J20" s="226" t="str">
        <f>IFERROR(VLOOKUP(Table3[[#This Row],[ISIN Code]],'DT08 Voyager'!$A$4:$J$39,6,FALSE),"")</f>
        <v/>
      </c>
      <c r="K20" s="226" t="str">
        <f>IFERROR(VLOOKUP(Table3[[#This Row],[ISIN Code]],'DT09 Adventurer'!$A$4:$J$38,6,FALSE),"")</f>
        <v/>
      </c>
      <c r="L20" s="224" t="str">
        <f>IFERROR(VLOOKUP(Table3[[#This Row],[ISIN Code]],'DT10 Pioneer'!$A$4:$J$38,6,FALSE),"")</f>
        <v/>
      </c>
    </row>
    <row r="21" spans="1:12" x14ac:dyDescent="0.2">
      <c r="A21" s="119" t="s">
        <v>23</v>
      </c>
      <c r="B21" s="123" t="str">
        <f>IFERROR(VLOOKUP(A21,NoviaFunds[],2,FALSE),"")</f>
        <v>Allianz UK Listed Equity Income E Inc GBP</v>
      </c>
      <c r="C21" s="124"/>
      <c r="D21" s="125" t="str">
        <f>IFERROR(VLOOKUP(A21,NoviaFunds[],6,FALSE),"")</f>
        <v>UK Equities</v>
      </c>
      <c r="E21" s="127">
        <f>IFERROR(VLOOKUP(Table3[[#This Row],[ISIN Code]],'DT03 Defender'!$A$4:$J$32,6,FALSE),"")</f>
        <v>0.05</v>
      </c>
      <c r="F21" s="127">
        <f>IFERROR(VLOOKUP(Table3[[#This Row],[ISIN Code]],'DT04 Prudence'!$A$4:$J$32,6,FALSE),"")</f>
        <v>0.06</v>
      </c>
      <c r="G21" s="127">
        <f>IFERROR(VLOOKUP(Table3[[#This Row],[ISIN Code]],'DT05 Navigator'!$A$4:$J$32,6,FALSE),"")</f>
        <v>0.06</v>
      </c>
      <c r="H21" s="225">
        <f>IFERROR(VLOOKUP(Table3[[#This Row],[ISIN Code]],'DT06 Meridian'!$A$4:$J$32,6,FALSE),"")</f>
        <v>0.06</v>
      </c>
      <c r="I21" s="225">
        <f>IFERROR(VLOOKUP(Table3[[#This Row],[ISIN Code]],'DT07 Explorer'!$A$4:$J$32,6,FALSE),"")</f>
        <v>0.05</v>
      </c>
      <c r="J21" s="226">
        <f>IFERROR(VLOOKUP(Table3[[#This Row],[ISIN Code]],'DT08 Voyager'!$A$4:$J$39,6,FALSE),"")</f>
        <v>0.04</v>
      </c>
      <c r="K21" s="226">
        <f>IFERROR(VLOOKUP(Table3[[#This Row],[ISIN Code]],'DT09 Adventurer'!$A$4:$J$38,6,FALSE),"")</f>
        <v>0</v>
      </c>
      <c r="L21" s="224" t="str">
        <f>IFERROR(VLOOKUP(Table3[[#This Row],[ISIN Code]],'DT10 Pioneer'!$A$4:$J$38,6,FALSE),"")</f>
        <v/>
      </c>
    </row>
    <row r="22" spans="1:12" x14ac:dyDescent="0.2">
      <c r="A22" s="137" t="s">
        <v>25</v>
      </c>
      <c r="B22" s="123" t="str">
        <f>IFERROR(VLOOKUP(A22,NoviaFunds[],2,FALSE),"")</f>
        <v>FTF Franklin UK Equity Income W Acc TR in GB</v>
      </c>
      <c r="C22" s="124"/>
      <c r="D22" s="125" t="str">
        <f>IFERROR(VLOOKUP(A22,NoviaFunds[],6,FALSE),"")</f>
        <v>UK Equities</v>
      </c>
      <c r="E22" s="127">
        <f>IFERROR(VLOOKUP(Table3[[#This Row],[ISIN Code]],'DT03 Defender'!$A$4:$J$32,6,FALSE),"")</f>
        <v>0.03</v>
      </c>
      <c r="F22" s="127">
        <f>IFERROR(VLOOKUP(Table3[[#This Row],[ISIN Code]],'DT04 Prudence'!$A$4:$J$32,6,FALSE),"")</f>
        <v>0.06</v>
      </c>
      <c r="G22" s="127">
        <f>IFERROR(VLOOKUP(Table3[[#This Row],[ISIN Code]],'DT05 Navigator'!$A$4:$J$32,6,FALSE),"")</f>
        <v>0.06</v>
      </c>
      <c r="H22" s="225">
        <f>IFERROR(VLOOKUP(Table3[[#This Row],[ISIN Code]],'DT06 Meridian'!$A$4:$J$32,6,FALSE),"")</f>
        <v>0.06</v>
      </c>
      <c r="I22" s="225">
        <f>IFERROR(VLOOKUP(Table3[[#This Row],[ISIN Code]],'DT07 Explorer'!$A$4:$J$32,6,FALSE),"")</f>
        <v>0</v>
      </c>
      <c r="J22" s="226">
        <f>IFERROR(VLOOKUP(Table3[[#This Row],[ISIN Code]],'DT08 Voyager'!$A$4:$J$39,6,FALSE),"")</f>
        <v>0</v>
      </c>
      <c r="K22" s="226">
        <f>IFERROR(VLOOKUP(Table3[[#This Row],[ISIN Code]],'DT09 Adventurer'!$A$4:$J$38,6,FALSE),"")</f>
        <v>0</v>
      </c>
      <c r="L22" s="224" t="str">
        <f>IFERROR(VLOOKUP(Table3[[#This Row],[ISIN Code]],'DT10 Pioneer'!$A$4:$J$38,6,FALSE),"")</f>
        <v/>
      </c>
    </row>
    <row r="23" spans="1:12" x14ac:dyDescent="0.2">
      <c r="A23" s="137" t="s">
        <v>22</v>
      </c>
      <c r="B23" s="123" t="str">
        <f>IFERROR(VLOOKUP(A23,NoviaFunds[],2,FALSE),"")</f>
        <v>Slater Growth P Acc in GB</v>
      </c>
      <c r="C23" s="124"/>
      <c r="D23" s="125" t="str">
        <f>IFERROR(VLOOKUP(A23,NoviaFunds[],6,FALSE),"")</f>
        <v>UK Equities</v>
      </c>
      <c r="E23" s="127">
        <f>IFERROR(VLOOKUP(Table3[[#This Row],[ISIN Code]],'DT03 Defender'!$A$4:$J$32,6,FALSE),"")</f>
        <v>3.5000000000000003E-2</v>
      </c>
      <c r="F23" s="127">
        <f>IFERROR(VLOOKUP(Table3[[#This Row],[ISIN Code]],'DT04 Prudence'!$A$4:$J$32,6,FALSE),"")</f>
        <v>0.04</v>
      </c>
      <c r="G23" s="127">
        <f>IFERROR(VLOOKUP(Table3[[#This Row],[ISIN Code]],'DT05 Navigator'!$A$4:$J$32,6,FALSE),"")</f>
        <v>0.05</v>
      </c>
      <c r="H23" s="225">
        <f>IFERROR(VLOOKUP(Table3[[#This Row],[ISIN Code]],'DT06 Meridian'!$A$4:$J$32,6,FALSE),"")</f>
        <v>0.05</v>
      </c>
      <c r="I23" s="225">
        <f>IFERROR(VLOOKUP(Table3[[#This Row],[ISIN Code]],'DT07 Explorer'!$A$4:$J$32,6,FALSE),"")</f>
        <v>0.05</v>
      </c>
      <c r="J23" s="226">
        <f>IFERROR(VLOOKUP(Table3[[#This Row],[ISIN Code]],'DT08 Voyager'!$A$4:$J$39,6,FALSE),"")</f>
        <v>4.4999999999999998E-2</v>
      </c>
      <c r="K23" s="226">
        <f>IFERROR(VLOOKUP(Table3[[#This Row],[ISIN Code]],'DT09 Adventurer'!$A$4:$J$38,6,FALSE),"")</f>
        <v>0.08</v>
      </c>
      <c r="L23" s="224">
        <f>IFERROR(VLOOKUP(Table3[[#This Row],[ISIN Code]],'DT10 Pioneer'!$A$4:$J$38,6,FALSE),"")</f>
        <v>0.04</v>
      </c>
    </row>
    <row r="24" spans="1:12" x14ac:dyDescent="0.2">
      <c r="A24" s="137" t="s">
        <v>8389</v>
      </c>
      <c r="B24" s="123" t="str">
        <f>IFERROR(VLOOKUP(A24,NoviaFunds[],2,FALSE),"")</f>
        <v>Vanguard FTSE U.K. All Share Index Unit Trust A Acc GBP in GB</v>
      </c>
      <c r="C24" s="124"/>
      <c r="D24" s="125" t="str">
        <f>IFERROR(VLOOKUP(A24,NoviaFunds[],6,FALSE),"")</f>
        <v>UK Equities</v>
      </c>
      <c r="E24" s="127">
        <f>IFERROR(VLOOKUP(Table3[[#This Row],[ISIN Code]],'DT03 Defender'!$A$4:$J$32,6,FALSE),"")</f>
        <v>0</v>
      </c>
      <c r="F24" s="127">
        <f>IFERROR(VLOOKUP(Table3[[#This Row],[ISIN Code]],'DT04 Prudence'!$A$4:$J$32,6,FALSE),"")</f>
        <v>0</v>
      </c>
      <c r="G24" s="127">
        <f>IFERROR(VLOOKUP(Table3[[#This Row],[ISIN Code]],'DT05 Navigator'!$A$4:$J$32,6,FALSE),"")</f>
        <v>0</v>
      </c>
      <c r="H24" s="225" t="str">
        <f>IFERROR(VLOOKUP(Table3[[#This Row],[ISIN Code]],'DT06 Meridian'!$A$4:$J$32,6,FALSE),"")</f>
        <v/>
      </c>
      <c r="I24" s="225">
        <f>IFERROR(VLOOKUP(Table3[[#This Row],[ISIN Code]],'DT07 Explorer'!$A$4:$J$32,6,FALSE),"")</f>
        <v>0</v>
      </c>
      <c r="J24" s="226">
        <f>IFERROR(VLOOKUP(Table3[[#This Row],[ISIN Code]],'DT08 Voyager'!$A$4:$J$39,6,FALSE),"")</f>
        <v>0</v>
      </c>
      <c r="K24" s="226">
        <f>IFERROR(VLOOKUP(Table3[[#This Row],[ISIN Code]],'DT09 Adventurer'!$A$4:$J$38,6,FALSE),"")</f>
        <v>0</v>
      </c>
      <c r="L24" s="224">
        <f>IFERROR(VLOOKUP(Table3[[#This Row],[ISIN Code]],'DT10 Pioneer'!$A$4:$J$38,6,FALSE),"")</f>
        <v>0</v>
      </c>
    </row>
    <row r="25" spans="1:12" x14ac:dyDescent="0.2">
      <c r="A25" s="137" t="s">
        <v>62</v>
      </c>
      <c r="B25" s="123" t="str">
        <f>IFERROR(VLOOKUP(A25,NoviaFunds[],2,FALSE),"")</f>
        <v>Artemis US Smaller Companies I Acc GBP in GB</v>
      </c>
      <c r="C25" s="124"/>
      <c r="D25" s="125" t="str">
        <f>IFERROR(VLOOKUP(A25,NoviaFunds[],6,FALSE),"")</f>
        <v>USA Equities</v>
      </c>
      <c r="E25" s="127">
        <f>IFERROR(VLOOKUP(Table3[[#This Row],[ISIN Code]],'DT03 Defender'!$A$4:$J$32,6,FALSE),"")</f>
        <v>0</v>
      </c>
      <c r="F25" s="127">
        <f>IFERROR(VLOOKUP(Table3[[#This Row],[ISIN Code]],'DT04 Prudence'!$A$4:$J$32,6,FALSE),"")</f>
        <v>0</v>
      </c>
      <c r="G25" s="127" t="str">
        <f>IFERROR(VLOOKUP(Table3[[#This Row],[ISIN Code]],'DT05 Navigator'!$A$4:$J$32,6,FALSE),"")</f>
        <v/>
      </c>
      <c r="H25" s="225" t="str">
        <f>IFERROR(VLOOKUP(Table3[[#This Row],[ISIN Code]],'DT06 Meridian'!$A$4:$J$32,6,FALSE),"")</f>
        <v/>
      </c>
      <c r="I25" s="225">
        <f>IFERROR(VLOOKUP(Table3[[#This Row],[ISIN Code]],'DT07 Explorer'!$A$4:$J$32,6,FALSE),"")</f>
        <v>0.06</v>
      </c>
      <c r="J25" s="226">
        <f>IFERROR(VLOOKUP(Table3[[#This Row],[ISIN Code]],'DT08 Voyager'!$A$4:$J$39,6,FALSE),"")</f>
        <v>0.04</v>
      </c>
      <c r="K25" s="226">
        <f>IFERROR(VLOOKUP(Table3[[#This Row],[ISIN Code]],'DT09 Adventurer'!$A$4:$J$38,6,FALSE),"")</f>
        <v>7.0000000000000007E-2</v>
      </c>
      <c r="L25" s="224">
        <f>IFERROR(VLOOKUP(Table3[[#This Row],[ISIN Code]],'DT10 Pioneer'!$A$4:$J$38,6,FALSE),"")</f>
        <v>0.04</v>
      </c>
    </row>
    <row r="26" spans="1:12" x14ac:dyDescent="0.2">
      <c r="A26" s="137" t="s">
        <v>2706</v>
      </c>
      <c r="B26" s="123" t="str">
        <f>IFERROR(VLOOKUP(A26,NoviaFunds[],2,FALSE),"")</f>
        <v>Fidelity Index US P in GB</v>
      </c>
      <c r="C26" s="124"/>
      <c r="D26" s="125" t="str">
        <f>IFERROR(VLOOKUP(A26,NoviaFunds[],6,FALSE),"")</f>
        <v>USA Equities</v>
      </c>
      <c r="E26" s="127">
        <f>IFERROR(VLOOKUP(Table3[[#This Row],[ISIN Code]],'DT03 Defender'!$A$4:$J$32,6,FALSE),"")</f>
        <v>0</v>
      </c>
      <c r="F26" s="127" t="str">
        <f>IFERROR(VLOOKUP(Table3[[#This Row],[ISIN Code]],'DT04 Prudence'!$A$4:$J$32,6,FALSE),"")</f>
        <v/>
      </c>
      <c r="G26" s="127" t="str">
        <f>IFERROR(VLOOKUP(Table3[[#This Row],[ISIN Code]],'DT05 Navigator'!$A$4:$J$32,6,FALSE),"")</f>
        <v/>
      </c>
      <c r="H26" s="225" t="str">
        <f>IFERROR(VLOOKUP(Table3[[#This Row],[ISIN Code]],'DT06 Meridian'!$A$4:$J$32,6,FALSE),"")</f>
        <v/>
      </c>
      <c r="I26" s="225">
        <f>IFERROR(VLOOKUP(Table3[[#This Row],[ISIN Code]],'DT07 Explorer'!$A$4:$J$32,6,FALSE),"")</f>
        <v>0</v>
      </c>
      <c r="J26" s="226">
        <f>IFERROR(VLOOKUP(Table3[[#This Row],[ISIN Code]],'DT08 Voyager'!$A$4:$J$39,6,FALSE),"")</f>
        <v>0</v>
      </c>
      <c r="K26" s="226">
        <f>IFERROR(VLOOKUP(Table3[[#This Row],[ISIN Code]],'DT09 Adventurer'!$A$4:$J$38,6,FALSE),"")</f>
        <v>0</v>
      </c>
      <c r="L26" s="224">
        <f>IFERROR(VLOOKUP(Table3[[#This Row],[ISIN Code]],'DT10 Pioneer'!$A$4:$J$38,6,FALSE),"")</f>
        <v>0</v>
      </c>
    </row>
    <row r="27" spans="1:12" x14ac:dyDescent="0.2">
      <c r="A27" s="137" t="s">
        <v>9539</v>
      </c>
      <c r="B27" s="123" t="str">
        <f>IFERROR(VLOOKUP(A27,NoviaFunds[],2,FALSE),"")</f>
        <v>Xtrackers S&amp;P 500 Equal Weight UCITS ETF</v>
      </c>
      <c r="C27" s="124"/>
      <c r="D27" s="125" t="str">
        <f>IFERROR(VLOOKUP(A27,NoviaFunds[],6,FALSE),"")</f>
        <v>USA Equities</v>
      </c>
      <c r="E27" s="127">
        <f>IFERROR(VLOOKUP(Table3[[#This Row],[ISIN Code]],'DT03 Defender'!$A$4:$J$32,6,FALSE),"")</f>
        <v>0</v>
      </c>
      <c r="F27" s="127" t="str">
        <f>IFERROR(VLOOKUP(Table3[[#This Row],[ISIN Code]],'DT04 Prudence'!$A$4:$J$32,6,FALSE),"")</f>
        <v/>
      </c>
      <c r="G27" s="127" t="str">
        <f>IFERROR(VLOOKUP(Table3[[#This Row],[ISIN Code]],'DT05 Navigator'!$A$4:$J$32,6,FALSE),"")</f>
        <v/>
      </c>
      <c r="H27" s="225" t="str">
        <f>IFERROR(VLOOKUP(Table3[[#This Row],[ISIN Code]],'DT06 Meridian'!$A$4:$J$32,6,FALSE),"")</f>
        <v/>
      </c>
      <c r="I27" s="225" t="str">
        <f>IFERROR(VLOOKUP(Table3[[#This Row],[ISIN Code]],'DT07 Explorer'!$A$4:$J$32,6,FALSE),"")</f>
        <v/>
      </c>
      <c r="J27" s="226">
        <f>IFERROR(VLOOKUP(Table3[[#This Row],[ISIN Code]],'DT08 Voyager'!$A$4:$J$39,6,FALSE),"")</f>
        <v>0</v>
      </c>
      <c r="K27" s="226">
        <f>IFERROR(VLOOKUP(Table3[[#This Row],[ISIN Code]],'DT09 Adventurer'!$A$4:$J$38,6,FALSE),"")</f>
        <v>0</v>
      </c>
      <c r="L27" s="224" t="str">
        <f>IFERROR(VLOOKUP(Table3[[#This Row],[ISIN Code]],'DT10 Pioneer'!$A$4:$J$38,6,FALSE),"")</f>
        <v/>
      </c>
    </row>
    <row r="28" spans="1:12" x14ac:dyDescent="0.2">
      <c r="A28" s="137"/>
      <c r="B28" s="123" t="str">
        <f>IFERROR(VLOOKUP(A28,NoviaFunds[],2,FALSE),"")</f>
        <v/>
      </c>
      <c r="C28" s="124"/>
      <c r="D28" s="125" t="str">
        <f>IFERROR(VLOOKUP(A28,NoviaFunds[],6,FALSE),"")</f>
        <v/>
      </c>
      <c r="E28" s="127" t="str">
        <f>IFERROR(VLOOKUP(Table3[[#This Row],[ISIN Code]],'DT03 Defender'!$A$4:$J$32,6,FALSE),"")</f>
        <v/>
      </c>
      <c r="F28" s="127" t="str">
        <f>IFERROR(VLOOKUP(Table3[[#This Row],[ISIN Code]],'DT04 Prudence'!$A$4:$J$32,6,FALSE),"")</f>
        <v/>
      </c>
      <c r="G28" s="127" t="str">
        <f>IFERROR(VLOOKUP(Table3[[#This Row],[ISIN Code]],'DT05 Navigator'!$A$4:$J$32,6,FALSE),"")</f>
        <v/>
      </c>
      <c r="H28" s="225" t="str">
        <f>IFERROR(VLOOKUP(Table3[[#This Row],[ISIN Code]],'DT06 Meridian'!$A$4:$J$32,6,FALSE),"")</f>
        <v/>
      </c>
      <c r="I28" s="225" t="str">
        <f>IFERROR(VLOOKUP(Table3[[#This Row],[ISIN Code]],'DT07 Explorer'!$A$4:$J$32,6,FALSE),"")</f>
        <v/>
      </c>
      <c r="J28" s="226" t="str">
        <f>IFERROR(VLOOKUP(Table3[[#This Row],[ISIN Code]],'DT08 Voyager'!$A$4:$J$39,6,FALSE),"")</f>
        <v/>
      </c>
      <c r="K28" s="226" t="str">
        <f>IFERROR(VLOOKUP(Table3[[#This Row],[ISIN Code]],'DT09 Adventurer'!$A$4:$J$38,6,FALSE),"")</f>
        <v/>
      </c>
      <c r="L28" s="224" t="str">
        <f>IFERROR(VLOOKUP(Table3[[#This Row],[ISIN Code]],'DT10 Pioneer'!$A$4:$J$38,6,FALSE),"")</f>
        <v/>
      </c>
    </row>
    <row r="29" spans="1:12" x14ac:dyDescent="0.2">
      <c r="A29" s="137"/>
      <c r="B29" s="123" t="str">
        <f>IFERROR(VLOOKUP(A29,NoviaFunds[],2,FALSE),"")</f>
        <v/>
      </c>
      <c r="C29" s="124"/>
      <c r="D29" s="125" t="str">
        <f>IFERROR(VLOOKUP(A29,NoviaFunds[],6,FALSE),"")</f>
        <v/>
      </c>
      <c r="E29" s="127" t="str">
        <f>IFERROR(VLOOKUP(Table3[[#This Row],[ISIN Code]],'DT03 Defender'!$A$4:$J$32,6,FALSE),"")</f>
        <v/>
      </c>
      <c r="F29" s="127" t="str">
        <f>IFERROR(VLOOKUP(Table3[[#This Row],[ISIN Code]],'DT04 Prudence'!$A$4:$J$32,6,FALSE),"")</f>
        <v/>
      </c>
      <c r="G29" s="127" t="str">
        <f>IFERROR(VLOOKUP(Table3[[#This Row],[ISIN Code]],'DT05 Navigator'!$A$4:$J$32,6,FALSE),"")</f>
        <v/>
      </c>
      <c r="H29" s="225" t="str">
        <f>IFERROR(VLOOKUP(Table3[[#This Row],[ISIN Code]],'DT06 Meridian'!$A$4:$J$32,6,FALSE),"")</f>
        <v/>
      </c>
      <c r="I29" s="225" t="str">
        <f>IFERROR(VLOOKUP(Table3[[#This Row],[ISIN Code]],'DT07 Explorer'!$A$4:$J$32,6,FALSE),"")</f>
        <v/>
      </c>
      <c r="J29" s="226" t="str">
        <f>IFERROR(VLOOKUP(Table3[[#This Row],[ISIN Code]],'DT08 Voyager'!$A$4:$J$39,6,FALSE),"")</f>
        <v/>
      </c>
      <c r="K29" s="226" t="str">
        <f>IFERROR(VLOOKUP(Table3[[#This Row],[ISIN Code]],'DT09 Adventurer'!$A$4:$J$38,6,FALSE),"")</f>
        <v/>
      </c>
      <c r="L29" s="224" t="str">
        <f>IFERROR(VLOOKUP(Table3[[#This Row],[ISIN Code]],'DT10 Pioneer'!$A$4:$J$38,6,FALSE),"")</f>
        <v/>
      </c>
    </row>
    <row r="30" spans="1:12" x14ac:dyDescent="0.2">
      <c r="A30" s="137"/>
      <c r="B30" s="123" t="str">
        <f>IFERROR(VLOOKUP(A30,NoviaFunds[],2,FALSE),"")</f>
        <v/>
      </c>
      <c r="C30" s="124"/>
      <c r="D30" s="125" t="str">
        <f>IFERROR(VLOOKUP(A30,NoviaFunds[],6,FALSE),"")</f>
        <v/>
      </c>
      <c r="E30" s="127" t="str">
        <f>IFERROR(VLOOKUP(Table3[[#This Row],[ISIN Code]],'DT03 Defender'!$A$4:$J$32,6,FALSE),"")</f>
        <v/>
      </c>
      <c r="F30" s="127" t="str">
        <f>IFERROR(VLOOKUP(Table3[[#This Row],[ISIN Code]],'DT04 Prudence'!$A$4:$J$32,6,FALSE),"")</f>
        <v/>
      </c>
      <c r="G30" s="127" t="str">
        <f>IFERROR(VLOOKUP(Table3[[#This Row],[ISIN Code]],'DT05 Navigator'!$A$4:$J$32,6,FALSE),"")</f>
        <v/>
      </c>
      <c r="H30" s="225" t="str">
        <f>IFERROR(VLOOKUP(Table3[[#This Row],[ISIN Code]],'DT06 Meridian'!$A$4:$J$32,6,FALSE),"")</f>
        <v/>
      </c>
      <c r="I30" s="225" t="str">
        <f>IFERROR(VLOOKUP(Table3[[#This Row],[ISIN Code]],'DT07 Explorer'!$A$4:$J$32,6,FALSE),"")</f>
        <v/>
      </c>
      <c r="J30" s="226" t="str">
        <f>IFERROR(VLOOKUP(Table3[[#This Row],[ISIN Code]],'DT08 Voyager'!$A$4:$J$39,6,FALSE),"")</f>
        <v/>
      </c>
      <c r="K30" s="226" t="str">
        <f>IFERROR(VLOOKUP(Table3[[#This Row],[ISIN Code]],'DT09 Adventurer'!$A$4:$J$38,6,FALSE),"")</f>
        <v/>
      </c>
      <c r="L30" s="224" t="str">
        <f>IFERROR(VLOOKUP(Table3[[#This Row],[ISIN Code]],'DT10 Pioneer'!$A$4:$J$38,6,FALSE),"")</f>
        <v/>
      </c>
    </row>
    <row r="31" spans="1:12" x14ac:dyDescent="0.2">
      <c r="A31" s="119"/>
      <c r="B31" s="123" t="str">
        <f>IFERROR(VLOOKUP(A31,NoviaFunds[],2,FALSE),"")</f>
        <v/>
      </c>
      <c r="C31" s="124"/>
      <c r="D31" s="125" t="str">
        <f>IFERROR(VLOOKUP(A31,NoviaFunds[],6,FALSE),"")</f>
        <v/>
      </c>
      <c r="E31" s="127" t="str">
        <f>IFERROR(VLOOKUP(Table3[[#This Row],[ISIN Code]],'DT03 Defender'!$A$4:$J$32,6,FALSE),"")</f>
        <v/>
      </c>
      <c r="F31" s="127" t="str">
        <f>IFERROR(VLOOKUP(Table3[[#This Row],[ISIN Code]],'DT04 Prudence'!$A$4:$J$32,6,FALSE),"")</f>
        <v/>
      </c>
      <c r="G31" s="127" t="str">
        <f>IFERROR(VLOOKUP(Table3[[#This Row],[ISIN Code]],'DT05 Navigator'!$A$4:$J$32,6,FALSE),"")</f>
        <v/>
      </c>
      <c r="H31" s="225" t="str">
        <f>IFERROR(VLOOKUP(Table3[[#This Row],[ISIN Code]],'DT06 Meridian'!$A$4:$J$32,6,FALSE),"")</f>
        <v/>
      </c>
      <c r="I31" s="225" t="str">
        <f>IFERROR(VLOOKUP(Table3[[#This Row],[ISIN Code]],'DT07 Explorer'!$A$4:$J$32,6,FALSE),"")</f>
        <v/>
      </c>
      <c r="J31" s="226" t="str">
        <f>IFERROR(VLOOKUP(Table3[[#This Row],[ISIN Code]],'DT08 Voyager'!$A$4:$J$39,6,FALSE),"")</f>
        <v/>
      </c>
      <c r="K31" s="226" t="str">
        <f>IFERROR(VLOOKUP(Table3[[#This Row],[ISIN Code]],'DT09 Adventurer'!$A$4:$J$38,6,FALSE),"")</f>
        <v/>
      </c>
      <c r="L31" s="224" t="str">
        <f>IFERROR(VLOOKUP(Table3[[#This Row],[ISIN Code]],'DT10 Pioneer'!$A$4:$J$38,6,FALSE),"")</f>
        <v/>
      </c>
    </row>
    <row r="32" spans="1:12" x14ac:dyDescent="0.2">
      <c r="A32" s="119"/>
      <c r="B32" s="123" t="str">
        <f>IFERROR(VLOOKUP(A32,NoviaFunds[],2,FALSE),"")</f>
        <v/>
      </c>
      <c r="C32" s="124"/>
      <c r="D32" s="125" t="str">
        <f>IFERROR(VLOOKUP(A32,NoviaFunds[],6,FALSE),"")</f>
        <v/>
      </c>
      <c r="E32" s="127" t="str">
        <f>IFERROR(VLOOKUP(Table3[[#This Row],[ISIN Code]],'DT03 Defender'!$A$4:$J$32,6,FALSE),"")</f>
        <v/>
      </c>
      <c r="F32" s="127" t="str">
        <f>IFERROR(VLOOKUP(Table3[[#This Row],[ISIN Code]],'DT04 Prudence'!$A$4:$J$32,6,FALSE),"")</f>
        <v/>
      </c>
      <c r="G32" s="223" t="str">
        <f>IFERROR(VLOOKUP(Table3[[#This Row],[ISIN Code]],'DT05 Navigator'!$A$4:$J$32,6,FALSE),"")</f>
        <v/>
      </c>
      <c r="H32" s="225" t="str">
        <f>IFERROR(VLOOKUP(Table3[[#This Row],[ISIN Code]],'DT06 Meridian'!$A$4:$J$32,6,FALSE),"")</f>
        <v/>
      </c>
      <c r="I32" s="225" t="str">
        <f>IFERROR(VLOOKUP(Table3[[#This Row],[ISIN Code]],'DT07 Explorer'!$A$4:$J$32,6,FALSE),"")</f>
        <v/>
      </c>
      <c r="J32" s="226" t="str">
        <f>IFERROR(VLOOKUP(Table3[[#This Row],[ISIN Code]],'DT08 Voyager'!$A$4:$J$39,6,FALSE),"")</f>
        <v/>
      </c>
      <c r="K32" s="226" t="str">
        <f>IFERROR(VLOOKUP(Table3[[#This Row],[ISIN Code]],'DT09 Adventurer'!$A$4:$J$38,6,FALSE),"")</f>
        <v/>
      </c>
      <c r="L32" s="228" t="str">
        <f>IFERROR(VLOOKUP(Table3[[#This Row],[ISIN Code]],'DT10 Pioneer'!$A$4:$J$38,6,FALSE),"")</f>
        <v/>
      </c>
    </row>
    <row r="33" spans="1:12" x14ac:dyDescent="0.2">
      <c r="A33" s="119"/>
      <c r="B33" s="143" t="str">
        <f>IFERROR(VLOOKUP(A33,NoviaFunds[],2,FALSE),"")</f>
        <v/>
      </c>
      <c r="C33" s="144"/>
      <c r="D33" s="145" t="str">
        <f>IFERROR(VLOOKUP(A33,NoviaFunds[],6,FALSE),"")</f>
        <v/>
      </c>
      <c r="E33" s="127" t="str">
        <f>IFERROR(VLOOKUP(Table3[[#This Row],[ISIN Code]],'DT03 Defender'!$A$4:$J$32,6,FALSE),"")</f>
        <v/>
      </c>
      <c r="F33" s="147" t="str">
        <f>IFERROR(VLOOKUP(Table3[[#This Row],[ISIN Code]],'DT04 Prudence'!$A$4:$J$32,6,FALSE),"")</f>
        <v/>
      </c>
      <c r="G33" s="147" t="str">
        <f>IFERROR(VLOOKUP(Table3[[#This Row],[ISIN Code]],'DT05 Navigator'!$A$4:$J$32,6,FALSE),"")</f>
        <v/>
      </c>
      <c r="H33" s="229" t="str">
        <f>IFERROR(VLOOKUP(Table3[[#This Row],[ISIN Code]],'DT06 Meridian'!$A$4:$J$32,6,FALSE),"")</f>
        <v/>
      </c>
      <c r="I33" s="229" t="str">
        <f>IFERROR(VLOOKUP(Table3[[#This Row],[ISIN Code]],'DT07 Explorer'!$A$4:$J$32,6,FALSE),"")</f>
        <v/>
      </c>
      <c r="J33" s="230" t="str">
        <f>IFERROR(VLOOKUP(Table3[[#This Row],[ISIN Code]],'DT08 Voyager'!$A$4:$J$39,6,FALSE),"")</f>
        <v/>
      </c>
      <c r="K33" s="230" t="str">
        <f>IFERROR(VLOOKUP(Table3[[#This Row],[ISIN Code]],'DT09 Adventurer'!$A$4:$J$38,6,FALSE),"")</f>
        <v/>
      </c>
      <c r="L33" s="231" t="str">
        <f>IFERROR(VLOOKUP(Table3[[#This Row],[ISIN Code]],'DT10 Pioneer'!$A$4:$J$38,6,FALSE),"")</f>
        <v/>
      </c>
    </row>
    <row r="34" spans="1:12" x14ac:dyDescent="0.2">
      <c r="A34" s="119"/>
      <c r="B34" s="143" t="str">
        <f>IFERROR(VLOOKUP(A34,NoviaFunds[],2,FALSE),"")</f>
        <v/>
      </c>
      <c r="C34" s="144"/>
      <c r="D34" s="145" t="str">
        <f>IFERROR(VLOOKUP(A34,NoviaFunds[],6,FALSE),"")</f>
        <v/>
      </c>
      <c r="E34" s="127" t="str">
        <f>IFERROR(VLOOKUP(Table3[[#This Row],[ISIN Code]],'DT03 Defender'!$A$4:$J$32,6,FALSE),"")</f>
        <v/>
      </c>
      <c r="F34" s="147" t="str">
        <f>IFERROR(VLOOKUP(Table3[[#This Row],[ISIN Code]],'DT04 Prudence'!$A$4:$J$32,6,FALSE),"")</f>
        <v/>
      </c>
      <c r="G34" s="147" t="str">
        <f>IFERROR(VLOOKUP(Table3[[#This Row],[ISIN Code]],'DT05 Navigator'!$A$4:$J$32,6,FALSE),"")</f>
        <v/>
      </c>
      <c r="H34" s="229" t="str">
        <f>IFERROR(VLOOKUP(Table3[[#This Row],[ISIN Code]],'DT06 Meridian'!$A$4:$J$32,6,FALSE),"")</f>
        <v/>
      </c>
      <c r="I34" s="229" t="str">
        <f>IFERROR(VLOOKUP(Table3[[#This Row],[ISIN Code]],'DT07 Explorer'!$A$4:$J$32,6,FALSE),"")</f>
        <v/>
      </c>
      <c r="J34" s="230" t="str">
        <f>IFERROR(VLOOKUP(Table3[[#This Row],[ISIN Code]],'DT08 Voyager'!$A$4:$J$39,6,FALSE),"")</f>
        <v/>
      </c>
      <c r="K34" s="230" t="str">
        <f>IFERROR(VLOOKUP(Table3[[#This Row],[ISIN Code]],'DT09 Adventurer'!$A$4:$J$38,6,FALSE),"")</f>
        <v/>
      </c>
      <c r="L34" s="231" t="str">
        <f>IFERROR(VLOOKUP(Table3[[#This Row],[ISIN Code]],'DT10 Pioneer'!$A$4:$J$38,6,FALSE),"")</f>
        <v/>
      </c>
    </row>
    <row r="35" spans="1:12" x14ac:dyDescent="0.2">
      <c r="A35" s="119"/>
      <c r="B35" s="143" t="str">
        <f>IFERROR(VLOOKUP(A35,NoviaFunds[],2,FALSE),"")</f>
        <v/>
      </c>
      <c r="C35" s="144"/>
      <c r="D35" s="145" t="str">
        <f>IFERROR(VLOOKUP(A35,NoviaFunds[],6,FALSE),"")</f>
        <v/>
      </c>
      <c r="E35" s="147" t="str">
        <f>IFERROR(VLOOKUP(Table3[[#This Row],[ISIN Code]],'DT03 Defender'!$A$4:$J$32,6,FALSE),"")</f>
        <v/>
      </c>
      <c r="F35" s="147" t="str">
        <f>IFERROR(VLOOKUP(Table3[[#This Row],[ISIN Code]],'DT04 Prudence'!$A$4:$J$32,6,FALSE),"")</f>
        <v/>
      </c>
      <c r="G35" s="147" t="str">
        <f>IFERROR(VLOOKUP(Table3[[#This Row],[ISIN Code]],'DT05 Navigator'!$A$4:$J$32,6,FALSE),"")</f>
        <v/>
      </c>
      <c r="H35" s="229" t="str">
        <f>IFERROR(VLOOKUP(Table3[[#This Row],[ISIN Code]],'DT06 Meridian'!$A$4:$J$32,6,FALSE),"")</f>
        <v/>
      </c>
      <c r="I35" s="229" t="str">
        <f>IFERROR(VLOOKUP(Table3[[#This Row],[ISIN Code]],'DT07 Explorer'!$A$4:$J$32,6,FALSE),"")</f>
        <v/>
      </c>
      <c r="J35" s="230" t="str">
        <f>IFERROR(VLOOKUP(Table3[[#This Row],[ISIN Code]],'DT08 Voyager'!$A$4:$J$39,6,FALSE),"")</f>
        <v/>
      </c>
      <c r="K35" s="230" t="str">
        <f>IFERROR(VLOOKUP(Table3[[#This Row],[ISIN Code]],'DT09 Adventurer'!$A$4:$J$38,6,FALSE),"")</f>
        <v/>
      </c>
      <c r="L35" s="231" t="str">
        <f>IFERROR(VLOOKUP(Table3[[#This Row],[ISIN Code]],'DT10 Pioneer'!$A$4:$J$38,6,FALSE),"")</f>
        <v/>
      </c>
    </row>
    <row r="36" spans="1:12" x14ac:dyDescent="0.2">
      <c r="A36" s="119"/>
      <c r="B36" s="143" t="str">
        <f>IFERROR(VLOOKUP(A36,NoviaFunds[],2,FALSE),"")</f>
        <v/>
      </c>
      <c r="C36" s="144"/>
      <c r="D36" s="145" t="str">
        <f>IFERROR(VLOOKUP(A36,NoviaFunds[],6,FALSE),"")</f>
        <v/>
      </c>
      <c r="E36" s="147" t="str">
        <f>IFERROR(VLOOKUP(Table3[[#This Row],[ISIN Code]],'DT03 Defender'!$A$4:$J$32,6,FALSE),"")</f>
        <v/>
      </c>
      <c r="F36" s="147" t="str">
        <f>IFERROR(VLOOKUP(Table3[[#This Row],[ISIN Code]],'DT04 Prudence'!$A$4:$J$32,6,FALSE),"")</f>
        <v/>
      </c>
      <c r="G36" s="147" t="str">
        <f>IFERROR(VLOOKUP(Table3[[#This Row],[ISIN Code]],'DT05 Navigator'!$A$4:$J$32,6,FALSE),"")</f>
        <v/>
      </c>
      <c r="H36" s="229" t="str">
        <f>IFERROR(VLOOKUP(Table3[[#This Row],[ISIN Code]],'DT06 Meridian'!$A$4:$J$32,6,FALSE),"")</f>
        <v/>
      </c>
      <c r="I36" s="229" t="str">
        <f>IFERROR(VLOOKUP(Table3[[#This Row],[ISIN Code]],'DT07 Explorer'!$A$4:$J$32,6,FALSE),"")</f>
        <v/>
      </c>
      <c r="J36" s="230" t="str">
        <f>IFERROR(VLOOKUP(Table3[[#This Row],[ISIN Code]],'DT08 Voyager'!$A$4:$J$39,6,FALSE),"")</f>
        <v/>
      </c>
      <c r="K36" s="230" t="str">
        <f>IFERROR(VLOOKUP(Table3[[#This Row],[ISIN Code]],'DT09 Adventurer'!$A$4:$J$38,6,FALSE),"")</f>
        <v/>
      </c>
      <c r="L36" s="231" t="str">
        <f>IFERROR(VLOOKUP(Table3[[#This Row],[ISIN Code]],'DT10 Pioneer'!$A$4:$J$38,6,FALSE),"")</f>
        <v/>
      </c>
    </row>
    <row r="37" spans="1:12" x14ac:dyDescent="0.2">
      <c r="A37" s="119"/>
      <c r="B37" s="143" t="str">
        <f>IFERROR(VLOOKUP(A37,NoviaFunds[],2,FALSE),"")</f>
        <v/>
      </c>
      <c r="C37" s="144"/>
      <c r="D37" s="145" t="str">
        <f>IFERROR(VLOOKUP(A37,NoviaFunds[],6,FALSE),"")</f>
        <v/>
      </c>
      <c r="E37" s="147" t="str">
        <f>IFERROR(VLOOKUP(Table3[[#This Row],[ISIN Code]],'DT03 Defender'!$A$4:$J$32,6,FALSE),"")</f>
        <v/>
      </c>
      <c r="F37" s="147" t="str">
        <f>IFERROR(VLOOKUP(Table3[[#This Row],[ISIN Code]],'DT04 Prudence'!$A$4:$J$32,6,FALSE),"")</f>
        <v/>
      </c>
      <c r="G37" s="147" t="str">
        <f>IFERROR(VLOOKUP(Table3[[#This Row],[ISIN Code]],'DT05 Navigator'!$A$4:$J$32,6,FALSE),"")</f>
        <v/>
      </c>
      <c r="H37" s="229" t="str">
        <f>IFERROR(VLOOKUP(Table3[[#This Row],[ISIN Code]],'DT06 Meridian'!$A$4:$J$32,6,FALSE),"")</f>
        <v/>
      </c>
      <c r="I37" s="229" t="str">
        <f>IFERROR(VLOOKUP(Table3[[#This Row],[ISIN Code]],'DT07 Explorer'!$A$4:$J$32,6,FALSE),"")</f>
        <v/>
      </c>
      <c r="J37" s="230" t="str">
        <f>IFERROR(VLOOKUP(Table3[[#This Row],[ISIN Code]],'DT08 Voyager'!$A$4:$J$39,6,FALSE),"")</f>
        <v/>
      </c>
      <c r="K37" s="230" t="str">
        <f>IFERROR(VLOOKUP(Table3[[#This Row],[ISIN Code]],'DT09 Adventurer'!$A$4:$J$38,6,FALSE),"")</f>
        <v/>
      </c>
      <c r="L37" s="231" t="str">
        <f>IFERROR(VLOOKUP(Table3[[#This Row],[ISIN Code]],'DT10 Pioneer'!$A$4:$J$38,6,FALSE),"")</f>
        <v/>
      </c>
    </row>
    <row r="38" spans="1:12" x14ac:dyDescent="0.2">
      <c r="A38" s="119"/>
      <c r="B38" s="143" t="str">
        <f>IFERROR(VLOOKUP(A38,NoviaFunds[],2,FALSE),"")</f>
        <v/>
      </c>
      <c r="C38" s="144"/>
      <c r="D38" s="145" t="str">
        <f>IFERROR(VLOOKUP(A38,NoviaFunds[],6,FALSE),"")</f>
        <v/>
      </c>
      <c r="E38" s="147" t="str">
        <f>IFERROR(VLOOKUP(Table3[[#This Row],[ISIN Code]],'DT03 Defender'!$A$4:$J$32,6,FALSE),"")</f>
        <v/>
      </c>
      <c r="F38" s="147" t="str">
        <f>IFERROR(VLOOKUP(Table3[[#This Row],[ISIN Code]],'DT04 Prudence'!$A$4:$J$32,6,FALSE),"")</f>
        <v/>
      </c>
      <c r="G38" s="147" t="str">
        <f>IFERROR(VLOOKUP(Table3[[#This Row],[ISIN Code]],'DT05 Navigator'!$A$4:$J$32,6,FALSE),"")</f>
        <v/>
      </c>
      <c r="H38" s="229" t="str">
        <f>IFERROR(VLOOKUP(Table3[[#This Row],[ISIN Code]],'DT06 Meridian'!$A$4:$J$32,6,FALSE),"")</f>
        <v/>
      </c>
      <c r="I38" s="229" t="str">
        <f>IFERROR(VLOOKUP(Table3[[#This Row],[ISIN Code]],'DT07 Explorer'!$A$4:$J$32,6,FALSE),"")</f>
        <v/>
      </c>
      <c r="J38" s="230" t="str">
        <f>IFERROR(VLOOKUP(Table3[[#This Row],[ISIN Code]],'DT08 Voyager'!$A$4:$J$39,6,FALSE),"")</f>
        <v/>
      </c>
      <c r="K38" s="230" t="str">
        <f>IFERROR(VLOOKUP(Table3[[#This Row],[ISIN Code]],'DT09 Adventurer'!$A$4:$J$38,6,FALSE),"")</f>
        <v/>
      </c>
      <c r="L38" s="231" t="str">
        <f>IFERROR(VLOOKUP(Table3[[#This Row],[ISIN Code]],'DT10 Pioneer'!$A$4:$J$38,6,FALSE),"")</f>
        <v/>
      </c>
    </row>
    <row r="39" spans="1:12" x14ac:dyDescent="0.2">
      <c r="A39" s="119"/>
      <c r="B39" s="143" t="str">
        <f>IFERROR(VLOOKUP(A39,NoviaFunds[],2,FALSE),"")</f>
        <v/>
      </c>
      <c r="C39" s="144"/>
      <c r="D39" s="145" t="str">
        <f>IFERROR(VLOOKUP(A39,NoviaFunds[],6,FALSE),"")</f>
        <v/>
      </c>
      <c r="E39" s="147" t="str">
        <f>IFERROR(VLOOKUP(Table3[[#This Row],[ISIN Code]],'DT03 Defender'!$A$4:$J$32,6,FALSE),"")</f>
        <v/>
      </c>
      <c r="F39" s="147" t="str">
        <f>IFERROR(VLOOKUP(Table3[[#This Row],[ISIN Code]],'DT04 Prudence'!$A$4:$J$32,6,FALSE),"")</f>
        <v/>
      </c>
      <c r="G39" s="147" t="str">
        <f>IFERROR(VLOOKUP(Table3[[#This Row],[ISIN Code]],'DT05 Navigator'!$A$4:$J$32,6,FALSE),"")</f>
        <v/>
      </c>
      <c r="H39" s="229" t="str">
        <f>IFERROR(VLOOKUP(Table3[[#This Row],[ISIN Code]],'DT06 Meridian'!$A$4:$J$32,6,FALSE),"")</f>
        <v/>
      </c>
      <c r="I39" s="229" t="str">
        <f>IFERROR(VLOOKUP(Table3[[#This Row],[ISIN Code]],'DT07 Explorer'!$A$4:$J$32,6,FALSE),"")</f>
        <v/>
      </c>
      <c r="J39" s="230" t="str">
        <f>IFERROR(VLOOKUP(Table3[[#This Row],[ISIN Code]],'DT08 Voyager'!$A$4:$J$39,6,FALSE),"")</f>
        <v/>
      </c>
      <c r="K39" s="230" t="str">
        <f>IFERROR(VLOOKUP(Table3[[#This Row],[ISIN Code]],'DT09 Adventurer'!$A$4:$J$38,6,FALSE),"")</f>
        <v/>
      </c>
      <c r="L39" s="231" t="str">
        <f>IFERROR(VLOOKUP(Table3[[#This Row],[ISIN Code]],'DT10 Pioneer'!$A$4:$J$38,6,FALSE),"")</f>
        <v/>
      </c>
    </row>
    <row r="40" spans="1:12" x14ac:dyDescent="0.2">
      <c r="A40" s="142"/>
      <c r="B40" s="143"/>
      <c r="C40" s="144"/>
      <c r="D40" s="145"/>
      <c r="E40" s="147">
        <f>SUBTOTAL(109,Table3[Defender])</f>
        <v>0.35499999999999998</v>
      </c>
      <c r="F40" s="147">
        <f>SUBTOTAL(109,Table3[Prudence])</f>
        <v>0.42</v>
      </c>
      <c r="G40" s="147">
        <f>SUBTOTAL(109,Table3[Navigator])</f>
        <v>0.46499999999999997</v>
      </c>
      <c r="H40" s="147">
        <f>SUBTOTAL(109,Table3[Meridian])</f>
        <v>0.49</v>
      </c>
      <c r="I40" s="147">
        <f>SUBTOTAL(109,Table3[Explorer])</f>
        <v>0.55999999999999994</v>
      </c>
      <c r="J40" s="147">
        <f>SUBTOTAL(109,Table3[Voyager])</f>
        <v>0.66000000000000014</v>
      </c>
      <c r="K40" s="147">
        <f>SUBTOTAL(109,Table3[Adventurer])</f>
        <v>0.7</v>
      </c>
      <c r="L40" s="147">
        <f>SUBTOTAL(109,Table3[Pioneer])</f>
        <v>0.73</v>
      </c>
    </row>
  </sheetData>
  <sortState xmlns:xlrd2="http://schemas.microsoft.com/office/spreadsheetml/2017/richdata2" ref="A7:L19">
    <sortCondition ref="D7:D19"/>
  </sortState>
  <phoneticPr fontId="9" type="noConversion"/>
  <conditionalFormatting sqref="D4:D39">
    <cfRule type="cellIs" dxfId="125" priority="3" operator="equal">
      <formula>"Other Bonds"</formula>
    </cfRule>
    <cfRule type="cellIs" dxfId="124" priority="9" operator="equal">
      <formula>"Absolute Return"</formula>
    </cfRule>
    <cfRule type="cellIs" dxfId="123" priority="14" operator="equal">
      <formula>"USA Equities"</formula>
    </cfRule>
    <cfRule type="cellIs" dxfId="122" priority="15" operator="equal">
      <formula>"UK Equity Income"</formula>
    </cfRule>
    <cfRule type="cellIs" dxfId="121" priority="16" operator="equal">
      <formula>"UK Equities"</formula>
    </cfRule>
    <cfRule type="cellIs" dxfId="120" priority="17" operator="equal">
      <formula>"Specialist"</formula>
    </cfRule>
    <cfRule type="cellIs" dxfId="119" priority="18" operator="equal">
      <formula>"Other Equities"</formula>
    </cfRule>
    <cfRule type="cellIs" dxfId="118" priority="19" operator="equal">
      <formula>"Japanese Equities"</formula>
    </cfRule>
    <cfRule type="cellIs" dxfId="117" priority="20" operator="equal">
      <formula>"European Equities"</formula>
    </cfRule>
    <cfRule type="cellIs" dxfId="116" priority="21" operator="equal">
      <formula>"Emerging Markets"</formula>
    </cfRule>
    <cfRule type="cellIs" dxfId="115" priority="22" operator="equal">
      <formula>"Asia Pacific"</formula>
    </cfRule>
    <cfRule type="cellIs" dxfId="114" priority="23" operator="equal">
      <formula>"Cash"</formula>
    </cfRule>
    <cfRule type="cellIs" dxfId="113" priority="24" operator="equal">
      <formula>"High Yield"</formula>
    </cfRule>
    <cfRule type="cellIs" dxfId="112" priority="25" operator="equal">
      <formula>"Global Bonds"</formula>
    </cfRule>
    <cfRule type="cellIs" dxfId="111" priority="26" operator="equal">
      <formula>"Investment Grade"</formula>
    </cfRule>
  </conditionalFormatting>
  <conditionalFormatting sqref="A40:A60 A1:A3 A65:A1048576">
    <cfRule type="duplicateValues" dxfId="110" priority="234"/>
  </conditionalFormatting>
  <conditionalFormatting sqref="E4:L39">
    <cfRule type="cellIs" dxfId="109" priority="4" operator="equal">
      <formula>0</formula>
    </cfRule>
  </conditionalFormatting>
  <conditionalFormatting sqref="B61:B64">
    <cfRule type="duplicateValues" dxfId="108" priority="2"/>
  </conditionalFormatting>
  <conditionalFormatting sqref="A61:A64">
    <cfRule type="duplicateValues" dxfId="107" priority="1"/>
  </conditionalFormatting>
  <pageMargins left="0.25" right="0.25" top="0.75" bottom="0.75" header="0.3" footer="0.3"/>
  <pageSetup paperSize="9" scale="62" orientation="landscape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87451-776C-4146-AF4F-E21969FA4013}">
  <sheetPr>
    <pageSetUpPr fitToPage="1"/>
  </sheetPr>
  <dimension ref="A1:L38"/>
  <sheetViews>
    <sheetView zoomScale="85" zoomScaleNormal="85" workbookViewId="0">
      <selection sqref="A1:J1"/>
    </sheetView>
  </sheetViews>
  <sheetFormatPr defaultRowHeight="14.25" x14ac:dyDescent="0.2"/>
  <cols>
    <col min="1" max="1" width="15.375" bestFit="1" customWidth="1"/>
    <col min="2" max="2" width="55.75" bestFit="1" customWidth="1"/>
    <col min="3" max="3" width="19.375" customWidth="1"/>
    <col min="4" max="4" width="23.5" customWidth="1"/>
    <col min="5" max="10" width="12.375" customWidth="1"/>
    <col min="11" max="11" width="13.375" customWidth="1"/>
    <col min="12" max="12" width="12.375" customWidth="1"/>
  </cols>
  <sheetData>
    <row r="1" spans="1:12" ht="31.5" thickTop="1" thickBot="1" x14ac:dyDescent="0.25">
      <c r="A1" s="128" t="s">
        <v>87</v>
      </c>
      <c r="B1" s="129"/>
      <c r="C1" s="129"/>
      <c r="D1" s="129"/>
      <c r="E1" s="129"/>
      <c r="F1" s="129"/>
      <c r="G1" s="129"/>
      <c r="H1" s="129"/>
      <c r="I1" s="130"/>
      <c r="J1" s="131"/>
      <c r="K1" s="131"/>
      <c r="L1" s="132"/>
    </row>
    <row r="2" spans="1:12" ht="15.75" thickTop="1" x14ac:dyDescent="0.25">
      <c r="A2" s="133" t="s">
        <v>2</v>
      </c>
      <c r="B2" s="239">
        <f>Date</f>
        <v>44733</v>
      </c>
      <c r="C2" s="239"/>
      <c r="D2" s="239"/>
      <c r="E2" s="239"/>
      <c r="F2" s="239"/>
      <c r="G2" s="239"/>
      <c r="H2" s="239"/>
      <c r="I2" s="240"/>
      <c r="J2" s="134"/>
      <c r="K2" s="134"/>
      <c r="L2" s="135"/>
    </row>
    <row r="3" spans="1:12" ht="15.75" x14ac:dyDescent="0.25">
      <c r="A3" s="222" t="s">
        <v>3</v>
      </c>
      <c r="B3" s="120" t="s">
        <v>4</v>
      </c>
      <c r="C3" s="120" t="s">
        <v>76</v>
      </c>
      <c r="D3" s="120" t="s">
        <v>5</v>
      </c>
      <c r="E3" s="121" t="s">
        <v>77</v>
      </c>
      <c r="F3" s="121" t="s">
        <v>78</v>
      </c>
      <c r="G3" s="121" t="s">
        <v>79</v>
      </c>
      <c r="H3" s="122" t="s">
        <v>80</v>
      </c>
      <c r="I3" s="122" t="s">
        <v>81</v>
      </c>
      <c r="J3" s="121" t="s">
        <v>82</v>
      </c>
      <c r="K3" s="121" t="s">
        <v>83</v>
      </c>
      <c r="L3" s="136" t="s">
        <v>84</v>
      </c>
    </row>
    <row r="4" spans="1:12" x14ac:dyDescent="0.2">
      <c r="A4" s="642" t="s">
        <v>11</v>
      </c>
      <c r="B4" s="123" t="str">
        <f>IFERROR(VLOOKUP(A4,NoviaFunds[],2,FALSE),"")</f>
        <v>Cash</v>
      </c>
      <c r="C4" s="237"/>
      <c r="D4" s="125" t="str">
        <f>IFERROR(VLOOKUP(A4,NoviaFunds[],6,FALSE),"")</f>
        <v>Cash</v>
      </c>
      <c r="E4" s="126">
        <f>IFERROR(VLOOKUP(Table35[[#This Row],[ISIN Code]],'DT03 Defender'!$A$4:$J$38,7,FALSE),"")</f>
        <v>0.17</v>
      </c>
      <c r="F4" s="126">
        <f>IFERROR(VLOOKUP(Table35[[#This Row],[ISIN Code]],'DT04 Prudence'!$A$4:$J$38,7,FALSE),"")</f>
        <v>0.12</v>
      </c>
      <c r="G4" s="126">
        <f>IFERROR(VLOOKUP(Table35[[#This Row],[ISIN Code]],'DT05 Navigator'!$A$4:$J$38,7,FALSE),"")</f>
        <v>0.1</v>
      </c>
      <c r="H4" s="126">
        <f>IFERROR(VLOOKUP(Table35[[#This Row],[ISIN Code]],'DT06 Meridian'!$A$4:$J$38,7,FALSE),"")</f>
        <v>0.06</v>
      </c>
      <c r="I4" s="126">
        <f>IFERROR(VLOOKUP(Table35[[#This Row],[ISIN Code]],'DT07 Explorer'!$A$4:$J$38,7,FALSE),"")</f>
        <v>0.02</v>
      </c>
      <c r="J4" s="126">
        <f>IFERROR(VLOOKUP(Table35[[#This Row],[ISIN Code]],'DT08 Voyager'!$A$4:$J$38,7,FALSE),"")</f>
        <v>0.02</v>
      </c>
      <c r="K4" s="126">
        <f>IFERROR(VLOOKUP(Table35[[#This Row],[ISIN Code]],'DT09 Adventurer'!$A$4:$J$38,7,FALSE),"")</f>
        <v>0.02</v>
      </c>
      <c r="L4" s="138">
        <f>IFERROR(VLOOKUP(Table35[[#This Row],[ISIN Code]],'DT10 Pioneer'!$A$4:$J$38,7,FALSE),"")</f>
        <v>0.02</v>
      </c>
    </row>
    <row r="5" spans="1:12" x14ac:dyDescent="0.2">
      <c r="A5" s="642" t="s">
        <v>564</v>
      </c>
      <c r="B5" s="123" t="str">
        <f>IFERROR(VLOOKUP(A5,NoviaFunds[],2,FALSE),"")</f>
        <v>ASI Asia Pacific Equity Enhanced Index B Acc in GB</v>
      </c>
      <c r="C5" s="242"/>
      <c r="D5" s="125" t="str">
        <f>IFERROR(VLOOKUP(A5,NoviaFunds[],6,FALSE),"")</f>
        <v>Asia Pacific</v>
      </c>
      <c r="E5" s="126" t="str">
        <f>IFERROR(VLOOKUP(Table35[[#This Row],[ISIN Code]],'DT03 Defender'!$A$4:$J$38,7,FALSE),"")</f>
        <v/>
      </c>
      <c r="F5" s="126">
        <f>IFERROR(VLOOKUP(Table35[[#This Row],[ISIN Code]],'DT04 Prudence'!$A$4:$J$38,7,FALSE),"")</f>
        <v>0.04</v>
      </c>
      <c r="G5" s="126">
        <f>IFERROR(VLOOKUP(Table35[[#This Row],[ISIN Code]],'DT05 Navigator'!$A$4:$J$38,7,FALSE),"")</f>
        <v>0.04</v>
      </c>
      <c r="H5" s="126">
        <f>IFERROR(VLOOKUP(Table35[[#This Row],[ISIN Code]],'DT06 Meridian'!$A$4:$J$38,7,FALSE),"")</f>
        <v>0.03</v>
      </c>
      <c r="I5" s="126">
        <f>IFERROR(VLOOKUP(Table35[[#This Row],[ISIN Code]],'DT07 Explorer'!$A$4:$J$38,7,FALSE),"")</f>
        <v>3.3000000000000002E-2</v>
      </c>
      <c r="J5" s="126">
        <f>IFERROR(VLOOKUP(Table35[[#This Row],[ISIN Code]],'DT08 Voyager'!$A$4:$J$38,7,FALSE),"")</f>
        <v>7.1999999999999995E-2</v>
      </c>
      <c r="K5" s="126">
        <f>IFERROR(VLOOKUP(Table35[[#This Row],[ISIN Code]],'DT09 Adventurer'!$A$4:$J$38,7,FALSE),"")</f>
        <v>7.4999999999999997E-2</v>
      </c>
      <c r="L5" s="138">
        <f>IFERROR(VLOOKUP(Table35[[#This Row],[ISIN Code]],'DT10 Pioneer'!$A$4:$J$38,7,FALSE),"")</f>
        <v>8.1000000000000003E-2</v>
      </c>
    </row>
    <row r="6" spans="1:12" x14ac:dyDescent="0.2">
      <c r="A6" s="642" t="s">
        <v>1461</v>
      </c>
      <c r="B6" s="123" t="str">
        <f>IFERROR(VLOOKUP(A6,NoviaFunds[],2,FALSE),"")</f>
        <v>Baillie Gifford Pacific B Acc TR in GB</v>
      </c>
      <c r="C6" s="237"/>
      <c r="D6" s="125" t="str">
        <f>IFERROR(VLOOKUP(A6,NoviaFunds[],6,FALSE),"")</f>
        <v>Asia Pacific</v>
      </c>
      <c r="E6" s="126" t="str">
        <f>IFERROR(VLOOKUP(Table35[[#This Row],[ISIN Code]],'DT03 Defender'!$A$4:$J$38,7,FALSE),"")</f>
        <v/>
      </c>
      <c r="F6" s="126" t="str">
        <f>IFERROR(VLOOKUP(Table35[[#This Row],[ISIN Code]],'DT04 Prudence'!$A$4:$J$38,7,FALSE),"")</f>
        <v/>
      </c>
      <c r="G6" s="126" t="str">
        <f>IFERROR(VLOOKUP(Table35[[#This Row],[ISIN Code]],'DT05 Navigator'!$A$4:$J$38,7,FALSE),"")</f>
        <v/>
      </c>
      <c r="H6" s="126">
        <f>IFERROR(VLOOKUP(Table35[[#This Row],[ISIN Code]],'DT06 Meridian'!$A$4:$J$38,7,FALSE),"")</f>
        <v>0.03</v>
      </c>
      <c r="I6" s="126">
        <f>IFERROR(VLOOKUP(Table35[[#This Row],[ISIN Code]],'DT07 Explorer'!$A$4:$J$38,7,FALSE),"")</f>
        <v>3.3000000000000002E-2</v>
      </c>
      <c r="J6" s="126">
        <f>IFERROR(VLOOKUP(Table35[[#This Row],[ISIN Code]],'DT08 Voyager'!$A$4:$J$38,7,FALSE),"")</f>
        <v>7.1999999999999995E-2</v>
      </c>
      <c r="K6" s="126">
        <f>IFERROR(VLOOKUP(Table35[[#This Row],[ISIN Code]],'DT09 Adventurer'!$A$4:$J$38,7,FALSE),"")</f>
        <v>7.4999999999999997E-2</v>
      </c>
      <c r="L6" s="138">
        <f>IFERROR(VLOOKUP(Table35[[#This Row],[ISIN Code]],'DT10 Pioneer'!$A$4:$J$38,7,FALSE),"")</f>
        <v>8.1000000000000003E-2</v>
      </c>
    </row>
    <row r="7" spans="1:12" x14ac:dyDescent="0.2">
      <c r="A7" s="642" t="s">
        <v>64</v>
      </c>
      <c r="B7" s="123" t="str">
        <f>IFERROR(VLOOKUP(A7,NoviaFunds[],2,FALSE),"")</f>
        <v>Schroder Asian Income Z Acc in GB</v>
      </c>
      <c r="C7" s="237"/>
      <c r="D7" s="125" t="str">
        <f>IFERROR(VLOOKUP(A7,NoviaFunds[],6,FALSE),"")</f>
        <v>Asia Pacific</v>
      </c>
      <c r="E7" s="126" t="str">
        <f>IFERROR(VLOOKUP(Table35[[#This Row],[ISIN Code]],'DT03 Defender'!$A$4:$J$38,7,FALSE),"")</f>
        <v/>
      </c>
      <c r="F7" s="126" t="str">
        <f>IFERROR(VLOOKUP(Table35[[#This Row],[ISIN Code]],'DT04 Prudence'!$A$4:$J$38,7,FALSE),"")</f>
        <v/>
      </c>
      <c r="G7" s="126" t="str">
        <f>IFERROR(VLOOKUP(Table35[[#This Row],[ISIN Code]],'DT05 Navigator'!$A$4:$J$38,7,FALSE),"")</f>
        <v/>
      </c>
      <c r="H7" s="126">
        <f>IFERROR(VLOOKUP(Table35[[#This Row],[ISIN Code]],'DT06 Meridian'!$A$4:$J$38,7,FALSE),"")</f>
        <v>0.02</v>
      </c>
      <c r="I7" s="126">
        <f>IFERROR(VLOOKUP(Table35[[#This Row],[ISIN Code]],'DT07 Explorer'!$A$4:$J$38,7,FALSE),"")</f>
        <v>2.1999999999999999E-2</v>
      </c>
      <c r="J7" s="126">
        <f>IFERROR(VLOOKUP(Table35[[#This Row],[ISIN Code]],'DT08 Voyager'!$A$4:$J$38,7,FALSE),"")</f>
        <v>4.8000000000000001E-2</v>
      </c>
      <c r="K7" s="126">
        <f>IFERROR(VLOOKUP(Table35[[#This Row],[ISIN Code]],'DT09 Adventurer'!$A$4:$J$38,7,FALSE),"")</f>
        <v>0.05</v>
      </c>
      <c r="L7" s="138">
        <f>IFERROR(VLOOKUP(Table35[[#This Row],[ISIN Code]],'DT10 Pioneer'!$A$4:$J$38,7,FALSE),"")</f>
        <v>5.3999999999999999E-2</v>
      </c>
    </row>
    <row r="8" spans="1:12" x14ac:dyDescent="0.2">
      <c r="A8" s="642" t="s">
        <v>65</v>
      </c>
      <c r="B8" s="123" t="str">
        <f>IFERROR(VLOOKUP(A8,NoviaFunds[],2,FALSE),"")</f>
        <v>Schroder Institutional Pacific I Acc in GB</v>
      </c>
      <c r="C8" s="237"/>
      <c r="D8" s="125" t="str">
        <f>IFERROR(VLOOKUP(A8,NoviaFunds[],6,FALSE),"")</f>
        <v>Asia Pacific</v>
      </c>
      <c r="E8" s="126" t="str">
        <f>IFERROR(VLOOKUP(Table35[[#This Row],[ISIN Code]],'DT03 Defender'!$A$4:$J$38,7,FALSE),"")</f>
        <v/>
      </c>
      <c r="F8" s="126" t="str">
        <f>IFERROR(VLOOKUP(Table35[[#This Row],[ISIN Code]],'DT04 Prudence'!$A$4:$J$38,7,FALSE),"")</f>
        <v/>
      </c>
      <c r="G8" s="126" t="str">
        <f>IFERROR(VLOOKUP(Table35[[#This Row],[ISIN Code]],'DT05 Navigator'!$A$4:$J$38,7,FALSE),"")</f>
        <v/>
      </c>
      <c r="H8" s="126">
        <f>IFERROR(VLOOKUP(Table35[[#This Row],[ISIN Code]],'DT06 Meridian'!$A$4:$J$38,7,FALSE),"")</f>
        <v>0.02</v>
      </c>
      <c r="I8" s="126">
        <f>IFERROR(VLOOKUP(Table35[[#This Row],[ISIN Code]],'DT07 Explorer'!$A$4:$J$38,7,FALSE),"")</f>
        <v>2.1999999999999999E-2</v>
      </c>
      <c r="J8" s="126">
        <f>IFERROR(VLOOKUP(Table35[[#This Row],[ISIN Code]],'DT08 Voyager'!$A$4:$J$38,7,FALSE),"")</f>
        <v>4.8000000000000001E-2</v>
      </c>
      <c r="K8" s="126">
        <f>IFERROR(VLOOKUP(Table35[[#This Row],[ISIN Code]],'DT09 Adventurer'!$A$4:$J$38,7,FALSE),"")</f>
        <v>0.05</v>
      </c>
      <c r="L8" s="138">
        <f>IFERROR(VLOOKUP(Table35[[#This Row],[ISIN Code]],'DT10 Pioneer'!$A$4:$J$38,7,FALSE),"")</f>
        <v>5.3999999999999999E-2</v>
      </c>
    </row>
    <row r="9" spans="1:12" x14ac:dyDescent="0.2">
      <c r="A9" s="643" t="s">
        <v>59</v>
      </c>
      <c r="B9" s="123" t="str">
        <f>IFERROR(VLOOKUP(A9,NoviaFunds[],2,FALSE),"")</f>
        <v>ASI Emerging Markets Income Equity Ret Platform 1 Acc GBP in GB</v>
      </c>
      <c r="C9" s="237"/>
      <c r="D9" s="125" t="str">
        <f>IFERROR(VLOOKUP(A9,NoviaFunds[],6,FALSE),"")</f>
        <v>Emerging Markets</v>
      </c>
      <c r="E9" s="126" t="str">
        <f>IFERROR(VLOOKUP(Table35[[#This Row],[ISIN Code]],'DT03 Defender'!$A$4:$J$38,7,FALSE),"")</f>
        <v/>
      </c>
      <c r="F9" s="126" t="str">
        <f>IFERROR(VLOOKUP(Table35[[#This Row],[ISIN Code]],'DT04 Prudence'!$A$4:$J$38,7,FALSE),"")</f>
        <v/>
      </c>
      <c r="G9" s="126">
        <f>IFERROR(VLOOKUP(Table35[[#This Row],[ISIN Code]],'DT05 Navigator'!$A$4:$J$38,7,FALSE),"")</f>
        <v>0.02</v>
      </c>
      <c r="H9" s="126">
        <f>IFERROR(VLOOKUP(Table35[[#This Row],[ISIN Code]],'DT06 Meridian'!$A$4:$J$38,7,FALSE),"")</f>
        <v>0.03</v>
      </c>
      <c r="I9" s="126">
        <f>IFERROR(VLOOKUP(Table35[[#This Row],[ISIN Code]],'DT07 Explorer'!$A$4:$J$38,7,FALSE),"")</f>
        <v>3.9E-2</v>
      </c>
      <c r="J9" s="126">
        <f>IFERROR(VLOOKUP(Table35[[#This Row],[ISIN Code]],'DT08 Voyager'!$A$4:$J$38,7,FALSE),"")</f>
        <v>8.1000000000000003E-2</v>
      </c>
      <c r="K9" s="126">
        <f>IFERROR(VLOOKUP(Table35[[#This Row],[ISIN Code]],'DT09 Adventurer'!$A$4:$J$38,7,FALSE),"")</f>
        <v>0.12</v>
      </c>
      <c r="L9" s="138">
        <f>IFERROR(VLOOKUP(Table35[[#This Row],[ISIN Code]],'DT10 Pioneer'!$A$4:$J$38,7,FALSE),"")</f>
        <v>0.183</v>
      </c>
    </row>
    <row r="10" spans="1:12" x14ac:dyDescent="0.2">
      <c r="A10" s="643" t="s">
        <v>53</v>
      </c>
      <c r="B10" s="123" t="str">
        <f>IFERROR(VLOOKUP(A10,NoviaFunds[],2,FALSE),"")</f>
        <v>Federated Hermes Global Emerging Markets F Acc</v>
      </c>
      <c r="C10" s="242"/>
      <c r="D10" s="125" t="str">
        <f>IFERROR(VLOOKUP(A10,NoviaFunds[],6,FALSE),"")</f>
        <v>Emerging Markets</v>
      </c>
      <c r="E10" s="126" t="str">
        <f>IFERROR(VLOOKUP(Table35[[#This Row],[ISIN Code]],'DT03 Defender'!$A$4:$J$38,7,FALSE),"")</f>
        <v/>
      </c>
      <c r="F10" s="126">
        <f>IFERROR(VLOOKUP(Table35[[#This Row],[ISIN Code]],'DT04 Prudence'!$A$4:$J$38,7,FALSE),"")</f>
        <v>0</v>
      </c>
      <c r="G10" s="126">
        <f>IFERROR(VLOOKUP(Table35[[#This Row],[ISIN Code]],'DT05 Navigator'!$A$4:$J$38,7,FALSE),"")</f>
        <v>0</v>
      </c>
      <c r="H10" s="126">
        <f>IFERROR(VLOOKUP(Table35[[#This Row],[ISIN Code]],'DT06 Meridian'!$A$4:$J$38,7,FALSE),"")</f>
        <v>0.02</v>
      </c>
      <c r="I10" s="126">
        <f>IFERROR(VLOOKUP(Table35[[#This Row],[ISIN Code]],'DT07 Explorer'!$A$4:$J$38,7,FALSE),"")</f>
        <v>2.5999999999999999E-2</v>
      </c>
      <c r="J10" s="126">
        <f>IFERROR(VLOOKUP(Table35[[#This Row],[ISIN Code]],'DT08 Voyager'!$A$4:$J$38,7,FALSE),"")</f>
        <v>5.3999999999999999E-2</v>
      </c>
      <c r="K10" s="126">
        <f>IFERROR(VLOOKUP(Table35[[#This Row],[ISIN Code]],'DT09 Adventurer'!$A$4:$J$38,7,FALSE),"")</f>
        <v>0.08</v>
      </c>
      <c r="L10" s="138">
        <f>IFERROR(VLOOKUP(Table35[[#This Row],[ISIN Code]],'DT10 Pioneer'!$A$4:$J$38,7,FALSE),"")</f>
        <v>0.122</v>
      </c>
    </row>
    <row r="11" spans="1:12" x14ac:dyDescent="0.2">
      <c r="A11" s="643" t="s">
        <v>66</v>
      </c>
      <c r="B11" s="123" t="str">
        <f>IFERROR(VLOOKUP(A11,NoviaFunds[],2,FALSE),"")</f>
        <v>JPM Emerging Markets Income C Acc in GB</v>
      </c>
      <c r="C11" s="237"/>
      <c r="D11" s="125" t="str">
        <f>IFERROR(VLOOKUP(A11,NoviaFunds[],6,FALSE),"")</f>
        <v>Emerging Markets</v>
      </c>
      <c r="E11" s="126" t="str">
        <f>IFERROR(VLOOKUP(Table35[[#This Row],[ISIN Code]],'DT03 Defender'!$A$4:$J$38,7,FALSE),"")</f>
        <v/>
      </c>
      <c r="F11" s="126" t="str">
        <f>IFERROR(VLOOKUP(Table35[[#This Row],[ISIN Code]],'DT04 Prudence'!$A$4:$J$38,7,FALSE),"")</f>
        <v/>
      </c>
      <c r="G11" s="126">
        <f>IFERROR(VLOOKUP(Table35[[#This Row],[ISIN Code]],'DT05 Navigator'!$A$4:$J$38,7,FALSE),"")</f>
        <v>0.02</v>
      </c>
      <c r="H11" s="126">
        <f>IFERROR(VLOOKUP(Table35[[#This Row],[ISIN Code]],'DT06 Meridian'!$A$4:$J$38,7,FALSE),"")</f>
        <v>0.03</v>
      </c>
      <c r="I11" s="126">
        <f>IFERROR(VLOOKUP(Table35[[#This Row],[ISIN Code]],'DT07 Explorer'!$A$4:$J$38,7,FALSE),"")</f>
        <v>3.9E-2</v>
      </c>
      <c r="J11" s="126">
        <f>IFERROR(VLOOKUP(Table35[[#This Row],[ISIN Code]],'DT08 Voyager'!$A$4:$J$38,7,FALSE),"")</f>
        <v>8.1000000000000003E-2</v>
      </c>
      <c r="K11" s="126">
        <f>IFERROR(VLOOKUP(Table35[[#This Row],[ISIN Code]],'DT09 Adventurer'!$A$4:$J$38,7,FALSE),"")</f>
        <v>0.12</v>
      </c>
      <c r="L11" s="138">
        <f>IFERROR(VLOOKUP(Table35[[#This Row],[ISIN Code]],'DT10 Pioneer'!$A$4:$J$38,7,FALSE),"")</f>
        <v>0.183</v>
      </c>
    </row>
    <row r="12" spans="1:12" x14ac:dyDescent="0.2">
      <c r="A12" s="642" t="s">
        <v>67</v>
      </c>
      <c r="B12" s="123" t="str">
        <f>IFERROR(VLOOKUP(A12,NoviaFunds[],2,FALSE),"")</f>
        <v>UBS Global Emerging Markets Equity C Acc in GB</v>
      </c>
      <c r="C12" s="237"/>
      <c r="D12" s="125" t="str">
        <f>IFERROR(VLOOKUP(A12,NoviaFunds[],6,FALSE),"")</f>
        <v>Emerging Markets</v>
      </c>
      <c r="E12" s="126" t="str">
        <f>IFERROR(VLOOKUP(Table35[[#This Row],[ISIN Code]],'DT03 Defender'!$A$4:$J$38,7,FALSE),"")</f>
        <v/>
      </c>
      <c r="F12" s="126" t="str">
        <f>IFERROR(VLOOKUP(Table35[[#This Row],[ISIN Code]],'DT04 Prudence'!$A$4:$J$38,7,FALSE),"")</f>
        <v/>
      </c>
      <c r="G12" s="126" t="str">
        <f>IFERROR(VLOOKUP(Table35[[#This Row],[ISIN Code]],'DT05 Navigator'!$A$4:$J$38,7,FALSE),"")</f>
        <v/>
      </c>
      <c r="H12" s="126">
        <f>IFERROR(VLOOKUP(Table35[[#This Row],[ISIN Code]],'DT06 Meridian'!$A$4:$J$38,7,FALSE),"")</f>
        <v>0.02</v>
      </c>
      <c r="I12" s="126">
        <f>IFERROR(VLOOKUP(Table35[[#This Row],[ISIN Code]],'DT07 Explorer'!$A$4:$J$38,7,FALSE),"")</f>
        <v>2.5999999999999999E-2</v>
      </c>
      <c r="J12" s="126">
        <f>IFERROR(VLOOKUP(Table35[[#This Row],[ISIN Code]],'DT08 Voyager'!$A$4:$J$38,7,FALSE),"")</f>
        <v>5.3999999999999999E-2</v>
      </c>
      <c r="K12" s="126">
        <f>IFERROR(VLOOKUP(Table35[[#This Row],[ISIN Code]],'DT09 Adventurer'!$A$4:$J$38,7,FALSE),"")</f>
        <v>0.08</v>
      </c>
      <c r="L12" s="138">
        <f>IFERROR(VLOOKUP(Table35[[#This Row],[ISIN Code]],'DT10 Pioneer'!$A$4:$J$38,7,FALSE),"")</f>
        <v>0.122</v>
      </c>
    </row>
    <row r="13" spans="1:12" x14ac:dyDescent="0.2">
      <c r="A13" s="642" t="s">
        <v>3087</v>
      </c>
      <c r="B13" s="123" t="str">
        <f>IFERROR(VLOOKUP(A13,NoviaFunds[],2,FALSE),"")</f>
        <v>HSBC European Index C Acc in GB</v>
      </c>
      <c r="C13" s="237"/>
      <c r="D13" s="125" t="str">
        <f>IFERROR(VLOOKUP(A13,NoviaFunds[],6,FALSE),"")</f>
        <v>European Equities</v>
      </c>
      <c r="E13" s="126" t="str">
        <f>IFERROR(VLOOKUP(Table35[[#This Row],[ISIN Code]],'DT03 Defender'!$A$4:$J$38,7,FALSE),"")</f>
        <v/>
      </c>
      <c r="F13" s="126">
        <f>IFERROR(VLOOKUP(Table35[[#This Row],[ISIN Code]],'DT04 Prudence'!$A$4:$J$38,7,FALSE),"")</f>
        <v>0.05</v>
      </c>
      <c r="G13" s="126">
        <f>IFERROR(VLOOKUP(Table35[[#This Row],[ISIN Code]],'DT05 Navigator'!$A$4:$J$38,7,FALSE),"")</f>
        <v>0.05</v>
      </c>
      <c r="H13" s="126">
        <f>IFERROR(VLOOKUP(Table35[[#This Row],[ISIN Code]],'DT06 Meridian'!$A$4:$J$38,7,FALSE),"")</f>
        <v>0.05</v>
      </c>
      <c r="I13" s="126">
        <f>IFERROR(VLOOKUP(Table35[[#This Row],[ISIN Code]],'DT07 Explorer'!$A$4:$J$38,7,FALSE),"")</f>
        <v>0.06</v>
      </c>
      <c r="J13" s="126">
        <f>IFERROR(VLOOKUP(Table35[[#This Row],[ISIN Code]],'DT08 Voyager'!$A$4:$J$38,7,FALSE),"")</f>
        <v>0.06</v>
      </c>
      <c r="K13" s="126">
        <f>IFERROR(VLOOKUP(Table35[[#This Row],[ISIN Code]],'DT09 Adventurer'!$A$4:$J$38,7,FALSE),"")</f>
        <v>0.06</v>
      </c>
      <c r="L13" s="138" t="str">
        <f>IFERROR(VLOOKUP(Table35[[#This Row],[ISIN Code]],'DT10 Pioneer'!$A$4:$J$38,7,FALSE),"")</f>
        <v/>
      </c>
    </row>
    <row r="14" spans="1:12" x14ac:dyDescent="0.2">
      <c r="A14" s="642" t="s">
        <v>9558</v>
      </c>
      <c r="B14" s="123" t="str">
        <f>IFERROR(VLOOKUP(A14,NoviaFunds[],2,FALSE),"")</f>
        <v>iShares UK Gilts 0-5yr UCITS ETF</v>
      </c>
      <c r="C14" s="237"/>
      <c r="D14" s="125" t="str">
        <f>IFERROR(VLOOKUP(A14,NoviaFunds[],6,FALSE),"")</f>
        <v>Gilts</v>
      </c>
      <c r="E14" s="126">
        <f>IFERROR(VLOOKUP(Table35[[#This Row],[ISIN Code]],'DT03 Defender'!$A$4:$J$38,7,FALSE),"")</f>
        <v>0.1</v>
      </c>
      <c r="F14" s="126">
        <f>IFERROR(VLOOKUP(Table35[[#This Row],[ISIN Code]],'DT04 Prudence'!$A$4:$J$38,7,FALSE),"")</f>
        <v>0.05</v>
      </c>
      <c r="G14" s="126">
        <f>IFERROR(VLOOKUP(Table35[[#This Row],[ISIN Code]],'DT05 Navigator'!$A$4:$J$38,7,FALSE),"")</f>
        <v>0.03</v>
      </c>
      <c r="H14" s="126" t="str">
        <f>IFERROR(VLOOKUP(Table35[[#This Row],[ISIN Code]],'DT06 Meridian'!$A$4:$J$38,7,FALSE),"")</f>
        <v/>
      </c>
      <c r="I14" s="126" t="str">
        <f>IFERROR(VLOOKUP(Table35[[#This Row],[ISIN Code]],'DT07 Explorer'!$A$4:$J$38,7,FALSE),"")</f>
        <v/>
      </c>
      <c r="J14" s="126" t="str">
        <f>IFERROR(VLOOKUP(Table35[[#This Row],[ISIN Code]],'DT08 Voyager'!$A$4:$J$38,7,FALSE),"")</f>
        <v/>
      </c>
      <c r="K14" s="126" t="str">
        <f>IFERROR(VLOOKUP(Table35[[#This Row],[ISIN Code]],'DT09 Adventurer'!$A$4:$J$38,7,FALSE),"")</f>
        <v/>
      </c>
      <c r="L14" s="138" t="str">
        <f>IFERROR(VLOOKUP(Table35[[#This Row],[ISIN Code]],'DT10 Pioneer'!$A$4:$J$38,7,FALSE),"")</f>
        <v/>
      </c>
    </row>
    <row r="15" spans="1:12" x14ac:dyDescent="0.2">
      <c r="A15" s="642" t="s">
        <v>9557</v>
      </c>
      <c r="B15" s="123" t="str">
        <f>IFERROR(VLOOKUP(A15,NoviaFunds[],2,FALSE),"")</f>
        <v>ASI Short Dated Global Corporate Bond Tracker B Acc</v>
      </c>
      <c r="C15" s="237"/>
      <c r="D15" s="125" t="str">
        <f>IFERROR(VLOOKUP(A15,NoviaFunds[],6,FALSE),"")</f>
        <v>Global Investment Grade</v>
      </c>
      <c r="E15" s="126">
        <f>IFERROR(VLOOKUP(Table35[[#This Row],[ISIN Code]],'DT03 Defender'!$A$4:$J$38,7,FALSE),"")</f>
        <v>0.09</v>
      </c>
      <c r="F15" s="126">
        <f>IFERROR(VLOOKUP(Table35[[#This Row],[ISIN Code]],'DT04 Prudence'!$A$4:$J$38,7,FALSE),"")</f>
        <v>0.05</v>
      </c>
      <c r="G15" s="126">
        <f>IFERROR(VLOOKUP(Table35[[#This Row],[ISIN Code]],'DT05 Navigator'!$A$4:$J$38,7,FALSE),"")</f>
        <v>0.02</v>
      </c>
      <c r="H15" s="126">
        <f>IFERROR(VLOOKUP(Table35[[#This Row],[ISIN Code]],'DT06 Meridian'!$A$4:$J$38,7,FALSE),"")</f>
        <v>0.02</v>
      </c>
      <c r="I15" s="126" t="str">
        <f>IFERROR(VLOOKUP(Table35[[#This Row],[ISIN Code]],'DT07 Explorer'!$A$4:$J$38,7,FALSE),"")</f>
        <v/>
      </c>
      <c r="J15" s="126" t="str">
        <f>IFERROR(VLOOKUP(Table35[[#This Row],[ISIN Code]],'DT08 Voyager'!$A$4:$J$38,7,FALSE),"")</f>
        <v/>
      </c>
      <c r="K15" s="126" t="str">
        <f>IFERROR(VLOOKUP(Table35[[#This Row],[ISIN Code]],'DT09 Adventurer'!$A$4:$J$38,7,FALSE),"")</f>
        <v/>
      </c>
      <c r="L15" s="138" t="str">
        <f>IFERROR(VLOOKUP(Table35[[#This Row],[ISIN Code]],'DT10 Pioneer'!$A$4:$J$38,7,FALSE),"")</f>
        <v/>
      </c>
    </row>
    <row r="16" spans="1:12" x14ac:dyDescent="0.2">
      <c r="A16" s="643" t="s">
        <v>3624</v>
      </c>
      <c r="B16" s="123" t="str">
        <f>IFERROR(VLOOKUP(A16,NoviaFunds[],2,FALSE),"")</f>
        <v>iShares Overseas Corporate Bond Index (UK) D Acc in GB</v>
      </c>
      <c r="C16" s="237"/>
      <c r="D16" s="125" t="str">
        <f>IFERROR(VLOOKUP(A16,NoviaFunds[],6,FALSE),"")</f>
        <v>Global Investment Grade</v>
      </c>
      <c r="E16" s="126">
        <f>IFERROR(VLOOKUP(Table35[[#This Row],[ISIN Code]],'DT03 Defender'!$A$4:$J$38,7,FALSE),"")</f>
        <v>0.09</v>
      </c>
      <c r="F16" s="126">
        <f>IFERROR(VLOOKUP(Table35[[#This Row],[ISIN Code]],'DT04 Prudence'!$A$4:$J$38,7,FALSE),"")</f>
        <v>0.05</v>
      </c>
      <c r="G16" s="126">
        <f>IFERROR(VLOOKUP(Table35[[#This Row],[ISIN Code]],'DT05 Navigator'!$A$4:$J$38,7,FALSE),"")</f>
        <v>0.02</v>
      </c>
      <c r="H16" s="126">
        <f>IFERROR(VLOOKUP(Table35[[#This Row],[ISIN Code]],'DT06 Meridian'!$A$4:$J$38,7,FALSE),"")</f>
        <v>0.02</v>
      </c>
      <c r="I16" s="126">
        <f>IFERROR(VLOOKUP(Table35[[#This Row],[ISIN Code]],'DT07 Explorer'!$A$4:$J$38,7,FALSE),"")</f>
        <v>0.02</v>
      </c>
      <c r="J16" s="126">
        <f>IFERROR(VLOOKUP(Table35[[#This Row],[ISIN Code]],'DT08 Voyager'!$A$4:$J$38,7,FALSE),"")</f>
        <v>0.02</v>
      </c>
      <c r="K16" s="126" t="str">
        <f>IFERROR(VLOOKUP(Table35[[#This Row],[ISIN Code]],'DT09 Adventurer'!$A$4:$J$38,7,FALSE),"")</f>
        <v/>
      </c>
      <c r="L16" s="138" t="str">
        <f>IFERROR(VLOOKUP(Table35[[#This Row],[ISIN Code]],'DT10 Pioneer'!$A$4:$J$38,7,FALSE),"")</f>
        <v/>
      </c>
    </row>
    <row r="17" spans="1:12" x14ac:dyDescent="0.2">
      <c r="A17" s="643" t="s">
        <v>56</v>
      </c>
      <c r="B17" s="123" t="str">
        <f>IFERROR(VLOOKUP(A17,NoviaFunds[],2,FALSE),"")</f>
        <v>Baillie Gifford Japanese B Acc in GB**</v>
      </c>
      <c r="C17" s="237"/>
      <c r="D17" s="125" t="str">
        <f>IFERROR(VLOOKUP(A17,NoviaFunds[],6,FALSE),"")</f>
        <v>Japanese Equities</v>
      </c>
      <c r="E17" s="126">
        <f>IFERROR(VLOOKUP(Table35[[#This Row],[ISIN Code]],'DT03 Defender'!$A$4:$J$38,7,FALSE),"")</f>
        <v>0.05</v>
      </c>
      <c r="F17" s="126">
        <f>IFERROR(VLOOKUP(Table35[[#This Row],[ISIN Code]],'DT04 Prudence'!$A$4:$J$38,7,FALSE),"")</f>
        <v>0.05</v>
      </c>
      <c r="G17" s="126">
        <f>IFERROR(VLOOKUP(Table35[[#This Row],[ISIN Code]],'DT05 Navigator'!$A$4:$J$38,7,FALSE),"")</f>
        <v>0.06</v>
      </c>
      <c r="H17" s="126">
        <f>IFERROR(VLOOKUP(Table35[[#This Row],[ISIN Code]],'DT06 Meridian'!$A$4:$J$38,7,FALSE),"")</f>
        <v>7.0000000000000007E-2</v>
      </c>
      <c r="I17" s="126">
        <f>IFERROR(VLOOKUP(Table35[[#This Row],[ISIN Code]],'DT07 Explorer'!$A$4:$J$38,7,FALSE),"")</f>
        <v>0.08</v>
      </c>
      <c r="J17" s="126">
        <f>IFERROR(VLOOKUP(Table35[[#This Row],[ISIN Code]],'DT08 Voyager'!$A$4:$J$38,7,FALSE),"")</f>
        <v>0.06</v>
      </c>
      <c r="K17" s="126">
        <f>IFERROR(VLOOKUP(Table35[[#This Row],[ISIN Code]],'DT09 Adventurer'!$A$4:$J$38,7,FALSE),"")</f>
        <v>0.06</v>
      </c>
      <c r="L17" s="138" t="str">
        <f>IFERROR(VLOOKUP(Table35[[#This Row],[ISIN Code]],'DT10 Pioneer'!$A$4:$J$38,7,FALSE),"")</f>
        <v/>
      </c>
    </row>
    <row r="18" spans="1:12" x14ac:dyDescent="0.2">
      <c r="A18" s="643" t="s">
        <v>9540</v>
      </c>
      <c r="B18" s="123" t="str">
        <f>IFERROR(VLOOKUP(A18,NoviaFunds[],2,FALSE),"")</f>
        <v>iShares MSCI Target UK Real Estate UCITS ETF GBP</v>
      </c>
      <c r="C18" s="237"/>
      <c r="D18" s="125" t="str">
        <f>IFERROR(VLOOKUP(A18,NoviaFunds[],6,FALSE),"")</f>
        <v>Property</v>
      </c>
      <c r="E18" s="126">
        <f>IFERROR(VLOOKUP(Table35[[#This Row],[ISIN Code]],'DT03 Defender'!$A$4:$J$38,7,FALSE),"")</f>
        <v>0.05</v>
      </c>
      <c r="F18" s="126">
        <f>IFERROR(VLOOKUP(Table35[[#This Row],[ISIN Code]],'DT04 Prudence'!$A$4:$J$38,7,FALSE),"")</f>
        <v>0.05</v>
      </c>
      <c r="G18" s="126">
        <f>IFERROR(VLOOKUP(Table35[[#This Row],[ISIN Code]],'DT05 Navigator'!$A$4:$J$38,7,FALSE),"")</f>
        <v>0.05</v>
      </c>
      <c r="H18" s="126">
        <f>IFERROR(VLOOKUP(Table35[[#This Row],[ISIN Code]],'DT06 Meridian'!$A$4:$J$38,7,FALSE),"")</f>
        <v>0.05</v>
      </c>
      <c r="I18" s="126">
        <f>IFERROR(VLOOKUP(Table35[[#This Row],[ISIN Code]],'DT07 Explorer'!$A$4:$J$38,7,FALSE),"")</f>
        <v>0.05</v>
      </c>
      <c r="J18" s="126">
        <f>IFERROR(VLOOKUP(Table35[[#This Row],[ISIN Code]],'DT08 Voyager'!$A$4:$J$38,7,FALSE),"")</f>
        <v>0.05</v>
      </c>
      <c r="K18" s="126" t="str">
        <f>IFERROR(VLOOKUP(Table35[[#This Row],[ISIN Code]],'DT09 Adventurer'!$A$4:$J$38,7,FALSE),"")</f>
        <v/>
      </c>
      <c r="L18" s="138" t="str">
        <f>IFERROR(VLOOKUP(Table35[[#This Row],[ISIN Code]],'DT10 Pioneer'!$A$4:$J$38,7,FALSE),"")</f>
        <v/>
      </c>
    </row>
    <row r="19" spans="1:12" x14ac:dyDescent="0.2">
      <c r="A19" s="643" t="s">
        <v>15</v>
      </c>
      <c r="B19" s="123" t="str">
        <f>IFERROR(VLOOKUP(A19,NoviaFunds[],2,FALSE),"")</f>
        <v>L&amp;G Short Dated Sterling Corporate Bond Index I Acc in GB</v>
      </c>
      <c r="C19" s="237"/>
      <c r="D19" s="125" t="str">
        <f>IFERROR(VLOOKUP(A19,NoviaFunds[],6,FALSE),"")</f>
        <v>Sterling Corporate Bonds</v>
      </c>
      <c r="E19" s="126">
        <f>IFERROR(VLOOKUP(Table35[[#This Row],[ISIN Code]],'DT03 Defender'!$A$4:$J$38,7,FALSE),"")</f>
        <v>4.4999999999999998E-2</v>
      </c>
      <c r="F19" s="126">
        <f>IFERROR(VLOOKUP(Table35[[#This Row],[ISIN Code]],'DT04 Prudence'!$A$4:$J$38,7,FALSE),"")</f>
        <v>4.4999999999999998E-2</v>
      </c>
      <c r="G19" s="126">
        <f>IFERROR(VLOOKUP(Table35[[#This Row],[ISIN Code]],'DT05 Navigator'!$A$4:$J$38,7,FALSE),"")</f>
        <v>0.03</v>
      </c>
      <c r="H19" s="126">
        <f>IFERROR(VLOOKUP(Table35[[#This Row],[ISIN Code]],'DT06 Meridian'!$A$4:$J$38,7,FALSE),"")</f>
        <v>2.4E-2</v>
      </c>
      <c r="I19" s="126" t="str">
        <f>IFERROR(VLOOKUP(Table35[[#This Row],[ISIN Code]],'DT07 Explorer'!$A$4:$J$38,7,FALSE),"")</f>
        <v/>
      </c>
      <c r="J19" s="126" t="str">
        <f>IFERROR(VLOOKUP(Table35[[#This Row],[ISIN Code]],'DT08 Voyager'!$A$4:$J$38,7,FALSE),"")</f>
        <v/>
      </c>
      <c r="K19" s="126" t="str">
        <f>IFERROR(VLOOKUP(Table35[[#This Row],[ISIN Code]],'DT09 Adventurer'!$A$4:$J$38,7,FALSE),"")</f>
        <v/>
      </c>
      <c r="L19" s="138" t="str">
        <f>IFERROR(VLOOKUP(Table35[[#This Row],[ISIN Code]],'DT10 Pioneer'!$A$4:$J$38,7,FALSE),"")</f>
        <v/>
      </c>
    </row>
    <row r="20" spans="1:12" x14ac:dyDescent="0.2">
      <c r="A20" s="643" t="s">
        <v>6914</v>
      </c>
      <c r="B20" s="123" t="str">
        <f>IFERROR(VLOOKUP(A20,NoviaFunds[],2,FALSE),"")</f>
        <v>Royal London Sterling Credit Z Inc TR in GB</v>
      </c>
      <c r="C20" s="237"/>
      <c r="D20" s="125" t="str">
        <f>IFERROR(VLOOKUP(A20,NoviaFunds[],6,FALSE),"")</f>
        <v>Sterling Corporate Bonds</v>
      </c>
      <c r="E20" s="126">
        <f>IFERROR(VLOOKUP(Table35[[#This Row],[ISIN Code]],'DT03 Defender'!$A$4:$J$38,7,FALSE),"")</f>
        <v>4.4999999999999998E-2</v>
      </c>
      <c r="F20" s="126">
        <f>IFERROR(VLOOKUP(Table35[[#This Row],[ISIN Code]],'DT04 Prudence'!$A$4:$J$38,7,FALSE),"")</f>
        <v>4.4999999999999998E-2</v>
      </c>
      <c r="G20" s="126">
        <f>IFERROR(VLOOKUP(Table35[[#This Row],[ISIN Code]],'DT05 Navigator'!$A$4:$J$38,7,FALSE),"")</f>
        <v>0.03</v>
      </c>
      <c r="H20" s="126">
        <f>IFERROR(VLOOKUP(Table35[[#This Row],[ISIN Code]],'DT06 Meridian'!$A$4:$J$38,7,FALSE),"")</f>
        <v>2.4E-2</v>
      </c>
      <c r="I20" s="126" t="str">
        <f>IFERROR(VLOOKUP(Table35[[#This Row],[ISIN Code]],'DT07 Explorer'!$A$4:$J$38,7,FALSE),"")</f>
        <v/>
      </c>
      <c r="J20" s="126" t="str">
        <f>IFERROR(VLOOKUP(Table35[[#This Row],[ISIN Code]],'DT08 Voyager'!$A$4:$J$38,7,FALSE),"")</f>
        <v/>
      </c>
      <c r="K20" s="126" t="str">
        <f>IFERROR(VLOOKUP(Table35[[#This Row],[ISIN Code]],'DT09 Adventurer'!$A$4:$J$38,7,FALSE),"")</f>
        <v/>
      </c>
      <c r="L20" s="138" t="str">
        <f>IFERROR(VLOOKUP(Table35[[#This Row],[ISIN Code]],'DT10 Pioneer'!$A$4:$J$38,7,FALSE),"")</f>
        <v/>
      </c>
    </row>
    <row r="21" spans="1:12" x14ac:dyDescent="0.2">
      <c r="A21" s="643" t="s">
        <v>17</v>
      </c>
      <c r="B21" s="123" t="str">
        <f>IFERROR(VLOOKUP(A21,NoviaFunds[],2,FALSE),"")</f>
        <v>Vanguard UK Short-Term Investment Grade Bond Index Acc</v>
      </c>
      <c r="C21" s="237"/>
      <c r="D21" s="125" t="str">
        <f>IFERROR(VLOOKUP(A21,NoviaFunds[],6,FALSE),"")</f>
        <v>Sterling Corporate Bonds</v>
      </c>
      <c r="E21" s="126">
        <f>IFERROR(VLOOKUP(Table35[[#This Row],[ISIN Code]],'DT03 Defender'!$A$4:$J$38,7,FALSE),"")</f>
        <v>0.06</v>
      </c>
      <c r="F21" s="126">
        <f>IFERROR(VLOOKUP(Table35[[#This Row],[ISIN Code]],'DT04 Prudence'!$A$4:$J$38,7,FALSE),"")</f>
        <v>0.06</v>
      </c>
      <c r="G21" s="126">
        <f>IFERROR(VLOOKUP(Table35[[#This Row],[ISIN Code]],'DT05 Navigator'!$A$4:$J$38,7,FALSE),"")</f>
        <v>0.04</v>
      </c>
      <c r="H21" s="126">
        <f>IFERROR(VLOOKUP(Table35[[#This Row],[ISIN Code]],'DT06 Meridian'!$A$4:$J$38,7,FALSE),"")</f>
        <v>3.2000000000000001E-2</v>
      </c>
      <c r="I21" s="126" t="str">
        <f>IFERROR(VLOOKUP(Table35[[#This Row],[ISIN Code]],'DT07 Explorer'!$A$4:$J$38,7,FALSE),"")</f>
        <v/>
      </c>
      <c r="J21" s="126" t="str">
        <f>IFERROR(VLOOKUP(Table35[[#This Row],[ISIN Code]],'DT08 Voyager'!$A$4:$J$38,7,FALSE),"")</f>
        <v/>
      </c>
      <c r="K21" s="126" t="str">
        <f>IFERROR(VLOOKUP(Table35[[#This Row],[ISIN Code]],'DT09 Adventurer'!$A$4:$J$38,7,FALSE),"")</f>
        <v/>
      </c>
      <c r="L21" s="138" t="str">
        <f>IFERROR(VLOOKUP(Table35[[#This Row],[ISIN Code]],'DT10 Pioneer'!$A$4:$J$38,7,FALSE),"")</f>
        <v/>
      </c>
    </row>
    <row r="22" spans="1:12" x14ac:dyDescent="0.2">
      <c r="A22" s="645" t="s">
        <v>23</v>
      </c>
      <c r="B22" s="123" t="str">
        <f>IFERROR(VLOOKUP(A22,NoviaFunds[],2,FALSE),"")</f>
        <v>Allianz UK Listed Equity Income E Inc GBP</v>
      </c>
      <c r="C22" s="237"/>
      <c r="D22" s="125" t="str">
        <f>IFERROR(VLOOKUP(A22,NoviaFunds[],6,FALSE),"")</f>
        <v>UK Equities</v>
      </c>
      <c r="E22" s="126">
        <f>IFERROR(VLOOKUP(Table35[[#This Row],[ISIN Code]],'DT03 Defender'!$A$4:$J$38,7,FALSE),"")</f>
        <v>0.03</v>
      </c>
      <c r="F22" s="126">
        <f>IFERROR(VLOOKUP(Table35[[#This Row],[ISIN Code]],'DT04 Prudence'!$A$4:$J$38,7,FALSE),"")</f>
        <v>0.04</v>
      </c>
      <c r="G22" s="126">
        <f>IFERROR(VLOOKUP(Table35[[#This Row],[ISIN Code]],'DT05 Navigator'!$A$4:$J$38,7,FALSE),"")</f>
        <v>5.7500000000000002E-2</v>
      </c>
      <c r="H22" s="126">
        <f>IFERROR(VLOOKUP(Table35[[#This Row],[ISIN Code]],'DT06 Meridian'!$A$4:$J$38,7,FALSE),"")</f>
        <v>5.7500000000000002E-2</v>
      </c>
      <c r="I22" s="126">
        <f>IFERROR(VLOOKUP(Table35[[#This Row],[ISIN Code]],'DT07 Explorer'!$A$4:$J$38,7,FALSE),"")</f>
        <v>8.5000000000000006E-2</v>
      </c>
      <c r="J22" s="126">
        <f>IFERROR(VLOOKUP(Table35[[#This Row],[ISIN Code]],'DT08 Voyager'!$A$4:$J$38,7,FALSE),"")</f>
        <v>4.4999999999999998E-2</v>
      </c>
      <c r="K22" s="126">
        <f>IFERROR(VLOOKUP(Table35[[#This Row],[ISIN Code]],'DT09 Adventurer'!$A$4:$J$38,7,FALSE),"")</f>
        <v>3.2500000000000001E-2</v>
      </c>
      <c r="L22" s="138" t="str">
        <f>IFERROR(VLOOKUP(Table35[[#This Row],[ISIN Code]],'DT10 Pioneer'!$A$4:$J$38,7,FALSE),"")</f>
        <v/>
      </c>
    </row>
    <row r="23" spans="1:12" x14ac:dyDescent="0.2">
      <c r="A23" s="642" t="s">
        <v>25</v>
      </c>
      <c r="B23" s="123" t="str">
        <f>IFERROR(VLOOKUP(A23,NoviaFunds[],2,FALSE),"")</f>
        <v>FTF Franklin UK Equity Income W Acc TR in GB</v>
      </c>
      <c r="C23" s="237"/>
      <c r="D23" s="125" t="str">
        <f>IFERROR(VLOOKUP(A23,NoviaFunds[],6,FALSE),"")</f>
        <v>UK Equities</v>
      </c>
      <c r="E23" s="126">
        <f>IFERROR(VLOOKUP(Table35[[#This Row],[ISIN Code]],'DT03 Defender'!$A$4:$J$38,7,FALSE),"")</f>
        <v>0.03</v>
      </c>
      <c r="F23" s="126">
        <f>IFERROR(VLOOKUP(Table35[[#This Row],[ISIN Code]],'DT04 Prudence'!$A$4:$J$38,7,FALSE),"")</f>
        <v>0.04</v>
      </c>
      <c r="G23" s="126">
        <f>IFERROR(VLOOKUP(Table35[[#This Row],[ISIN Code]],'DT05 Navigator'!$A$4:$J$38,7,FALSE),"")</f>
        <v>5.7500000000000002E-2</v>
      </c>
      <c r="H23" s="126">
        <f>IFERROR(VLOOKUP(Table35[[#This Row],[ISIN Code]],'DT06 Meridian'!$A$4:$J$38,7,FALSE),"")</f>
        <v>5.7500000000000002E-2</v>
      </c>
      <c r="I23" s="126">
        <f>IFERROR(VLOOKUP(Table35[[#This Row],[ISIN Code]],'DT07 Explorer'!$A$4:$J$38,7,FALSE),"")</f>
        <v>8.5000000000000006E-2</v>
      </c>
      <c r="J23" s="126">
        <f>IFERROR(VLOOKUP(Table35[[#This Row],[ISIN Code]],'DT08 Voyager'!$A$4:$J$38,7,FALSE),"")</f>
        <v>4.4999999999999998E-2</v>
      </c>
      <c r="K23" s="126">
        <f>IFERROR(VLOOKUP(Table35[[#This Row],[ISIN Code]],'DT09 Adventurer'!$A$4:$J$38,7,FALSE),"")</f>
        <v>3.2500000000000001E-2</v>
      </c>
      <c r="L23" s="138" t="str">
        <f>IFERROR(VLOOKUP(Table35[[#This Row],[ISIN Code]],'DT10 Pioneer'!$A$4:$J$38,7,FALSE),"")</f>
        <v/>
      </c>
    </row>
    <row r="24" spans="1:12" x14ac:dyDescent="0.2">
      <c r="A24" s="643" t="s">
        <v>22</v>
      </c>
      <c r="B24" s="123" t="str">
        <f>IFERROR(VLOOKUP(A24,NoviaFunds[],2,FALSE),"")</f>
        <v>Slater Growth P Acc in GB</v>
      </c>
      <c r="C24" s="237"/>
      <c r="D24" s="125" t="str">
        <f>IFERROR(VLOOKUP(A24,NoviaFunds[],6,FALSE),"")</f>
        <v>UK Equities</v>
      </c>
      <c r="E24" s="126">
        <f>IFERROR(VLOOKUP(Table35[[#This Row],[ISIN Code]],'DT03 Defender'!$A$4:$J$38,7,FALSE),"")</f>
        <v>2.4E-2</v>
      </c>
      <c r="F24" s="126">
        <f>IFERROR(VLOOKUP(Table35[[#This Row],[ISIN Code]],'DT04 Prudence'!$A$4:$J$38,7,FALSE),"")</f>
        <v>3.2000000000000001E-2</v>
      </c>
      <c r="G24" s="126">
        <f>IFERROR(VLOOKUP(Table35[[#This Row],[ISIN Code]],'DT05 Navigator'!$A$4:$J$38,7,FALSE),"")</f>
        <v>4.5999999999999999E-2</v>
      </c>
      <c r="H24" s="126">
        <f>IFERROR(VLOOKUP(Table35[[#This Row],[ISIN Code]],'DT06 Meridian'!$A$4:$J$38,7,FALSE),"")</f>
        <v>4.5999999999999999E-2</v>
      </c>
      <c r="I24" s="126">
        <f>IFERROR(VLOOKUP(Table35[[#This Row],[ISIN Code]],'DT07 Explorer'!$A$4:$J$38,7,FALSE),"")</f>
        <v>6.8000000000000005E-2</v>
      </c>
      <c r="J24" s="126">
        <f>IFERROR(VLOOKUP(Table35[[#This Row],[ISIN Code]],'DT08 Voyager'!$A$4:$J$38,7,FALSE),"")</f>
        <v>3.5999999999999997E-2</v>
      </c>
      <c r="K24" s="126">
        <f>IFERROR(VLOOKUP(Table35[[#This Row],[ISIN Code]],'DT09 Adventurer'!$A$4:$J$38,7,FALSE),"")</f>
        <v>2.5999999999999999E-2</v>
      </c>
      <c r="L24" s="138">
        <f>IFERROR(VLOOKUP(Table35[[#This Row],[ISIN Code]],'DT10 Pioneer'!$A$4:$J$38,7,FALSE),"")</f>
        <v>0</v>
      </c>
    </row>
    <row r="25" spans="1:12" x14ac:dyDescent="0.2">
      <c r="A25" s="643" t="s">
        <v>8389</v>
      </c>
      <c r="B25" s="123" t="str">
        <f>IFERROR(VLOOKUP(A25,NoviaFunds[],2,FALSE),"")</f>
        <v>Vanguard FTSE U.K. All Share Index Unit Trust A Acc GBP in GB</v>
      </c>
      <c r="C25" s="237"/>
      <c r="D25" s="125" t="str">
        <f>IFERROR(VLOOKUP(A25,NoviaFunds[],6,FALSE),"")</f>
        <v>UK Equities</v>
      </c>
      <c r="E25" s="126">
        <f>IFERROR(VLOOKUP(Table35[[#This Row],[ISIN Code]],'DT03 Defender'!$A$4:$J$38,7,FALSE),"")</f>
        <v>3.5999999999999997E-2</v>
      </c>
      <c r="F25" s="126">
        <f>IFERROR(VLOOKUP(Table35[[#This Row],[ISIN Code]],'DT04 Prudence'!$A$4:$J$38,7,FALSE),"")</f>
        <v>4.8000000000000001E-2</v>
      </c>
      <c r="G25" s="126">
        <f>IFERROR(VLOOKUP(Table35[[#This Row],[ISIN Code]],'DT05 Navigator'!$A$4:$J$38,7,FALSE),"")</f>
        <v>6.9000000000000006E-2</v>
      </c>
      <c r="H25" s="126">
        <f>IFERROR(VLOOKUP(Table35[[#This Row],[ISIN Code]],'DT06 Meridian'!$A$4:$J$38,7,FALSE),"")</f>
        <v>6.9000000000000006E-2</v>
      </c>
      <c r="I25" s="126">
        <f>IFERROR(VLOOKUP(Table35[[#This Row],[ISIN Code]],'DT07 Explorer'!$A$4:$J$38,7,FALSE),"")</f>
        <v>0.10199999999999999</v>
      </c>
      <c r="J25" s="126">
        <f>IFERROR(VLOOKUP(Table35[[#This Row],[ISIN Code]],'DT08 Voyager'!$A$4:$J$38,7,FALSE),"")</f>
        <v>5.3999999999999999E-2</v>
      </c>
      <c r="K25" s="126">
        <f>IFERROR(VLOOKUP(Table35[[#This Row],[ISIN Code]],'DT09 Adventurer'!$A$4:$J$38,7,FALSE),"")</f>
        <v>3.9E-2</v>
      </c>
      <c r="L25" s="138">
        <f>IFERROR(VLOOKUP(Table35[[#This Row],[ISIN Code]],'DT10 Pioneer'!$A$4:$J$38,7,FALSE),"")</f>
        <v>0.03</v>
      </c>
    </row>
    <row r="26" spans="1:12" x14ac:dyDescent="0.2">
      <c r="A26" s="643" t="s">
        <v>9544</v>
      </c>
      <c r="B26" s="123" t="str">
        <f>IFERROR(VLOOKUP(A26,NoviaFunds[],2,FALSE),"")</f>
        <v>iShares £ Index-Linked Gilts UCITS ETF</v>
      </c>
      <c r="C26" s="237"/>
      <c r="D26" s="125" t="str">
        <f>IFERROR(VLOOKUP(A26,NoviaFunds[],6,FALSE),"")</f>
        <v>UK Index Linked Gilts</v>
      </c>
      <c r="E26" s="126">
        <f>IFERROR(VLOOKUP(Table35[[#This Row],[ISIN Code]],'DT03 Defender'!$A$4:$J$38,7,FALSE),"")</f>
        <v>0.08</v>
      </c>
      <c r="F26" s="126">
        <f>IFERROR(VLOOKUP(Table35[[#This Row],[ISIN Code]],'DT04 Prudence'!$A$4:$J$38,7,FALSE),"")</f>
        <v>0.08</v>
      </c>
      <c r="G26" s="126">
        <f>IFERROR(VLOOKUP(Table35[[#This Row],[ISIN Code]],'DT05 Navigator'!$A$4:$J$38,7,FALSE),"")</f>
        <v>0.04</v>
      </c>
      <c r="H26" s="126" t="str">
        <f>IFERROR(VLOOKUP(Table35[[#This Row],[ISIN Code]],'DT06 Meridian'!$A$4:$J$38,7,FALSE),"")</f>
        <v/>
      </c>
      <c r="I26" s="126" t="str">
        <f>IFERROR(VLOOKUP(Table35[[#This Row],[ISIN Code]],'DT07 Explorer'!$A$4:$J$38,7,FALSE),"")</f>
        <v/>
      </c>
      <c r="J26" s="126" t="str">
        <f>IFERROR(VLOOKUP(Table35[[#This Row],[ISIN Code]],'DT08 Voyager'!$A$4:$J$38,7,FALSE),"")</f>
        <v/>
      </c>
      <c r="K26" s="126" t="str">
        <f>IFERROR(VLOOKUP(Table35[[#This Row],[ISIN Code]],'DT09 Adventurer'!$A$4:$J$38,7,FALSE),"")</f>
        <v/>
      </c>
      <c r="L26" s="138" t="str">
        <f>IFERROR(VLOOKUP(Table35[[#This Row],[ISIN Code]],'DT10 Pioneer'!$A$4:$J$38,7,FALSE),"")</f>
        <v/>
      </c>
    </row>
    <row r="27" spans="1:12" x14ac:dyDescent="0.2">
      <c r="A27" s="644" t="s">
        <v>62</v>
      </c>
      <c r="B27" s="123" t="str">
        <f>IFERROR(VLOOKUP(A27,NoviaFunds[],2,FALSE),"")</f>
        <v>Artemis US Smaller Companies I Acc GBP in GB</v>
      </c>
      <c r="C27" s="237"/>
      <c r="D27" s="125" t="str">
        <f>IFERROR(VLOOKUP(A27,NoviaFunds[],6,FALSE),"")</f>
        <v>USA Equities</v>
      </c>
      <c r="E27" s="126">
        <f>IFERROR(VLOOKUP(Table35[[#This Row],[ISIN Code]],'DT03 Defender'!$A$4:$J$38,7,FALSE),"")</f>
        <v>2.5000000000000001E-2</v>
      </c>
      <c r="F27" s="126">
        <f>IFERROR(VLOOKUP(Table35[[#This Row],[ISIN Code]],'DT04 Prudence'!$A$4:$J$38,7,FALSE),"")</f>
        <v>3.7499999999999999E-2</v>
      </c>
      <c r="G27" s="126">
        <f>IFERROR(VLOOKUP(Table35[[#This Row],[ISIN Code]],'DT05 Navigator'!$A$4:$J$38,7,FALSE),"")</f>
        <v>5.5E-2</v>
      </c>
      <c r="H27" s="126">
        <f>IFERROR(VLOOKUP(Table35[[#This Row],[ISIN Code]],'DT06 Meridian'!$A$4:$J$38,7,FALSE),"")</f>
        <v>5.5E-2</v>
      </c>
      <c r="I27" s="126">
        <f>IFERROR(VLOOKUP(Table35[[#This Row],[ISIN Code]],'DT07 Explorer'!$A$4:$J$38,7,FALSE),"")</f>
        <v>4.7500000000000001E-2</v>
      </c>
      <c r="J27" s="126">
        <f>IFERROR(VLOOKUP(Table35[[#This Row],[ISIN Code]],'DT08 Voyager'!$A$4:$J$38,7,FALSE),"")</f>
        <v>2.5000000000000001E-2</v>
      </c>
      <c r="K27" s="126">
        <f>IFERROR(VLOOKUP(Table35[[#This Row],[ISIN Code]],'DT09 Adventurer'!$A$4:$J$38,7,FALSE),"")</f>
        <v>0.02</v>
      </c>
      <c r="L27" s="138">
        <f>IFERROR(VLOOKUP(Table35[[#This Row],[ISIN Code]],'DT10 Pioneer'!$A$4:$J$38,7,FALSE),"")</f>
        <v>0</v>
      </c>
    </row>
    <row r="28" spans="1:12" x14ac:dyDescent="0.2">
      <c r="A28" s="643" t="s">
        <v>2706</v>
      </c>
      <c r="B28" s="123" t="str">
        <f>IFERROR(VLOOKUP(A28,NoviaFunds[],2,FALSE),"")</f>
        <v>Fidelity Index US P in GB</v>
      </c>
      <c r="C28" s="237"/>
      <c r="D28" s="125" t="str">
        <f>IFERROR(VLOOKUP(A28,NoviaFunds[],6,FALSE),"")</f>
        <v>USA Equities</v>
      </c>
      <c r="E28" s="126">
        <f>IFERROR(VLOOKUP(Table35[[#This Row],[ISIN Code]],'DT03 Defender'!$A$4:$J$38,7,FALSE),"")</f>
        <v>0.05</v>
      </c>
      <c r="F28" s="126">
        <f>IFERROR(VLOOKUP(Table35[[#This Row],[ISIN Code]],'DT04 Prudence'!$A$4:$J$38,7,FALSE),"")</f>
        <v>7.4999999999999997E-2</v>
      </c>
      <c r="G28" s="126">
        <f>IFERROR(VLOOKUP(Table35[[#This Row],[ISIN Code]],'DT05 Navigator'!$A$4:$J$38,7,FALSE),"")</f>
        <v>0.11</v>
      </c>
      <c r="H28" s="126">
        <f>IFERROR(VLOOKUP(Table35[[#This Row],[ISIN Code]],'DT06 Meridian'!$A$4:$J$38,7,FALSE),"")</f>
        <v>0.11</v>
      </c>
      <c r="I28" s="126">
        <f>IFERROR(VLOOKUP(Table35[[#This Row],[ISIN Code]],'DT07 Explorer'!$A$4:$J$38,7,FALSE),"")</f>
        <v>9.5000000000000001E-2</v>
      </c>
      <c r="J28" s="126">
        <f>IFERROR(VLOOKUP(Table35[[#This Row],[ISIN Code]],'DT08 Voyager'!$A$4:$J$38,7,FALSE),"")</f>
        <v>0.05</v>
      </c>
      <c r="K28" s="126">
        <f>IFERROR(VLOOKUP(Table35[[#This Row],[ISIN Code]],'DT09 Adventurer'!$A$4:$J$38,7,FALSE),"")</f>
        <v>0.04</v>
      </c>
      <c r="L28" s="138">
        <f>IFERROR(VLOOKUP(Table35[[#This Row],[ISIN Code]],'DT10 Pioneer'!$A$4:$J$38,7,FALSE),"")</f>
        <v>7.0000000000000007E-2</v>
      </c>
    </row>
    <row r="29" spans="1:12" x14ac:dyDescent="0.2">
      <c r="A29" s="643" t="s">
        <v>9539</v>
      </c>
      <c r="B29" s="123" t="str">
        <f>IFERROR(VLOOKUP(A29,NoviaFunds[],2,FALSE),"")</f>
        <v>Xtrackers S&amp;P 500 Equal Weight UCITS ETF</v>
      </c>
      <c r="C29" s="237"/>
      <c r="D29" s="125" t="str">
        <f>IFERROR(VLOOKUP(A29,NoviaFunds[],6,FALSE),"")</f>
        <v>USA Equities</v>
      </c>
      <c r="E29" s="126">
        <f>IFERROR(VLOOKUP(Table35[[#This Row],[ISIN Code]],'DT03 Defender'!$A$4:$J$38,7,FALSE),"")</f>
        <v>2.5000000000000001E-2</v>
      </c>
      <c r="F29" s="126">
        <f>IFERROR(VLOOKUP(Table35[[#This Row],[ISIN Code]],'DT04 Prudence'!$A$4:$J$38,7,FALSE),"")</f>
        <v>3.7499999999999999E-2</v>
      </c>
      <c r="G29" s="126">
        <f>IFERROR(VLOOKUP(Table35[[#This Row],[ISIN Code]],'DT05 Navigator'!$A$4:$J$38,7,FALSE),"")</f>
        <v>5.5E-2</v>
      </c>
      <c r="H29" s="126">
        <f>IFERROR(VLOOKUP(Table35[[#This Row],[ISIN Code]],'DT06 Meridian'!$A$4:$J$38,7,FALSE),"")</f>
        <v>5.5E-2</v>
      </c>
      <c r="I29" s="126">
        <f>IFERROR(VLOOKUP(Table35[[#This Row],[ISIN Code]],'DT07 Explorer'!$A$4:$J$38,7,FALSE),"")</f>
        <v>4.7500000000000001E-2</v>
      </c>
      <c r="J29" s="126">
        <f>IFERROR(VLOOKUP(Table35[[#This Row],[ISIN Code]],'DT08 Voyager'!$A$4:$J$38,7,FALSE),"")</f>
        <v>2.5000000000000001E-2</v>
      </c>
      <c r="K29" s="126">
        <f>IFERROR(VLOOKUP(Table35[[#This Row],[ISIN Code]],'DT09 Adventurer'!$A$4:$J$38,7,FALSE),"")</f>
        <v>0.02</v>
      </c>
      <c r="L29" s="138" t="str">
        <f>IFERROR(VLOOKUP(Table35[[#This Row],[ISIN Code]],'DT10 Pioneer'!$A$4:$J$38,7,FALSE),"")</f>
        <v/>
      </c>
    </row>
    <row r="30" spans="1:12" x14ac:dyDescent="0.2">
      <c r="A30" s="643"/>
      <c r="B30" s="123" t="str">
        <f>IFERROR(VLOOKUP(A30,NoviaFunds[],2,FALSE),"")</f>
        <v/>
      </c>
      <c r="C30" s="242"/>
      <c r="D30" s="125" t="str">
        <f>IFERROR(VLOOKUP(A30,NoviaFunds[],6,FALSE),"")</f>
        <v/>
      </c>
      <c r="E30" s="126" t="str">
        <f>IFERROR(VLOOKUP(Table35[[#This Row],[ISIN Code]],'DT03 Defender'!$A$4:$J$38,7,FALSE),"")</f>
        <v/>
      </c>
      <c r="F30" s="126" t="str">
        <f>IFERROR(VLOOKUP(Table35[[#This Row],[ISIN Code]],'DT04 Prudence'!$A$4:$J$38,7,FALSE),"")</f>
        <v/>
      </c>
      <c r="G30" s="126" t="str">
        <f>IFERROR(VLOOKUP(Table35[[#This Row],[ISIN Code]],'DT05 Navigator'!$A$4:$J$38,7,FALSE),"")</f>
        <v/>
      </c>
      <c r="H30" s="126" t="str">
        <f>IFERROR(VLOOKUP(Table35[[#This Row],[ISIN Code]],'DT06 Meridian'!$A$4:$J$38,7,FALSE),"")</f>
        <v/>
      </c>
      <c r="I30" s="126" t="str">
        <f>IFERROR(VLOOKUP(Table35[[#This Row],[ISIN Code]],'DT07 Explorer'!$A$4:$J$38,7,FALSE),"")</f>
        <v/>
      </c>
      <c r="J30" s="126" t="str">
        <f>IFERROR(VLOOKUP(Table35[[#This Row],[ISIN Code]],'DT08 Voyager'!$A$4:$J$38,7,FALSE),"")</f>
        <v/>
      </c>
      <c r="K30" s="126" t="str">
        <f>IFERROR(VLOOKUP(Table35[[#This Row],[ISIN Code]],'DT09 Adventurer'!$A$4:$J$38,7,FALSE),"")</f>
        <v/>
      </c>
      <c r="L30" s="138" t="str">
        <f>IFERROR(VLOOKUP(Table35[[#This Row],[ISIN Code]],'DT10 Pioneer'!$A$4:$J$38,7,FALSE),"")</f>
        <v/>
      </c>
    </row>
    <row r="31" spans="1:12" x14ac:dyDescent="0.2">
      <c r="A31" s="643"/>
      <c r="B31" s="123" t="str">
        <f>IFERROR(VLOOKUP(A31,NoviaFunds[],2,FALSE),"")</f>
        <v/>
      </c>
      <c r="C31" s="242"/>
      <c r="D31" s="125" t="str">
        <f>IFERROR(VLOOKUP(A31,NoviaFunds[],6,FALSE),"")</f>
        <v/>
      </c>
      <c r="E31" s="126" t="str">
        <f>IFERROR(VLOOKUP(Table35[[#This Row],[ISIN Code]],'DT03 Defender'!$A$4:$J$38,7,FALSE),"")</f>
        <v/>
      </c>
      <c r="F31" s="126" t="str">
        <f>IFERROR(VLOOKUP(Table35[[#This Row],[ISIN Code]],'DT04 Prudence'!$A$4:$J$38,7,FALSE),"")</f>
        <v/>
      </c>
      <c r="G31" s="126" t="str">
        <f>IFERROR(VLOOKUP(Table35[[#This Row],[ISIN Code]],'DT05 Navigator'!$A$4:$J$38,7,FALSE),"")</f>
        <v/>
      </c>
      <c r="H31" s="126" t="str">
        <f>IFERROR(VLOOKUP(Table35[[#This Row],[ISIN Code]],'DT06 Meridian'!$A$4:$J$38,7,FALSE),"")</f>
        <v/>
      </c>
      <c r="I31" s="126" t="str">
        <f>IFERROR(VLOOKUP(Table35[[#This Row],[ISIN Code]],'DT07 Explorer'!$A$4:$J$38,7,FALSE),"")</f>
        <v/>
      </c>
      <c r="J31" s="126" t="str">
        <f>IFERROR(VLOOKUP(Table35[[#This Row],[ISIN Code]],'DT08 Voyager'!$A$4:$J$38,7,FALSE),"")</f>
        <v/>
      </c>
      <c r="K31" s="126" t="str">
        <f>IFERROR(VLOOKUP(Table35[[#This Row],[ISIN Code]],'DT09 Adventurer'!$A$4:$J$38,7,FALSE),"")</f>
        <v/>
      </c>
      <c r="L31" s="138" t="str">
        <f>IFERROR(VLOOKUP(Table35[[#This Row],[ISIN Code]],'DT10 Pioneer'!$A$4:$J$38,7,FALSE),"")</f>
        <v/>
      </c>
    </row>
    <row r="32" spans="1:12" x14ac:dyDescent="0.2">
      <c r="A32" s="643"/>
      <c r="B32" s="123" t="str">
        <f>IFERROR(VLOOKUP(A32,NoviaFunds[],2,FALSE),"")</f>
        <v/>
      </c>
      <c r="C32" s="237"/>
      <c r="D32" s="125" t="str">
        <f>IFERROR(VLOOKUP(A32,NoviaFunds[],6,FALSE),"")</f>
        <v/>
      </c>
      <c r="E32" s="126" t="str">
        <f>IFERROR(VLOOKUP(Table35[[#This Row],[ISIN Code]],'DT03 Defender'!$A$4:$J$38,7,FALSE),"")</f>
        <v/>
      </c>
      <c r="F32" s="126" t="str">
        <f>IFERROR(VLOOKUP(Table35[[#This Row],[ISIN Code]],'DT04 Prudence'!$A$4:$J$38,7,FALSE),"")</f>
        <v/>
      </c>
      <c r="G32" s="126" t="str">
        <f>IFERROR(VLOOKUP(Table35[[#This Row],[ISIN Code]],'DT05 Navigator'!$A$4:$J$38,7,FALSE),"")</f>
        <v/>
      </c>
      <c r="H32" s="126" t="str">
        <f>IFERROR(VLOOKUP(Table35[[#This Row],[ISIN Code]],'DT06 Meridian'!$A$4:$J$38,7,FALSE),"")</f>
        <v/>
      </c>
      <c r="I32" s="126" t="str">
        <f>IFERROR(VLOOKUP(Table35[[#This Row],[ISIN Code]],'DT07 Explorer'!$A$4:$J$38,7,FALSE),"")</f>
        <v/>
      </c>
      <c r="J32" s="126" t="str">
        <f>IFERROR(VLOOKUP(Table35[[#This Row],[ISIN Code]],'DT08 Voyager'!$A$4:$J$38,7,FALSE),"")</f>
        <v/>
      </c>
      <c r="K32" s="126" t="str">
        <f>IFERROR(VLOOKUP(Table35[[#This Row],[ISIN Code]],'DT09 Adventurer'!$A$4:$J$38,7,FALSE),"")</f>
        <v/>
      </c>
      <c r="L32" s="138" t="str">
        <f>IFERROR(VLOOKUP(Table35[[#This Row],[ISIN Code]],'DT10 Pioneer'!$A$4:$J$38,7,FALSE),"")</f>
        <v/>
      </c>
    </row>
    <row r="33" spans="1:12" x14ac:dyDescent="0.2">
      <c r="A33" s="643"/>
      <c r="B33" s="123" t="str">
        <f>IFERROR(VLOOKUP(A33,NoviaFunds[],2,FALSE),"")</f>
        <v/>
      </c>
      <c r="C33" s="237"/>
      <c r="D33" s="125" t="str">
        <f>IFERROR(VLOOKUP(A33,NoviaFunds[],6,FALSE),"")</f>
        <v/>
      </c>
      <c r="E33" s="126" t="str">
        <f>IFERROR(VLOOKUP(Table35[[#This Row],[ISIN Code]],'DT03 Defender'!$A$4:$J$38,7,FALSE),"")</f>
        <v/>
      </c>
      <c r="F33" s="126" t="str">
        <f>IFERROR(VLOOKUP(Table35[[#This Row],[ISIN Code]],'DT04 Prudence'!$A$4:$J$38,7,FALSE),"")</f>
        <v/>
      </c>
      <c r="G33" s="126" t="str">
        <f>IFERROR(VLOOKUP(Table35[[#This Row],[ISIN Code]],'DT05 Navigator'!$A$4:$J$38,7,FALSE),"")</f>
        <v/>
      </c>
      <c r="H33" s="126" t="str">
        <f>IFERROR(VLOOKUP(Table35[[#This Row],[ISIN Code]],'DT06 Meridian'!$A$4:$J$38,7,FALSE),"")</f>
        <v/>
      </c>
      <c r="I33" s="126" t="str">
        <f>IFERROR(VLOOKUP(Table35[[#This Row],[ISIN Code]],'DT07 Explorer'!$A$4:$J$38,7,FALSE),"")</f>
        <v/>
      </c>
      <c r="J33" s="126" t="str">
        <f>IFERROR(VLOOKUP(Table35[[#This Row],[ISIN Code]],'DT08 Voyager'!$A$4:$J$38,7,FALSE),"")</f>
        <v/>
      </c>
      <c r="K33" s="126" t="str">
        <f>IFERROR(VLOOKUP(Table35[[#This Row],[ISIN Code]],'DT09 Adventurer'!$A$4:$J$38,7,FALSE),"")</f>
        <v/>
      </c>
      <c r="L33" s="138" t="str">
        <f>IFERROR(VLOOKUP(Table35[[#This Row],[ISIN Code]],'DT10 Pioneer'!$A$4:$J$38,7,FALSE),"")</f>
        <v/>
      </c>
    </row>
    <row r="34" spans="1:12" x14ac:dyDescent="0.2">
      <c r="A34" s="643"/>
      <c r="B34" s="143" t="str">
        <f>IFERROR(VLOOKUP(A34,NoviaFunds[],2,FALSE),"")</f>
        <v/>
      </c>
      <c r="C34" s="238"/>
      <c r="D34" s="145" t="str">
        <f>IFERROR(VLOOKUP(A34,NoviaFunds[],6,FALSE),"")</f>
        <v/>
      </c>
      <c r="E34" s="126" t="str">
        <f>IFERROR(VLOOKUP(Table35[[#This Row],[ISIN Code]],'DT03 Defender'!$A$4:$J$38,7,FALSE),"")</f>
        <v/>
      </c>
      <c r="F34" s="126" t="str">
        <f>IFERROR(VLOOKUP(Table35[[#This Row],[ISIN Code]],'DT04 Prudence'!$A$4:$J$38,7,FALSE),"")</f>
        <v/>
      </c>
      <c r="G34" s="126" t="str">
        <f>IFERROR(VLOOKUP(Table35[[#This Row],[ISIN Code]],'DT05 Navigator'!$A$4:$J$38,7,FALSE),"")</f>
        <v/>
      </c>
      <c r="H34" s="126" t="str">
        <f>IFERROR(VLOOKUP(Table35[[#This Row],[ISIN Code]],'DT06 Meridian'!$A$4:$J$38,7,FALSE),"")</f>
        <v/>
      </c>
      <c r="I34" s="126" t="str">
        <f>IFERROR(VLOOKUP(Table35[[#This Row],[ISIN Code]],'DT07 Explorer'!$A$4:$J$38,7,FALSE),"")</f>
        <v/>
      </c>
      <c r="J34" s="126" t="str">
        <f>IFERROR(VLOOKUP(Table35[[#This Row],[ISIN Code]],'DT08 Voyager'!$A$4:$J$38,7,FALSE),"")</f>
        <v/>
      </c>
      <c r="K34" s="126" t="str">
        <f>IFERROR(VLOOKUP(Table35[[#This Row],[ISIN Code]],'DT09 Adventurer'!$A$4:$J$38,7,FALSE),"")</f>
        <v/>
      </c>
      <c r="L34" s="138" t="str">
        <f>IFERROR(VLOOKUP(Table35[[#This Row],[ISIN Code]],'DT10 Pioneer'!$A$4:$J$38,7,FALSE),"")</f>
        <v/>
      </c>
    </row>
    <row r="35" spans="1:12" x14ac:dyDescent="0.2">
      <c r="A35" s="644"/>
      <c r="B35" s="143" t="str">
        <f>IFERROR(VLOOKUP(A35,NoviaFunds[],2,FALSE),"")</f>
        <v/>
      </c>
      <c r="C35" s="238"/>
      <c r="D35" s="145" t="str">
        <f>IFERROR(VLOOKUP(A35,NoviaFunds[],6,FALSE),"")</f>
        <v/>
      </c>
      <c r="E35" s="126" t="str">
        <f>IFERROR(VLOOKUP(Table35[[#This Row],[ISIN Code]],'DT03 Defender'!$A$4:$J$38,7,FALSE),"")</f>
        <v/>
      </c>
      <c r="F35" s="126" t="str">
        <f>IFERROR(VLOOKUP(Table35[[#This Row],[ISIN Code]],'DT04 Prudence'!$A$4:$J$38,7,FALSE),"")</f>
        <v/>
      </c>
      <c r="G35" s="126" t="str">
        <f>IFERROR(VLOOKUP(Table35[[#This Row],[ISIN Code]],'DT05 Navigator'!$A$4:$J$38,7,FALSE),"")</f>
        <v/>
      </c>
      <c r="H35" s="126" t="str">
        <f>IFERROR(VLOOKUP(Table35[[#This Row],[ISIN Code]],'DT06 Meridian'!$A$4:$J$38,7,FALSE),"")</f>
        <v/>
      </c>
      <c r="I35" s="126" t="str">
        <f>IFERROR(VLOOKUP(Table35[[#This Row],[ISIN Code]],'DT07 Explorer'!$A$4:$J$38,7,FALSE),"")</f>
        <v/>
      </c>
      <c r="J35" s="126" t="str">
        <f>IFERROR(VLOOKUP(Table35[[#This Row],[ISIN Code]],'DT08 Voyager'!$A$4:$J$38,7,FALSE),"")</f>
        <v/>
      </c>
      <c r="K35" s="126" t="str">
        <f>IFERROR(VLOOKUP(Table35[[#This Row],[ISIN Code]],'DT09 Adventurer'!$A$4:$J$38,7,FALSE),"")</f>
        <v/>
      </c>
      <c r="L35" s="138" t="str">
        <f>IFERROR(VLOOKUP(Table35[[#This Row],[ISIN Code]],'DT10 Pioneer'!$A$4:$J$38,7,FALSE),"")</f>
        <v/>
      </c>
    </row>
    <row r="36" spans="1:12" x14ac:dyDescent="0.2">
      <c r="A36" s="643"/>
      <c r="B36" s="143" t="str">
        <f>IFERROR(VLOOKUP(A36,NoviaFunds[],2,FALSE),"")</f>
        <v/>
      </c>
      <c r="C36" s="238"/>
      <c r="D36" s="145" t="str">
        <f>IFERROR(VLOOKUP(A36,NoviaFunds[],6,FALSE),"")</f>
        <v/>
      </c>
      <c r="E36" s="146" t="str">
        <f>IFERROR(VLOOKUP(Table35[[#This Row],[ISIN Code]],'DT03 Defender'!$A$4:$J$38,7,FALSE),"")</f>
        <v/>
      </c>
      <c r="F36" s="126" t="str">
        <f>IFERROR(VLOOKUP(Table35[[#This Row],[ISIN Code]],'DT04 Prudence'!$A$4:$J$38,7,FALSE),"")</f>
        <v/>
      </c>
      <c r="G36" s="146" t="str">
        <f>IFERROR(VLOOKUP(Table35[[#This Row],[ISIN Code]],'DT05 Navigator'!$A$4:$J$38,7,FALSE),"")</f>
        <v/>
      </c>
      <c r="H36" s="146" t="str">
        <f>IFERROR(VLOOKUP(Table35[[#This Row],[ISIN Code]],'DT06 Meridian'!$A$4:$J$38,7,FALSE),"")</f>
        <v/>
      </c>
      <c r="I36" s="146" t="str">
        <f>IFERROR(VLOOKUP(Table35[[#This Row],[ISIN Code]],'DT07 Explorer'!$A$4:$J$38,7,FALSE),"")</f>
        <v/>
      </c>
      <c r="J36" s="146" t="str">
        <f>IFERROR(VLOOKUP(Table35[[#This Row],[ISIN Code]],'DT08 Voyager'!$A$4:$J$38,7,FALSE),"")</f>
        <v/>
      </c>
      <c r="K36" s="146" t="str">
        <f>IFERROR(VLOOKUP(Table35[[#This Row],[ISIN Code]],'DT09 Adventurer'!$A$4:$J$38,7,FALSE),"")</f>
        <v/>
      </c>
      <c r="L36" s="148" t="str">
        <f>IFERROR(VLOOKUP(Table35[[#This Row],[ISIN Code]],'DT10 Pioneer'!$A$4:$J$38,7,FALSE),"")</f>
        <v/>
      </c>
    </row>
    <row r="37" spans="1:12" x14ac:dyDescent="0.2">
      <c r="A37" s="643"/>
      <c r="B37" s="143" t="str">
        <f>IFERROR(VLOOKUP(A37,NoviaFunds[],2,FALSE),"")</f>
        <v/>
      </c>
      <c r="C37" s="238"/>
      <c r="D37" s="145" t="str">
        <f>IFERROR(VLOOKUP(A37,NoviaFunds[],6,FALSE),"")</f>
        <v/>
      </c>
      <c r="E37" s="146" t="str">
        <f>IFERROR(VLOOKUP(Table35[[#This Row],[ISIN Code]],'DT03 Defender'!$A$4:$J$38,7,FALSE),"")</f>
        <v/>
      </c>
      <c r="F37" s="126" t="str">
        <f>IFERROR(VLOOKUP(Table35[[#This Row],[ISIN Code]],'DT04 Prudence'!$A$4:$J$38,7,FALSE),"")</f>
        <v/>
      </c>
      <c r="G37" s="146" t="str">
        <f>IFERROR(VLOOKUP(Table35[[#This Row],[ISIN Code]],'DT05 Navigator'!$A$4:$J$38,7,FALSE),"")</f>
        <v/>
      </c>
      <c r="H37" s="146" t="str">
        <f>IFERROR(VLOOKUP(Table35[[#This Row],[ISIN Code]],'DT06 Meridian'!$A$4:$J$38,7,FALSE),"")</f>
        <v/>
      </c>
      <c r="I37" s="146" t="str">
        <f>IFERROR(VLOOKUP(Table35[[#This Row],[ISIN Code]],'DT07 Explorer'!$A$4:$J$38,7,FALSE),"")</f>
        <v/>
      </c>
      <c r="J37" s="146" t="str">
        <f>IFERROR(VLOOKUP(Table35[[#This Row],[ISIN Code]],'DT08 Voyager'!$A$4:$J$38,7,FALSE),"")</f>
        <v/>
      </c>
      <c r="K37" s="146" t="str">
        <f>IFERROR(VLOOKUP(Table35[[#This Row],[ISIN Code]],'DT09 Adventurer'!$A$4:$J$38,7,FALSE),"")</f>
        <v/>
      </c>
      <c r="L37" s="148" t="str">
        <f>IFERROR(VLOOKUP(Table35[[#This Row],[ISIN Code]],'DT10 Pioneer'!$A$4:$J$38,7,FALSE),"")</f>
        <v/>
      </c>
    </row>
    <row r="38" spans="1:12" x14ac:dyDescent="0.2">
      <c r="A38" s="646"/>
      <c r="B38" s="143"/>
      <c r="C38" s="144"/>
      <c r="D38" s="145"/>
      <c r="E38" s="146">
        <f>SUBTOTAL(109,Table35[Defender])</f>
        <v>1</v>
      </c>
      <c r="F38" s="146">
        <f>SUBTOTAL(109,Table35[Prudence])</f>
        <v>1.0000000000000002</v>
      </c>
      <c r="G38" s="146">
        <f>SUBTOTAL(109,Table35[Navigator])</f>
        <v>1.0000000000000002</v>
      </c>
      <c r="H38" s="146">
        <f>SUBTOTAL(109,Table35[Meridian])</f>
        <v>1</v>
      </c>
      <c r="I38" s="146">
        <f>SUBTOTAL(109,Table35[Explorer])</f>
        <v>0.99999999999999989</v>
      </c>
      <c r="J38" s="146">
        <f>SUBTOTAL(109,Table35[Voyager])</f>
        <v>1.0000000000000004</v>
      </c>
      <c r="K38" s="146">
        <f>SUBTOTAL(109,Table35[Adventurer])</f>
        <v>1</v>
      </c>
      <c r="L38" s="146">
        <f>SUBTOTAL(109,Table35[Pioneer])</f>
        <v>1</v>
      </c>
    </row>
  </sheetData>
  <conditionalFormatting sqref="D4:D37">
    <cfRule type="cellIs" dxfId="78" priority="4" operator="equal">
      <formula>"Property"</formula>
    </cfRule>
    <cfRule type="cellIs" dxfId="77" priority="5" operator="equal">
      <formula>"Sterling Corporate Bonds"</formula>
    </cfRule>
    <cfRule type="cellIs" dxfId="76" priority="16" operator="equal">
      <formula>"Other Bonds"</formula>
    </cfRule>
    <cfRule type="cellIs" dxfId="75" priority="17" operator="equal">
      <formula>"Absolute Return"</formula>
    </cfRule>
    <cfRule type="cellIs" dxfId="74" priority="22" operator="equal">
      <formula>"USA Equities"</formula>
    </cfRule>
    <cfRule type="cellIs" dxfId="73" priority="23" operator="equal">
      <formula>"UK Equity Income"</formula>
    </cfRule>
    <cfRule type="cellIs" dxfId="72" priority="24" operator="equal">
      <formula>"UK Equities"</formula>
    </cfRule>
    <cfRule type="cellIs" dxfId="71" priority="25" operator="equal">
      <formula>"Specialist"</formula>
    </cfRule>
    <cfRule type="cellIs" dxfId="70" priority="26" operator="equal">
      <formula>"Other Equities"</formula>
    </cfRule>
    <cfRule type="cellIs" dxfId="69" priority="27" operator="equal">
      <formula>"Japanese Equities"</formula>
    </cfRule>
    <cfRule type="cellIs" dxfId="68" priority="28" operator="equal">
      <formula>"European Equities"</formula>
    </cfRule>
    <cfRule type="cellIs" dxfId="67" priority="29" operator="equal">
      <formula>"Emerging Markets"</formula>
    </cfRule>
    <cfRule type="cellIs" dxfId="66" priority="30" operator="equal">
      <formula>"Asia Pacific"</formula>
    </cfRule>
    <cfRule type="cellIs" dxfId="65" priority="31" operator="equal">
      <formula>"Cash"</formula>
    </cfRule>
    <cfRule type="cellIs" dxfId="64" priority="32" operator="equal">
      <formula>"High Yield"</formula>
    </cfRule>
    <cfRule type="cellIs" dxfId="63" priority="33" operator="equal">
      <formula>"Global Bonds"</formula>
    </cfRule>
    <cfRule type="cellIs" dxfId="62" priority="34" operator="equal">
      <formula>"Investment Grade"</formula>
    </cfRule>
  </conditionalFormatting>
  <conditionalFormatting sqref="A38:A57 A1:A3 A62:A1048576">
    <cfRule type="duplicateValues" dxfId="61" priority="35"/>
  </conditionalFormatting>
  <conditionalFormatting sqref="B58:B61">
    <cfRule type="duplicateValues" dxfId="60" priority="15"/>
  </conditionalFormatting>
  <conditionalFormatting sqref="A58:A61">
    <cfRule type="duplicateValues" dxfId="59" priority="14"/>
  </conditionalFormatting>
  <conditionalFormatting sqref="A28:A30">
    <cfRule type="expression" dxfId="58" priority="10">
      <formula>AND($F28&lt;&gt;"",$F28=0%)</formula>
    </cfRule>
  </conditionalFormatting>
  <conditionalFormatting sqref="A28:A30">
    <cfRule type="expression" dxfId="57" priority="11">
      <formula>AND($G28&lt;&gt;"",$G28=0%)</formula>
    </cfRule>
  </conditionalFormatting>
  <conditionalFormatting sqref="A28:A30">
    <cfRule type="expression" dxfId="56" priority="12">
      <formula>$A28=""</formula>
    </cfRule>
    <cfRule type="expression" dxfId="55" priority="13">
      <formula>$A28&lt;&gt;""</formula>
    </cfRule>
  </conditionalFormatting>
  <conditionalFormatting sqref="A22:A24">
    <cfRule type="expression" dxfId="54" priority="6">
      <formula>AND($F22&lt;&gt;"",$F22=0%)</formula>
    </cfRule>
  </conditionalFormatting>
  <conditionalFormatting sqref="A22:A24">
    <cfRule type="expression" dxfId="53" priority="7">
      <formula>AND($G22&lt;&gt;"",$G22=0%)</formula>
    </cfRule>
  </conditionalFormatting>
  <conditionalFormatting sqref="A22:A24">
    <cfRule type="expression" dxfId="52" priority="8">
      <formula>$A22=""</formula>
    </cfRule>
    <cfRule type="expression" dxfId="51" priority="9">
      <formula>$A22&lt;&gt;""</formula>
    </cfRule>
  </conditionalFormatting>
  <conditionalFormatting sqref="D1:D1048576">
    <cfRule type="cellIs" dxfId="50" priority="1" operator="equal">
      <formula>"UK Index Linked Gilts"</formula>
    </cfRule>
    <cfRule type="cellIs" dxfId="49" priority="2" operator="equal">
      <formula>"Global Investment Grade"</formula>
    </cfRule>
    <cfRule type="cellIs" dxfId="48" priority="3" operator="equal">
      <formula>"Gilts"</formula>
    </cfRule>
  </conditionalFormatting>
  <pageMargins left="0.25" right="0.25" top="0.75" bottom="0.75" header="0.3" footer="0.3"/>
  <pageSetup paperSize="9" scale="62" orientation="landscape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37"/>
  <sheetViews>
    <sheetView topLeftCell="A4421" zoomScaleNormal="100" workbookViewId="0">
      <selection sqref="A1:J1"/>
    </sheetView>
  </sheetViews>
  <sheetFormatPr defaultColWidth="9" defaultRowHeight="14.25" x14ac:dyDescent="0.2"/>
  <cols>
    <col min="1" max="1" width="19.5" customWidth="1"/>
    <col min="2" max="2" width="62.125" customWidth="1"/>
    <col min="3" max="5" width="57.25" customWidth="1"/>
    <col min="6" max="6" width="37.75" customWidth="1"/>
    <col min="7" max="7" width="21" customWidth="1"/>
  </cols>
  <sheetData>
    <row r="1" spans="1:5" x14ac:dyDescent="0.2">
      <c r="A1" t="s">
        <v>3</v>
      </c>
      <c r="B1" t="s">
        <v>4</v>
      </c>
      <c r="C1" t="s">
        <v>5</v>
      </c>
      <c r="D1" t="s">
        <v>88</v>
      </c>
      <c r="E1" t="s">
        <v>89</v>
      </c>
    </row>
    <row r="2" spans="1:5" x14ac:dyDescent="0.2">
      <c r="A2" t="s">
        <v>11</v>
      </c>
      <c r="B2" t="s">
        <v>11</v>
      </c>
      <c r="C2" t="s">
        <v>11</v>
      </c>
      <c r="D2">
        <v>0</v>
      </c>
      <c r="E2" s="3">
        <v>44286</v>
      </c>
    </row>
    <row r="3" spans="1:5" x14ac:dyDescent="0.2">
      <c r="A3" t="s">
        <v>90</v>
      </c>
      <c r="B3" t="s">
        <v>91</v>
      </c>
      <c r="C3" t="s">
        <v>92</v>
      </c>
      <c r="D3" t="s">
        <v>560</v>
      </c>
      <c r="E3" t="s">
        <v>8879</v>
      </c>
    </row>
    <row r="4" spans="1:5" x14ac:dyDescent="0.2">
      <c r="A4" t="s">
        <v>95</v>
      </c>
      <c r="B4" t="s">
        <v>96</v>
      </c>
      <c r="C4" t="s">
        <v>92</v>
      </c>
      <c r="D4" t="s">
        <v>560</v>
      </c>
      <c r="E4" t="s">
        <v>8879</v>
      </c>
    </row>
    <row r="5" spans="1:5" x14ac:dyDescent="0.2">
      <c r="A5" t="s">
        <v>97</v>
      </c>
      <c r="B5" t="s">
        <v>98</v>
      </c>
      <c r="C5" t="s">
        <v>92</v>
      </c>
      <c r="D5" t="s">
        <v>368</v>
      </c>
      <c r="E5" t="s">
        <v>8879</v>
      </c>
    </row>
    <row r="6" spans="1:5" x14ac:dyDescent="0.2">
      <c r="A6" t="s">
        <v>100</v>
      </c>
      <c r="B6" t="s">
        <v>101</v>
      </c>
      <c r="C6" t="s">
        <v>92</v>
      </c>
      <c r="D6" t="s">
        <v>368</v>
      </c>
      <c r="E6" t="s">
        <v>8879</v>
      </c>
    </row>
    <row r="7" spans="1:5" x14ac:dyDescent="0.2">
      <c r="A7" t="s">
        <v>102</v>
      </c>
      <c r="B7" t="s">
        <v>103</v>
      </c>
      <c r="C7" t="s">
        <v>104</v>
      </c>
      <c r="D7" t="s">
        <v>140</v>
      </c>
      <c r="E7" t="s">
        <v>8879</v>
      </c>
    </row>
    <row r="8" spans="1:5" x14ac:dyDescent="0.2">
      <c r="A8" t="s">
        <v>106</v>
      </c>
      <c r="B8" t="s">
        <v>107</v>
      </c>
      <c r="C8" t="s">
        <v>104</v>
      </c>
      <c r="D8" t="s">
        <v>140</v>
      </c>
      <c r="E8" t="s">
        <v>8879</v>
      </c>
    </row>
    <row r="9" spans="1:5" x14ac:dyDescent="0.2">
      <c r="A9" t="s">
        <v>108</v>
      </c>
      <c r="B9" t="s">
        <v>109</v>
      </c>
      <c r="C9" t="s">
        <v>104</v>
      </c>
      <c r="D9" t="s">
        <v>145</v>
      </c>
      <c r="E9" t="s">
        <v>8879</v>
      </c>
    </row>
    <row r="10" spans="1:5" x14ac:dyDescent="0.2">
      <c r="A10" t="s">
        <v>111</v>
      </c>
      <c r="B10" t="s">
        <v>112</v>
      </c>
      <c r="C10" t="s">
        <v>104</v>
      </c>
      <c r="D10" t="s">
        <v>145</v>
      </c>
      <c r="E10" t="s">
        <v>8879</v>
      </c>
    </row>
    <row r="11" spans="1:5" x14ac:dyDescent="0.2">
      <c r="A11" t="s">
        <v>113</v>
      </c>
      <c r="B11" t="s">
        <v>114</v>
      </c>
      <c r="C11" t="s">
        <v>104</v>
      </c>
      <c r="D11" t="s">
        <v>150</v>
      </c>
      <c r="E11" t="s">
        <v>8879</v>
      </c>
    </row>
    <row r="12" spans="1:5" x14ac:dyDescent="0.2">
      <c r="A12" t="s">
        <v>116</v>
      </c>
      <c r="B12" t="s">
        <v>117</v>
      </c>
      <c r="C12" t="s">
        <v>104</v>
      </c>
      <c r="D12" t="s">
        <v>150</v>
      </c>
      <c r="E12" t="s">
        <v>8879</v>
      </c>
    </row>
    <row r="13" spans="1:5" x14ac:dyDescent="0.2">
      <c r="A13" t="s">
        <v>118</v>
      </c>
      <c r="B13" t="s">
        <v>119</v>
      </c>
      <c r="C13" t="s">
        <v>120</v>
      </c>
      <c r="D13" t="s">
        <v>1652</v>
      </c>
      <c r="E13" t="s">
        <v>8879</v>
      </c>
    </row>
    <row r="14" spans="1:5" x14ac:dyDescent="0.2">
      <c r="A14" t="s">
        <v>122</v>
      </c>
      <c r="B14" t="s">
        <v>123</v>
      </c>
      <c r="C14" t="s">
        <v>120</v>
      </c>
      <c r="D14" t="s">
        <v>1652</v>
      </c>
      <c r="E14" t="s">
        <v>8879</v>
      </c>
    </row>
    <row r="15" spans="1:5" x14ac:dyDescent="0.2">
      <c r="A15" t="s">
        <v>124</v>
      </c>
      <c r="B15" t="s">
        <v>125</v>
      </c>
      <c r="C15" t="s">
        <v>120</v>
      </c>
      <c r="D15" t="s">
        <v>171</v>
      </c>
      <c r="E15" t="s">
        <v>8879</v>
      </c>
    </row>
    <row r="16" spans="1:5" x14ac:dyDescent="0.2">
      <c r="A16" t="s">
        <v>127</v>
      </c>
      <c r="B16" t="s">
        <v>128</v>
      </c>
      <c r="C16" t="s">
        <v>120</v>
      </c>
      <c r="D16" t="s">
        <v>171</v>
      </c>
      <c r="E16" t="s">
        <v>8879</v>
      </c>
    </row>
    <row r="17" spans="1:5" x14ac:dyDescent="0.2">
      <c r="A17" t="s">
        <v>129</v>
      </c>
      <c r="B17" t="s">
        <v>130</v>
      </c>
      <c r="C17" t="s">
        <v>131</v>
      </c>
      <c r="D17" t="s">
        <v>842</v>
      </c>
      <c r="E17" t="s">
        <v>8879</v>
      </c>
    </row>
    <row r="18" spans="1:5" x14ac:dyDescent="0.2">
      <c r="A18" t="s">
        <v>132</v>
      </c>
      <c r="B18" t="s">
        <v>133</v>
      </c>
      <c r="C18" t="s">
        <v>131</v>
      </c>
      <c r="D18" t="s">
        <v>842</v>
      </c>
      <c r="E18" t="s">
        <v>8879</v>
      </c>
    </row>
    <row r="19" spans="1:5" x14ac:dyDescent="0.2">
      <c r="A19" t="s">
        <v>134</v>
      </c>
      <c r="B19" t="s">
        <v>135</v>
      </c>
      <c r="C19" t="s">
        <v>131</v>
      </c>
      <c r="D19" t="s">
        <v>301</v>
      </c>
      <c r="E19" t="s">
        <v>8879</v>
      </c>
    </row>
    <row r="20" spans="1:5" x14ac:dyDescent="0.2">
      <c r="A20" t="s">
        <v>136</v>
      </c>
      <c r="B20" t="s">
        <v>137</v>
      </c>
      <c r="C20" t="s">
        <v>131</v>
      </c>
      <c r="D20" t="s">
        <v>301</v>
      </c>
      <c r="E20" t="s">
        <v>8879</v>
      </c>
    </row>
    <row r="21" spans="1:5" x14ac:dyDescent="0.2">
      <c r="A21" t="s">
        <v>138</v>
      </c>
      <c r="B21" t="s">
        <v>139</v>
      </c>
      <c r="C21" t="s">
        <v>120</v>
      </c>
      <c r="D21" t="s">
        <v>813</v>
      </c>
      <c r="E21" t="s">
        <v>8879</v>
      </c>
    </row>
    <row r="22" spans="1:5" x14ac:dyDescent="0.2">
      <c r="A22" t="s">
        <v>141</v>
      </c>
      <c r="B22" t="s">
        <v>142</v>
      </c>
      <c r="C22" t="s">
        <v>120</v>
      </c>
      <c r="D22" t="s">
        <v>813</v>
      </c>
      <c r="E22" t="s">
        <v>8879</v>
      </c>
    </row>
    <row r="23" spans="1:5" x14ac:dyDescent="0.2">
      <c r="A23" t="s">
        <v>143</v>
      </c>
      <c r="B23" t="s">
        <v>144</v>
      </c>
      <c r="C23" t="s">
        <v>120</v>
      </c>
      <c r="D23" t="s">
        <v>2199</v>
      </c>
      <c r="E23" t="s">
        <v>8879</v>
      </c>
    </row>
    <row r="24" spans="1:5" x14ac:dyDescent="0.2">
      <c r="A24" t="s">
        <v>146</v>
      </c>
      <c r="B24" t="s">
        <v>147</v>
      </c>
      <c r="C24" t="s">
        <v>120</v>
      </c>
      <c r="D24" t="s">
        <v>2199</v>
      </c>
      <c r="E24" t="s">
        <v>8879</v>
      </c>
    </row>
    <row r="25" spans="1:5" x14ac:dyDescent="0.2">
      <c r="A25" t="s">
        <v>148</v>
      </c>
      <c r="B25" t="s">
        <v>149</v>
      </c>
      <c r="C25" t="s">
        <v>120</v>
      </c>
      <c r="D25" t="s">
        <v>1058</v>
      </c>
      <c r="E25" t="s">
        <v>8879</v>
      </c>
    </row>
    <row r="26" spans="1:5" x14ac:dyDescent="0.2">
      <c r="A26" t="s">
        <v>151</v>
      </c>
      <c r="B26" t="s">
        <v>152</v>
      </c>
      <c r="C26" t="s">
        <v>92</v>
      </c>
      <c r="D26" t="s">
        <v>7696</v>
      </c>
      <c r="E26" t="s">
        <v>8879</v>
      </c>
    </row>
    <row r="27" spans="1:5" x14ac:dyDescent="0.2">
      <c r="A27" t="s">
        <v>154</v>
      </c>
      <c r="B27" t="s">
        <v>155</v>
      </c>
      <c r="C27" t="s">
        <v>92</v>
      </c>
      <c r="D27" t="s">
        <v>1374</v>
      </c>
      <c r="E27" t="s">
        <v>8879</v>
      </c>
    </row>
    <row r="28" spans="1:5" x14ac:dyDescent="0.2">
      <c r="A28" t="s">
        <v>157</v>
      </c>
      <c r="B28" t="s">
        <v>158</v>
      </c>
      <c r="C28" t="s">
        <v>92</v>
      </c>
      <c r="D28" t="s">
        <v>1374</v>
      </c>
      <c r="E28" t="s">
        <v>8879</v>
      </c>
    </row>
    <row r="29" spans="1:5" x14ac:dyDescent="0.2">
      <c r="A29" t="s">
        <v>159</v>
      </c>
      <c r="B29" t="s">
        <v>160</v>
      </c>
      <c r="C29" t="s">
        <v>92</v>
      </c>
      <c r="D29" t="s">
        <v>7696</v>
      </c>
      <c r="E29" t="s">
        <v>8879</v>
      </c>
    </row>
    <row r="30" spans="1:5" x14ac:dyDescent="0.2">
      <c r="A30" t="s">
        <v>161</v>
      </c>
      <c r="B30" t="s">
        <v>162</v>
      </c>
      <c r="C30" t="s">
        <v>104</v>
      </c>
      <c r="D30" t="s">
        <v>1868</v>
      </c>
      <c r="E30" t="s">
        <v>8879</v>
      </c>
    </row>
    <row r="31" spans="1:5" x14ac:dyDescent="0.2">
      <c r="A31" t="s">
        <v>164</v>
      </c>
      <c r="B31" t="s">
        <v>165</v>
      </c>
      <c r="C31" t="s">
        <v>104</v>
      </c>
      <c r="D31" t="s">
        <v>617</v>
      </c>
      <c r="E31" t="s">
        <v>8879</v>
      </c>
    </row>
    <row r="32" spans="1:5" x14ac:dyDescent="0.2">
      <c r="A32" t="s">
        <v>167</v>
      </c>
      <c r="B32" t="s">
        <v>168</v>
      </c>
      <c r="C32" t="s">
        <v>104</v>
      </c>
      <c r="D32" t="s">
        <v>617</v>
      </c>
      <c r="E32" t="s">
        <v>8879</v>
      </c>
    </row>
    <row r="33" spans="1:5" x14ac:dyDescent="0.2">
      <c r="A33" t="s">
        <v>169</v>
      </c>
      <c r="B33" t="s">
        <v>170</v>
      </c>
      <c r="C33" t="s">
        <v>120</v>
      </c>
      <c r="D33" t="s">
        <v>224</v>
      </c>
      <c r="E33" t="s">
        <v>8879</v>
      </c>
    </row>
    <row r="34" spans="1:5" x14ac:dyDescent="0.2">
      <c r="A34" t="s">
        <v>172</v>
      </c>
      <c r="B34" t="s">
        <v>173</v>
      </c>
      <c r="C34" t="s">
        <v>120</v>
      </c>
      <c r="D34" t="s">
        <v>224</v>
      </c>
      <c r="E34" t="s">
        <v>8879</v>
      </c>
    </row>
    <row r="35" spans="1:5" x14ac:dyDescent="0.2">
      <c r="A35" t="s">
        <v>174</v>
      </c>
      <c r="B35" t="s">
        <v>175</v>
      </c>
      <c r="C35" t="s">
        <v>131</v>
      </c>
      <c r="D35" t="s">
        <v>2856</v>
      </c>
      <c r="E35" t="s">
        <v>8879</v>
      </c>
    </row>
    <row r="36" spans="1:5" x14ac:dyDescent="0.2">
      <c r="A36" t="s">
        <v>176</v>
      </c>
      <c r="B36" t="s">
        <v>177</v>
      </c>
      <c r="C36" t="s">
        <v>131</v>
      </c>
      <c r="D36" t="s">
        <v>2856</v>
      </c>
      <c r="E36" t="s">
        <v>8879</v>
      </c>
    </row>
    <row r="37" spans="1:5" x14ac:dyDescent="0.2">
      <c r="A37" t="s">
        <v>178</v>
      </c>
      <c r="B37" t="s">
        <v>179</v>
      </c>
      <c r="C37" t="s">
        <v>131</v>
      </c>
      <c r="D37" t="s">
        <v>1063</v>
      </c>
      <c r="E37" t="s">
        <v>8879</v>
      </c>
    </row>
    <row r="38" spans="1:5" x14ac:dyDescent="0.2">
      <c r="A38" t="s">
        <v>181</v>
      </c>
      <c r="B38" t="s">
        <v>182</v>
      </c>
      <c r="C38" t="s">
        <v>131</v>
      </c>
      <c r="D38" t="s">
        <v>1063</v>
      </c>
      <c r="E38" t="s">
        <v>8879</v>
      </c>
    </row>
    <row r="39" spans="1:5" x14ac:dyDescent="0.2">
      <c r="A39" t="s">
        <v>183</v>
      </c>
      <c r="B39" t="s">
        <v>184</v>
      </c>
      <c r="C39" t="s">
        <v>120</v>
      </c>
      <c r="D39" t="s">
        <v>2012</v>
      </c>
      <c r="E39" t="s">
        <v>8879</v>
      </c>
    </row>
    <row r="40" spans="1:5" x14ac:dyDescent="0.2">
      <c r="A40" t="s">
        <v>185</v>
      </c>
      <c r="B40" t="s">
        <v>186</v>
      </c>
      <c r="C40" t="s">
        <v>120</v>
      </c>
      <c r="D40" t="s">
        <v>2012</v>
      </c>
      <c r="E40" t="s">
        <v>8879</v>
      </c>
    </row>
    <row r="41" spans="1:5" x14ac:dyDescent="0.2">
      <c r="A41" t="s">
        <v>187</v>
      </c>
      <c r="B41" t="s">
        <v>188</v>
      </c>
      <c r="C41" t="s">
        <v>120</v>
      </c>
      <c r="D41" t="s">
        <v>223</v>
      </c>
      <c r="E41" t="s">
        <v>8879</v>
      </c>
    </row>
    <row r="42" spans="1:5" x14ac:dyDescent="0.2">
      <c r="A42" t="s">
        <v>189</v>
      </c>
      <c r="B42" t="s">
        <v>190</v>
      </c>
      <c r="C42" t="s">
        <v>120</v>
      </c>
      <c r="D42" t="s">
        <v>223</v>
      </c>
      <c r="E42" t="s">
        <v>8879</v>
      </c>
    </row>
    <row r="43" spans="1:5" x14ac:dyDescent="0.2">
      <c r="A43" t="s">
        <v>191</v>
      </c>
      <c r="B43" t="s">
        <v>192</v>
      </c>
      <c r="C43" t="s">
        <v>120</v>
      </c>
      <c r="D43" t="s">
        <v>436</v>
      </c>
      <c r="E43" t="s">
        <v>8879</v>
      </c>
    </row>
    <row r="44" spans="1:5" x14ac:dyDescent="0.2">
      <c r="A44" t="s">
        <v>195</v>
      </c>
      <c r="B44" t="s">
        <v>196</v>
      </c>
      <c r="C44" t="s">
        <v>120</v>
      </c>
      <c r="D44" t="s">
        <v>436</v>
      </c>
      <c r="E44" t="s">
        <v>8879</v>
      </c>
    </row>
    <row r="45" spans="1:5" x14ac:dyDescent="0.2">
      <c r="A45" t="s">
        <v>197</v>
      </c>
      <c r="B45" t="s">
        <v>198</v>
      </c>
      <c r="C45" t="s">
        <v>199</v>
      </c>
      <c r="D45" t="s">
        <v>358</v>
      </c>
      <c r="E45" t="s">
        <v>8879</v>
      </c>
    </row>
    <row r="46" spans="1:5" x14ac:dyDescent="0.2">
      <c r="A46" t="s">
        <v>201</v>
      </c>
      <c r="B46" t="s">
        <v>202</v>
      </c>
      <c r="C46" t="s">
        <v>104</v>
      </c>
      <c r="D46" t="s">
        <v>153</v>
      </c>
      <c r="E46" t="s">
        <v>8879</v>
      </c>
    </row>
    <row r="47" spans="1:5" x14ac:dyDescent="0.2">
      <c r="A47" t="s">
        <v>203</v>
      </c>
      <c r="B47" t="s">
        <v>204</v>
      </c>
      <c r="C47" t="s">
        <v>104</v>
      </c>
      <c r="D47" t="s">
        <v>153</v>
      </c>
      <c r="E47" t="s">
        <v>8879</v>
      </c>
    </row>
    <row r="48" spans="1:5" x14ac:dyDescent="0.2">
      <c r="A48" t="s">
        <v>205</v>
      </c>
      <c r="B48" t="s">
        <v>206</v>
      </c>
      <c r="C48" t="s">
        <v>104</v>
      </c>
      <c r="D48" t="s">
        <v>718</v>
      </c>
      <c r="E48" t="s">
        <v>8879</v>
      </c>
    </row>
    <row r="49" spans="1:5" x14ac:dyDescent="0.2">
      <c r="A49" t="s">
        <v>208</v>
      </c>
      <c r="B49" t="s">
        <v>209</v>
      </c>
      <c r="C49" t="s">
        <v>104</v>
      </c>
      <c r="D49" t="s">
        <v>718</v>
      </c>
      <c r="E49" t="s">
        <v>8879</v>
      </c>
    </row>
    <row r="50" spans="1:5" x14ac:dyDescent="0.2">
      <c r="A50" t="s">
        <v>210</v>
      </c>
      <c r="B50" t="s">
        <v>211</v>
      </c>
      <c r="C50" t="s">
        <v>212</v>
      </c>
      <c r="D50" t="s">
        <v>213</v>
      </c>
      <c r="E50" t="s">
        <v>214</v>
      </c>
    </row>
    <row r="51" spans="1:5" x14ac:dyDescent="0.2">
      <c r="A51" t="s">
        <v>215</v>
      </c>
      <c r="B51" t="s">
        <v>216</v>
      </c>
      <c r="C51" t="s">
        <v>212</v>
      </c>
      <c r="D51" t="s">
        <v>213</v>
      </c>
      <c r="E51" t="s">
        <v>214</v>
      </c>
    </row>
    <row r="52" spans="1:5" x14ac:dyDescent="0.2">
      <c r="A52" t="s">
        <v>217</v>
      </c>
      <c r="B52" t="s">
        <v>218</v>
      </c>
      <c r="C52" t="s">
        <v>219</v>
      </c>
      <c r="D52" t="s">
        <v>220</v>
      </c>
      <c r="E52" t="s">
        <v>806</v>
      </c>
    </row>
    <row r="53" spans="1:5" x14ac:dyDescent="0.2">
      <c r="A53" t="s">
        <v>225</v>
      </c>
      <c r="B53" t="s">
        <v>226</v>
      </c>
      <c r="C53" t="s">
        <v>227</v>
      </c>
      <c r="D53" t="s">
        <v>228</v>
      </c>
      <c r="E53" t="s">
        <v>228</v>
      </c>
    </row>
    <row r="54" spans="1:5" x14ac:dyDescent="0.2">
      <c r="A54" t="s">
        <v>229</v>
      </c>
      <c r="B54" t="s">
        <v>230</v>
      </c>
      <c r="C54" t="s">
        <v>227</v>
      </c>
      <c r="D54" t="s">
        <v>228</v>
      </c>
      <c r="E54" t="s">
        <v>228</v>
      </c>
    </row>
    <row r="55" spans="1:5" x14ac:dyDescent="0.2">
      <c r="A55" t="s">
        <v>231</v>
      </c>
      <c r="B55" t="s">
        <v>232</v>
      </c>
      <c r="C55" t="s">
        <v>104</v>
      </c>
      <c r="D55" t="s">
        <v>233</v>
      </c>
      <c r="E55" t="s">
        <v>8880</v>
      </c>
    </row>
    <row r="56" spans="1:5" x14ac:dyDescent="0.2">
      <c r="A56" t="s">
        <v>235</v>
      </c>
      <c r="B56" t="s">
        <v>236</v>
      </c>
      <c r="C56" t="s">
        <v>104</v>
      </c>
      <c r="D56" t="s">
        <v>233</v>
      </c>
      <c r="E56" t="s">
        <v>8880</v>
      </c>
    </row>
    <row r="57" spans="1:5" x14ac:dyDescent="0.2">
      <c r="A57" t="s">
        <v>239</v>
      </c>
      <c r="B57" t="s">
        <v>240</v>
      </c>
      <c r="C57" t="s">
        <v>104</v>
      </c>
      <c r="D57" t="s">
        <v>241</v>
      </c>
      <c r="E57" t="s">
        <v>8880</v>
      </c>
    </row>
    <row r="58" spans="1:5" x14ac:dyDescent="0.2">
      <c r="A58" t="s">
        <v>242</v>
      </c>
      <c r="B58" t="s">
        <v>243</v>
      </c>
      <c r="C58" t="s">
        <v>104</v>
      </c>
      <c r="D58" t="s">
        <v>241</v>
      </c>
      <c r="E58" t="s">
        <v>8880</v>
      </c>
    </row>
    <row r="59" spans="1:5" x14ac:dyDescent="0.2">
      <c r="A59" t="s">
        <v>246</v>
      </c>
      <c r="B59" t="s">
        <v>247</v>
      </c>
      <c r="C59" t="s">
        <v>244</v>
      </c>
      <c r="D59" t="s">
        <v>248</v>
      </c>
      <c r="E59" t="s">
        <v>8880</v>
      </c>
    </row>
    <row r="60" spans="1:5" x14ac:dyDescent="0.2">
      <c r="A60" t="s">
        <v>249</v>
      </c>
      <c r="B60" t="s">
        <v>250</v>
      </c>
      <c r="C60" t="s">
        <v>244</v>
      </c>
      <c r="D60" t="s">
        <v>248</v>
      </c>
      <c r="E60" t="s">
        <v>8880</v>
      </c>
    </row>
    <row r="61" spans="1:5" x14ac:dyDescent="0.2">
      <c r="A61" t="s">
        <v>253</v>
      </c>
      <c r="B61" t="s">
        <v>8881</v>
      </c>
      <c r="C61" t="s">
        <v>251</v>
      </c>
      <c r="D61" t="s">
        <v>254</v>
      </c>
      <c r="E61" t="s">
        <v>8880</v>
      </c>
    </row>
    <row r="62" spans="1:5" x14ac:dyDescent="0.2">
      <c r="A62" t="s">
        <v>255</v>
      </c>
      <c r="B62" t="s">
        <v>256</v>
      </c>
      <c r="C62" t="s">
        <v>251</v>
      </c>
      <c r="D62" t="s">
        <v>241</v>
      </c>
      <c r="E62" t="s">
        <v>8880</v>
      </c>
    </row>
    <row r="63" spans="1:5" x14ac:dyDescent="0.2">
      <c r="A63" t="s">
        <v>264</v>
      </c>
      <c r="B63" t="s">
        <v>265</v>
      </c>
      <c r="C63" t="s">
        <v>261</v>
      </c>
      <c r="D63" t="s">
        <v>266</v>
      </c>
      <c r="E63" t="s">
        <v>8880</v>
      </c>
    </row>
    <row r="64" spans="1:5" x14ac:dyDescent="0.2">
      <c r="A64" t="s">
        <v>267</v>
      </c>
      <c r="B64" t="s">
        <v>268</v>
      </c>
      <c r="C64" t="s">
        <v>261</v>
      </c>
      <c r="D64" t="s">
        <v>266</v>
      </c>
      <c r="E64" t="s">
        <v>8880</v>
      </c>
    </row>
    <row r="65" spans="1:5" x14ac:dyDescent="0.2">
      <c r="A65" t="s">
        <v>269</v>
      </c>
      <c r="B65" t="s">
        <v>270</v>
      </c>
      <c r="C65" t="s">
        <v>244</v>
      </c>
      <c r="D65" t="s">
        <v>260</v>
      </c>
      <c r="E65" t="s">
        <v>8880</v>
      </c>
    </row>
    <row r="66" spans="1:5" x14ac:dyDescent="0.2">
      <c r="A66" t="s">
        <v>271</v>
      </c>
      <c r="B66" t="s">
        <v>272</v>
      </c>
      <c r="C66" t="s">
        <v>244</v>
      </c>
      <c r="D66" t="s">
        <v>260</v>
      </c>
      <c r="E66" t="s">
        <v>8880</v>
      </c>
    </row>
    <row r="67" spans="1:5" x14ac:dyDescent="0.2">
      <c r="A67" t="s">
        <v>273</v>
      </c>
      <c r="B67" t="s">
        <v>274</v>
      </c>
      <c r="C67" t="s">
        <v>244</v>
      </c>
      <c r="D67" t="s">
        <v>275</v>
      </c>
      <c r="E67" t="s">
        <v>8880</v>
      </c>
    </row>
    <row r="68" spans="1:5" x14ac:dyDescent="0.2">
      <c r="A68" t="s">
        <v>276</v>
      </c>
      <c r="B68" t="s">
        <v>277</v>
      </c>
      <c r="C68" t="s">
        <v>244</v>
      </c>
      <c r="D68" t="s">
        <v>275</v>
      </c>
      <c r="E68" t="s">
        <v>8880</v>
      </c>
    </row>
    <row r="69" spans="1:5" x14ac:dyDescent="0.2">
      <c r="A69" t="s">
        <v>278</v>
      </c>
      <c r="B69" t="s">
        <v>279</v>
      </c>
      <c r="C69" t="s">
        <v>222</v>
      </c>
      <c r="D69" t="s">
        <v>193</v>
      </c>
      <c r="E69" t="s">
        <v>8880</v>
      </c>
    </row>
    <row r="70" spans="1:5" x14ac:dyDescent="0.2">
      <c r="A70" t="s">
        <v>280</v>
      </c>
      <c r="B70" t="s">
        <v>281</v>
      </c>
      <c r="C70" t="s">
        <v>222</v>
      </c>
      <c r="D70" t="s">
        <v>1006</v>
      </c>
      <c r="E70" t="s">
        <v>8880</v>
      </c>
    </row>
    <row r="71" spans="1:5" x14ac:dyDescent="0.2">
      <c r="A71" t="s">
        <v>283</v>
      </c>
      <c r="B71" t="s">
        <v>8882</v>
      </c>
      <c r="C71" t="s">
        <v>244</v>
      </c>
      <c r="D71" t="s">
        <v>1971</v>
      </c>
      <c r="E71" t="s">
        <v>8880</v>
      </c>
    </row>
    <row r="72" spans="1:5" x14ac:dyDescent="0.2">
      <c r="A72" t="s">
        <v>285</v>
      </c>
      <c r="B72" t="s">
        <v>286</v>
      </c>
      <c r="C72" t="s">
        <v>244</v>
      </c>
      <c r="D72" t="s">
        <v>284</v>
      </c>
      <c r="E72" t="s">
        <v>8880</v>
      </c>
    </row>
    <row r="73" spans="1:5" x14ac:dyDescent="0.2">
      <c r="A73" t="s">
        <v>288</v>
      </c>
      <c r="B73" t="s">
        <v>289</v>
      </c>
      <c r="C73" t="s">
        <v>287</v>
      </c>
      <c r="D73" t="s">
        <v>290</v>
      </c>
      <c r="E73" t="s">
        <v>8880</v>
      </c>
    </row>
    <row r="74" spans="1:5" x14ac:dyDescent="0.2">
      <c r="A74" t="s">
        <v>291</v>
      </c>
      <c r="B74" t="s">
        <v>292</v>
      </c>
      <c r="C74" t="s">
        <v>287</v>
      </c>
      <c r="D74" t="s">
        <v>290</v>
      </c>
      <c r="E74" t="s">
        <v>8880</v>
      </c>
    </row>
    <row r="75" spans="1:5" x14ac:dyDescent="0.2">
      <c r="A75" t="s">
        <v>293</v>
      </c>
      <c r="B75" t="s">
        <v>294</v>
      </c>
      <c r="C75" t="s">
        <v>287</v>
      </c>
      <c r="D75" t="s">
        <v>295</v>
      </c>
      <c r="E75" t="s">
        <v>8880</v>
      </c>
    </row>
    <row r="76" spans="1:5" x14ac:dyDescent="0.2">
      <c r="A76" t="s">
        <v>259</v>
      </c>
      <c r="B76" t="s">
        <v>8883</v>
      </c>
      <c r="C76" t="s">
        <v>131</v>
      </c>
      <c r="D76" t="s">
        <v>260</v>
      </c>
      <c r="E76" t="s">
        <v>8880</v>
      </c>
    </row>
    <row r="77" spans="1:5" x14ac:dyDescent="0.2">
      <c r="A77" t="s">
        <v>257</v>
      </c>
      <c r="B77" t="s">
        <v>8884</v>
      </c>
      <c r="C77" t="s">
        <v>219</v>
      </c>
      <c r="D77" t="s">
        <v>258</v>
      </c>
      <c r="E77" t="s">
        <v>8880</v>
      </c>
    </row>
    <row r="78" spans="1:5" x14ac:dyDescent="0.2">
      <c r="A78" t="s">
        <v>297</v>
      </c>
      <c r="B78" t="s">
        <v>298</v>
      </c>
      <c r="C78" t="s">
        <v>199</v>
      </c>
      <c r="D78" t="s">
        <v>299</v>
      </c>
      <c r="E78" t="s">
        <v>8880</v>
      </c>
    </row>
    <row r="79" spans="1:5" x14ac:dyDescent="0.2">
      <c r="A79" t="s">
        <v>300</v>
      </c>
      <c r="B79" t="s">
        <v>8885</v>
      </c>
      <c r="C79" t="s">
        <v>251</v>
      </c>
      <c r="D79" t="s">
        <v>301</v>
      </c>
      <c r="E79" t="s">
        <v>8880</v>
      </c>
    </row>
    <row r="80" spans="1:5" x14ac:dyDescent="0.2">
      <c r="A80" t="s">
        <v>302</v>
      </c>
      <c r="B80" t="s">
        <v>303</v>
      </c>
      <c r="C80" t="s">
        <v>251</v>
      </c>
      <c r="D80" t="s">
        <v>301</v>
      </c>
      <c r="E80" t="s">
        <v>8880</v>
      </c>
    </row>
    <row r="81" spans="1:5" x14ac:dyDescent="0.2">
      <c r="A81" t="s">
        <v>304</v>
      </c>
      <c r="B81" t="s">
        <v>305</v>
      </c>
      <c r="C81" t="s">
        <v>212</v>
      </c>
      <c r="D81" t="s">
        <v>220</v>
      </c>
      <c r="E81" t="s">
        <v>8880</v>
      </c>
    </row>
    <row r="82" spans="1:5" x14ac:dyDescent="0.2">
      <c r="A82" t="s">
        <v>307</v>
      </c>
      <c r="B82" t="s">
        <v>308</v>
      </c>
      <c r="C82" t="s">
        <v>251</v>
      </c>
      <c r="D82" t="s">
        <v>309</v>
      </c>
      <c r="E82" t="s">
        <v>8880</v>
      </c>
    </row>
    <row r="83" spans="1:5" x14ac:dyDescent="0.2">
      <c r="A83" t="s">
        <v>310</v>
      </c>
      <c r="B83" t="s">
        <v>311</v>
      </c>
      <c r="C83" t="s">
        <v>227</v>
      </c>
      <c r="D83" t="s">
        <v>241</v>
      </c>
      <c r="E83" t="s">
        <v>8880</v>
      </c>
    </row>
    <row r="84" spans="1:5" x14ac:dyDescent="0.2">
      <c r="A84" t="s">
        <v>312</v>
      </c>
      <c r="B84" t="s">
        <v>313</v>
      </c>
      <c r="C84" t="s">
        <v>219</v>
      </c>
      <c r="D84" t="s">
        <v>314</v>
      </c>
      <c r="E84" t="s">
        <v>315</v>
      </c>
    </row>
    <row r="85" spans="1:5" x14ac:dyDescent="0.2">
      <c r="A85" t="s">
        <v>316</v>
      </c>
      <c r="B85" t="s">
        <v>317</v>
      </c>
      <c r="C85" t="s">
        <v>318</v>
      </c>
      <c r="D85" t="s">
        <v>126</v>
      </c>
      <c r="E85" t="s">
        <v>319</v>
      </c>
    </row>
    <row r="86" spans="1:5" x14ac:dyDescent="0.2">
      <c r="A86" t="s">
        <v>320</v>
      </c>
      <c r="B86" t="s">
        <v>321</v>
      </c>
      <c r="C86" t="s">
        <v>322</v>
      </c>
      <c r="D86" t="s">
        <v>323</v>
      </c>
      <c r="E86" t="s">
        <v>324</v>
      </c>
    </row>
    <row r="87" spans="1:5" x14ac:dyDescent="0.2">
      <c r="A87" t="s">
        <v>325</v>
      </c>
      <c r="B87" t="s">
        <v>326</v>
      </c>
      <c r="C87" t="s">
        <v>322</v>
      </c>
      <c r="D87" t="s">
        <v>309</v>
      </c>
      <c r="E87" t="s">
        <v>324</v>
      </c>
    </row>
    <row r="88" spans="1:5" x14ac:dyDescent="0.2">
      <c r="A88" t="s">
        <v>327</v>
      </c>
      <c r="B88" t="s">
        <v>328</v>
      </c>
      <c r="C88" t="s">
        <v>322</v>
      </c>
      <c r="D88" t="s">
        <v>295</v>
      </c>
      <c r="E88" t="s">
        <v>324</v>
      </c>
    </row>
    <row r="89" spans="1:5" x14ac:dyDescent="0.2">
      <c r="A89" t="s">
        <v>329</v>
      </c>
      <c r="B89" t="s">
        <v>330</v>
      </c>
      <c r="C89" t="s">
        <v>331</v>
      </c>
      <c r="D89" t="s">
        <v>332</v>
      </c>
      <c r="E89" t="s">
        <v>315</v>
      </c>
    </row>
    <row r="90" spans="1:5" x14ac:dyDescent="0.2">
      <c r="A90" t="s">
        <v>333</v>
      </c>
      <c r="B90" t="s">
        <v>334</v>
      </c>
      <c r="C90" t="s">
        <v>331</v>
      </c>
      <c r="D90" t="s">
        <v>335</v>
      </c>
      <c r="E90" t="s">
        <v>315</v>
      </c>
    </row>
    <row r="91" spans="1:5" x14ac:dyDescent="0.2">
      <c r="A91" t="s">
        <v>339</v>
      </c>
      <c r="B91" t="s">
        <v>340</v>
      </c>
      <c r="C91" t="s">
        <v>199</v>
      </c>
      <c r="D91" t="s">
        <v>341</v>
      </c>
      <c r="E91" t="s">
        <v>342</v>
      </c>
    </row>
    <row r="92" spans="1:5" x14ac:dyDescent="0.2">
      <c r="A92" t="s">
        <v>343</v>
      </c>
      <c r="B92" t="s">
        <v>344</v>
      </c>
      <c r="C92" t="s">
        <v>345</v>
      </c>
      <c r="D92" t="s">
        <v>346</v>
      </c>
      <c r="E92" t="s">
        <v>324</v>
      </c>
    </row>
    <row r="93" spans="1:5" x14ac:dyDescent="0.2">
      <c r="A93" t="s">
        <v>347</v>
      </c>
      <c r="B93" t="s">
        <v>348</v>
      </c>
      <c r="C93" t="s">
        <v>349</v>
      </c>
      <c r="D93" t="s">
        <v>350</v>
      </c>
      <c r="E93" t="s">
        <v>324</v>
      </c>
    </row>
    <row r="94" spans="1:5" x14ac:dyDescent="0.2">
      <c r="A94" t="s">
        <v>351</v>
      </c>
      <c r="B94" t="s">
        <v>352</v>
      </c>
      <c r="C94" t="s">
        <v>349</v>
      </c>
      <c r="D94" t="s">
        <v>314</v>
      </c>
      <c r="E94" t="s">
        <v>324</v>
      </c>
    </row>
    <row r="95" spans="1:5" x14ac:dyDescent="0.2">
      <c r="A95" t="s">
        <v>353</v>
      </c>
      <c r="B95" t="s">
        <v>354</v>
      </c>
      <c r="C95" t="s">
        <v>349</v>
      </c>
      <c r="D95" t="s">
        <v>314</v>
      </c>
      <c r="E95" t="s">
        <v>324</v>
      </c>
    </row>
    <row r="96" spans="1:5" x14ac:dyDescent="0.2">
      <c r="A96" t="s">
        <v>355</v>
      </c>
      <c r="B96" t="s">
        <v>356</v>
      </c>
      <c r="C96" t="s">
        <v>357</v>
      </c>
      <c r="D96" t="s">
        <v>358</v>
      </c>
      <c r="E96" t="s">
        <v>315</v>
      </c>
    </row>
    <row r="97" spans="1:5" x14ac:dyDescent="0.2">
      <c r="A97" t="s">
        <v>359</v>
      </c>
      <c r="B97" t="s">
        <v>360</v>
      </c>
      <c r="C97" t="s">
        <v>357</v>
      </c>
      <c r="D97" t="s">
        <v>358</v>
      </c>
      <c r="E97" t="s">
        <v>315</v>
      </c>
    </row>
    <row r="98" spans="1:5" x14ac:dyDescent="0.2">
      <c r="A98" t="s">
        <v>361</v>
      </c>
      <c r="B98" t="s">
        <v>362</v>
      </c>
      <c r="C98" t="s">
        <v>357</v>
      </c>
      <c r="D98" t="s">
        <v>363</v>
      </c>
      <c r="E98" t="s">
        <v>315</v>
      </c>
    </row>
    <row r="99" spans="1:5" x14ac:dyDescent="0.2">
      <c r="A99" t="s">
        <v>364</v>
      </c>
      <c r="B99" t="s">
        <v>365</v>
      </c>
      <c r="C99" t="s">
        <v>287</v>
      </c>
      <c r="D99" t="s">
        <v>238</v>
      </c>
      <c r="E99" t="s">
        <v>324</v>
      </c>
    </row>
    <row r="100" spans="1:5" x14ac:dyDescent="0.2">
      <c r="A100" t="s">
        <v>366</v>
      </c>
      <c r="B100" t="s">
        <v>367</v>
      </c>
      <c r="C100" t="s">
        <v>287</v>
      </c>
      <c r="D100" t="s">
        <v>368</v>
      </c>
      <c r="E100" t="s">
        <v>324</v>
      </c>
    </row>
    <row r="101" spans="1:5" x14ac:dyDescent="0.2">
      <c r="A101" t="s">
        <v>369</v>
      </c>
      <c r="B101" t="s">
        <v>370</v>
      </c>
      <c r="C101" t="s">
        <v>287</v>
      </c>
      <c r="D101" t="s">
        <v>371</v>
      </c>
      <c r="E101" t="s">
        <v>324</v>
      </c>
    </row>
    <row r="102" spans="1:5" x14ac:dyDescent="0.2">
      <c r="A102" t="s">
        <v>372</v>
      </c>
      <c r="B102" t="s">
        <v>373</v>
      </c>
      <c r="C102" t="s">
        <v>287</v>
      </c>
      <c r="D102" t="s">
        <v>371</v>
      </c>
      <c r="E102" t="s">
        <v>324</v>
      </c>
    </row>
    <row r="103" spans="1:5" x14ac:dyDescent="0.2">
      <c r="A103" t="s">
        <v>374</v>
      </c>
      <c r="B103" t="s">
        <v>375</v>
      </c>
      <c r="C103" t="s">
        <v>376</v>
      </c>
      <c r="D103" t="s">
        <v>377</v>
      </c>
      <c r="E103" t="s">
        <v>337</v>
      </c>
    </row>
    <row r="104" spans="1:5" x14ac:dyDescent="0.2">
      <c r="A104" t="s">
        <v>381</v>
      </c>
      <c r="B104" t="s">
        <v>382</v>
      </c>
      <c r="C104" t="s">
        <v>376</v>
      </c>
      <c r="D104" t="s">
        <v>383</v>
      </c>
      <c r="E104" t="s">
        <v>315</v>
      </c>
    </row>
    <row r="105" spans="1:5" x14ac:dyDescent="0.2">
      <c r="A105" t="s">
        <v>378</v>
      </c>
      <c r="B105" t="s">
        <v>379</v>
      </c>
      <c r="C105" t="s">
        <v>376</v>
      </c>
      <c r="D105" t="s">
        <v>380</v>
      </c>
      <c r="E105" t="s">
        <v>315</v>
      </c>
    </row>
    <row r="106" spans="1:5" x14ac:dyDescent="0.2">
      <c r="A106" t="s">
        <v>384</v>
      </c>
      <c r="B106" t="s">
        <v>8886</v>
      </c>
      <c r="C106" t="s">
        <v>212</v>
      </c>
      <c r="D106" t="s">
        <v>338</v>
      </c>
      <c r="E106" t="s">
        <v>324</v>
      </c>
    </row>
    <row r="107" spans="1:5" x14ac:dyDescent="0.2">
      <c r="A107" t="s">
        <v>385</v>
      </c>
      <c r="B107" t="s">
        <v>8887</v>
      </c>
      <c r="C107" t="s">
        <v>212</v>
      </c>
      <c r="D107" t="s">
        <v>301</v>
      </c>
      <c r="E107" t="s">
        <v>8888</v>
      </c>
    </row>
    <row r="108" spans="1:5" x14ac:dyDescent="0.2">
      <c r="A108" t="s">
        <v>392</v>
      </c>
      <c r="B108" t="s">
        <v>8889</v>
      </c>
      <c r="C108" t="s">
        <v>251</v>
      </c>
      <c r="D108" t="s">
        <v>223</v>
      </c>
      <c r="E108" t="s">
        <v>324</v>
      </c>
    </row>
    <row r="109" spans="1:5" x14ac:dyDescent="0.2">
      <c r="A109" t="s">
        <v>393</v>
      </c>
      <c r="B109" t="s">
        <v>8890</v>
      </c>
      <c r="C109" t="s">
        <v>251</v>
      </c>
      <c r="D109" t="s">
        <v>394</v>
      </c>
      <c r="E109" t="s">
        <v>324</v>
      </c>
    </row>
    <row r="110" spans="1:5" x14ac:dyDescent="0.2">
      <c r="A110" t="s">
        <v>395</v>
      </c>
      <c r="B110" t="s">
        <v>8891</v>
      </c>
      <c r="C110" t="s">
        <v>251</v>
      </c>
      <c r="D110" t="s">
        <v>396</v>
      </c>
      <c r="E110" t="s">
        <v>324</v>
      </c>
    </row>
    <row r="111" spans="1:5" x14ac:dyDescent="0.2">
      <c r="A111" t="s">
        <v>387</v>
      </c>
      <c r="B111" t="s">
        <v>388</v>
      </c>
      <c r="C111" t="s">
        <v>251</v>
      </c>
      <c r="D111" t="s">
        <v>389</v>
      </c>
      <c r="E111" t="s">
        <v>324</v>
      </c>
    </row>
    <row r="112" spans="1:5" x14ac:dyDescent="0.2">
      <c r="A112" t="s">
        <v>390</v>
      </c>
      <c r="B112" t="s">
        <v>391</v>
      </c>
      <c r="C112" t="s">
        <v>251</v>
      </c>
      <c r="D112" t="s">
        <v>258</v>
      </c>
      <c r="E112" t="s">
        <v>324</v>
      </c>
    </row>
    <row r="113" spans="1:5" x14ac:dyDescent="0.2">
      <c r="A113" t="s">
        <v>397</v>
      </c>
      <c r="B113" t="s">
        <v>398</v>
      </c>
      <c r="C113" t="s">
        <v>399</v>
      </c>
      <c r="D113" t="s">
        <v>400</v>
      </c>
      <c r="E113" t="s">
        <v>315</v>
      </c>
    </row>
    <row r="114" spans="1:5" x14ac:dyDescent="0.2">
      <c r="A114" t="s">
        <v>401</v>
      </c>
      <c r="B114" t="s">
        <v>402</v>
      </c>
      <c r="C114" t="s">
        <v>244</v>
      </c>
      <c r="D114" t="s">
        <v>314</v>
      </c>
      <c r="E114" t="s">
        <v>403</v>
      </c>
    </row>
    <row r="115" spans="1:5" x14ac:dyDescent="0.2">
      <c r="A115" t="s">
        <v>404</v>
      </c>
      <c r="B115" t="s">
        <v>405</v>
      </c>
      <c r="C115" t="s">
        <v>244</v>
      </c>
      <c r="D115" t="s">
        <v>314</v>
      </c>
      <c r="E115" t="s">
        <v>403</v>
      </c>
    </row>
    <row r="116" spans="1:5" x14ac:dyDescent="0.2">
      <c r="A116" t="s">
        <v>406</v>
      </c>
      <c r="B116" t="s">
        <v>407</v>
      </c>
      <c r="C116" t="s">
        <v>244</v>
      </c>
      <c r="D116" t="s">
        <v>1971</v>
      </c>
      <c r="E116" t="s">
        <v>2424</v>
      </c>
    </row>
    <row r="117" spans="1:5" x14ac:dyDescent="0.2">
      <c r="A117" t="s">
        <v>408</v>
      </c>
      <c r="B117" t="s">
        <v>409</v>
      </c>
      <c r="C117" t="s">
        <v>244</v>
      </c>
      <c r="D117" t="s">
        <v>1971</v>
      </c>
      <c r="E117" t="s">
        <v>2424</v>
      </c>
    </row>
    <row r="118" spans="1:5" x14ac:dyDescent="0.2">
      <c r="A118" t="s">
        <v>410</v>
      </c>
      <c r="B118" t="s">
        <v>411</v>
      </c>
      <c r="C118" t="s">
        <v>322</v>
      </c>
      <c r="D118" t="s">
        <v>456</v>
      </c>
      <c r="E118" t="s">
        <v>2424</v>
      </c>
    </row>
    <row r="119" spans="1:5" x14ac:dyDescent="0.2">
      <c r="A119" t="s">
        <v>413</v>
      </c>
      <c r="B119" t="s">
        <v>414</v>
      </c>
      <c r="C119" t="s">
        <v>322</v>
      </c>
      <c r="D119" t="s">
        <v>456</v>
      </c>
      <c r="E119" t="s">
        <v>2424</v>
      </c>
    </row>
    <row r="120" spans="1:5" x14ac:dyDescent="0.2">
      <c r="A120" t="s">
        <v>415</v>
      </c>
      <c r="B120" t="s">
        <v>416</v>
      </c>
      <c r="C120" t="s">
        <v>322</v>
      </c>
      <c r="D120" t="s">
        <v>456</v>
      </c>
      <c r="E120" t="s">
        <v>2424</v>
      </c>
    </row>
    <row r="121" spans="1:5" x14ac:dyDescent="0.2">
      <c r="A121" t="s">
        <v>417</v>
      </c>
      <c r="B121" t="s">
        <v>418</v>
      </c>
      <c r="C121" t="s">
        <v>322</v>
      </c>
      <c r="D121" t="s">
        <v>456</v>
      </c>
      <c r="E121" t="s">
        <v>2424</v>
      </c>
    </row>
    <row r="122" spans="1:5" x14ac:dyDescent="0.2">
      <c r="A122" t="s">
        <v>419</v>
      </c>
      <c r="B122" t="s">
        <v>420</v>
      </c>
      <c r="C122" t="s">
        <v>421</v>
      </c>
      <c r="D122" t="s">
        <v>456</v>
      </c>
      <c r="E122" t="s">
        <v>8892</v>
      </c>
    </row>
    <row r="123" spans="1:5" x14ac:dyDescent="0.2">
      <c r="A123" t="s">
        <v>423</v>
      </c>
      <c r="B123" t="s">
        <v>424</v>
      </c>
      <c r="C123" t="s">
        <v>421</v>
      </c>
      <c r="D123" t="s">
        <v>456</v>
      </c>
      <c r="E123" t="s">
        <v>8892</v>
      </c>
    </row>
    <row r="124" spans="1:5" x14ac:dyDescent="0.2">
      <c r="A124" t="s">
        <v>425</v>
      </c>
      <c r="B124" t="s">
        <v>426</v>
      </c>
      <c r="C124" t="s">
        <v>421</v>
      </c>
      <c r="D124" t="s">
        <v>459</v>
      </c>
      <c r="E124" t="s">
        <v>8892</v>
      </c>
    </row>
    <row r="125" spans="1:5" x14ac:dyDescent="0.2">
      <c r="A125" t="s">
        <v>428</v>
      </c>
      <c r="B125" t="s">
        <v>429</v>
      </c>
      <c r="C125" t="s">
        <v>421</v>
      </c>
      <c r="D125" t="s">
        <v>459</v>
      </c>
      <c r="E125" t="s">
        <v>8892</v>
      </c>
    </row>
    <row r="126" spans="1:5" x14ac:dyDescent="0.2">
      <c r="A126" t="s">
        <v>18</v>
      </c>
      <c r="B126" t="s">
        <v>430</v>
      </c>
      <c r="C126" t="s">
        <v>219</v>
      </c>
      <c r="D126" t="s">
        <v>299</v>
      </c>
      <c r="E126" t="s">
        <v>8892</v>
      </c>
    </row>
    <row r="127" spans="1:5" x14ac:dyDescent="0.2">
      <c r="A127" t="s">
        <v>431</v>
      </c>
      <c r="B127" t="s">
        <v>432</v>
      </c>
      <c r="C127" t="s">
        <v>219</v>
      </c>
      <c r="D127" t="s">
        <v>296</v>
      </c>
      <c r="E127" t="s">
        <v>8892</v>
      </c>
    </row>
    <row r="128" spans="1:5" x14ac:dyDescent="0.2">
      <c r="A128" t="s">
        <v>434</v>
      </c>
      <c r="B128" t="s">
        <v>435</v>
      </c>
      <c r="C128" t="s">
        <v>287</v>
      </c>
      <c r="D128" t="s">
        <v>436</v>
      </c>
      <c r="E128" t="s">
        <v>2424</v>
      </c>
    </row>
    <row r="129" spans="1:5" x14ac:dyDescent="0.2">
      <c r="A129" t="s">
        <v>437</v>
      </c>
      <c r="B129" t="s">
        <v>438</v>
      </c>
      <c r="C129" t="s">
        <v>287</v>
      </c>
      <c r="D129" t="s">
        <v>436</v>
      </c>
      <c r="E129" t="s">
        <v>2424</v>
      </c>
    </row>
    <row r="130" spans="1:5" x14ac:dyDescent="0.2">
      <c r="A130" t="s">
        <v>439</v>
      </c>
      <c r="B130" t="s">
        <v>440</v>
      </c>
      <c r="C130" t="s">
        <v>287</v>
      </c>
      <c r="D130" t="s">
        <v>441</v>
      </c>
      <c r="E130" t="s">
        <v>2424</v>
      </c>
    </row>
    <row r="131" spans="1:5" x14ac:dyDescent="0.2">
      <c r="A131" t="s">
        <v>442</v>
      </c>
      <c r="B131" t="s">
        <v>443</v>
      </c>
      <c r="C131" t="s">
        <v>212</v>
      </c>
      <c r="D131" t="s">
        <v>386</v>
      </c>
      <c r="E131" t="s">
        <v>2424</v>
      </c>
    </row>
    <row r="132" spans="1:5" x14ac:dyDescent="0.2">
      <c r="A132" t="s">
        <v>24</v>
      </c>
      <c r="B132" t="s">
        <v>445</v>
      </c>
      <c r="C132" t="s">
        <v>212</v>
      </c>
      <c r="D132" t="s">
        <v>386</v>
      </c>
      <c r="E132" t="s">
        <v>2424</v>
      </c>
    </row>
    <row r="133" spans="1:5" x14ac:dyDescent="0.2">
      <c r="A133" t="s">
        <v>446</v>
      </c>
      <c r="B133" t="s">
        <v>447</v>
      </c>
      <c r="C133" t="s">
        <v>212</v>
      </c>
      <c r="D133" t="s">
        <v>1490</v>
      </c>
      <c r="E133" t="s">
        <v>2424</v>
      </c>
    </row>
    <row r="134" spans="1:5" x14ac:dyDescent="0.2">
      <c r="A134" t="s">
        <v>448</v>
      </c>
      <c r="B134" t="s">
        <v>449</v>
      </c>
      <c r="C134" t="s">
        <v>212</v>
      </c>
      <c r="D134" t="s">
        <v>1490</v>
      </c>
      <c r="E134" t="s">
        <v>2424</v>
      </c>
    </row>
    <row r="135" spans="1:5" x14ac:dyDescent="0.2">
      <c r="A135" t="s">
        <v>450</v>
      </c>
      <c r="B135" t="s">
        <v>451</v>
      </c>
      <c r="C135" t="s">
        <v>104</v>
      </c>
      <c r="D135" t="s">
        <v>412</v>
      </c>
      <c r="E135" t="s">
        <v>8892</v>
      </c>
    </row>
    <row r="136" spans="1:5" x14ac:dyDescent="0.2">
      <c r="A136" t="s">
        <v>452</v>
      </c>
      <c r="B136" t="s">
        <v>453</v>
      </c>
      <c r="C136" t="s">
        <v>104</v>
      </c>
      <c r="D136" t="s">
        <v>412</v>
      </c>
      <c r="E136" t="s">
        <v>8892</v>
      </c>
    </row>
    <row r="137" spans="1:5" x14ac:dyDescent="0.2">
      <c r="A137" t="s">
        <v>454</v>
      </c>
      <c r="B137" t="s">
        <v>455</v>
      </c>
      <c r="C137" t="s">
        <v>322</v>
      </c>
      <c r="D137" t="s">
        <v>456</v>
      </c>
      <c r="E137" t="s">
        <v>2424</v>
      </c>
    </row>
    <row r="138" spans="1:5" x14ac:dyDescent="0.2">
      <c r="A138" t="s">
        <v>457</v>
      </c>
      <c r="B138" t="s">
        <v>458</v>
      </c>
      <c r="C138" t="s">
        <v>322</v>
      </c>
      <c r="D138" t="s">
        <v>459</v>
      </c>
      <c r="E138" t="s">
        <v>2424</v>
      </c>
    </row>
    <row r="139" spans="1:5" x14ac:dyDescent="0.2">
      <c r="A139" t="s">
        <v>460</v>
      </c>
      <c r="B139" t="s">
        <v>461</v>
      </c>
      <c r="C139" t="s">
        <v>331</v>
      </c>
      <c r="D139" t="s">
        <v>462</v>
      </c>
      <c r="E139" t="s">
        <v>2424</v>
      </c>
    </row>
    <row r="140" spans="1:5" x14ac:dyDescent="0.2">
      <c r="A140" t="s">
        <v>463</v>
      </c>
      <c r="B140" t="s">
        <v>464</v>
      </c>
      <c r="C140" t="s">
        <v>331</v>
      </c>
      <c r="D140" t="s">
        <v>462</v>
      </c>
      <c r="E140" t="s">
        <v>2424</v>
      </c>
    </row>
    <row r="141" spans="1:5" x14ac:dyDescent="0.2">
      <c r="A141" t="s">
        <v>465</v>
      </c>
      <c r="B141" t="s">
        <v>466</v>
      </c>
      <c r="C141" t="s">
        <v>219</v>
      </c>
      <c r="D141" t="s">
        <v>299</v>
      </c>
      <c r="E141" t="s">
        <v>8892</v>
      </c>
    </row>
    <row r="142" spans="1:5" x14ac:dyDescent="0.2">
      <c r="A142" t="s">
        <v>467</v>
      </c>
      <c r="B142" t="s">
        <v>468</v>
      </c>
      <c r="C142" t="s">
        <v>219</v>
      </c>
      <c r="D142" t="s">
        <v>296</v>
      </c>
      <c r="E142" t="s">
        <v>8892</v>
      </c>
    </row>
    <row r="143" spans="1:5" x14ac:dyDescent="0.2">
      <c r="A143" t="s">
        <v>469</v>
      </c>
      <c r="B143" t="s">
        <v>470</v>
      </c>
      <c r="C143" t="s">
        <v>251</v>
      </c>
      <c r="D143" t="s">
        <v>412</v>
      </c>
      <c r="E143" t="s">
        <v>2424</v>
      </c>
    </row>
    <row r="144" spans="1:5" x14ac:dyDescent="0.2">
      <c r="A144" t="s">
        <v>471</v>
      </c>
      <c r="B144" t="s">
        <v>472</v>
      </c>
      <c r="C144" t="s">
        <v>251</v>
      </c>
      <c r="D144" t="s">
        <v>473</v>
      </c>
      <c r="E144" t="s">
        <v>2424</v>
      </c>
    </row>
    <row r="145" spans="1:5" x14ac:dyDescent="0.2">
      <c r="A145" t="s">
        <v>474</v>
      </c>
      <c r="B145" t="s">
        <v>475</v>
      </c>
      <c r="C145" t="s">
        <v>92</v>
      </c>
      <c r="D145" t="s">
        <v>456</v>
      </c>
      <c r="E145" t="s">
        <v>2424</v>
      </c>
    </row>
    <row r="146" spans="1:5" x14ac:dyDescent="0.2">
      <c r="A146" t="s">
        <v>476</v>
      </c>
      <c r="B146" t="s">
        <v>477</v>
      </c>
      <c r="C146" t="s">
        <v>92</v>
      </c>
      <c r="D146" t="s">
        <v>459</v>
      </c>
      <c r="E146" t="s">
        <v>2424</v>
      </c>
    </row>
    <row r="147" spans="1:5" x14ac:dyDescent="0.2">
      <c r="A147" t="s">
        <v>478</v>
      </c>
      <c r="B147" t="s">
        <v>479</v>
      </c>
      <c r="C147" t="s">
        <v>287</v>
      </c>
      <c r="D147" t="s">
        <v>480</v>
      </c>
      <c r="E147" t="s">
        <v>2424</v>
      </c>
    </row>
    <row r="148" spans="1:5" x14ac:dyDescent="0.2">
      <c r="A148" t="s">
        <v>481</v>
      </c>
      <c r="B148" t="s">
        <v>482</v>
      </c>
      <c r="C148" t="s">
        <v>287</v>
      </c>
      <c r="D148" t="s">
        <v>480</v>
      </c>
      <c r="E148" t="s">
        <v>2424</v>
      </c>
    </row>
    <row r="149" spans="1:5" x14ac:dyDescent="0.2">
      <c r="A149" t="s">
        <v>483</v>
      </c>
      <c r="B149" t="s">
        <v>484</v>
      </c>
      <c r="C149" t="s">
        <v>287</v>
      </c>
      <c r="D149" t="s">
        <v>480</v>
      </c>
      <c r="E149" t="s">
        <v>2424</v>
      </c>
    </row>
    <row r="150" spans="1:5" x14ac:dyDescent="0.2">
      <c r="A150" t="s">
        <v>485</v>
      </c>
      <c r="B150" t="s">
        <v>486</v>
      </c>
      <c r="C150" t="s">
        <v>287</v>
      </c>
      <c r="D150" t="s">
        <v>480</v>
      </c>
      <c r="E150" t="s">
        <v>2424</v>
      </c>
    </row>
    <row r="151" spans="1:5" x14ac:dyDescent="0.2">
      <c r="A151" t="s">
        <v>487</v>
      </c>
      <c r="B151" t="s">
        <v>488</v>
      </c>
      <c r="C151" t="s">
        <v>287</v>
      </c>
      <c r="D151" t="s">
        <v>489</v>
      </c>
      <c r="E151" t="s">
        <v>2424</v>
      </c>
    </row>
    <row r="152" spans="1:5" x14ac:dyDescent="0.2">
      <c r="A152" t="s">
        <v>490</v>
      </c>
      <c r="B152" t="s">
        <v>491</v>
      </c>
      <c r="C152" t="s">
        <v>287</v>
      </c>
      <c r="D152" t="s">
        <v>489</v>
      </c>
      <c r="E152" t="s">
        <v>2424</v>
      </c>
    </row>
    <row r="153" spans="1:5" x14ac:dyDescent="0.2">
      <c r="A153" t="s">
        <v>492</v>
      </c>
      <c r="B153" t="s">
        <v>493</v>
      </c>
      <c r="C153" t="s">
        <v>287</v>
      </c>
      <c r="D153" t="s">
        <v>489</v>
      </c>
      <c r="E153" t="s">
        <v>2424</v>
      </c>
    </row>
    <row r="154" spans="1:5" x14ac:dyDescent="0.2">
      <c r="A154" t="s">
        <v>494</v>
      </c>
      <c r="B154" t="s">
        <v>495</v>
      </c>
      <c r="C154" t="s">
        <v>287</v>
      </c>
      <c r="D154" t="s">
        <v>489</v>
      </c>
      <c r="E154" t="s">
        <v>2424</v>
      </c>
    </row>
    <row r="155" spans="1:5" x14ac:dyDescent="0.2">
      <c r="A155" t="s">
        <v>496</v>
      </c>
      <c r="B155" t="s">
        <v>497</v>
      </c>
      <c r="C155" t="s">
        <v>251</v>
      </c>
      <c r="D155" t="s">
        <v>394</v>
      </c>
      <c r="E155" t="s">
        <v>2424</v>
      </c>
    </row>
    <row r="156" spans="1:5" x14ac:dyDescent="0.2">
      <c r="A156" t="s">
        <v>498</v>
      </c>
      <c r="B156" t="s">
        <v>499</v>
      </c>
      <c r="C156" t="s">
        <v>251</v>
      </c>
      <c r="D156" t="s">
        <v>150</v>
      </c>
      <c r="E156" t="s">
        <v>2424</v>
      </c>
    </row>
    <row r="157" spans="1:5" x14ac:dyDescent="0.2">
      <c r="A157" t="s">
        <v>501</v>
      </c>
      <c r="B157" t="s">
        <v>502</v>
      </c>
      <c r="C157" t="s">
        <v>227</v>
      </c>
      <c r="D157" t="s">
        <v>412</v>
      </c>
      <c r="E157" t="s">
        <v>2424</v>
      </c>
    </row>
    <row r="158" spans="1:5" x14ac:dyDescent="0.2">
      <c r="A158" t="s">
        <v>503</v>
      </c>
      <c r="B158" t="s">
        <v>504</v>
      </c>
      <c r="C158" t="s">
        <v>227</v>
      </c>
      <c r="D158" t="s">
        <v>473</v>
      </c>
      <c r="E158" t="s">
        <v>2424</v>
      </c>
    </row>
    <row r="159" spans="1:5" x14ac:dyDescent="0.2">
      <c r="A159" t="s">
        <v>505</v>
      </c>
      <c r="B159" t="s">
        <v>506</v>
      </c>
      <c r="C159" t="s">
        <v>251</v>
      </c>
      <c r="D159" t="s">
        <v>412</v>
      </c>
      <c r="E159" t="s">
        <v>2424</v>
      </c>
    </row>
    <row r="160" spans="1:5" x14ac:dyDescent="0.2">
      <c r="A160" t="s">
        <v>507</v>
      </c>
      <c r="B160" t="s">
        <v>508</v>
      </c>
      <c r="C160" t="s">
        <v>251</v>
      </c>
      <c r="D160" t="s">
        <v>473</v>
      </c>
      <c r="E160" t="s">
        <v>2424</v>
      </c>
    </row>
    <row r="161" spans="1:5" x14ac:dyDescent="0.2">
      <c r="A161" t="s">
        <v>509</v>
      </c>
      <c r="B161" t="s">
        <v>510</v>
      </c>
      <c r="C161" t="s">
        <v>199</v>
      </c>
      <c r="D161" t="s">
        <v>299</v>
      </c>
      <c r="E161" t="s">
        <v>8892</v>
      </c>
    </row>
    <row r="162" spans="1:5" x14ac:dyDescent="0.2">
      <c r="A162" t="s">
        <v>511</v>
      </c>
      <c r="B162" t="s">
        <v>512</v>
      </c>
      <c r="C162" t="s">
        <v>399</v>
      </c>
      <c r="D162" t="s">
        <v>299</v>
      </c>
      <c r="E162" t="s">
        <v>8892</v>
      </c>
    </row>
    <row r="163" spans="1:5" x14ac:dyDescent="0.2">
      <c r="A163" t="s">
        <v>513</v>
      </c>
      <c r="B163" t="s">
        <v>514</v>
      </c>
      <c r="C163" t="s">
        <v>399</v>
      </c>
      <c r="D163" t="s">
        <v>299</v>
      </c>
      <c r="E163" t="s">
        <v>8892</v>
      </c>
    </row>
    <row r="164" spans="1:5" x14ac:dyDescent="0.2">
      <c r="A164" t="s">
        <v>515</v>
      </c>
      <c r="B164" t="s">
        <v>516</v>
      </c>
      <c r="C164" t="s">
        <v>399</v>
      </c>
      <c r="D164" t="s">
        <v>400</v>
      </c>
      <c r="E164" t="s">
        <v>8892</v>
      </c>
    </row>
    <row r="165" spans="1:5" x14ac:dyDescent="0.2">
      <c r="A165" t="s">
        <v>517</v>
      </c>
      <c r="B165" t="s">
        <v>518</v>
      </c>
      <c r="C165" t="s">
        <v>399</v>
      </c>
      <c r="D165" t="s">
        <v>400</v>
      </c>
      <c r="E165" t="s">
        <v>8892</v>
      </c>
    </row>
    <row r="166" spans="1:5" x14ac:dyDescent="0.2">
      <c r="A166" t="s">
        <v>519</v>
      </c>
      <c r="B166" t="s">
        <v>520</v>
      </c>
      <c r="C166" t="s">
        <v>399</v>
      </c>
      <c r="D166" t="s">
        <v>400</v>
      </c>
      <c r="E166" t="s">
        <v>8892</v>
      </c>
    </row>
    <row r="167" spans="1:5" x14ac:dyDescent="0.2">
      <c r="A167" t="s">
        <v>62</v>
      </c>
      <c r="B167" t="s">
        <v>521</v>
      </c>
      <c r="C167" t="s">
        <v>522</v>
      </c>
      <c r="D167" t="s">
        <v>299</v>
      </c>
      <c r="E167" t="s">
        <v>8892</v>
      </c>
    </row>
    <row r="168" spans="1:5" x14ac:dyDescent="0.2">
      <c r="A168" t="s">
        <v>523</v>
      </c>
      <c r="B168" t="s">
        <v>524</v>
      </c>
      <c r="C168" t="s">
        <v>345</v>
      </c>
      <c r="D168" t="s">
        <v>566</v>
      </c>
      <c r="E168" t="s">
        <v>8893</v>
      </c>
    </row>
    <row r="169" spans="1:5" x14ac:dyDescent="0.2">
      <c r="A169" t="s">
        <v>526</v>
      </c>
      <c r="B169" t="s">
        <v>527</v>
      </c>
      <c r="C169" t="s">
        <v>345</v>
      </c>
      <c r="D169" t="s">
        <v>566</v>
      </c>
      <c r="E169" t="s">
        <v>8893</v>
      </c>
    </row>
    <row r="170" spans="1:5" x14ac:dyDescent="0.2">
      <c r="A170" t="s">
        <v>528</v>
      </c>
      <c r="B170" t="s">
        <v>529</v>
      </c>
      <c r="C170" t="s">
        <v>227</v>
      </c>
      <c r="D170" t="s">
        <v>262</v>
      </c>
      <c r="E170" t="s">
        <v>8894</v>
      </c>
    </row>
    <row r="171" spans="1:5" x14ac:dyDescent="0.2">
      <c r="A171" t="s">
        <v>530</v>
      </c>
      <c r="B171" t="s">
        <v>531</v>
      </c>
      <c r="C171" t="s">
        <v>227</v>
      </c>
      <c r="D171" t="s">
        <v>400</v>
      </c>
      <c r="E171" t="s">
        <v>8894</v>
      </c>
    </row>
    <row r="172" spans="1:5" x14ac:dyDescent="0.2">
      <c r="A172" t="s">
        <v>532</v>
      </c>
      <c r="B172" t="s">
        <v>8895</v>
      </c>
      <c r="C172" t="s">
        <v>244</v>
      </c>
      <c r="D172" t="s">
        <v>110</v>
      </c>
      <c r="E172" t="s">
        <v>806</v>
      </c>
    </row>
    <row r="173" spans="1:5" x14ac:dyDescent="0.2">
      <c r="A173" t="s">
        <v>533</v>
      </c>
      <c r="B173" t="s">
        <v>8896</v>
      </c>
      <c r="C173" t="s">
        <v>244</v>
      </c>
      <c r="D173" t="s">
        <v>110</v>
      </c>
      <c r="E173" t="s">
        <v>806</v>
      </c>
    </row>
    <row r="174" spans="1:5" x14ac:dyDescent="0.2">
      <c r="A174" t="s">
        <v>534</v>
      </c>
      <c r="B174" t="s">
        <v>8897</v>
      </c>
      <c r="C174" t="s">
        <v>331</v>
      </c>
      <c r="D174" t="s">
        <v>535</v>
      </c>
      <c r="E174" t="s">
        <v>806</v>
      </c>
    </row>
    <row r="175" spans="1:5" x14ac:dyDescent="0.2">
      <c r="A175" t="s">
        <v>536</v>
      </c>
      <c r="B175" t="s">
        <v>8898</v>
      </c>
      <c r="C175" t="s">
        <v>287</v>
      </c>
      <c r="D175" t="s">
        <v>220</v>
      </c>
      <c r="E175" t="s">
        <v>563</v>
      </c>
    </row>
    <row r="176" spans="1:5" x14ac:dyDescent="0.2">
      <c r="A176" t="s">
        <v>537</v>
      </c>
      <c r="B176" t="s">
        <v>8899</v>
      </c>
      <c r="C176" t="s">
        <v>287</v>
      </c>
      <c r="D176" t="s">
        <v>220</v>
      </c>
      <c r="E176" t="s">
        <v>563</v>
      </c>
    </row>
    <row r="177" spans="1:5" x14ac:dyDescent="0.2">
      <c r="A177" t="s">
        <v>538</v>
      </c>
      <c r="B177" t="s">
        <v>8900</v>
      </c>
      <c r="C177" t="s">
        <v>287</v>
      </c>
      <c r="D177" t="s">
        <v>539</v>
      </c>
      <c r="E177" t="s">
        <v>563</v>
      </c>
    </row>
    <row r="178" spans="1:5" x14ac:dyDescent="0.2">
      <c r="A178" t="s">
        <v>540</v>
      </c>
      <c r="B178" t="s">
        <v>8901</v>
      </c>
      <c r="C178" t="s">
        <v>287</v>
      </c>
      <c r="D178" t="s">
        <v>539</v>
      </c>
      <c r="E178" t="s">
        <v>563</v>
      </c>
    </row>
    <row r="179" spans="1:5" x14ac:dyDescent="0.2">
      <c r="A179" t="s">
        <v>541</v>
      </c>
      <c r="B179" t="s">
        <v>8902</v>
      </c>
      <c r="C179" t="s">
        <v>244</v>
      </c>
      <c r="D179" t="s">
        <v>245</v>
      </c>
      <c r="E179" t="s">
        <v>806</v>
      </c>
    </row>
    <row r="180" spans="1:5" x14ac:dyDescent="0.2">
      <c r="A180" t="s">
        <v>542</v>
      </c>
      <c r="B180" t="s">
        <v>8903</v>
      </c>
      <c r="C180" t="s">
        <v>244</v>
      </c>
      <c r="D180" t="s">
        <v>245</v>
      </c>
      <c r="E180" t="s">
        <v>806</v>
      </c>
    </row>
    <row r="181" spans="1:5" x14ac:dyDescent="0.2">
      <c r="A181" s="119" t="s">
        <v>543</v>
      </c>
      <c r="B181" t="s">
        <v>8904</v>
      </c>
      <c r="C181" t="s">
        <v>244</v>
      </c>
      <c r="D181" s="140" t="s">
        <v>110</v>
      </c>
      <c r="E181" s="3" t="s">
        <v>806</v>
      </c>
    </row>
    <row r="182" spans="1:5" x14ac:dyDescent="0.2">
      <c r="A182" t="s">
        <v>544</v>
      </c>
      <c r="B182" t="s">
        <v>8905</v>
      </c>
      <c r="C182" t="s">
        <v>244</v>
      </c>
      <c r="D182" t="s">
        <v>110</v>
      </c>
      <c r="E182" t="s">
        <v>806</v>
      </c>
    </row>
    <row r="183" spans="1:5" x14ac:dyDescent="0.2">
      <c r="A183" t="s">
        <v>545</v>
      </c>
      <c r="B183" t="s">
        <v>546</v>
      </c>
      <c r="C183" t="s">
        <v>399</v>
      </c>
      <c r="D183" t="s">
        <v>547</v>
      </c>
      <c r="E183" t="s">
        <v>8894</v>
      </c>
    </row>
    <row r="184" spans="1:5" x14ac:dyDescent="0.2">
      <c r="A184" t="s">
        <v>548</v>
      </c>
      <c r="B184" t="s">
        <v>549</v>
      </c>
      <c r="C184" t="s">
        <v>399</v>
      </c>
      <c r="D184" t="s">
        <v>550</v>
      </c>
      <c r="E184" t="s">
        <v>234</v>
      </c>
    </row>
    <row r="185" spans="1:5" x14ac:dyDescent="0.2">
      <c r="A185" t="s">
        <v>551</v>
      </c>
      <c r="B185" t="s">
        <v>552</v>
      </c>
      <c r="C185" t="s">
        <v>399</v>
      </c>
      <c r="D185" t="s">
        <v>456</v>
      </c>
      <c r="E185" t="s">
        <v>8894</v>
      </c>
    </row>
    <row r="186" spans="1:5" x14ac:dyDescent="0.2">
      <c r="A186" t="s">
        <v>553</v>
      </c>
      <c r="B186" t="s">
        <v>8906</v>
      </c>
      <c r="C186" t="s">
        <v>399</v>
      </c>
      <c r="D186" t="s">
        <v>223</v>
      </c>
      <c r="E186" t="s">
        <v>806</v>
      </c>
    </row>
    <row r="187" spans="1:5" x14ac:dyDescent="0.2">
      <c r="A187" t="s">
        <v>554</v>
      </c>
      <c r="B187" t="s">
        <v>8907</v>
      </c>
      <c r="C187" t="s">
        <v>399</v>
      </c>
      <c r="D187" t="s">
        <v>126</v>
      </c>
      <c r="E187" t="s">
        <v>806</v>
      </c>
    </row>
    <row r="188" spans="1:5" x14ac:dyDescent="0.2">
      <c r="A188" t="s">
        <v>555</v>
      </c>
      <c r="B188" t="s">
        <v>556</v>
      </c>
      <c r="C188" t="s">
        <v>557</v>
      </c>
      <c r="D188" t="s">
        <v>547</v>
      </c>
      <c r="E188" t="s">
        <v>8893</v>
      </c>
    </row>
    <row r="189" spans="1:5" x14ac:dyDescent="0.2">
      <c r="A189" t="s">
        <v>558</v>
      </c>
      <c r="B189" t="s">
        <v>559</v>
      </c>
      <c r="C189" t="s">
        <v>557</v>
      </c>
      <c r="D189" t="s">
        <v>456</v>
      </c>
      <c r="E189" t="s">
        <v>8893</v>
      </c>
    </row>
    <row r="190" spans="1:5" x14ac:dyDescent="0.2">
      <c r="A190" t="s">
        <v>561</v>
      </c>
      <c r="B190" t="s">
        <v>562</v>
      </c>
      <c r="C190" t="s">
        <v>376</v>
      </c>
      <c r="D190" t="s">
        <v>262</v>
      </c>
      <c r="E190" t="s">
        <v>8893</v>
      </c>
    </row>
    <row r="191" spans="1:5" x14ac:dyDescent="0.2">
      <c r="A191" t="s">
        <v>564</v>
      </c>
      <c r="B191" t="s">
        <v>565</v>
      </c>
      <c r="C191" t="s">
        <v>376</v>
      </c>
      <c r="D191" t="s">
        <v>566</v>
      </c>
      <c r="E191" t="s">
        <v>234</v>
      </c>
    </row>
    <row r="192" spans="1:5" x14ac:dyDescent="0.2">
      <c r="A192" t="s">
        <v>71</v>
      </c>
      <c r="B192" t="s">
        <v>567</v>
      </c>
      <c r="C192" t="s">
        <v>376</v>
      </c>
      <c r="D192" t="s">
        <v>400</v>
      </c>
      <c r="E192" t="s">
        <v>8893</v>
      </c>
    </row>
    <row r="193" spans="1:5" x14ac:dyDescent="0.2">
      <c r="A193" t="s">
        <v>569</v>
      </c>
      <c r="B193" t="s">
        <v>570</v>
      </c>
      <c r="C193" t="s">
        <v>376</v>
      </c>
      <c r="D193" t="s">
        <v>400</v>
      </c>
      <c r="E193" t="s">
        <v>8893</v>
      </c>
    </row>
    <row r="194" spans="1:5" x14ac:dyDescent="0.2">
      <c r="A194" t="s">
        <v>571</v>
      </c>
      <c r="B194" t="s">
        <v>8908</v>
      </c>
      <c r="C194" t="s">
        <v>376</v>
      </c>
      <c r="D194" t="s">
        <v>572</v>
      </c>
      <c r="E194" t="s">
        <v>806</v>
      </c>
    </row>
    <row r="195" spans="1:5" x14ac:dyDescent="0.2">
      <c r="A195" t="s">
        <v>573</v>
      </c>
      <c r="B195" t="s">
        <v>8909</v>
      </c>
      <c r="C195" t="s">
        <v>376</v>
      </c>
      <c r="D195" t="s">
        <v>200</v>
      </c>
      <c r="E195" t="s">
        <v>806</v>
      </c>
    </row>
    <row r="196" spans="1:5" x14ac:dyDescent="0.2">
      <c r="A196" t="s">
        <v>574</v>
      </c>
      <c r="B196" t="s">
        <v>575</v>
      </c>
      <c r="C196" t="s">
        <v>318</v>
      </c>
      <c r="D196" t="s">
        <v>140</v>
      </c>
      <c r="E196" t="s">
        <v>8894</v>
      </c>
    </row>
    <row r="197" spans="1:5" x14ac:dyDescent="0.2">
      <c r="A197" t="s">
        <v>576</v>
      </c>
      <c r="B197" t="s">
        <v>577</v>
      </c>
      <c r="C197" t="s">
        <v>244</v>
      </c>
      <c r="D197" t="s">
        <v>489</v>
      </c>
      <c r="E197" t="s">
        <v>8894</v>
      </c>
    </row>
    <row r="198" spans="1:5" x14ac:dyDescent="0.2">
      <c r="A198" t="s">
        <v>579</v>
      </c>
      <c r="B198" t="s">
        <v>580</v>
      </c>
      <c r="C198" t="s">
        <v>244</v>
      </c>
      <c r="D198" t="s">
        <v>489</v>
      </c>
      <c r="E198" t="s">
        <v>8894</v>
      </c>
    </row>
    <row r="199" spans="1:5" x14ac:dyDescent="0.2">
      <c r="A199" t="s">
        <v>581</v>
      </c>
      <c r="B199" t="s">
        <v>582</v>
      </c>
      <c r="C199" t="s">
        <v>244</v>
      </c>
      <c r="D199" t="s">
        <v>583</v>
      </c>
      <c r="E199" t="s">
        <v>8894</v>
      </c>
    </row>
    <row r="200" spans="1:5" x14ac:dyDescent="0.2">
      <c r="A200" t="s">
        <v>584</v>
      </c>
      <c r="B200" t="s">
        <v>585</v>
      </c>
      <c r="C200" t="s">
        <v>244</v>
      </c>
      <c r="D200" t="s">
        <v>583</v>
      </c>
      <c r="E200" t="s">
        <v>8894</v>
      </c>
    </row>
    <row r="201" spans="1:5" x14ac:dyDescent="0.2">
      <c r="A201" t="s">
        <v>586</v>
      </c>
      <c r="B201" t="s">
        <v>587</v>
      </c>
      <c r="C201" t="s">
        <v>244</v>
      </c>
      <c r="D201" t="s">
        <v>583</v>
      </c>
      <c r="E201" t="s">
        <v>8894</v>
      </c>
    </row>
    <row r="202" spans="1:5" x14ac:dyDescent="0.2">
      <c r="A202" t="s">
        <v>589</v>
      </c>
      <c r="B202" t="s">
        <v>590</v>
      </c>
      <c r="C202" t="s">
        <v>591</v>
      </c>
      <c r="D202" t="s">
        <v>301</v>
      </c>
      <c r="E202" t="s">
        <v>578</v>
      </c>
    </row>
    <row r="203" spans="1:5" x14ac:dyDescent="0.2">
      <c r="A203" t="s">
        <v>592</v>
      </c>
      <c r="B203" t="s">
        <v>593</v>
      </c>
      <c r="C203" t="s">
        <v>591</v>
      </c>
      <c r="D203" t="s">
        <v>301</v>
      </c>
      <c r="E203" t="s">
        <v>578</v>
      </c>
    </row>
    <row r="204" spans="1:5" x14ac:dyDescent="0.2">
      <c r="A204" t="s">
        <v>594</v>
      </c>
      <c r="B204" t="s">
        <v>595</v>
      </c>
      <c r="C204" t="s">
        <v>104</v>
      </c>
      <c r="D204" t="s">
        <v>596</v>
      </c>
      <c r="E204" t="s">
        <v>8894</v>
      </c>
    </row>
    <row r="205" spans="1:5" x14ac:dyDescent="0.2">
      <c r="A205" t="s">
        <v>597</v>
      </c>
      <c r="B205" t="s">
        <v>598</v>
      </c>
      <c r="C205" t="s">
        <v>104</v>
      </c>
      <c r="D205" t="s">
        <v>596</v>
      </c>
      <c r="E205" t="s">
        <v>8894</v>
      </c>
    </row>
    <row r="206" spans="1:5" x14ac:dyDescent="0.2">
      <c r="A206" t="s">
        <v>599</v>
      </c>
      <c r="B206" t="s">
        <v>600</v>
      </c>
      <c r="C206" t="s">
        <v>104</v>
      </c>
      <c r="D206" t="s">
        <v>254</v>
      </c>
      <c r="E206" t="s">
        <v>8894</v>
      </c>
    </row>
    <row r="207" spans="1:5" x14ac:dyDescent="0.2">
      <c r="A207" t="s">
        <v>601</v>
      </c>
      <c r="B207" t="s">
        <v>602</v>
      </c>
      <c r="C207" t="s">
        <v>104</v>
      </c>
      <c r="D207" t="s">
        <v>254</v>
      </c>
      <c r="E207" t="s">
        <v>8894</v>
      </c>
    </row>
    <row r="208" spans="1:5" x14ac:dyDescent="0.2">
      <c r="A208" t="s">
        <v>603</v>
      </c>
      <c r="B208" t="s">
        <v>8910</v>
      </c>
      <c r="C208" t="s">
        <v>104</v>
      </c>
      <c r="D208" t="s">
        <v>604</v>
      </c>
      <c r="E208" t="s">
        <v>2571</v>
      </c>
    </row>
    <row r="209" spans="1:5" x14ac:dyDescent="0.2">
      <c r="A209" t="s">
        <v>605</v>
      </c>
      <c r="B209" t="s">
        <v>8911</v>
      </c>
      <c r="C209" t="s">
        <v>104</v>
      </c>
      <c r="D209" t="s">
        <v>604</v>
      </c>
      <c r="E209" t="s">
        <v>2571</v>
      </c>
    </row>
    <row r="210" spans="1:5" x14ac:dyDescent="0.2">
      <c r="A210" t="s">
        <v>606</v>
      </c>
      <c r="B210" t="s">
        <v>8912</v>
      </c>
      <c r="C210" t="s">
        <v>104</v>
      </c>
      <c r="D210" t="s">
        <v>262</v>
      </c>
      <c r="E210" t="s">
        <v>2571</v>
      </c>
    </row>
    <row r="211" spans="1:5" x14ac:dyDescent="0.2">
      <c r="A211" t="s">
        <v>607</v>
      </c>
      <c r="B211" t="s">
        <v>8913</v>
      </c>
      <c r="C211" t="s">
        <v>104</v>
      </c>
      <c r="D211" t="s">
        <v>262</v>
      </c>
      <c r="E211" t="s">
        <v>2571</v>
      </c>
    </row>
    <row r="212" spans="1:5" x14ac:dyDescent="0.2">
      <c r="A212" t="s">
        <v>608</v>
      </c>
      <c r="B212" t="s">
        <v>8914</v>
      </c>
      <c r="C212" t="s">
        <v>591</v>
      </c>
      <c r="D212" t="s">
        <v>422</v>
      </c>
      <c r="E212" t="s">
        <v>194</v>
      </c>
    </row>
    <row r="213" spans="1:5" x14ac:dyDescent="0.2">
      <c r="A213" t="s">
        <v>609</v>
      </c>
      <c r="B213" t="s">
        <v>610</v>
      </c>
      <c r="C213" t="s">
        <v>591</v>
      </c>
      <c r="D213" t="s">
        <v>611</v>
      </c>
      <c r="E213" t="s">
        <v>8894</v>
      </c>
    </row>
    <row r="214" spans="1:5" x14ac:dyDescent="0.2">
      <c r="A214" t="s">
        <v>612</v>
      </c>
      <c r="B214" t="s">
        <v>613</v>
      </c>
      <c r="C214" t="s">
        <v>591</v>
      </c>
      <c r="D214" t="s">
        <v>462</v>
      </c>
      <c r="E214" t="s">
        <v>8894</v>
      </c>
    </row>
    <row r="215" spans="1:5" x14ac:dyDescent="0.2">
      <c r="A215" t="s">
        <v>614</v>
      </c>
      <c r="B215" t="s">
        <v>615</v>
      </c>
      <c r="C215" t="s">
        <v>616</v>
      </c>
      <c r="D215" t="s">
        <v>223</v>
      </c>
      <c r="E215" t="s">
        <v>8894</v>
      </c>
    </row>
    <row r="216" spans="1:5" x14ac:dyDescent="0.2">
      <c r="A216" t="s">
        <v>618</v>
      </c>
      <c r="B216" t="s">
        <v>619</v>
      </c>
      <c r="C216" t="s">
        <v>616</v>
      </c>
      <c r="D216" t="s">
        <v>223</v>
      </c>
      <c r="E216" t="s">
        <v>8894</v>
      </c>
    </row>
    <row r="217" spans="1:5" x14ac:dyDescent="0.2">
      <c r="A217" t="s">
        <v>620</v>
      </c>
      <c r="B217" t="s">
        <v>621</v>
      </c>
      <c r="C217" t="s">
        <v>616</v>
      </c>
      <c r="D217" t="s">
        <v>224</v>
      </c>
      <c r="E217" t="s">
        <v>8894</v>
      </c>
    </row>
    <row r="218" spans="1:5" x14ac:dyDescent="0.2">
      <c r="A218" t="s">
        <v>623</v>
      </c>
      <c r="B218" t="s">
        <v>624</v>
      </c>
      <c r="C218" t="s">
        <v>616</v>
      </c>
      <c r="D218" t="s">
        <v>224</v>
      </c>
      <c r="E218" t="s">
        <v>8894</v>
      </c>
    </row>
    <row r="219" spans="1:5" x14ac:dyDescent="0.2">
      <c r="A219" t="s">
        <v>625</v>
      </c>
      <c r="B219" t="s">
        <v>626</v>
      </c>
      <c r="C219" t="s">
        <v>331</v>
      </c>
      <c r="D219" t="s">
        <v>654</v>
      </c>
      <c r="E219" t="s">
        <v>8893</v>
      </c>
    </row>
    <row r="220" spans="1:5" x14ac:dyDescent="0.2">
      <c r="A220" t="s">
        <v>627</v>
      </c>
      <c r="B220" t="s">
        <v>628</v>
      </c>
      <c r="C220" t="s">
        <v>331</v>
      </c>
      <c r="D220" t="s">
        <v>368</v>
      </c>
      <c r="E220" t="s">
        <v>563</v>
      </c>
    </row>
    <row r="221" spans="1:5" x14ac:dyDescent="0.2">
      <c r="A221" t="s">
        <v>629</v>
      </c>
      <c r="B221" t="s">
        <v>630</v>
      </c>
      <c r="C221" t="s">
        <v>331</v>
      </c>
      <c r="D221" t="s">
        <v>368</v>
      </c>
      <c r="E221" t="s">
        <v>563</v>
      </c>
    </row>
    <row r="222" spans="1:5" x14ac:dyDescent="0.2">
      <c r="A222" t="s">
        <v>631</v>
      </c>
      <c r="B222" t="s">
        <v>632</v>
      </c>
      <c r="C222" t="s">
        <v>331</v>
      </c>
      <c r="D222" t="s">
        <v>604</v>
      </c>
      <c r="E222" t="s">
        <v>8893</v>
      </c>
    </row>
    <row r="223" spans="1:5" x14ac:dyDescent="0.2">
      <c r="A223" t="s">
        <v>59</v>
      </c>
      <c r="B223" t="s">
        <v>8915</v>
      </c>
      <c r="C223" t="s">
        <v>331</v>
      </c>
      <c r="D223" t="s">
        <v>126</v>
      </c>
      <c r="E223" t="s">
        <v>806</v>
      </c>
    </row>
    <row r="224" spans="1:5" x14ac:dyDescent="0.2">
      <c r="A224" t="s">
        <v>633</v>
      </c>
      <c r="B224" t="s">
        <v>8916</v>
      </c>
      <c r="C224" t="s">
        <v>331</v>
      </c>
      <c r="D224" t="s">
        <v>126</v>
      </c>
      <c r="E224" t="s">
        <v>806</v>
      </c>
    </row>
    <row r="225" spans="1:5" x14ac:dyDescent="0.2">
      <c r="A225" t="s">
        <v>634</v>
      </c>
      <c r="B225" t="s">
        <v>8917</v>
      </c>
      <c r="C225" t="s">
        <v>244</v>
      </c>
      <c r="D225" t="s">
        <v>635</v>
      </c>
      <c r="E225" t="s">
        <v>194</v>
      </c>
    </row>
    <row r="226" spans="1:5" x14ac:dyDescent="0.2">
      <c r="A226" t="s">
        <v>636</v>
      </c>
      <c r="B226" t="s">
        <v>8918</v>
      </c>
      <c r="C226" t="s">
        <v>244</v>
      </c>
      <c r="D226" t="s">
        <v>635</v>
      </c>
      <c r="E226" t="s">
        <v>194</v>
      </c>
    </row>
    <row r="227" spans="1:5" x14ac:dyDescent="0.2">
      <c r="A227" t="s">
        <v>639</v>
      </c>
      <c r="B227" t="s">
        <v>8919</v>
      </c>
      <c r="C227" t="s">
        <v>244</v>
      </c>
      <c r="D227" t="s">
        <v>110</v>
      </c>
      <c r="E227" t="s">
        <v>194</v>
      </c>
    </row>
    <row r="228" spans="1:5" x14ac:dyDescent="0.2">
      <c r="A228" t="s">
        <v>640</v>
      </c>
      <c r="B228" t="s">
        <v>8920</v>
      </c>
      <c r="C228" t="s">
        <v>244</v>
      </c>
      <c r="D228" t="s">
        <v>110</v>
      </c>
      <c r="E228" t="s">
        <v>194</v>
      </c>
    </row>
    <row r="229" spans="1:5" x14ac:dyDescent="0.2">
      <c r="A229" t="s">
        <v>637</v>
      </c>
      <c r="B229" t="s">
        <v>8921</v>
      </c>
      <c r="C229" t="s">
        <v>244</v>
      </c>
      <c r="D229" t="s">
        <v>245</v>
      </c>
      <c r="E229" t="s">
        <v>194</v>
      </c>
    </row>
    <row r="230" spans="1:5" x14ac:dyDescent="0.2">
      <c r="A230" t="s">
        <v>638</v>
      </c>
      <c r="B230" t="s">
        <v>8922</v>
      </c>
      <c r="C230" t="s">
        <v>244</v>
      </c>
      <c r="D230" t="s">
        <v>245</v>
      </c>
      <c r="E230" t="s">
        <v>194</v>
      </c>
    </row>
    <row r="231" spans="1:5" x14ac:dyDescent="0.2">
      <c r="A231" t="s">
        <v>641</v>
      </c>
      <c r="B231" t="s">
        <v>642</v>
      </c>
      <c r="C231" t="s">
        <v>322</v>
      </c>
      <c r="D231" t="s">
        <v>547</v>
      </c>
      <c r="E231" t="s">
        <v>8894</v>
      </c>
    </row>
    <row r="232" spans="1:5" x14ac:dyDescent="0.2">
      <c r="A232" t="s">
        <v>643</v>
      </c>
      <c r="B232" t="s">
        <v>644</v>
      </c>
      <c r="C232" t="s">
        <v>322</v>
      </c>
      <c r="D232" t="s">
        <v>456</v>
      </c>
      <c r="E232" t="s">
        <v>8894</v>
      </c>
    </row>
    <row r="233" spans="1:5" x14ac:dyDescent="0.2">
      <c r="A233" t="s">
        <v>645</v>
      </c>
      <c r="B233" t="s">
        <v>8923</v>
      </c>
      <c r="C233" t="s">
        <v>322</v>
      </c>
      <c r="D233" t="s">
        <v>456</v>
      </c>
      <c r="E233" t="s">
        <v>194</v>
      </c>
    </row>
    <row r="234" spans="1:5" x14ac:dyDescent="0.2">
      <c r="A234" t="s">
        <v>647</v>
      </c>
      <c r="B234" t="s">
        <v>8924</v>
      </c>
      <c r="C234" t="s">
        <v>322</v>
      </c>
      <c r="D234" t="s">
        <v>171</v>
      </c>
      <c r="E234" t="s">
        <v>194</v>
      </c>
    </row>
    <row r="235" spans="1:5" x14ac:dyDescent="0.2">
      <c r="A235" t="s">
        <v>646</v>
      </c>
      <c r="B235" t="s">
        <v>8925</v>
      </c>
      <c r="C235" t="s">
        <v>322</v>
      </c>
      <c r="D235" t="s">
        <v>441</v>
      </c>
      <c r="E235" t="s">
        <v>194</v>
      </c>
    </row>
    <row r="236" spans="1:5" x14ac:dyDescent="0.2">
      <c r="A236" t="s">
        <v>648</v>
      </c>
      <c r="B236" t="s">
        <v>8926</v>
      </c>
      <c r="C236" t="s">
        <v>322</v>
      </c>
      <c r="D236" t="s">
        <v>604</v>
      </c>
      <c r="E236" t="s">
        <v>806</v>
      </c>
    </row>
    <row r="237" spans="1:5" x14ac:dyDescent="0.2">
      <c r="A237" t="s">
        <v>649</v>
      </c>
      <c r="B237" t="s">
        <v>8927</v>
      </c>
      <c r="C237" t="s">
        <v>322</v>
      </c>
      <c r="D237" t="s">
        <v>223</v>
      </c>
      <c r="E237" t="s">
        <v>806</v>
      </c>
    </row>
    <row r="238" spans="1:5" x14ac:dyDescent="0.2">
      <c r="A238" t="s">
        <v>650</v>
      </c>
      <c r="B238" t="s">
        <v>8928</v>
      </c>
      <c r="C238" t="s">
        <v>322</v>
      </c>
      <c r="D238" t="s">
        <v>126</v>
      </c>
      <c r="E238" t="s">
        <v>806</v>
      </c>
    </row>
    <row r="239" spans="1:5" x14ac:dyDescent="0.2">
      <c r="A239" t="s">
        <v>651</v>
      </c>
      <c r="B239" t="s">
        <v>8929</v>
      </c>
      <c r="C239" t="s">
        <v>322</v>
      </c>
      <c r="D239" t="s">
        <v>400</v>
      </c>
      <c r="E239" t="s">
        <v>806</v>
      </c>
    </row>
    <row r="240" spans="1:5" x14ac:dyDescent="0.2">
      <c r="A240" t="s">
        <v>652</v>
      </c>
      <c r="B240" t="s">
        <v>8930</v>
      </c>
      <c r="C240" t="s">
        <v>322</v>
      </c>
      <c r="D240" t="s">
        <v>400</v>
      </c>
      <c r="E240" t="s">
        <v>806</v>
      </c>
    </row>
    <row r="241" spans="1:5" x14ac:dyDescent="0.2">
      <c r="A241" t="s">
        <v>653</v>
      </c>
      <c r="B241" t="s">
        <v>8931</v>
      </c>
      <c r="C241" t="s">
        <v>322</v>
      </c>
      <c r="D241" t="s">
        <v>547</v>
      </c>
      <c r="E241" t="s">
        <v>806</v>
      </c>
    </row>
    <row r="242" spans="1:5" x14ac:dyDescent="0.2">
      <c r="A242" t="s">
        <v>655</v>
      </c>
      <c r="B242" t="s">
        <v>8932</v>
      </c>
      <c r="C242" t="s">
        <v>322</v>
      </c>
      <c r="D242" t="s">
        <v>547</v>
      </c>
      <c r="E242" t="s">
        <v>806</v>
      </c>
    </row>
    <row r="243" spans="1:5" x14ac:dyDescent="0.2">
      <c r="A243" t="s">
        <v>656</v>
      </c>
      <c r="B243" t="s">
        <v>8933</v>
      </c>
      <c r="C243" t="s">
        <v>322</v>
      </c>
      <c r="D243" t="s">
        <v>224</v>
      </c>
      <c r="E243" t="s">
        <v>806</v>
      </c>
    </row>
    <row r="244" spans="1:5" x14ac:dyDescent="0.2">
      <c r="A244" t="s">
        <v>657</v>
      </c>
      <c r="B244" t="s">
        <v>8934</v>
      </c>
      <c r="C244" t="s">
        <v>322</v>
      </c>
      <c r="D244" t="s">
        <v>224</v>
      </c>
      <c r="E244" t="s">
        <v>806</v>
      </c>
    </row>
    <row r="245" spans="1:5" x14ac:dyDescent="0.2">
      <c r="A245" t="s">
        <v>658</v>
      </c>
      <c r="B245" t="s">
        <v>8935</v>
      </c>
      <c r="C245" t="s">
        <v>659</v>
      </c>
      <c r="D245" t="s">
        <v>335</v>
      </c>
      <c r="E245" t="s">
        <v>806</v>
      </c>
    </row>
    <row r="246" spans="1:5" x14ac:dyDescent="0.2">
      <c r="A246" t="s">
        <v>660</v>
      </c>
      <c r="B246" t="s">
        <v>661</v>
      </c>
      <c r="C246" t="s">
        <v>322</v>
      </c>
      <c r="D246" t="s">
        <v>662</v>
      </c>
      <c r="E246" t="s">
        <v>234</v>
      </c>
    </row>
    <row r="247" spans="1:5" x14ac:dyDescent="0.2">
      <c r="A247" t="s">
        <v>663</v>
      </c>
      <c r="B247" t="s">
        <v>664</v>
      </c>
      <c r="C247" t="s">
        <v>261</v>
      </c>
      <c r="D247" t="s">
        <v>258</v>
      </c>
      <c r="E247" t="s">
        <v>8894</v>
      </c>
    </row>
    <row r="248" spans="1:5" x14ac:dyDescent="0.2">
      <c r="A248" t="s">
        <v>665</v>
      </c>
      <c r="B248" t="s">
        <v>666</v>
      </c>
      <c r="C248" t="s">
        <v>261</v>
      </c>
      <c r="D248" t="s">
        <v>258</v>
      </c>
      <c r="E248" t="s">
        <v>8894</v>
      </c>
    </row>
    <row r="249" spans="1:5" x14ac:dyDescent="0.2">
      <c r="A249" t="s">
        <v>667</v>
      </c>
      <c r="B249" t="s">
        <v>668</v>
      </c>
      <c r="C249" t="s">
        <v>669</v>
      </c>
      <c r="D249" t="s">
        <v>400</v>
      </c>
      <c r="E249" t="s">
        <v>8894</v>
      </c>
    </row>
    <row r="250" spans="1:5" x14ac:dyDescent="0.2">
      <c r="A250" t="s">
        <v>670</v>
      </c>
      <c r="B250" t="s">
        <v>671</v>
      </c>
      <c r="C250" t="s">
        <v>669</v>
      </c>
      <c r="D250" t="s">
        <v>400</v>
      </c>
      <c r="E250" t="s">
        <v>8894</v>
      </c>
    </row>
    <row r="251" spans="1:5" x14ac:dyDescent="0.2">
      <c r="A251" t="s">
        <v>672</v>
      </c>
      <c r="B251" t="s">
        <v>673</v>
      </c>
      <c r="C251" t="s">
        <v>659</v>
      </c>
      <c r="D251" t="s">
        <v>547</v>
      </c>
      <c r="E251" t="s">
        <v>8894</v>
      </c>
    </row>
    <row r="252" spans="1:5" x14ac:dyDescent="0.2">
      <c r="A252" t="s">
        <v>674</v>
      </c>
      <c r="B252" t="s">
        <v>675</v>
      </c>
      <c r="C252" t="s">
        <v>659</v>
      </c>
      <c r="D252" t="s">
        <v>456</v>
      </c>
      <c r="E252" t="s">
        <v>8894</v>
      </c>
    </row>
    <row r="253" spans="1:5" x14ac:dyDescent="0.2">
      <c r="A253" t="s">
        <v>676</v>
      </c>
      <c r="B253" t="s">
        <v>8936</v>
      </c>
      <c r="C253" t="s">
        <v>199</v>
      </c>
      <c r="D253" t="s">
        <v>456</v>
      </c>
      <c r="E253" t="s">
        <v>234</v>
      </c>
    </row>
    <row r="254" spans="1:5" x14ac:dyDescent="0.2">
      <c r="A254" t="s">
        <v>677</v>
      </c>
      <c r="B254" t="s">
        <v>8937</v>
      </c>
      <c r="C254" t="s">
        <v>199</v>
      </c>
      <c r="D254" t="s">
        <v>171</v>
      </c>
      <c r="E254" t="s">
        <v>234</v>
      </c>
    </row>
    <row r="255" spans="1:5" x14ac:dyDescent="0.2">
      <c r="A255" t="s">
        <v>678</v>
      </c>
      <c r="B255" t="s">
        <v>8938</v>
      </c>
      <c r="C255" t="s">
        <v>199</v>
      </c>
      <c r="D255" t="s">
        <v>441</v>
      </c>
      <c r="E255" t="s">
        <v>234</v>
      </c>
    </row>
    <row r="256" spans="1:5" x14ac:dyDescent="0.2">
      <c r="A256" t="s">
        <v>679</v>
      </c>
      <c r="B256" t="s">
        <v>8939</v>
      </c>
      <c r="C256" t="s">
        <v>131</v>
      </c>
      <c r="D256" t="s">
        <v>701</v>
      </c>
      <c r="E256" t="s">
        <v>806</v>
      </c>
    </row>
    <row r="257" spans="1:5" x14ac:dyDescent="0.2">
      <c r="A257" t="s">
        <v>680</v>
      </c>
      <c r="B257" t="s">
        <v>8940</v>
      </c>
      <c r="C257" t="s">
        <v>131</v>
      </c>
      <c r="D257" t="s">
        <v>681</v>
      </c>
      <c r="E257" t="s">
        <v>806</v>
      </c>
    </row>
    <row r="258" spans="1:5" x14ac:dyDescent="0.2">
      <c r="A258" t="s">
        <v>682</v>
      </c>
      <c r="B258" t="s">
        <v>8941</v>
      </c>
      <c r="C258" t="s">
        <v>131</v>
      </c>
      <c r="D258" t="s">
        <v>220</v>
      </c>
      <c r="E258" t="s">
        <v>806</v>
      </c>
    </row>
    <row r="259" spans="1:5" x14ac:dyDescent="0.2">
      <c r="A259" t="s">
        <v>683</v>
      </c>
      <c r="B259" t="s">
        <v>8942</v>
      </c>
      <c r="C259" t="s">
        <v>131</v>
      </c>
      <c r="D259" t="s">
        <v>99</v>
      </c>
      <c r="E259" t="s">
        <v>806</v>
      </c>
    </row>
    <row r="260" spans="1:5" x14ac:dyDescent="0.2">
      <c r="A260" t="s">
        <v>684</v>
      </c>
      <c r="B260" t="s">
        <v>685</v>
      </c>
      <c r="C260" t="s">
        <v>219</v>
      </c>
      <c r="D260" t="s">
        <v>238</v>
      </c>
      <c r="E260" t="s">
        <v>8893</v>
      </c>
    </row>
    <row r="261" spans="1:5" x14ac:dyDescent="0.2">
      <c r="A261" t="s">
        <v>686</v>
      </c>
      <c r="B261" t="s">
        <v>687</v>
      </c>
      <c r="C261" t="s">
        <v>219</v>
      </c>
      <c r="D261" t="s">
        <v>238</v>
      </c>
      <c r="E261" t="s">
        <v>8893</v>
      </c>
    </row>
    <row r="262" spans="1:5" x14ac:dyDescent="0.2">
      <c r="A262" t="s">
        <v>688</v>
      </c>
      <c r="B262" t="s">
        <v>689</v>
      </c>
      <c r="C262" t="s">
        <v>219</v>
      </c>
      <c r="D262" t="s">
        <v>394</v>
      </c>
      <c r="E262" t="s">
        <v>8893</v>
      </c>
    </row>
    <row r="263" spans="1:5" x14ac:dyDescent="0.2">
      <c r="A263" t="s">
        <v>691</v>
      </c>
      <c r="B263" t="s">
        <v>692</v>
      </c>
      <c r="C263" t="s">
        <v>219</v>
      </c>
      <c r="D263" t="s">
        <v>394</v>
      </c>
      <c r="E263" t="s">
        <v>8893</v>
      </c>
    </row>
    <row r="264" spans="1:5" x14ac:dyDescent="0.2">
      <c r="A264" t="s">
        <v>697</v>
      </c>
      <c r="B264" t="s">
        <v>8943</v>
      </c>
      <c r="C264" t="s">
        <v>219</v>
      </c>
      <c r="D264" t="s">
        <v>698</v>
      </c>
      <c r="E264" t="s">
        <v>806</v>
      </c>
    </row>
    <row r="265" spans="1:5" x14ac:dyDescent="0.2">
      <c r="A265" t="s">
        <v>699</v>
      </c>
      <c r="B265" t="s">
        <v>8944</v>
      </c>
      <c r="C265" t="s">
        <v>219</v>
      </c>
      <c r="D265" t="s">
        <v>383</v>
      </c>
      <c r="E265" t="s">
        <v>806</v>
      </c>
    </row>
    <row r="266" spans="1:5" x14ac:dyDescent="0.2">
      <c r="A266" t="s">
        <v>700</v>
      </c>
      <c r="B266" t="s">
        <v>8945</v>
      </c>
      <c r="C266" t="s">
        <v>421</v>
      </c>
      <c r="D266" t="s">
        <v>701</v>
      </c>
      <c r="E266" t="s">
        <v>806</v>
      </c>
    </row>
    <row r="267" spans="1:5" x14ac:dyDescent="0.2">
      <c r="A267" t="s">
        <v>702</v>
      </c>
      <c r="B267" t="s">
        <v>8946</v>
      </c>
      <c r="C267" t="s">
        <v>421</v>
      </c>
      <c r="D267" t="s">
        <v>171</v>
      </c>
      <c r="E267" t="s">
        <v>806</v>
      </c>
    </row>
    <row r="268" spans="1:5" x14ac:dyDescent="0.2">
      <c r="A268" t="s">
        <v>703</v>
      </c>
      <c r="B268" t="s">
        <v>8947</v>
      </c>
      <c r="C268" t="s">
        <v>421</v>
      </c>
      <c r="D268" t="s">
        <v>171</v>
      </c>
      <c r="E268" t="s">
        <v>806</v>
      </c>
    </row>
    <row r="269" spans="1:5" x14ac:dyDescent="0.2">
      <c r="A269" t="s">
        <v>704</v>
      </c>
      <c r="B269" t="s">
        <v>8948</v>
      </c>
      <c r="C269" t="s">
        <v>705</v>
      </c>
      <c r="D269" t="s">
        <v>525</v>
      </c>
      <c r="E269" t="s">
        <v>194</v>
      </c>
    </row>
    <row r="270" spans="1:5" x14ac:dyDescent="0.2">
      <c r="A270" t="s">
        <v>706</v>
      </c>
      <c r="B270" t="s">
        <v>8949</v>
      </c>
      <c r="C270" t="s">
        <v>705</v>
      </c>
      <c r="D270" t="s">
        <v>525</v>
      </c>
      <c r="E270" t="s">
        <v>194</v>
      </c>
    </row>
    <row r="271" spans="1:5" x14ac:dyDescent="0.2">
      <c r="A271" t="s">
        <v>709</v>
      </c>
      <c r="B271" t="s">
        <v>8950</v>
      </c>
      <c r="C271" t="s">
        <v>705</v>
      </c>
      <c r="D271" t="s">
        <v>710</v>
      </c>
      <c r="E271" t="s">
        <v>194</v>
      </c>
    </row>
    <row r="272" spans="1:5" x14ac:dyDescent="0.2">
      <c r="A272" t="s">
        <v>711</v>
      </c>
      <c r="B272" t="s">
        <v>8951</v>
      </c>
      <c r="C272" t="s">
        <v>705</v>
      </c>
      <c r="D272" t="s">
        <v>710</v>
      </c>
      <c r="E272" t="s">
        <v>194</v>
      </c>
    </row>
    <row r="273" spans="1:5" x14ac:dyDescent="0.2">
      <c r="A273" t="s">
        <v>707</v>
      </c>
      <c r="B273" t="s">
        <v>8952</v>
      </c>
      <c r="C273" t="s">
        <v>705</v>
      </c>
      <c r="D273" t="s">
        <v>171</v>
      </c>
      <c r="E273" t="s">
        <v>194</v>
      </c>
    </row>
    <row r="274" spans="1:5" x14ac:dyDescent="0.2">
      <c r="A274" t="s">
        <v>708</v>
      </c>
      <c r="B274" t="s">
        <v>8953</v>
      </c>
      <c r="C274" t="s">
        <v>705</v>
      </c>
      <c r="D274" t="s">
        <v>171</v>
      </c>
      <c r="E274" t="s">
        <v>194</v>
      </c>
    </row>
    <row r="275" spans="1:5" x14ac:dyDescent="0.2">
      <c r="A275" t="s">
        <v>712</v>
      </c>
      <c r="B275" t="s">
        <v>713</v>
      </c>
      <c r="C275" t="s">
        <v>705</v>
      </c>
      <c r="D275" t="s">
        <v>714</v>
      </c>
      <c r="E275" t="s">
        <v>234</v>
      </c>
    </row>
    <row r="276" spans="1:5" x14ac:dyDescent="0.2">
      <c r="A276" t="s">
        <v>715</v>
      </c>
      <c r="B276" t="s">
        <v>8954</v>
      </c>
      <c r="C276" t="s">
        <v>669</v>
      </c>
      <c r="D276" t="s">
        <v>560</v>
      </c>
      <c r="E276" t="s">
        <v>194</v>
      </c>
    </row>
    <row r="277" spans="1:5" x14ac:dyDescent="0.2">
      <c r="A277" t="s">
        <v>716</v>
      </c>
      <c r="B277" t="s">
        <v>8955</v>
      </c>
      <c r="C277" t="s">
        <v>669</v>
      </c>
      <c r="D277" t="s">
        <v>560</v>
      </c>
      <c r="E277" t="s">
        <v>194</v>
      </c>
    </row>
    <row r="278" spans="1:5" x14ac:dyDescent="0.2">
      <c r="A278" t="s">
        <v>717</v>
      </c>
      <c r="B278" t="s">
        <v>8956</v>
      </c>
      <c r="C278" t="s">
        <v>669</v>
      </c>
      <c r="D278" t="s">
        <v>718</v>
      </c>
      <c r="E278" t="s">
        <v>194</v>
      </c>
    </row>
    <row r="279" spans="1:5" x14ac:dyDescent="0.2">
      <c r="A279" t="s">
        <v>719</v>
      </c>
      <c r="B279" t="s">
        <v>8957</v>
      </c>
      <c r="C279" t="s">
        <v>669</v>
      </c>
      <c r="D279" t="s">
        <v>718</v>
      </c>
      <c r="E279" t="s">
        <v>194</v>
      </c>
    </row>
    <row r="280" spans="1:5" x14ac:dyDescent="0.2">
      <c r="A280" t="s">
        <v>720</v>
      </c>
      <c r="B280" t="s">
        <v>8958</v>
      </c>
      <c r="C280" t="s">
        <v>669</v>
      </c>
      <c r="D280" t="s">
        <v>433</v>
      </c>
      <c r="E280" t="s">
        <v>315</v>
      </c>
    </row>
    <row r="281" spans="1:5" x14ac:dyDescent="0.2">
      <c r="A281" t="s">
        <v>721</v>
      </c>
      <c r="B281" t="s">
        <v>8959</v>
      </c>
      <c r="C281" t="s">
        <v>669</v>
      </c>
      <c r="D281" t="s">
        <v>433</v>
      </c>
      <c r="E281" t="s">
        <v>194</v>
      </c>
    </row>
    <row r="282" spans="1:5" x14ac:dyDescent="0.2">
      <c r="A282" t="s">
        <v>722</v>
      </c>
      <c r="B282" t="s">
        <v>8960</v>
      </c>
      <c r="C282" t="s">
        <v>669</v>
      </c>
      <c r="D282" t="s">
        <v>224</v>
      </c>
      <c r="E282" t="s">
        <v>194</v>
      </c>
    </row>
    <row r="283" spans="1:5" x14ac:dyDescent="0.2">
      <c r="A283" t="s">
        <v>725</v>
      </c>
      <c r="B283" t="s">
        <v>8961</v>
      </c>
      <c r="C283" t="s">
        <v>669</v>
      </c>
      <c r="D283" t="s">
        <v>535</v>
      </c>
      <c r="E283" t="s">
        <v>194</v>
      </c>
    </row>
    <row r="284" spans="1:5" x14ac:dyDescent="0.2">
      <c r="A284" t="s">
        <v>726</v>
      </c>
      <c r="B284" t="s">
        <v>8962</v>
      </c>
      <c r="C284" t="s">
        <v>669</v>
      </c>
      <c r="D284" t="s">
        <v>535</v>
      </c>
      <c r="E284" t="s">
        <v>194</v>
      </c>
    </row>
    <row r="285" spans="1:5" x14ac:dyDescent="0.2">
      <c r="A285" t="s">
        <v>723</v>
      </c>
      <c r="B285" t="s">
        <v>8963</v>
      </c>
      <c r="C285" t="s">
        <v>669</v>
      </c>
      <c r="D285" t="s">
        <v>338</v>
      </c>
      <c r="E285" t="s">
        <v>194</v>
      </c>
    </row>
    <row r="286" spans="1:5" x14ac:dyDescent="0.2">
      <c r="A286" t="s">
        <v>724</v>
      </c>
      <c r="B286" t="s">
        <v>8964</v>
      </c>
      <c r="C286" t="s">
        <v>669</v>
      </c>
      <c r="D286" t="s">
        <v>338</v>
      </c>
      <c r="E286" t="s">
        <v>194</v>
      </c>
    </row>
    <row r="287" spans="1:5" x14ac:dyDescent="0.2">
      <c r="A287" t="s">
        <v>727</v>
      </c>
      <c r="B287" t="s">
        <v>8965</v>
      </c>
      <c r="C287" t="s">
        <v>219</v>
      </c>
      <c r="D287" t="s">
        <v>728</v>
      </c>
      <c r="E287" t="s">
        <v>806</v>
      </c>
    </row>
    <row r="288" spans="1:5" x14ac:dyDescent="0.2">
      <c r="A288" t="s">
        <v>729</v>
      </c>
      <c r="B288" t="s">
        <v>8966</v>
      </c>
      <c r="C288" t="s">
        <v>219</v>
      </c>
      <c r="D288" t="s">
        <v>282</v>
      </c>
      <c r="E288" t="s">
        <v>806</v>
      </c>
    </row>
    <row r="289" spans="1:5" x14ac:dyDescent="0.2">
      <c r="A289" t="s">
        <v>693</v>
      </c>
      <c r="B289" t="s">
        <v>8967</v>
      </c>
      <c r="C289" t="s">
        <v>219</v>
      </c>
      <c r="D289" t="s">
        <v>238</v>
      </c>
      <c r="E289" t="s">
        <v>8893</v>
      </c>
    </row>
    <row r="290" spans="1:5" x14ac:dyDescent="0.2">
      <c r="A290" t="s">
        <v>694</v>
      </c>
      <c r="B290" t="s">
        <v>8968</v>
      </c>
      <c r="C290" t="s">
        <v>219</v>
      </c>
      <c r="D290" t="s">
        <v>238</v>
      </c>
      <c r="E290" t="s">
        <v>8893</v>
      </c>
    </row>
    <row r="291" spans="1:5" x14ac:dyDescent="0.2">
      <c r="A291" t="s">
        <v>695</v>
      </c>
      <c r="B291" t="s">
        <v>8969</v>
      </c>
      <c r="C291" t="s">
        <v>219</v>
      </c>
      <c r="D291" t="s">
        <v>394</v>
      </c>
      <c r="E291" t="s">
        <v>8893</v>
      </c>
    </row>
    <row r="292" spans="1:5" x14ac:dyDescent="0.2">
      <c r="A292" t="s">
        <v>696</v>
      </c>
      <c r="B292" t="s">
        <v>8970</v>
      </c>
      <c r="C292" t="s">
        <v>219</v>
      </c>
      <c r="D292" t="s">
        <v>394</v>
      </c>
      <c r="E292" t="s">
        <v>8893</v>
      </c>
    </row>
    <row r="293" spans="1:5" x14ac:dyDescent="0.2">
      <c r="A293" t="s">
        <v>730</v>
      </c>
      <c r="B293" t="s">
        <v>8971</v>
      </c>
      <c r="C293" t="s">
        <v>261</v>
      </c>
      <c r="D293" t="s">
        <v>193</v>
      </c>
      <c r="E293" t="s">
        <v>806</v>
      </c>
    </row>
    <row r="294" spans="1:5" x14ac:dyDescent="0.2">
      <c r="A294" t="s">
        <v>731</v>
      </c>
      <c r="B294" t="s">
        <v>8972</v>
      </c>
      <c r="C294" t="s">
        <v>261</v>
      </c>
      <c r="D294" t="s">
        <v>245</v>
      </c>
      <c r="E294" t="s">
        <v>806</v>
      </c>
    </row>
    <row r="295" spans="1:5" x14ac:dyDescent="0.2">
      <c r="A295" t="s">
        <v>732</v>
      </c>
      <c r="B295" t="s">
        <v>8973</v>
      </c>
      <c r="C295" t="s">
        <v>261</v>
      </c>
      <c r="D295" t="s">
        <v>245</v>
      </c>
      <c r="E295" t="s">
        <v>806</v>
      </c>
    </row>
    <row r="296" spans="1:5" x14ac:dyDescent="0.2">
      <c r="A296" t="s">
        <v>733</v>
      </c>
      <c r="B296" t="s">
        <v>8974</v>
      </c>
      <c r="C296" t="s">
        <v>261</v>
      </c>
      <c r="D296" t="s">
        <v>734</v>
      </c>
      <c r="E296" t="s">
        <v>806</v>
      </c>
    </row>
    <row r="297" spans="1:5" x14ac:dyDescent="0.2">
      <c r="A297" t="s">
        <v>735</v>
      </c>
      <c r="B297" t="s">
        <v>8975</v>
      </c>
      <c r="C297" t="s">
        <v>261</v>
      </c>
      <c r="D297" t="s">
        <v>734</v>
      </c>
      <c r="E297" t="s">
        <v>806</v>
      </c>
    </row>
    <row r="298" spans="1:5" x14ac:dyDescent="0.2">
      <c r="A298" t="s">
        <v>736</v>
      </c>
      <c r="B298" t="s">
        <v>8976</v>
      </c>
      <c r="C298" t="s">
        <v>244</v>
      </c>
      <c r="D298" t="s">
        <v>200</v>
      </c>
      <c r="E298" t="s">
        <v>806</v>
      </c>
    </row>
    <row r="299" spans="1:5" x14ac:dyDescent="0.2">
      <c r="A299" t="s">
        <v>737</v>
      </c>
      <c r="B299" t="s">
        <v>8977</v>
      </c>
      <c r="C299" t="s">
        <v>244</v>
      </c>
      <c r="D299" t="s">
        <v>200</v>
      </c>
      <c r="E299" t="s">
        <v>806</v>
      </c>
    </row>
    <row r="300" spans="1:5" x14ac:dyDescent="0.2">
      <c r="A300" t="s">
        <v>738</v>
      </c>
      <c r="B300" t="s">
        <v>8978</v>
      </c>
      <c r="C300" t="s">
        <v>244</v>
      </c>
      <c r="D300" t="s">
        <v>301</v>
      </c>
      <c r="E300" t="s">
        <v>806</v>
      </c>
    </row>
    <row r="301" spans="1:5" x14ac:dyDescent="0.2">
      <c r="A301" t="s">
        <v>739</v>
      </c>
      <c r="B301" t="s">
        <v>8979</v>
      </c>
      <c r="C301" t="s">
        <v>244</v>
      </c>
      <c r="D301" t="s">
        <v>301</v>
      </c>
      <c r="E301" t="s">
        <v>806</v>
      </c>
    </row>
    <row r="302" spans="1:5" x14ac:dyDescent="0.2">
      <c r="A302" t="s">
        <v>740</v>
      </c>
      <c r="B302" t="s">
        <v>741</v>
      </c>
      <c r="C302" t="s">
        <v>742</v>
      </c>
      <c r="D302" t="s">
        <v>1302</v>
      </c>
      <c r="E302" t="s">
        <v>8880</v>
      </c>
    </row>
    <row r="303" spans="1:5" x14ac:dyDescent="0.2">
      <c r="A303" t="s">
        <v>744</v>
      </c>
      <c r="B303" t="s">
        <v>745</v>
      </c>
      <c r="C303" t="s">
        <v>742</v>
      </c>
      <c r="D303" t="s">
        <v>547</v>
      </c>
      <c r="E303" t="s">
        <v>8894</v>
      </c>
    </row>
    <row r="304" spans="1:5" x14ac:dyDescent="0.2">
      <c r="A304" t="s">
        <v>746</v>
      </c>
      <c r="B304" t="s">
        <v>747</v>
      </c>
      <c r="C304" t="s">
        <v>742</v>
      </c>
      <c r="D304" t="s">
        <v>456</v>
      </c>
      <c r="E304" t="s">
        <v>8894</v>
      </c>
    </row>
    <row r="305" spans="1:5" x14ac:dyDescent="0.2">
      <c r="A305" t="s">
        <v>748</v>
      </c>
      <c r="B305" t="s">
        <v>749</v>
      </c>
      <c r="C305" t="s">
        <v>8980</v>
      </c>
      <c r="D305" t="s">
        <v>296</v>
      </c>
      <c r="E305" t="s">
        <v>8894</v>
      </c>
    </row>
    <row r="306" spans="1:5" x14ac:dyDescent="0.2">
      <c r="A306" t="s">
        <v>750</v>
      </c>
      <c r="B306" t="s">
        <v>751</v>
      </c>
      <c r="C306" t="s">
        <v>8980</v>
      </c>
      <c r="D306" t="s">
        <v>140</v>
      </c>
      <c r="E306" t="s">
        <v>8894</v>
      </c>
    </row>
    <row r="307" spans="1:5" x14ac:dyDescent="0.2">
      <c r="A307" t="s">
        <v>752</v>
      </c>
      <c r="B307" t="s">
        <v>753</v>
      </c>
      <c r="C307" t="s">
        <v>131</v>
      </c>
      <c r="D307" t="s">
        <v>223</v>
      </c>
      <c r="E307" t="s">
        <v>8894</v>
      </c>
    </row>
    <row r="308" spans="1:5" x14ac:dyDescent="0.2">
      <c r="A308" t="s">
        <v>754</v>
      </c>
      <c r="B308" t="s">
        <v>755</v>
      </c>
      <c r="C308" t="s">
        <v>131</v>
      </c>
      <c r="D308" t="s">
        <v>223</v>
      </c>
      <c r="E308" t="s">
        <v>8894</v>
      </c>
    </row>
    <row r="309" spans="1:5" x14ac:dyDescent="0.2">
      <c r="A309" t="s">
        <v>756</v>
      </c>
      <c r="B309" t="s">
        <v>757</v>
      </c>
      <c r="C309" t="s">
        <v>131</v>
      </c>
      <c r="D309" t="s">
        <v>224</v>
      </c>
      <c r="E309" t="s">
        <v>8894</v>
      </c>
    </row>
    <row r="310" spans="1:5" x14ac:dyDescent="0.2">
      <c r="A310" t="s">
        <v>758</v>
      </c>
      <c r="B310" t="s">
        <v>759</v>
      </c>
      <c r="C310" t="s">
        <v>131</v>
      </c>
      <c r="D310" t="s">
        <v>224</v>
      </c>
      <c r="E310" t="s">
        <v>8894</v>
      </c>
    </row>
    <row r="311" spans="1:5" x14ac:dyDescent="0.2">
      <c r="A311" t="s">
        <v>760</v>
      </c>
      <c r="B311" t="s">
        <v>761</v>
      </c>
      <c r="C311" t="s">
        <v>131</v>
      </c>
      <c r="D311" t="s">
        <v>238</v>
      </c>
      <c r="E311" t="s">
        <v>578</v>
      </c>
    </row>
    <row r="312" spans="1:5" x14ac:dyDescent="0.2">
      <c r="A312" t="s">
        <v>762</v>
      </c>
      <c r="B312" t="s">
        <v>763</v>
      </c>
      <c r="C312" t="s">
        <v>131</v>
      </c>
      <c r="D312" t="s">
        <v>238</v>
      </c>
      <c r="E312" t="s">
        <v>578</v>
      </c>
    </row>
    <row r="313" spans="1:5" x14ac:dyDescent="0.2">
      <c r="A313" t="s">
        <v>764</v>
      </c>
      <c r="B313" t="s">
        <v>765</v>
      </c>
      <c r="C313" t="s">
        <v>131</v>
      </c>
      <c r="D313" t="s">
        <v>766</v>
      </c>
      <c r="E313" t="s">
        <v>578</v>
      </c>
    </row>
    <row r="314" spans="1:5" x14ac:dyDescent="0.2">
      <c r="A314" t="s">
        <v>767</v>
      </c>
      <c r="B314" t="s">
        <v>768</v>
      </c>
      <c r="C314" t="s">
        <v>104</v>
      </c>
      <c r="D314" t="s">
        <v>718</v>
      </c>
      <c r="E314" t="s">
        <v>578</v>
      </c>
    </row>
    <row r="315" spans="1:5" x14ac:dyDescent="0.2">
      <c r="A315" t="s">
        <v>769</v>
      </c>
      <c r="B315" t="s">
        <v>770</v>
      </c>
      <c r="C315" t="s">
        <v>104</v>
      </c>
      <c r="D315" t="s">
        <v>718</v>
      </c>
      <c r="E315" t="s">
        <v>578</v>
      </c>
    </row>
    <row r="316" spans="1:5" x14ac:dyDescent="0.2">
      <c r="A316" t="s">
        <v>771</v>
      </c>
      <c r="B316" t="s">
        <v>772</v>
      </c>
      <c r="C316" t="s">
        <v>104</v>
      </c>
      <c r="D316" t="s">
        <v>773</v>
      </c>
      <c r="E316" t="s">
        <v>578</v>
      </c>
    </row>
    <row r="317" spans="1:5" x14ac:dyDescent="0.2">
      <c r="A317" t="s">
        <v>774</v>
      </c>
      <c r="B317" t="s">
        <v>775</v>
      </c>
      <c r="C317" t="s">
        <v>104</v>
      </c>
      <c r="D317" t="s">
        <v>773</v>
      </c>
      <c r="E317" t="s">
        <v>578</v>
      </c>
    </row>
    <row r="318" spans="1:5" x14ac:dyDescent="0.2">
      <c r="A318" t="s">
        <v>776</v>
      </c>
      <c r="B318" t="s">
        <v>777</v>
      </c>
      <c r="C318" t="s">
        <v>92</v>
      </c>
      <c r="D318" t="s">
        <v>778</v>
      </c>
      <c r="E318" t="s">
        <v>578</v>
      </c>
    </row>
    <row r="319" spans="1:5" x14ac:dyDescent="0.2">
      <c r="A319" t="s">
        <v>779</v>
      </c>
      <c r="B319" t="s">
        <v>780</v>
      </c>
      <c r="C319" t="s">
        <v>92</v>
      </c>
      <c r="D319" t="s">
        <v>778</v>
      </c>
      <c r="E319" t="s">
        <v>578</v>
      </c>
    </row>
    <row r="320" spans="1:5" x14ac:dyDescent="0.2">
      <c r="A320" t="s">
        <v>781</v>
      </c>
      <c r="B320" t="s">
        <v>782</v>
      </c>
      <c r="C320" t="s">
        <v>92</v>
      </c>
      <c r="D320" t="s">
        <v>783</v>
      </c>
      <c r="E320" t="s">
        <v>578</v>
      </c>
    </row>
    <row r="321" spans="1:5" x14ac:dyDescent="0.2">
      <c r="A321" t="s">
        <v>784</v>
      </c>
      <c r="B321" t="s">
        <v>785</v>
      </c>
      <c r="C321" t="s">
        <v>92</v>
      </c>
      <c r="D321" t="s">
        <v>783</v>
      </c>
      <c r="E321" t="s">
        <v>578</v>
      </c>
    </row>
    <row r="322" spans="1:5" x14ac:dyDescent="0.2">
      <c r="A322" t="s">
        <v>786</v>
      </c>
      <c r="B322" t="s">
        <v>787</v>
      </c>
      <c r="C322" t="s">
        <v>591</v>
      </c>
      <c r="D322" t="s">
        <v>252</v>
      </c>
      <c r="E322" t="s">
        <v>578</v>
      </c>
    </row>
    <row r="323" spans="1:5" x14ac:dyDescent="0.2">
      <c r="A323" t="s">
        <v>788</v>
      </c>
      <c r="B323" t="s">
        <v>789</v>
      </c>
      <c r="C323" t="s">
        <v>591</v>
      </c>
      <c r="D323" t="s">
        <v>252</v>
      </c>
      <c r="E323" t="s">
        <v>578</v>
      </c>
    </row>
    <row r="324" spans="1:5" x14ac:dyDescent="0.2">
      <c r="A324" t="s">
        <v>790</v>
      </c>
      <c r="B324" t="s">
        <v>791</v>
      </c>
      <c r="C324" t="s">
        <v>591</v>
      </c>
      <c r="D324" t="s">
        <v>153</v>
      </c>
      <c r="E324" t="s">
        <v>578</v>
      </c>
    </row>
    <row r="325" spans="1:5" x14ac:dyDescent="0.2">
      <c r="A325" t="s">
        <v>792</v>
      </c>
      <c r="B325" t="s">
        <v>793</v>
      </c>
      <c r="C325" t="s">
        <v>104</v>
      </c>
      <c r="D325" t="s">
        <v>778</v>
      </c>
      <c r="E325" t="s">
        <v>578</v>
      </c>
    </row>
    <row r="326" spans="1:5" x14ac:dyDescent="0.2">
      <c r="A326" t="s">
        <v>794</v>
      </c>
      <c r="B326" t="s">
        <v>795</v>
      </c>
      <c r="C326" t="s">
        <v>104</v>
      </c>
      <c r="D326" t="s">
        <v>778</v>
      </c>
      <c r="E326" t="s">
        <v>578</v>
      </c>
    </row>
    <row r="327" spans="1:5" x14ac:dyDescent="0.2">
      <c r="A327" t="s">
        <v>796</v>
      </c>
      <c r="B327" t="s">
        <v>797</v>
      </c>
      <c r="C327" t="s">
        <v>104</v>
      </c>
      <c r="D327" t="s">
        <v>783</v>
      </c>
      <c r="E327" t="s">
        <v>578</v>
      </c>
    </row>
    <row r="328" spans="1:5" x14ac:dyDescent="0.2">
      <c r="A328" t="s">
        <v>798</v>
      </c>
      <c r="B328" t="s">
        <v>799</v>
      </c>
      <c r="C328" t="s">
        <v>104</v>
      </c>
      <c r="D328" t="s">
        <v>783</v>
      </c>
      <c r="E328" t="s">
        <v>578</v>
      </c>
    </row>
    <row r="329" spans="1:5" x14ac:dyDescent="0.2">
      <c r="A329" t="s">
        <v>800</v>
      </c>
      <c r="B329" t="s">
        <v>801</v>
      </c>
      <c r="C329" t="s">
        <v>104</v>
      </c>
      <c r="D329" t="s">
        <v>500</v>
      </c>
      <c r="E329" t="s">
        <v>8893</v>
      </c>
    </row>
    <row r="330" spans="1:5" x14ac:dyDescent="0.2">
      <c r="A330" t="s">
        <v>802</v>
      </c>
      <c r="B330" t="s">
        <v>803</v>
      </c>
      <c r="C330" t="s">
        <v>104</v>
      </c>
      <c r="D330" t="s">
        <v>818</v>
      </c>
      <c r="E330" t="s">
        <v>8893</v>
      </c>
    </row>
    <row r="331" spans="1:5" x14ac:dyDescent="0.2">
      <c r="A331" t="s">
        <v>804</v>
      </c>
      <c r="B331" t="s">
        <v>8981</v>
      </c>
      <c r="C331" t="s">
        <v>357</v>
      </c>
      <c r="D331" t="s">
        <v>254</v>
      </c>
      <c r="E331" t="s">
        <v>8982</v>
      </c>
    </row>
    <row r="332" spans="1:5" x14ac:dyDescent="0.2">
      <c r="A332" t="s">
        <v>807</v>
      </c>
      <c r="B332" t="s">
        <v>8983</v>
      </c>
      <c r="C332" t="s">
        <v>357</v>
      </c>
      <c r="D332" t="s">
        <v>254</v>
      </c>
      <c r="E332" t="s">
        <v>8984</v>
      </c>
    </row>
    <row r="333" spans="1:5" x14ac:dyDescent="0.2">
      <c r="A333" t="s">
        <v>808</v>
      </c>
      <c r="B333" t="s">
        <v>8985</v>
      </c>
      <c r="C333" t="s">
        <v>357</v>
      </c>
      <c r="D333" t="s">
        <v>93</v>
      </c>
      <c r="E333" t="s">
        <v>8982</v>
      </c>
    </row>
    <row r="334" spans="1:5" x14ac:dyDescent="0.2">
      <c r="A334" t="s">
        <v>810</v>
      </c>
      <c r="B334" t="s">
        <v>8986</v>
      </c>
      <c r="C334" t="s">
        <v>357</v>
      </c>
      <c r="D334" t="s">
        <v>444</v>
      </c>
      <c r="E334" t="s">
        <v>8982</v>
      </c>
    </row>
    <row r="335" spans="1:5" x14ac:dyDescent="0.2">
      <c r="A335" t="s">
        <v>811</v>
      </c>
      <c r="B335" t="s">
        <v>8987</v>
      </c>
      <c r="C335" t="s">
        <v>357</v>
      </c>
      <c r="D335" t="s">
        <v>444</v>
      </c>
      <c r="E335" t="s">
        <v>8984</v>
      </c>
    </row>
    <row r="336" spans="1:5" x14ac:dyDescent="0.2">
      <c r="A336" t="s">
        <v>812</v>
      </c>
      <c r="B336" t="s">
        <v>8988</v>
      </c>
      <c r="C336" t="s">
        <v>357</v>
      </c>
      <c r="D336" t="s">
        <v>596</v>
      </c>
      <c r="E336" t="s">
        <v>8982</v>
      </c>
    </row>
    <row r="337" spans="1:5" x14ac:dyDescent="0.2">
      <c r="A337" t="s">
        <v>814</v>
      </c>
      <c r="B337" t="s">
        <v>8989</v>
      </c>
      <c r="C337" t="s">
        <v>357</v>
      </c>
      <c r="D337" t="s">
        <v>444</v>
      </c>
      <c r="E337" t="s">
        <v>8982</v>
      </c>
    </row>
    <row r="338" spans="1:5" x14ac:dyDescent="0.2">
      <c r="A338" t="s">
        <v>815</v>
      </c>
      <c r="B338" t="s">
        <v>8990</v>
      </c>
      <c r="C338" t="s">
        <v>357</v>
      </c>
      <c r="D338" t="s">
        <v>456</v>
      </c>
      <c r="E338" t="s">
        <v>8982</v>
      </c>
    </row>
    <row r="339" spans="1:5" x14ac:dyDescent="0.2">
      <c r="A339" t="s">
        <v>816</v>
      </c>
      <c r="B339" t="s">
        <v>8991</v>
      </c>
      <c r="C339" t="s">
        <v>357</v>
      </c>
      <c r="D339" t="s">
        <v>456</v>
      </c>
      <c r="E339" t="s">
        <v>8984</v>
      </c>
    </row>
    <row r="340" spans="1:5" x14ac:dyDescent="0.2">
      <c r="A340" t="s">
        <v>817</v>
      </c>
      <c r="B340" t="s">
        <v>8992</v>
      </c>
      <c r="C340" t="s">
        <v>357</v>
      </c>
      <c r="D340" t="s">
        <v>207</v>
      </c>
      <c r="E340" t="s">
        <v>8982</v>
      </c>
    </row>
    <row r="341" spans="1:5" x14ac:dyDescent="0.2">
      <c r="A341" t="s">
        <v>819</v>
      </c>
      <c r="B341" t="s">
        <v>8993</v>
      </c>
      <c r="C341" t="s">
        <v>357</v>
      </c>
      <c r="D341" t="s">
        <v>224</v>
      </c>
      <c r="E341" t="s">
        <v>8982</v>
      </c>
    </row>
    <row r="342" spans="1:5" x14ac:dyDescent="0.2">
      <c r="A342" t="s">
        <v>820</v>
      </c>
      <c r="B342" t="s">
        <v>8994</v>
      </c>
      <c r="C342" t="s">
        <v>357</v>
      </c>
      <c r="D342" t="s">
        <v>224</v>
      </c>
      <c r="E342" t="s">
        <v>8984</v>
      </c>
    </row>
    <row r="343" spans="1:5" x14ac:dyDescent="0.2">
      <c r="A343" t="s">
        <v>821</v>
      </c>
      <c r="B343" t="s">
        <v>8995</v>
      </c>
      <c r="C343" t="s">
        <v>357</v>
      </c>
      <c r="D343" t="s">
        <v>262</v>
      </c>
      <c r="E343" t="s">
        <v>8982</v>
      </c>
    </row>
    <row r="344" spans="1:5" x14ac:dyDescent="0.2">
      <c r="A344" t="s">
        <v>823</v>
      </c>
      <c r="B344" t="s">
        <v>8996</v>
      </c>
      <c r="C344" t="s">
        <v>357</v>
      </c>
      <c r="D344" t="s">
        <v>224</v>
      </c>
      <c r="E344" t="s">
        <v>8982</v>
      </c>
    </row>
    <row r="345" spans="1:5" x14ac:dyDescent="0.2">
      <c r="A345" t="s">
        <v>824</v>
      </c>
      <c r="B345" t="s">
        <v>8997</v>
      </c>
      <c r="C345" t="s">
        <v>357</v>
      </c>
      <c r="D345" t="s">
        <v>868</v>
      </c>
      <c r="E345" t="s">
        <v>8982</v>
      </c>
    </row>
    <row r="346" spans="1:5" x14ac:dyDescent="0.2">
      <c r="A346" t="s">
        <v>826</v>
      </c>
      <c r="B346" t="s">
        <v>8998</v>
      </c>
      <c r="C346" t="s">
        <v>357</v>
      </c>
      <c r="D346" t="s">
        <v>193</v>
      </c>
      <c r="E346" t="s">
        <v>8982</v>
      </c>
    </row>
    <row r="347" spans="1:5" x14ac:dyDescent="0.2">
      <c r="A347" t="s">
        <v>827</v>
      </c>
      <c r="B347" t="s">
        <v>8999</v>
      </c>
      <c r="C347" t="s">
        <v>357</v>
      </c>
      <c r="D347" t="s">
        <v>825</v>
      </c>
      <c r="E347" t="s">
        <v>8982</v>
      </c>
    </row>
    <row r="348" spans="1:5" x14ac:dyDescent="0.2">
      <c r="A348" t="s">
        <v>828</v>
      </c>
      <c r="B348" t="s">
        <v>9000</v>
      </c>
      <c r="C348" t="s">
        <v>357</v>
      </c>
      <c r="D348" t="s">
        <v>1006</v>
      </c>
      <c r="E348" t="s">
        <v>8982</v>
      </c>
    </row>
    <row r="349" spans="1:5" x14ac:dyDescent="0.2">
      <c r="A349" t="s">
        <v>829</v>
      </c>
      <c r="B349" t="s">
        <v>9001</v>
      </c>
      <c r="C349" t="s">
        <v>357</v>
      </c>
      <c r="D349" t="s">
        <v>341</v>
      </c>
      <c r="E349" t="s">
        <v>8982</v>
      </c>
    </row>
    <row r="350" spans="1:5" x14ac:dyDescent="0.2">
      <c r="A350" t="s">
        <v>831</v>
      </c>
      <c r="B350" t="s">
        <v>9002</v>
      </c>
      <c r="C350" t="s">
        <v>357</v>
      </c>
      <c r="D350" t="s">
        <v>213</v>
      </c>
      <c r="E350" t="s">
        <v>8982</v>
      </c>
    </row>
    <row r="351" spans="1:5" x14ac:dyDescent="0.2">
      <c r="A351" t="s">
        <v>832</v>
      </c>
      <c r="B351" t="s">
        <v>9003</v>
      </c>
      <c r="C351" t="s">
        <v>357</v>
      </c>
      <c r="D351" t="s">
        <v>341</v>
      </c>
      <c r="E351" t="s">
        <v>8982</v>
      </c>
    </row>
    <row r="352" spans="1:5" x14ac:dyDescent="0.2">
      <c r="A352" t="s">
        <v>833</v>
      </c>
      <c r="B352" t="s">
        <v>9004</v>
      </c>
      <c r="C352" t="s">
        <v>357</v>
      </c>
      <c r="D352" t="s">
        <v>213</v>
      </c>
      <c r="E352" t="s">
        <v>8982</v>
      </c>
    </row>
    <row r="353" spans="1:5" x14ac:dyDescent="0.2">
      <c r="A353" t="s">
        <v>834</v>
      </c>
      <c r="B353" t="s">
        <v>9005</v>
      </c>
      <c r="C353" t="s">
        <v>357</v>
      </c>
      <c r="D353" t="s">
        <v>314</v>
      </c>
      <c r="E353" t="s">
        <v>8982</v>
      </c>
    </row>
    <row r="354" spans="1:5" x14ac:dyDescent="0.2">
      <c r="A354" t="s">
        <v>835</v>
      </c>
      <c r="B354" t="s">
        <v>9006</v>
      </c>
      <c r="C354" t="s">
        <v>357</v>
      </c>
      <c r="D354" t="s">
        <v>535</v>
      </c>
      <c r="E354" t="s">
        <v>8982</v>
      </c>
    </row>
    <row r="355" spans="1:5" x14ac:dyDescent="0.2">
      <c r="A355" t="s">
        <v>836</v>
      </c>
      <c r="B355" t="s">
        <v>9007</v>
      </c>
      <c r="C355" t="s">
        <v>357</v>
      </c>
      <c r="D355" t="s">
        <v>535</v>
      </c>
      <c r="E355" t="s">
        <v>8982</v>
      </c>
    </row>
    <row r="356" spans="1:5" x14ac:dyDescent="0.2">
      <c r="A356" t="s">
        <v>837</v>
      </c>
      <c r="B356" t="s">
        <v>9008</v>
      </c>
      <c r="C356" t="s">
        <v>357</v>
      </c>
      <c r="D356" t="s">
        <v>383</v>
      </c>
      <c r="E356" t="s">
        <v>8982</v>
      </c>
    </row>
    <row r="357" spans="1:5" x14ac:dyDescent="0.2">
      <c r="A357" t="s">
        <v>838</v>
      </c>
      <c r="B357" t="s">
        <v>9009</v>
      </c>
      <c r="C357" t="s">
        <v>357</v>
      </c>
      <c r="D357" t="s">
        <v>383</v>
      </c>
      <c r="E357" t="s">
        <v>8982</v>
      </c>
    </row>
    <row r="358" spans="1:5" x14ac:dyDescent="0.2">
      <c r="A358" t="s">
        <v>839</v>
      </c>
      <c r="B358" t="s">
        <v>9010</v>
      </c>
      <c r="C358" t="s">
        <v>357</v>
      </c>
      <c r="D358" t="s">
        <v>166</v>
      </c>
      <c r="E358" t="s">
        <v>8982</v>
      </c>
    </row>
    <row r="359" spans="1:5" x14ac:dyDescent="0.2">
      <c r="A359" t="s">
        <v>841</v>
      </c>
      <c r="B359" t="s">
        <v>9011</v>
      </c>
      <c r="C359" t="s">
        <v>357</v>
      </c>
      <c r="D359" t="s">
        <v>809</v>
      </c>
      <c r="E359" t="s">
        <v>8982</v>
      </c>
    </row>
    <row r="360" spans="1:5" x14ac:dyDescent="0.2">
      <c r="A360" t="s">
        <v>843</v>
      </c>
      <c r="B360" t="s">
        <v>9012</v>
      </c>
      <c r="C360" t="s">
        <v>357</v>
      </c>
      <c r="D360" t="s">
        <v>809</v>
      </c>
      <c r="E360" t="s">
        <v>8982</v>
      </c>
    </row>
    <row r="361" spans="1:5" x14ac:dyDescent="0.2">
      <c r="A361" t="s">
        <v>844</v>
      </c>
      <c r="B361" t="s">
        <v>9013</v>
      </c>
      <c r="C361" t="s">
        <v>357</v>
      </c>
      <c r="D361" t="s">
        <v>701</v>
      </c>
      <c r="E361" t="s">
        <v>8982</v>
      </c>
    </row>
    <row r="362" spans="1:5" x14ac:dyDescent="0.2">
      <c r="A362" t="s">
        <v>846</v>
      </c>
      <c r="B362" t="s">
        <v>9014</v>
      </c>
      <c r="C362" t="s">
        <v>357</v>
      </c>
      <c r="D362" t="s">
        <v>572</v>
      </c>
      <c r="E362" t="s">
        <v>8982</v>
      </c>
    </row>
    <row r="363" spans="1:5" x14ac:dyDescent="0.2">
      <c r="A363" t="s">
        <v>847</v>
      </c>
      <c r="B363" t="s">
        <v>9015</v>
      </c>
      <c r="C363" t="s">
        <v>357</v>
      </c>
      <c r="D363" t="s">
        <v>690</v>
      </c>
      <c r="E363" t="s">
        <v>8982</v>
      </c>
    </row>
    <row r="364" spans="1:5" x14ac:dyDescent="0.2">
      <c r="A364" t="s">
        <v>848</v>
      </c>
      <c r="B364" t="s">
        <v>9016</v>
      </c>
      <c r="C364" t="s">
        <v>357</v>
      </c>
      <c r="D364" t="s">
        <v>955</v>
      </c>
      <c r="E364" t="s">
        <v>8982</v>
      </c>
    </row>
    <row r="365" spans="1:5" x14ac:dyDescent="0.2">
      <c r="A365" t="s">
        <v>849</v>
      </c>
      <c r="B365" t="s">
        <v>9017</v>
      </c>
      <c r="C365" t="s">
        <v>357</v>
      </c>
      <c r="D365" t="s">
        <v>1772</v>
      </c>
      <c r="E365" t="s">
        <v>8982</v>
      </c>
    </row>
    <row r="366" spans="1:5" x14ac:dyDescent="0.2">
      <c r="A366" t="s">
        <v>850</v>
      </c>
      <c r="B366" t="s">
        <v>9018</v>
      </c>
      <c r="C366" t="s">
        <v>357</v>
      </c>
      <c r="D366" t="s">
        <v>473</v>
      </c>
      <c r="E366" t="s">
        <v>8982</v>
      </c>
    </row>
    <row r="367" spans="1:5" x14ac:dyDescent="0.2">
      <c r="A367" t="s">
        <v>851</v>
      </c>
      <c r="B367" t="s">
        <v>9019</v>
      </c>
      <c r="C367" t="s">
        <v>357</v>
      </c>
      <c r="D367" t="s">
        <v>237</v>
      </c>
      <c r="E367" t="s">
        <v>8982</v>
      </c>
    </row>
    <row r="368" spans="1:5" x14ac:dyDescent="0.2">
      <c r="A368" t="s">
        <v>852</v>
      </c>
      <c r="B368" t="s">
        <v>9020</v>
      </c>
      <c r="C368" t="s">
        <v>357</v>
      </c>
      <c r="D368" t="s">
        <v>773</v>
      </c>
      <c r="E368" t="s">
        <v>8982</v>
      </c>
    </row>
    <row r="369" spans="1:5" x14ac:dyDescent="0.2">
      <c r="A369" t="s">
        <v>854</v>
      </c>
      <c r="B369" t="s">
        <v>9021</v>
      </c>
      <c r="C369" t="s">
        <v>357</v>
      </c>
      <c r="D369" t="s">
        <v>263</v>
      </c>
      <c r="E369" t="s">
        <v>8982</v>
      </c>
    </row>
    <row r="370" spans="1:5" x14ac:dyDescent="0.2">
      <c r="A370" t="s">
        <v>855</v>
      </c>
      <c r="B370" t="s">
        <v>9022</v>
      </c>
      <c r="C370" t="s">
        <v>357</v>
      </c>
      <c r="D370" t="s">
        <v>263</v>
      </c>
      <c r="E370" t="s">
        <v>8984</v>
      </c>
    </row>
    <row r="371" spans="1:5" x14ac:dyDescent="0.2">
      <c r="A371" t="s">
        <v>856</v>
      </c>
      <c r="B371" t="s">
        <v>9023</v>
      </c>
      <c r="C371" t="s">
        <v>357</v>
      </c>
      <c r="D371" t="s">
        <v>301</v>
      </c>
      <c r="E371" t="s">
        <v>8982</v>
      </c>
    </row>
    <row r="372" spans="1:5" x14ac:dyDescent="0.2">
      <c r="A372" t="s">
        <v>857</v>
      </c>
      <c r="B372" t="s">
        <v>9024</v>
      </c>
      <c r="C372" t="s">
        <v>357</v>
      </c>
      <c r="D372" t="s">
        <v>301</v>
      </c>
      <c r="E372" t="s">
        <v>8982</v>
      </c>
    </row>
    <row r="373" spans="1:5" x14ac:dyDescent="0.2">
      <c r="A373" t="s">
        <v>858</v>
      </c>
      <c r="B373" t="s">
        <v>9025</v>
      </c>
      <c r="C373" t="s">
        <v>357</v>
      </c>
      <c r="D373" t="s">
        <v>301</v>
      </c>
      <c r="E373" t="s">
        <v>8982</v>
      </c>
    </row>
    <row r="374" spans="1:5" x14ac:dyDescent="0.2">
      <c r="A374" t="s">
        <v>859</v>
      </c>
      <c r="B374" t="s">
        <v>9026</v>
      </c>
      <c r="C374" t="s">
        <v>357</v>
      </c>
      <c r="D374" t="s">
        <v>301</v>
      </c>
      <c r="E374" t="s">
        <v>8982</v>
      </c>
    </row>
    <row r="375" spans="1:5" x14ac:dyDescent="0.2">
      <c r="A375" t="s">
        <v>860</v>
      </c>
      <c r="B375" t="s">
        <v>9027</v>
      </c>
      <c r="C375" t="s">
        <v>357</v>
      </c>
      <c r="D375" t="s">
        <v>301</v>
      </c>
      <c r="E375" t="s">
        <v>8982</v>
      </c>
    </row>
    <row r="376" spans="1:5" x14ac:dyDescent="0.2">
      <c r="A376" t="s">
        <v>861</v>
      </c>
      <c r="B376" t="s">
        <v>9028</v>
      </c>
      <c r="C376" t="s">
        <v>244</v>
      </c>
      <c r="D376" t="s">
        <v>480</v>
      </c>
      <c r="E376" t="s">
        <v>194</v>
      </c>
    </row>
    <row r="377" spans="1:5" x14ac:dyDescent="0.2">
      <c r="A377" t="s">
        <v>862</v>
      </c>
      <c r="B377" t="s">
        <v>9029</v>
      </c>
      <c r="C377" t="s">
        <v>244</v>
      </c>
      <c r="D377" t="s">
        <v>301</v>
      </c>
      <c r="E377" t="s">
        <v>806</v>
      </c>
    </row>
    <row r="378" spans="1:5" x14ac:dyDescent="0.2">
      <c r="A378" t="s">
        <v>863</v>
      </c>
      <c r="B378" t="s">
        <v>9030</v>
      </c>
      <c r="C378" t="s">
        <v>244</v>
      </c>
      <c r="D378" t="s">
        <v>489</v>
      </c>
      <c r="E378" t="s">
        <v>806</v>
      </c>
    </row>
    <row r="379" spans="1:5" x14ac:dyDescent="0.2">
      <c r="A379" t="s">
        <v>864</v>
      </c>
      <c r="B379" t="s">
        <v>9031</v>
      </c>
      <c r="C379" t="s">
        <v>244</v>
      </c>
      <c r="D379" t="s">
        <v>489</v>
      </c>
      <c r="E379" t="s">
        <v>806</v>
      </c>
    </row>
    <row r="380" spans="1:5" x14ac:dyDescent="0.2">
      <c r="A380" t="s">
        <v>865</v>
      </c>
      <c r="B380" t="s">
        <v>9032</v>
      </c>
      <c r="C380" t="s">
        <v>244</v>
      </c>
      <c r="D380" t="s">
        <v>2199</v>
      </c>
      <c r="E380" t="s">
        <v>806</v>
      </c>
    </row>
    <row r="381" spans="1:5" x14ac:dyDescent="0.2">
      <c r="A381" t="s">
        <v>866</v>
      </c>
      <c r="B381" t="s">
        <v>9033</v>
      </c>
      <c r="C381" t="s">
        <v>244</v>
      </c>
      <c r="D381" t="s">
        <v>2199</v>
      </c>
      <c r="E381" t="s">
        <v>806</v>
      </c>
    </row>
    <row r="382" spans="1:5" x14ac:dyDescent="0.2">
      <c r="A382" t="s">
        <v>867</v>
      </c>
      <c r="B382" t="s">
        <v>9034</v>
      </c>
      <c r="C382" t="s">
        <v>705</v>
      </c>
      <c r="D382" t="s">
        <v>868</v>
      </c>
      <c r="E382" t="s">
        <v>194</v>
      </c>
    </row>
    <row r="383" spans="1:5" x14ac:dyDescent="0.2">
      <c r="A383" t="s">
        <v>869</v>
      </c>
      <c r="B383" t="s">
        <v>9035</v>
      </c>
      <c r="C383" t="s">
        <v>705</v>
      </c>
      <c r="D383" t="s">
        <v>868</v>
      </c>
      <c r="E383" t="s">
        <v>194</v>
      </c>
    </row>
    <row r="384" spans="1:5" x14ac:dyDescent="0.2">
      <c r="A384" t="s">
        <v>870</v>
      </c>
      <c r="B384" t="s">
        <v>9036</v>
      </c>
      <c r="C384" t="s">
        <v>705</v>
      </c>
      <c r="D384" t="s">
        <v>871</v>
      </c>
      <c r="E384" t="s">
        <v>194</v>
      </c>
    </row>
    <row r="385" spans="1:5" x14ac:dyDescent="0.2">
      <c r="A385" t="s">
        <v>872</v>
      </c>
      <c r="B385" t="s">
        <v>9037</v>
      </c>
      <c r="C385" t="s">
        <v>705</v>
      </c>
      <c r="D385" t="s">
        <v>871</v>
      </c>
      <c r="E385" t="s">
        <v>194</v>
      </c>
    </row>
    <row r="386" spans="1:5" x14ac:dyDescent="0.2">
      <c r="A386" t="s">
        <v>873</v>
      </c>
      <c r="B386" t="s">
        <v>874</v>
      </c>
      <c r="C386" t="s">
        <v>287</v>
      </c>
      <c r="D386" t="s">
        <v>635</v>
      </c>
      <c r="E386" t="s">
        <v>8894</v>
      </c>
    </row>
    <row r="387" spans="1:5" x14ac:dyDescent="0.2">
      <c r="A387" t="s">
        <v>875</v>
      </c>
      <c r="B387" t="s">
        <v>876</v>
      </c>
      <c r="C387" t="s">
        <v>287</v>
      </c>
      <c r="D387" t="s">
        <v>635</v>
      </c>
      <c r="E387" t="s">
        <v>8894</v>
      </c>
    </row>
    <row r="388" spans="1:5" x14ac:dyDescent="0.2">
      <c r="A388" t="s">
        <v>877</v>
      </c>
      <c r="B388" t="s">
        <v>878</v>
      </c>
      <c r="C388" t="s">
        <v>345</v>
      </c>
      <c r="D388" t="s">
        <v>309</v>
      </c>
      <c r="E388" t="s">
        <v>8893</v>
      </c>
    </row>
    <row r="389" spans="1:5" x14ac:dyDescent="0.2">
      <c r="A389" t="s">
        <v>879</v>
      </c>
      <c r="B389" t="s">
        <v>880</v>
      </c>
      <c r="C389" t="s">
        <v>345</v>
      </c>
      <c r="D389" t="s">
        <v>566</v>
      </c>
      <c r="E389" t="s">
        <v>8893</v>
      </c>
    </row>
    <row r="390" spans="1:5" x14ac:dyDescent="0.2">
      <c r="A390" t="s">
        <v>881</v>
      </c>
      <c r="B390" t="s">
        <v>882</v>
      </c>
      <c r="C390" t="s">
        <v>345</v>
      </c>
      <c r="D390" t="s">
        <v>566</v>
      </c>
      <c r="E390" t="s">
        <v>8893</v>
      </c>
    </row>
    <row r="391" spans="1:5" x14ac:dyDescent="0.2">
      <c r="A391" t="s">
        <v>883</v>
      </c>
      <c r="B391" t="s">
        <v>884</v>
      </c>
      <c r="C391" t="s">
        <v>345</v>
      </c>
      <c r="D391" t="s">
        <v>566</v>
      </c>
      <c r="E391" t="s">
        <v>8893</v>
      </c>
    </row>
    <row r="392" spans="1:5" x14ac:dyDescent="0.2">
      <c r="A392" t="s">
        <v>885</v>
      </c>
      <c r="B392" t="s">
        <v>886</v>
      </c>
      <c r="C392" t="s">
        <v>887</v>
      </c>
      <c r="D392" t="s">
        <v>888</v>
      </c>
      <c r="E392" t="s">
        <v>8894</v>
      </c>
    </row>
    <row r="393" spans="1:5" x14ac:dyDescent="0.2">
      <c r="A393" t="s">
        <v>889</v>
      </c>
      <c r="B393" t="s">
        <v>890</v>
      </c>
      <c r="C393" t="s">
        <v>887</v>
      </c>
      <c r="D393" t="s">
        <v>888</v>
      </c>
      <c r="E393" t="s">
        <v>8894</v>
      </c>
    </row>
    <row r="394" spans="1:5" x14ac:dyDescent="0.2">
      <c r="A394" t="s">
        <v>891</v>
      </c>
      <c r="B394" t="s">
        <v>892</v>
      </c>
      <c r="C394" t="s">
        <v>887</v>
      </c>
      <c r="D394" t="s">
        <v>893</v>
      </c>
      <c r="E394" t="s">
        <v>8894</v>
      </c>
    </row>
    <row r="395" spans="1:5" x14ac:dyDescent="0.2">
      <c r="A395" t="s">
        <v>894</v>
      </c>
      <c r="B395" t="s">
        <v>895</v>
      </c>
      <c r="C395" t="s">
        <v>887</v>
      </c>
      <c r="D395" t="s">
        <v>893</v>
      </c>
      <c r="E395" t="s">
        <v>8894</v>
      </c>
    </row>
    <row r="396" spans="1:5" x14ac:dyDescent="0.2">
      <c r="A396" t="s">
        <v>896</v>
      </c>
      <c r="B396" t="s">
        <v>897</v>
      </c>
      <c r="C396" t="s">
        <v>345</v>
      </c>
      <c r="D396" t="s">
        <v>213</v>
      </c>
      <c r="E396" t="s">
        <v>8893</v>
      </c>
    </row>
    <row r="397" spans="1:5" x14ac:dyDescent="0.2">
      <c r="A397" t="s">
        <v>898</v>
      </c>
      <c r="B397" t="s">
        <v>899</v>
      </c>
      <c r="C397" t="s">
        <v>345</v>
      </c>
      <c r="D397" t="s">
        <v>213</v>
      </c>
      <c r="E397" t="s">
        <v>8893</v>
      </c>
    </row>
    <row r="398" spans="1:5" x14ac:dyDescent="0.2">
      <c r="A398" t="s">
        <v>900</v>
      </c>
      <c r="B398" t="s">
        <v>901</v>
      </c>
      <c r="C398" t="s">
        <v>345</v>
      </c>
      <c r="D398" t="s">
        <v>888</v>
      </c>
      <c r="E398" t="s">
        <v>8893</v>
      </c>
    </row>
    <row r="399" spans="1:5" x14ac:dyDescent="0.2">
      <c r="A399" t="s">
        <v>902</v>
      </c>
      <c r="B399" t="s">
        <v>903</v>
      </c>
      <c r="C399" t="s">
        <v>345</v>
      </c>
      <c r="D399" t="s">
        <v>888</v>
      </c>
      <c r="E399" t="s">
        <v>8893</v>
      </c>
    </row>
    <row r="400" spans="1:5" x14ac:dyDescent="0.2">
      <c r="A400" t="s">
        <v>904</v>
      </c>
      <c r="B400" t="s">
        <v>905</v>
      </c>
      <c r="C400" t="s">
        <v>287</v>
      </c>
      <c r="D400" t="s">
        <v>583</v>
      </c>
      <c r="E400" t="s">
        <v>8894</v>
      </c>
    </row>
    <row r="401" spans="1:5" x14ac:dyDescent="0.2">
      <c r="A401" t="s">
        <v>906</v>
      </c>
      <c r="B401" t="s">
        <v>907</v>
      </c>
      <c r="C401" t="s">
        <v>287</v>
      </c>
      <c r="D401" t="s">
        <v>583</v>
      </c>
      <c r="E401" t="s">
        <v>8894</v>
      </c>
    </row>
    <row r="402" spans="1:5" x14ac:dyDescent="0.2">
      <c r="A402" t="s">
        <v>908</v>
      </c>
      <c r="B402" t="s">
        <v>909</v>
      </c>
      <c r="C402" t="s">
        <v>287</v>
      </c>
      <c r="D402" t="s">
        <v>583</v>
      </c>
      <c r="E402" t="s">
        <v>8894</v>
      </c>
    </row>
    <row r="403" spans="1:5" x14ac:dyDescent="0.2">
      <c r="A403" t="s">
        <v>910</v>
      </c>
      <c r="B403" t="s">
        <v>911</v>
      </c>
      <c r="C403" t="s">
        <v>287</v>
      </c>
      <c r="D403" t="s">
        <v>583</v>
      </c>
      <c r="E403" t="s">
        <v>8894</v>
      </c>
    </row>
    <row r="404" spans="1:5" x14ac:dyDescent="0.2">
      <c r="A404" t="s">
        <v>912</v>
      </c>
      <c r="B404" t="s">
        <v>913</v>
      </c>
      <c r="C404" t="s">
        <v>591</v>
      </c>
      <c r="D404" t="s">
        <v>224</v>
      </c>
      <c r="E404" t="s">
        <v>563</v>
      </c>
    </row>
    <row r="405" spans="1:5" x14ac:dyDescent="0.2">
      <c r="A405" t="s">
        <v>915</v>
      </c>
      <c r="B405" t="s">
        <v>916</v>
      </c>
      <c r="C405" t="s">
        <v>251</v>
      </c>
      <c r="D405" t="s">
        <v>262</v>
      </c>
      <c r="E405" t="s">
        <v>8894</v>
      </c>
    </row>
    <row r="406" spans="1:5" x14ac:dyDescent="0.2">
      <c r="A406" t="s">
        <v>917</v>
      </c>
      <c r="B406" t="s">
        <v>918</v>
      </c>
      <c r="C406" t="s">
        <v>251</v>
      </c>
      <c r="D406" t="s">
        <v>262</v>
      </c>
      <c r="E406" t="s">
        <v>8894</v>
      </c>
    </row>
    <row r="407" spans="1:5" x14ac:dyDescent="0.2">
      <c r="A407" t="s">
        <v>919</v>
      </c>
      <c r="B407" t="s">
        <v>920</v>
      </c>
      <c r="C407" t="s">
        <v>251</v>
      </c>
      <c r="D407" t="s">
        <v>400</v>
      </c>
      <c r="E407" t="s">
        <v>8894</v>
      </c>
    </row>
    <row r="408" spans="1:5" x14ac:dyDescent="0.2">
      <c r="A408" t="s">
        <v>921</v>
      </c>
      <c r="B408" t="s">
        <v>922</v>
      </c>
      <c r="C408" t="s">
        <v>251</v>
      </c>
      <c r="D408" t="s">
        <v>400</v>
      </c>
      <c r="E408" t="s">
        <v>8894</v>
      </c>
    </row>
    <row r="409" spans="1:5" x14ac:dyDescent="0.2">
      <c r="A409" t="s">
        <v>923</v>
      </c>
      <c r="B409" t="s">
        <v>924</v>
      </c>
      <c r="C409" t="s">
        <v>251</v>
      </c>
      <c r="D409" t="s">
        <v>825</v>
      </c>
      <c r="E409" t="s">
        <v>8880</v>
      </c>
    </row>
    <row r="410" spans="1:5" x14ac:dyDescent="0.2">
      <c r="A410" t="s">
        <v>925</v>
      </c>
      <c r="B410" t="s">
        <v>9038</v>
      </c>
      <c r="C410" t="s">
        <v>251</v>
      </c>
      <c r="D410" t="s">
        <v>400</v>
      </c>
      <c r="E410" t="s">
        <v>806</v>
      </c>
    </row>
    <row r="411" spans="1:5" x14ac:dyDescent="0.2">
      <c r="A411" t="s">
        <v>926</v>
      </c>
      <c r="B411" t="s">
        <v>9039</v>
      </c>
      <c r="C411" t="s">
        <v>251</v>
      </c>
      <c r="D411" t="s">
        <v>547</v>
      </c>
      <c r="E411" t="s">
        <v>806</v>
      </c>
    </row>
    <row r="412" spans="1:5" x14ac:dyDescent="0.2">
      <c r="A412" t="s">
        <v>927</v>
      </c>
      <c r="B412" t="s">
        <v>9040</v>
      </c>
      <c r="C412" t="s">
        <v>251</v>
      </c>
      <c r="D412" t="s">
        <v>224</v>
      </c>
      <c r="E412" t="s">
        <v>806</v>
      </c>
    </row>
    <row r="413" spans="1:5" x14ac:dyDescent="0.2">
      <c r="A413" t="s">
        <v>928</v>
      </c>
      <c r="B413" t="s">
        <v>9041</v>
      </c>
      <c r="C413" t="s">
        <v>251</v>
      </c>
      <c r="D413" t="s">
        <v>224</v>
      </c>
      <c r="E413" t="s">
        <v>806</v>
      </c>
    </row>
    <row r="414" spans="1:5" x14ac:dyDescent="0.2">
      <c r="A414" t="s">
        <v>929</v>
      </c>
      <c r="B414" t="s">
        <v>9042</v>
      </c>
      <c r="C414" t="s">
        <v>345</v>
      </c>
      <c r="D414" t="s">
        <v>436</v>
      </c>
      <c r="E414" t="s">
        <v>9043</v>
      </c>
    </row>
    <row r="415" spans="1:5" x14ac:dyDescent="0.2">
      <c r="A415" t="s">
        <v>930</v>
      </c>
      <c r="B415" t="s">
        <v>9044</v>
      </c>
      <c r="C415" t="s">
        <v>345</v>
      </c>
      <c r="D415" t="s">
        <v>436</v>
      </c>
      <c r="E415" t="s">
        <v>9043</v>
      </c>
    </row>
    <row r="416" spans="1:5" x14ac:dyDescent="0.2">
      <c r="A416" t="s">
        <v>931</v>
      </c>
      <c r="B416" t="s">
        <v>9045</v>
      </c>
      <c r="C416" t="s">
        <v>345</v>
      </c>
      <c r="D416" t="s">
        <v>341</v>
      </c>
      <c r="E416" t="s">
        <v>9043</v>
      </c>
    </row>
    <row r="417" spans="1:5" x14ac:dyDescent="0.2">
      <c r="A417" t="s">
        <v>932</v>
      </c>
      <c r="B417" t="s">
        <v>9046</v>
      </c>
      <c r="C417" t="s">
        <v>345</v>
      </c>
      <c r="D417" t="s">
        <v>341</v>
      </c>
      <c r="E417" t="s">
        <v>9043</v>
      </c>
    </row>
    <row r="418" spans="1:5" x14ac:dyDescent="0.2">
      <c r="A418" t="s">
        <v>933</v>
      </c>
      <c r="B418" t="s">
        <v>9047</v>
      </c>
      <c r="C418" t="s">
        <v>251</v>
      </c>
      <c r="D418" t="s">
        <v>654</v>
      </c>
      <c r="E418" t="s">
        <v>806</v>
      </c>
    </row>
    <row r="419" spans="1:5" x14ac:dyDescent="0.2">
      <c r="A419" t="s">
        <v>934</v>
      </c>
      <c r="B419" t="s">
        <v>9048</v>
      </c>
      <c r="C419" t="s">
        <v>251</v>
      </c>
      <c r="D419" t="s">
        <v>622</v>
      </c>
      <c r="E419" t="s">
        <v>806</v>
      </c>
    </row>
    <row r="420" spans="1:5" x14ac:dyDescent="0.2">
      <c r="A420" t="s">
        <v>935</v>
      </c>
      <c r="B420" t="s">
        <v>9049</v>
      </c>
      <c r="C420" t="s">
        <v>251</v>
      </c>
      <c r="D420" t="s">
        <v>654</v>
      </c>
      <c r="E420" t="s">
        <v>806</v>
      </c>
    </row>
    <row r="421" spans="1:5" x14ac:dyDescent="0.2">
      <c r="A421" t="s">
        <v>936</v>
      </c>
      <c r="B421" t="s">
        <v>9050</v>
      </c>
      <c r="C421" t="s">
        <v>251</v>
      </c>
      <c r="D421" t="s">
        <v>654</v>
      </c>
      <c r="E421" t="s">
        <v>806</v>
      </c>
    </row>
    <row r="422" spans="1:5" x14ac:dyDescent="0.2">
      <c r="A422" t="s">
        <v>937</v>
      </c>
      <c r="B422" t="s">
        <v>9051</v>
      </c>
      <c r="C422" t="s">
        <v>251</v>
      </c>
      <c r="D422" t="s">
        <v>622</v>
      </c>
      <c r="E422" t="s">
        <v>806</v>
      </c>
    </row>
    <row r="423" spans="1:5" x14ac:dyDescent="0.2">
      <c r="A423" t="s">
        <v>938</v>
      </c>
      <c r="B423" t="s">
        <v>9052</v>
      </c>
      <c r="C423" t="s">
        <v>251</v>
      </c>
      <c r="D423" t="s">
        <v>622</v>
      </c>
      <c r="E423" t="s">
        <v>806</v>
      </c>
    </row>
    <row r="424" spans="1:5" x14ac:dyDescent="0.2">
      <c r="A424" t="s">
        <v>939</v>
      </c>
      <c r="B424" t="s">
        <v>9053</v>
      </c>
      <c r="C424" t="s">
        <v>212</v>
      </c>
      <c r="D424" t="s">
        <v>400</v>
      </c>
      <c r="E424" t="s">
        <v>806</v>
      </c>
    </row>
    <row r="425" spans="1:5" x14ac:dyDescent="0.2">
      <c r="A425" t="s">
        <v>940</v>
      </c>
      <c r="B425" t="s">
        <v>9054</v>
      </c>
      <c r="C425" t="s">
        <v>212</v>
      </c>
      <c r="D425" t="s">
        <v>547</v>
      </c>
      <c r="E425" t="s">
        <v>806</v>
      </c>
    </row>
    <row r="426" spans="1:5" x14ac:dyDescent="0.2">
      <c r="A426" t="s">
        <v>941</v>
      </c>
      <c r="B426" t="s">
        <v>9055</v>
      </c>
      <c r="C426" t="s">
        <v>212</v>
      </c>
      <c r="D426" t="s">
        <v>547</v>
      </c>
      <c r="E426" t="s">
        <v>806</v>
      </c>
    </row>
    <row r="427" spans="1:5" x14ac:dyDescent="0.2">
      <c r="A427" t="s">
        <v>942</v>
      </c>
      <c r="B427" t="s">
        <v>9056</v>
      </c>
      <c r="C427" t="s">
        <v>212</v>
      </c>
      <c r="D427" t="s">
        <v>224</v>
      </c>
      <c r="E427" t="s">
        <v>806</v>
      </c>
    </row>
    <row r="428" spans="1:5" x14ac:dyDescent="0.2">
      <c r="A428" t="s">
        <v>943</v>
      </c>
      <c r="B428" t="s">
        <v>9057</v>
      </c>
      <c r="C428" t="s">
        <v>212</v>
      </c>
      <c r="D428" t="s">
        <v>224</v>
      </c>
      <c r="E428" t="s">
        <v>806</v>
      </c>
    </row>
    <row r="429" spans="1:5" x14ac:dyDescent="0.2">
      <c r="A429" t="s">
        <v>944</v>
      </c>
      <c r="B429" t="s">
        <v>945</v>
      </c>
      <c r="C429" t="s">
        <v>212</v>
      </c>
      <c r="D429" t="s">
        <v>262</v>
      </c>
      <c r="E429" t="s">
        <v>8894</v>
      </c>
    </row>
    <row r="430" spans="1:5" x14ac:dyDescent="0.2">
      <c r="A430" t="s">
        <v>946</v>
      </c>
      <c r="B430" t="s">
        <v>947</v>
      </c>
      <c r="C430" t="s">
        <v>212</v>
      </c>
      <c r="D430" t="s">
        <v>262</v>
      </c>
      <c r="E430" t="s">
        <v>8894</v>
      </c>
    </row>
    <row r="431" spans="1:5" x14ac:dyDescent="0.2">
      <c r="A431" t="s">
        <v>948</v>
      </c>
      <c r="B431" t="s">
        <v>949</v>
      </c>
      <c r="C431" t="s">
        <v>212</v>
      </c>
      <c r="D431" t="s">
        <v>400</v>
      </c>
      <c r="E431" t="s">
        <v>8894</v>
      </c>
    </row>
    <row r="432" spans="1:5" x14ac:dyDescent="0.2">
      <c r="A432" t="s">
        <v>950</v>
      </c>
      <c r="B432" t="s">
        <v>951</v>
      </c>
      <c r="C432" t="s">
        <v>212</v>
      </c>
      <c r="D432" t="s">
        <v>400</v>
      </c>
      <c r="E432" t="s">
        <v>8894</v>
      </c>
    </row>
    <row r="433" spans="1:5" x14ac:dyDescent="0.2">
      <c r="A433" t="s">
        <v>952</v>
      </c>
      <c r="B433" t="s">
        <v>9058</v>
      </c>
      <c r="C433" t="s">
        <v>212</v>
      </c>
      <c r="D433" t="s">
        <v>224</v>
      </c>
      <c r="E433" t="s">
        <v>194</v>
      </c>
    </row>
    <row r="434" spans="1:5" x14ac:dyDescent="0.2">
      <c r="A434" t="s">
        <v>953</v>
      </c>
      <c r="B434" t="s">
        <v>9059</v>
      </c>
      <c r="C434" t="s">
        <v>212</v>
      </c>
      <c r="D434" t="s">
        <v>224</v>
      </c>
      <c r="E434" t="s">
        <v>194</v>
      </c>
    </row>
    <row r="435" spans="1:5" x14ac:dyDescent="0.2">
      <c r="A435" t="s">
        <v>957</v>
      </c>
      <c r="B435" t="s">
        <v>9060</v>
      </c>
      <c r="C435" t="s">
        <v>212</v>
      </c>
      <c r="D435" t="s">
        <v>842</v>
      </c>
      <c r="E435" t="s">
        <v>194</v>
      </c>
    </row>
    <row r="436" spans="1:5" x14ac:dyDescent="0.2">
      <c r="A436" t="s">
        <v>958</v>
      </c>
      <c r="B436" t="s">
        <v>9061</v>
      </c>
      <c r="C436" t="s">
        <v>212</v>
      </c>
      <c r="D436" t="s">
        <v>842</v>
      </c>
      <c r="E436" t="s">
        <v>194</v>
      </c>
    </row>
    <row r="437" spans="1:5" x14ac:dyDescent="0.2">
      <c r="A437" t="s">
        <v>954</v>
      </c>
      <c r="B437" t="s">
        <v>9062</v>
      </c>
      <c r="C437" t="s">
        <v>212</v>
      </c>
      <c r="D437" t="s">
        <v>955</v>
      </c>
      <c r="E437" t="s">
        <v>194</v>
      </c>
    </row>
    <row r="438" spans="1:5" x14ac:dyDescent="0.2">
      <c r="A438" t="s">
        <v>956</v>
      </c>
      <c r="B438" t="s">
        <v>9063</v>
      </c>
      <c r="C438" t="s">
        <v>212</v>
      </c>
      <c r="D438" t="s">
        <v>955</v>
      </c>
      <c r="E438" t="s">
        <v>194</v>
      </c>
    </row>
    <row r="439" spans="1:5" x14ac:dyDescent="0.2">
      <c r="A439" t="s">
        <v>959</v>
      </c>
      <c r="B439" t="s">
        <v>960</v>
      </c>
      <c r="C439" t="s">
        <v>251</v>
      </c>
      <c r="D439" t="s">
        <v>262</v>
      </c>
      <c r="E439" t="s">
        <v>8894</v>
      </c>
    </row>
    <row r="440" spans="1:5" x14ac:dyDescent="0.2">
      <c r="A440" t="s">
        <v>961</v>
      </c>
      <c r="B440" t="s">
        <v>962</v>
      </c>
      <c r="C440" t="s">
        <v>251</v>
      </c>
      <c r="D440" t="s">
        <v>262</v>
      </c>
      <c r="E440" t="s">
        <v>8894</v>
      </c>
    </row>
    <row r="441" spans="1:5" x14ac:dyDescent="0.2">
      <c r="A441" t="s">
        <v>963</v>
      </c>
      <c r="B441" t="s">
        <v>964</v>
      </c>
      <c r="C441" t="s">
        <v>251</v>
      </c>
      <c r="D441" t="s">
        <v>400</v>
      </c>
      <c r="E441" t="s">
        <v>8894</v>
      </c>
    </row>
    <row r="442" spans="1:5" x14ac:dyDescent="0.2">
      <c r="A442" t="s">
        <v>965</v>
      </c>
      <c r="B442" t="s">
        <v>966</v>
      </c>
      <c r="C442" t="s">
        <v>251</v>
      </c>
      <c r="D442" t="s">
        <v>400</v>
      </c>
      <c r="E442" t="s">
        <v>8894</v>
      </c>
    </row>
    <row r="443" spans="1:5" x14ac:dyDescent="0.2">
      <c r="A443" t="s">
        <v>967</v>
      </c>
      <c r="B443" t="s">
        <v>9064</v>
      </c>
      <c r="C443" t="s">
        <v>251</v>
      </c>
      <c r="D443" t="s">
        <v>654</v>
      </c>
      <c r="E443" t="s">
        <v>806</v>
      </c>
    </row>
    <row r="444" spans="1:5" x14ac:dyDescent="0.2">
      <c r="A444" t="s">
        <v>968</v>
      </c>
      <c r="B444" t="s">
        <v>9065</v>
      </c>
      <c r="C444" t="s">
        <v>251</v>
      </c>
      <c r="D444" t="s">
        <v>622</v>
      </c>
      <c r="E444" t="s">
        <v>806</v>
      </c>
    </row>
    <row r="445" spans="1:5" x14ac:dyDescent="0.2">
      <c r="A445" t="s">
        <v>969</v>
      </c>
      <c r="B445" t="s">
        <v>9066</v>
      </c>
      <c r="C445" t="s">
        <v>251</v>
      </c>
      <c r="D445" t="s">
        <v>622</v>
      </c>
      <c r="E445" t="s">
        <v>806</v>
      </c>
    </row>
    <row r="446" spans="1:5" x14ac:dyDescent="0.2">
      <c r="A446" t="s">
        <v>970</v>
      </c>
      <c r="B446" t="s">
        <v>971</v>
      </c>
      <c r="C446" t="s">
        <v>669</v>
      </c>
      <c r="D446" t="s">
        <v>262</v>
      </c>
      <c r="E446" t="s">
        <v>8894</v>
      </c>
    </row>
    <row r="447" spans="1:5" x14ac:dyDescent="0.2">
      <c r="A447" t="s">
        <v>972</v>
      </c>
      <c r="B447" t="s">
        <v>973</v>
      </c>
      <c r="C447" t="s">
        <v>669</v>
      </c>
      <c r="D447" t="s">
        <v>400</v>
      </c>
      <c r="E447" t="s">
        <v>8894</v>
      </c>
    </row>
    <row r="448" spans="1:5" x14ac:dyDescent="0.2">
      <c r="A448" t="s">
        <v>978</v>
      </c>
      <c r="B448" t="s">
        <v>9067</v>
      </c>
      <c r="C448" t="s">
        <v>227</v>
      </c>
      <c r="D448" t="s">
        <v>299</v>
      </c>
      <c r="E448" t="s">
        <v>806</v>
      </c>
    </row>
    <row r="449" spans="1:5" x14ac:dyDescent="0.2">
      <c r="A449" t="s">
        <v>979</v>
      </c>
      <c r="B449" t="s">
        <v>9068</v>
      </c>
      <c r="C449" t="s">
        <v>227</v>
      </c>
      <c r="D449" t="s">
        <v>617</v>
      </c>
      <c r="E449" t="s">
        <v>806</v>
      </c>
    </row>
    <row r="450" spans="1:5" x14ac:dyDescent="0.2">
      <c r="A450" t="s">
        <v>980</v>
      </c>
      <c r="B450" t="s">
        <v>9069</v>
      </c>
      <c r="C450" t="s">
        <v>227</v>
      </c>
      <c r="D450" t="s">
        <v>358</v>
      </c>
      <c r="E450" t="s">
        <v>806</v>
      </c>
    </row>
    <row r="451" spans="1:5" x14ac:dyDescent="0.2">
      <c r="A451" t="s">
        <v>974</v>
      </c>
      <c r="B451" t="s">
        <v>9070</v>
      </c>
      <c r="C451" t="s">
        <v>251</v>
      </c>
      <c r="D451" t="s">
        <v>547</v>
      </c>
      <c r="E451" t="s">
        <v>8894</v>
      </c>
    </row>
    <row r="452" spans="1:5" x14ac:dyDescent="0.2">
      <c r="A452" t="s">
        <v>975</v>
      </c>
      <c r="B452" t="s">
        <v>9071</v>
      </c>
      <c r="C452" t="s">
        <v>251</v>
      </c>
      <c r="D452" t="s">
        <v>547</v>
      </c>
      <c r="E452" t="s">
        <v>8894</v>
      </c>
    </row>
    <row r="453" spans="1:5" x14ac:dyDescent="0.2">
      <c r="A453" t="s">
        <v>976</v>
      </c>
      <c r="B453" t="s">
        <v>9072</v>
      </c>
      <c r="C453" t="s">
        <v>251</v>
      </c>
      <c r="D453" t="s">
        <v>456</v>
      </c>
      <c r="E453" t="s">
        <v>8894</v>
      </c>
    </row>
    <row r="454" spans="1:5" x14ac:dyDescent="0.2">
      <c r="A454" t="s">
        <v>977</v>
      </c>
      <c r="B454" t="s">
        <v>9073</v>
      </c>
      <c r="C454" t="s">
        <v>251</v>
      </c>
      <c r="D454" t="s">
        <v>456</v>
      </c>
      <c r="E454" t="s">
        <v>8894</v>
      </c>
    </row>
    <row r="455" spans="1:5" x14ac:dyDescent="0.2">
      <c r="A455" t="s">
        <v>981</v>
      </c>
      <c r="B455" t="s">
        <v>9074</v>
      </c>
      <c r="C455" t="s">
        <v>251</v>
      </c>
      <c r="D455" t="s">
        <v>224</v>
      </c>
      <c r="E455" t="s">
        <v>194</v>
      </c>
    </row>
    <row r="456" spans="1:5" x14ac:dyDescent="0.2">
      <c r="A456" t="s">
        <v>982</v>
      </c>
      <c r="B456" t="s">
        <v>9075</v>
      </c>
      <c r="C456" t="s">
        <v>251</v>
      </c>
      <c r="D456" t="s">
        <v>955</v>
      </c>
      <c r="E456" t="s">
        <v>194</v>
      </c>
    </row>
    <row r="457" spans="1:5" x14ac:dyDescent="0.2">
      <c r="A457" t="s">
        <v>983</v>
      </c>
      <c r="B457" t="s">
        <v>9076</v>
      </c>
      <c r="C457" t="s">
        <v>251</v>
      </c>
      <c r="D457" t="s">
        <v>842</v>
      </c>
      <c r="E457" t="s">
        <v>194</v>
      </c>
    </row>
    <row r="458" spans="1:5" x14ac:dyDescent="0.2">
      <c r="A458" t="s">
        <v>984</v>
      </c>
      <c r="B458" t="s">
        <v>985</v>
      </c>
      <c r="C458" t="s">
        <v>421</v>
      </c>
      <c r="D458" t="s">
        <v>547</v>
      </c>
      <c r="E458" t="s">
        <v>9077</v>
      </c>
    </row>
    <row r="459" spans="1:5" x14ac:dyDescent="0.2">
      <c r="A459" t="s">
        <v>986</v>
      </c>
      <c r="B459" t="s">
        <v>987</v>
      </c>
      <c r="C459" t="s">
        <v>421</v>
      </c>
      <c r="D459" t="s">
        <v>456</v>
      </c>
      <c r="E459" t="s">
        <v>9077</v>
      </c>
    </row>
    <row r="460" spans="1:5" x14ac:dyDescent="0.2">
      <c r="A460" t="s">
        <v>988</v>
      </c>
      <c r="B460" t="s">
        <v>989</v>
      </c>
      <c r="C460" t="s">
        <v>421</v>
      </c>
      <c r="D460" t="s">
        <v>456</v>
      </c>
      <c r="E460" t="s">
        <v>9077</v>
      </c>
    </row>
    <row r="461" spans="1:5" x14ac:dyDescent="0.2">
      <c r="A461" t="s">
        <v>1046</v>
      </c>
      <c r="B461" t="s">
        <v>9078</v>
      </c>
      <c r="C461" t="s">
        <v>357</v>
      </c>
      <c r="D461" t="s">
        <v>258</v>
      </c>
      <c r="E461" t="s">
        <v>806</v>
      </c>
    </row>
    <row r="462" spans="1:5" x14ac:dyDescent="0.2">
      <c r="A462" t="s">
        <v>1047</v>
      </c>
      <c r="B462" t="s">
        <v>9079</v>
      </c>
      <c r="C462" t="s">
        <v>357</v>
      </c>
      <c r="D462" t="s">
        <v>710</v>
      </c>
      <c r="E462" t="s">
        <v>806</v>
      </c>
    </row>
    <row r="463" spans="1:5" x14ac:dyDescent="0.2">
      <c r="A463" t="s">
        <v>1048</v>
      </c>
      <c r="B463" t="s">
        <v>9080</v>
      </c>
      <c r="C463" t="s">
        <v>357</v>
      </c>
      <c r="D463" t="s">
        <v>386</v>
      </c>
      <c r="E463" t="s">
        <v>806</v>
      </c>
    </row>
    <row r="464" spans="1:5" x14ac:dyDescent="0.2">
      <c r="A464" t="s">
        <v>1049</v>
      </c>
      <c r="B464" t="s">
        <v>9081</v>
      </c>
      <c r="C464" t="s">
        <v>357</v>
      </c>
      <c r="D464" t="s">
        <v>480</v>
      </c>
      <c r="E464" t="s">
        <v>806</v>
      </c>
    </row>
    <row r="465" spans="1:5" x14ac:dyDescent="0.2">
      <c r="A465" t="s">
        <v>1050</v>
      </c>
      <c r="B465" t="s">
        <v>9082</v>
      </c>
      <c r="C465" t="s">
        <v>357</v>
      </c>
      <c r="D465" t="s">
        <v>386</v>
      </c>
      <c r="E465" t="s">
        <v>806</v>
      </c>
    </row>
    <row r="466" spans="1:5" x14ac:dyDescent="0.2">
      <c r="A466" t="s">
        <v>1051</v>
      </c>
      <c r="B466" t="s">
        <v>9083</v>
      </c>
      <c r="C466" t="s">
        <v>357</v>
      </c>
      <c r="D466" t="s">
        <v>480</v>
      </c>
      <c r="E466" t="s">
        <v>806</v>
      </c>
    </row>
    <row r="467" spans="1:5" x14ac:dyDescent="0.2">
      <c r="A467" t="s">
        <v>1052</v>
      </c>
      <c r="B467" t="s">
        <v>9084</v>
      </c>
      <c r="C467" t="s">
        <v>357</v>
      </c>
      <c r="D467" t="s">
        <v>444</v>
      </c>
      <c r="E467" t="s">
        <v>194</v>
      </c>
    </row>
    <row r="468" spans="1:5" x14ac:dyDescent="0.2">
      <c r="A468" t="s">
        <v>1053</v>
      </c>
      <c r="B468" t="s">
        <v>9085</v>
      </c>
      <c r="C468" t="s">
        <v>357</v>
      </c>
      <c r="D468" t="s">
        <v>266</v>
      </c>
      <c r="E468" t="s">
        <v>194</v>
      </c>
    </row>
    <row r="469" spans="1:5" x14ac:dyDescent="0.2">
      <c r="A469" t="s">
        <v>1054</v>
      </c>
      <c r="B469" t="s">
        <v>9086</v>
      </c>
      <c r="C469" t="s">
        <v>357</v>
      </c>
      <c r="D469" t="s">
        <v>422</v>
      </c>
      <c r="E469" t="s">
        <v>194</v>
      </c>
    </row>
    <row r="470" spans="1:5" x14ac:dyDescent="0.2">
      <c r="A470" t="s">
        <v>1055</v>
      </c>
      <c r="B470" t="s">
        <v>9087</v>
      </c>
      <c r="C470" t="s">
        <v>357</v>
      </c>
      <c r="D470" t="s">
        <v>266</v>
      </c>
      <c r="E470" t="s">
        <v>194</v>
      </c>
    </row>
    <row r="471" spans="1:5" x14ac:dyDescent="0.2">
      <c r="A471" t="s">
        <v>993</v>
      </c>
      <c r="B471" t="s">
        <v>994</v>
      </c>
      <c r="C471" t="s">
        <v>322</v>
      </c>
      <c r="D471" t="s">
        <v>681</v>
      </c>
      <c r="E471" t="s">
        <v>995</v>
      </c>
    </row>
    <row r="472" spans="1:5" x14ac:dyDescent="0.2">
      <c r="A472" t="s">
        <v>996</v>
      </c>
      <c r="B472" t="s">
        <v>997</v>
      </c>
      <c r="C472" t="s">
        <v>322</v>
      </c>
      <c r="D472" t="s">
        <v>400</v>
      </c>
      <c r="E472" t="s">
        <v>995</v>
      </c>
    </row>
    <row r="473" spans="1:5" x14ac:dyDescent="0.2">
      <c r="A473" t="s">
        <v>998</v>
      </c>
      <c r="B473" t="s">
        <v>999</v>
      </c>
      <c r="C473" t="s">
        <v>244</v>
      </c>
      <c r="D473" t="s">
        <v>583</v>
      </c>
      <c r="E473" t="s">
        <v>995</v>
      </c>
    </row>
    <row r="474" spans="1:5" x14ac:dyDescent="0.2">
      <c r="A474" t="s">
        <v>1000</v>
      </c>
      <c r="B474" t="s">
        <v>1001</v>
      </c>
      <c r="C474" t="s">
        <v>104</v>
      </c>
      <c r="D474" t="s">
        <v>604</v>
      </c>
      <c r="E474" t="s">
        <v>995</v>
      </c>
    </row>
    <row r="475" spans="1:5" x14ac:dyDescent="0.2">
      <c r="A475" t="s">
        <v>1002</v>
      </c>
      <c r="B475" t="s">
        <v>1003</v>
      </c>
      <c r="C475" t="s">
        <v>104</v>
      </c>
      <c r="D475" t="s">
        <v>604</v>
      </c>
      <c r="E475" t="s">
        <v>995</v>
      </c>
    </row>
    <row r="476" spans="1:5" x14ac:dyDescent="0.2">
      <c r="A476" t="s">
        <v>1007</v>
      </c>
      <c r="B476" t="s">
        <v>1008</v>
      </c>
      <c r="C476" t="s">
        <v>104</v>
      </c>
      <c r="D476" t="s">
        <v>1006</v>
      </c>
      <c r="E476" t="s">
        <v>995</v>
      </c>
    </row>
    <row r="477" spans="1:5" x14ac:dyDescent="0.2">
      <c r="A477" t="s">
        <v>1004</v>
      </c>
      <c r="B477" t="s">
        <v>1005</v>
      </c>
      <c r="C477" t="s">
        <v>104</v>
      </c>
      <c r="D477" t="s">
        <v>1006</v>
      </c>
      <c r="E477" t="s">
        <v>995</v>
      </c>
    </row>
    <row r="478" spans="1:5" x14ac:dyDescent="0.2">
      <c r="A478" t="s">
        <v>1009</v>
      </c>
      <c r="B478" t="s">
        <v>1010</v>
      </c>
      <c r="C478" t="s">
        <v>222</v>
      </c>
      <c r="D478" t="s">
        <v>1011</v>
      </c>
      <c r="E478" t="s">
        <v>1012</v>
      </c>
    </row>
    <row r="479" spans="1:5" x14ac:dyDescent="0.2">
      <c r="A479" t="s">
        <v>1013</v>
      </c>
      <c r="B479" t="s">
        <v>1014</v>
      </c>
      <c r="C479" t="s">
        <v>219</v>
      </c>
      <c r="D479" t="s">
        <v>456</v>
      </c>
      <c r="E479" t="s">
        <v>995</v>
      </c>
    </row>
    <row r="480" spans="1:5" x14ac:dyDescent="0.2">
      <c r="A480" t="s">
        <v>1015</v>
      </c>
      <c r="B480" t="s">
        <v>1016</v>
      </c>
      <c r="C480" t="s">
        <v>421</v>
      </c>
      <c r="D480" t="s">
        <v>690</v>
      </c>
      <c r="E480" t="s">
        <v>995</v>
      </c>
    </row>
    <row r="481" spans="1:5" x14ac:dyDescent="0.2">
      <c r="A481" t="s">
        <v>1017</v>
      </c>
      <c r="B481" t="s">
        <v>1018</v>
      </c>
      <c r="C481" t="s">
        <v>421</v>
      </c>
      <c r="D481" t="s">
        <v>456</v>
      </c>
      <c r="E481" t="s">
        <v>995</v>
      </c>
    </row>
    <row r="482" spans="1:5" x14ac:dyDescent="0.2">
      <c r="A482" t="s">
        <v>1019</v>
      </c>
      <c r="B482" t="s">
        <v>1020</v>
      </c>
      <c r="C482" t="s">
        <v>421</v>
      </c>
      <c r="D482" t="s">
        <v>456</v>
      </c>
      <c r="E482" t="s">
        <v>995</v>
      </c>
    </row>
    <row r="483" spans="1:5" x14ac:dyDescent="0.2">
      <c r="A483" t="s">
        <v>1021</v>
      </c>
      <c r="B483" t="s">
        <v>1022</v>
      </c>
      <c r="C483" t="s">
        <v>261</v>
      </c>
      <c r="D483" t="s">
        <v>604</v>
      </c>
      <c r="E483" t="s">
        <v>995</v>
      </c>
    </row>
    <row r="484" spans="1:5" x14ac:dyDescent="0.2">
      <c r="A484" t="s">
        <v>1023</v>
      </c>
      <c r="B484" t="s">
        <v>1024</v>
      </c>
      <c r="C484" t="s">
        <v>261</v>
      </c>
      <c r="D484" t="s">
        <v>1025</v>
      </c>
      <c r="E484" t="s">
        <v>995</v>
      </c>
    </row>
    <row r="485" spans="1:5" x14ac:dyDescent="0.2">
      <c r="A485" t="s">
        <v>1026</v>
      </c>
      <c r="B485" t="s">
        <v>1027</v>
      </c>
      <c r="C485" t="s">
        <v>287</v>
      </c>
      <c r="D485" t="s">
        <v>456</v>
      </c>
      <c r="E485" t="s">
        <v>995</v>
      </c>
    </row>
    <row r="486" spans="1:5" x14ac:dyDescent="0.2">
      <c r="A486" t="s">
        <v>1028</v>
      </c>
      <c r="B486" t="s">
        <v>1029</v>
      </c>
      <c r="C486" t="s">
        <v>287</v>
      </c>
      <c r="D486" t="s">
        <v>583</v>
      </c>
      <c r="E486" t="s">
        <v>995</v>
      </c>
    </row>
    <row r="487" spans="1:5" x14ac:dyDescent="0.2">
      <c r="A487" t="s">
        <v>1030</v>
      </c>
      <c r="B487" t="s">
        <v>1031</v>
      </c>
      <c r="C487" t="s">
        <v>219</v>
      </c>
      <c r="D487" t="s">
        <v>888</v>
      </c>
      <c r="E487" t="s">
        <v>995</v>
      </c>
    </row>
    <row r="488" spans="1:5" x14ac:dyDescent="0.2">
      <c r="A488" t="s">
        <v>1032</v>
      </c>
      <c r="B488" t="s">
        <v>1033</v>
      </c>
      <c r="C488" t="s">
        <v>287</v>
      </c>
      <c r="D488" t="s">
        <v>604</v>
      </c>
      <c r="E488" t="s">
        <v>995</v>
      </c>
    </row>
    <row r="489" spans="1:5" x14ac:dyDescent="0.2">
      <c r="A489" t="s">
        <v>1034</v>
      </c>
      <c r="B489" t="s">
        <v>1035</v>
      </c>
      <c r="C489" t="s">
        <v>287</v>
      </c>
      <c r="D489" t="s">
        <v>368</v>
      </c>
      <c r="E489" t="s">
        <v>995</v>
      </c>
    </row>
    <row r="490" spans="1:5" x14ac:dyDescent="0.2">
      <c r="A490" t="s">
        <v>1036</v>
      </c>
      <c r="B490" t="s">
        <v>1037</v>
      </c>
      <c r="C490" t="s">
        <v>244</v>
      </c>
      <c r="D490" t="s">
        <v>254</v>
      </c>
      <c r="E490" t="s">
        <v>995</v>
      </c>
    </row>
    <row r="491" spans="1:5" x14ac:dyDescent="0.2">
      <c r="A491" t="s">
        <v>1038</v>
      </c>
      <c r="B491" t="s">
        <v>1039</v>
      </c>
      <c r="C491" t="s">
        <v>244</v>
      </c>
      <c r="D491" t="s">
        <v>254</v>
      </c>
      <c r="E491" t="s">
        <v>995</v>
      </c>
    </row>
    <row r="492" spans="1:5" x14ac:dyDescent="0.2">
      <c r="A492" t="s">
        <v>1040</v>
      </c>
      <c r="B492" t="s">
        <v>1041</v>
      </c>
      <c r="C492" t="s">
        <v>244</v>
      </c>
      <c r="D492" t="s">
        <v>368</v>
      </c>
      <c r="E492" t="s">
        <v>995</v>
      </c>
    </row>
    <row r="493" spans="1:5" x14ac:dyDescent="0.2">
      <c r="A493" t="s">
        <v>1042</v>
      </c>
      <c r="B493" t="s">
        <v>1043</v>
      </c>
      <c r="C493" t="s">
        <v>244</v>
      </c>
      <c r="D493" t="s">
        <v>368</v>
      </c>
      <c r="E493" t="s">
        <v>995</v>
      </c>
    </row>
    <row r="494" spans="1:5" x14ac:dyDescent="0.2">
      <c r="A494" t="s">
        <v>1044</v>
      </c>
      <c r="B494" t="s">
        <v>1045</v>
      </c>
      <c r="C494" t="s">
        <v>199</v>
      </c>
      <c r="D494" t="s">
        <v>400</v>
      </c>
      <c r="E494" t="s">
        <v>995</v>
      </c>
    </row>
    <row r="495" spans="1:5" x14ac:dyDescent="0.2">
      <c r="A495" t="s">
        <v>1056</v>
      </c>
      <c r="B495" t="s">
        <v>1057</v>
      </c>
      <c r="C495" t="s">
        <v>104</v>
      </c>
      <c r="D495" t="s">
        <v>2462</v>
      </c>
      <c r="E495" t="s">
        <v>9088</v>
      </c>
    </row>
    <row r="496" spans="1:5" x14ac:dyDescent="0.2">
      <c r="A496" t="s">
        <v>1059</v>
      </c>
      <c r="B496" t="s">
        <v>1060</v>
      </c>
      <c r="C496" t="s">
        <v>104</v>
      </c>
      <c r="D496" t="s">
        <v>263</v>
      </c>
      <c r="E496" t="s">
        <v>806</v>
      </c>
    </row>
    <row r="497" spans="1:5" x14ac:dyDescent="0.2">
      <c r="A497" t="s">
        <v>1061</v>
      </c>
      <c r="B497" t="s">
        <v>1062</v>
      </c>
      <c r="C497" t="s">
        <v>104</v>
      </c>
      <c r="D497" t="s">
        <v>263</v>
      </c>
      <c r="E497" t="s">
        <v>806</v>
      </c>
    </row>
    <row r="498" spans="1:5" x14ac:dyDescent="0.2">
      <c r="A498" t="s">
        <v>1064</v>
      </c>
      <c r="B498" t="s">
        <v>1065</v>
      </c>
      <c r="C498" t="s">
        <v>131</v>
      </c>
      <c r="D498" t="s">
        <v>427</v>
      </c>
      <c r="E498" t="s">
        <v>9088</v>
      </c>
    </row>
    <row r="499" spans="1:5" x14ac:dyDescent="0.2">
      <c r="A499" t="s">
        <v>1066</v>
      </c>
      <c r="B499" t="s">
        <v>1067</v>
      </c>
      <c r="C499" t="s">
        <v>131</v>
      </c>
      <c r="D499" t="s">
        <v>180</v>
      </c>
      <c r="E499" t="s">
        <v>806</v>
      </c>
    </row>
    <row r="500" spans="1:5" x14ac:dyDescent="0.2">
      <c r="A500" t="s">
        <v>1068</v>
      </c>
      <c r="B500" t="s">
        <v>1069</v>
      </c>
      <c r="C500" t="s">
        <v>131</v>
      </c>
      <c r="D500" t="s">
        <v>180</v>
      </c>
      <c r="E500" t="s">
        <v>806</v>
      </c>
    </row>
    <row r="501" spans="1:5" x14ac:dyDescent="0.2">
      <c r="A501" t="s">
        <v>1071</v>
      </c>
      <c r="B501" t="s">
        <v>1072</v>
      </c>
      <c r="C501" t="s">
        <v>92</v>
      </c>
      <c r="D501" t="s">
        <v>323</v>
      </c>
      <c r="E501" t="s">
        <v>9088</v>
      </c>
    </row>
    <row r="502" spans="1:5" x14ac:dyDescent="0.2">
      <c r="A502" t="s">
        <v>1073</v>
      </c>
      <c r="B502" t="s">
        <v>1074</v>
      </c>
      <c r="C502" t="s">
        <v>92</v>
      </c>
      <c r="D502" t="s">
        <v>840</v>
      </c>
      <c r="E502" t="s">
        <v>806</v>
      </c>
    </row>
    <row r="503" spans="1:5" x14ac:dyDescent="0.2">
      <c r="A503" t="s">
        <v>1075</v>
      </c>
      <c r="B503" t="s">
        <v>1076</v>
      </c>
      <c r="C503" t="s">
        <v>287</v>
      </c>
      <c r="D503" t="s">
        <v>604</v>
      </c>
      <c r="E503" t="s">
        <v>995</v>
      </c>
    </row>
    <row r="504" spans="1:5" x14ac:dyDescent="0.2">
      <c r="A504" t="s">
        <v>1077</v>
      </c>
      <c r="B504" t="s">
        <v>1078</v>
      </c>
      <c r="C504" t="s">
        <v>287</v>
      </c>
      <c r="D504" t="s">
        <v>368</v>
      </c>
      <c r="E504" t="s">
        <v>995</v>
      </c>
    </row>
    <row r="505" spans="1:5" x14ac:dyDescent="0.2">
      <c r="A505" t="s">
        <v>1079</v>
      </c>
      <c r="B505" t="s">
        <v>1080</v>
      </c>
      <c r="C505" t="s">
        <v>251</v>
      </c>
      <c r="D505" t="s">
        <v>1081</v>
      </c>
      <c r="E505" t="s">
        <v>995</v>
      </c>
    </row>
    <row r="506" spans="1:5" x14ac:dyDescent="0.2">
      <c r="A506" t="s">
        <v>1082</v>
      </c>
      <c r="B506" t="s">
        <v>1083</v>
      </c>
      <c r="C506" t="s">
        <v>251</v>
      </c>
      <c r="D506" t="s">
        <v>350</v>
      </c>
      <c r="E506" t="s">
        <v>995</v>
      </c>
    </row>
    <row r="507" spans="1:5" x14ac:dyDescent="0.2">
      <c r="A507" t="s">
        <v>1084</v>
      </c>
      <c r="B507" t="s">
        <v>1085</v>
      </c>
      <c r="C507" t="s">
        <v>251</v>
      </c>
      <c r="D507" t="s">
        <v>681</v>
      </c>
      <c r="E507" t="s">
        <v>5103</v>
      </c>
    </row>
    <row r="508" spans="1:5" x14ac:dyDescent="0.2">
      <c r="A508" t="s">
        <v>1086</v>
      </c>
      <c r="B508" t="s">
        <v>1087</v>
      </c>
      <c r="C508" t="s">
        <v>251</v>
      </c>
      <c r="D508" t="s">
        <v>1006</v>
      </c>
      <c r="E508" t="s">
        <v>995</v>
      </c>
    </row>
    <row r="509" spans="1:5" x14ac:dyDescent="0.2">
      <c r="A509" t="s">
        <v>1088</v>
      </c>
      <c r="B509" t="s">
        <v>1089</v>
      </c>
      <c r="C509" t="s">
        <v>212</v>
      </c>
      <c r="D509" t="s">
        <v>681</v>
      </c>
      <c r="E509" t="s">
        <v>995</v>
      </c>
    </row>
    <row r="510" spans="1:5" x14ac:dyDescent="0.2">
      <c r="A510" t="s">
        <v>1092</v>
      </c>
      <c r="B510" t="s">
        <v>1093</v>
      </c>
      <c r="C510" t="s">
        <v>212</v>
      </c>
      <c r="D510" t="s">
        <v>258</v>
      </c>
      <c r="E510" t="s">
        <v>995</v>
      </c>
    </row>
    <row r="511" spans="1:5" x14ac:dyDescent="0.2">
      <c r="A511" t="s">
        <v>1090</v>
      </c>
      <c r="B511" t="s">
        <v>1091</v>
      </c>
      <c r="C511" t="s">
        <v>212</v>
      </c>
      <c r="D511" t="s">
        <v>258</v>
      </c>
      <c r="E511" t="s">
        <v>995</v>
      </c>
    </row>
    <row r="512" spans="1:5" x14ac:dyDescent="0.2">
      <c r="A512" t="s">
        <v>1094</v>
      </c>
      <c r="B512" t="s">
        <v>1095</v>
      </c>
      <c r="C512" t="s">
        <v>251</v>
      </c>
      <c r="D512" t="s">
        <v>681</v>
      </c>
      <c r="E512" t="s">
        <v>995</v>
      </c>
    </row>
    <row r="513" spans="1:5" x14ac:dyDescent="0.2">
      <c r="A513" t="s">
        <v>1096</v>
      </c>
      <c r="B513" t="s">
        <v>1097</v>
      </c>
      <c r="C513" t="s">
        <v>251</v>
      </c>
      <c r="D513" t="s">
        <v>444</v>
      </c>
      <c r="E513" t="s">
        <v>995</v>
      </c>
    </row>
    <row r="514" spans="1:5" x14ac:dyDescent="0.2">
      <c r="A514" t="s">
        <v>1098</v>
      </c>
      <c r="B514" t="s">
        <v>1099</v>
      </c>
      <c r="C514" t="s">
        <v>251</v>
      </c>
      <c r="D514" t="s">
        <v>444</v>
      </c>
      <c r="E514" t="s">
        <v>995</v>
      </c>
    </row>
    <row r="515" spans="1:5" x14ac:dyDescent="0.2">
      <c r="A515" t="s">
        <v>1100</v>
      </c>
      <c r="B515" t="s">
        <v>1101</v>
      </c>
      <c r="C515" t="s">
        <v>251</v>
      </c>
      <c r="D515" t="s">
        <v>681</v>
      </c>
      <c r="E515" t="s">
        <v>995</v>
      </c>
    </row>
    <row r="516" spans="1:5" x14ac:dyDescent="0.2">
      <c r="A516" t="s">
        <v>1102</v>
      </c>
      <c r="B516" t="s">
        <v>1103</v>
      </c>
      <c r="C516" t="s">
        <v>251</v>
      </c>
      <c r="D516" t="s">
        <v>422</v>
      </c>
      <c r="E516" t="s">
        <v>995</v>
      </c>
    </row>
    <row r="517" spans="1:5" x14ac:dyDescent="0.2">
      <c r="A517" t="s">
        <v>1104</v>
      </c>
      <c r="B517" t="s">
        <v>1105</v>
      </c>
      <c r="C517" t="s">
        <v>222</v>
      </c>
      <c r="D517" t="s">
        <v>200</v>
      </c>
      <c r="E517" t="s">
        <v>995</v>
      </c>
    </row>
    <row r="518" spans="1:5" x14ac:dyDescent="0.2">
      <c r="A518" t="s">
        <v>1106</v>
      </c>
      <c r="B518" t="s">
        <v>1107</v>
      </c>
      <c r="C518" t="s">
        <v>222</v>
      </c>
      <c r="D518" t="s">
        <v>805</v>
      </c>
      <c r="E518" t="s">
        <v>995</v>
      </c>
    </row>
    <row r="519" spans="1:5" x14ac:dyDescent="0.2">
      <c r="A519" t="s">
        <v>1108</v>
      </c>
      <c r="B519" t="s">
        <v>1109</v>
      </c>
      <c r="C519" t="s">
        <v>222</v>
      </c>
      <c r="D519" t="s">
        <v>200</v>
      </c>
      <c r="E519" t="s">
        <v>995</v>
      </c>
    </row>
    <row r="520" spans="1:5" x14ac:dyDescent="0.2">
      <c r="A520" t="s">
        <v>1110</v>
      </c>
      <c r="B520" t="s">
        <v>1111</v>
      </c>
      <c r="C520" t="s">
        <v>222</v>
      </c>
      <c r="D520" t="s">
        <v>805</v>
      </c>
      <c r="E520" t="s">
        <v>995</v>
      </c>
    </row>
    <row r="521" spans="1:5" x14ac:dyDescent="0.2">
      <c r="A521" t="s">
        <v>1112</v>
      </c>
      <c r="B521" t="s">
        <v>1113</v>
      </c>
      <c r="C521" t="s">
        <v>227</v>
      </c>
      <c r="D521" t="s">
        <v>701</v>
      </c>
      <c r="E521" t="s">
        <v>995</v>
      </c>
    </row>
    <row r="522" spans="1:5" x14ac:dyDescent="0.2">
      <c r="A522" t="s">
        <v>1114</v>
      </c>
      <c r="B522" t="s">
        <v>1115</v>
      </c>
      <c r="C522" t="s">
        <v>227</v>
      </c>
      <c r="D522" t="s">
        <v>299</v>
      </c>
      <c r="E522" t="s">
        <v>995</v>
      </c>
    </row>
    <row r="523" spans="1:5" x14ac:dyDescent="0.2">
      <c r="A523" t="s">
        <v>1116</v>
      </c>
      <c r="B523" t="s">
        <v>1117</v>
      </c>
      <c r="C523" t="s">
        <v>399</v>
      </c>
      <c r="D523" t="s">
        <v>681</v>
      </c>
      <c r="E523" t="s">
        <v>9088</v>
      </c>
    </row>
    <row r="524" spans="1:5" x14ac:dyDescent="0.2">
      <c r="A524" t="s">
        <v>1118</v>
      </c>
      <c r="B524" t="s">
        <v>1119</v>
      </c>
      <c r="C524" t="s">
        <v>399</v>
      </c>
      <c r="D524" t="s">
        <v>681</v>
      </c>
      <c r="E524" t="s">
        <v>9088</v>
      </c>
    </row>
    <row r="525" spans="1:5" x14ac:dyDescent="0.2">
      <c r="A525" t="s">
        <v>1120</v>
      </c>
      <c r="B525" t="s">
        <v>1121</v>
      </c>
      <c r="C525" t="s">
        <v>399</v>
      </c>
      <c r="D525" t="s">
        <v>213</v>
      </c>
      <c r="E525" t="s">
        <v>9088</v>
      </c>
    </row>
    <row r="526" spans="1:5" x14ac:dyDescent="0.2">
      <c r="A526" t="s">
        <v>1122</v>
      </c>
      <c r="B526" t="s">
        <v>1123</v>
      </c>
      <c r="C526" t="s">
        <v>399</v>
      </c>
      <c r="D526" t="s">
        <v>213</v>
      </c>
      <c r="E526" t="s">
        <v>9088</v>
      </c>
    </row>
    <row r="527" spans="1:5" x14ac:dyDescent="0.2">
      <c r="A527" t="s">
        <v>1124</v>
      </c>
      <c r="B527" t="s">
        <v>1125</v>
      </c>
      <c r="C527" t="s">
        <v>399</v>
      </c>
      <c r="D527" t="s">
        <v>213</v>
      </c>
      <c r="E527" t="s">
        <v>9088</v>
      </c>
    </row>
    <row r="528" spans="1:5" x14ac:dyDescent="0.2">
      <c r="A528" t="s">
        <v>1171</v>
      </c>
      <c r="B528" t="s">
        <v>9089</v>
      </c>
      <c r="C528" t="s">
        <v>219</v>
      </c>
      <c r="D528" t="s">
        <v>473</v>
      </c>
      <c r="E528" t="s">
        <v>992</v>
      </c>
    </row>
    <row r="529" spans="1:5" x14ac:dyDescent="0.2">
      <c r="A529" t="s">
        <v>1172</v>
      </c>
      <c r="B529" t="s">
        <v>9090</v>
      </c>
      <c r="C529" t="s">
        <v>219</v>
      </c>
      <c r="D529" t="s">
        <v>412</v>
      </c>
      <c r="E529" t="s">
        <v>992</v>
      </c>
    </row>
    <row r="530" spans="1:5" x14ac:dyDescent="0.2">
      <c r="A530" t="s">
        <v>1126</v>
      </c>
      <c r="B530" t="s">
        <v>1127</v>
      </c>
      <c r="C530" t="s">
        <v>120</v>
      </c>
      <c r="D530" t="s">
        <v>241</v>
      </c>
      <c r="E530" t="s">
        <v>234</v>
      </c>
    </row>
    <row r="531" spans="1:5" x14ac:dyDescent="0.2">
      <c r="A531" t="s">
        <v>1128</v>
      </c>
      <c r="B531" t="s">
        <v>1129</v>
      </c>
      <c r="C531" t="s">
        <v>120</v>
      </c>
      <c r="D531" t="s">
        <v>241</v>
      </c>
      <c r="E531" t="s">
        <v>234</v>
      </c>
    </row>
    <row r="532" spans="1:5" x14ac:dyDescent="0.2">
      <c r="A532" t="s">
        <v>1130</v>
      </c>
      <c r="B532" t="s">
        <v>1131</v>
      </c>
      <c r="C532" t="s">
        <v>104</v>
      </c>
      <c r="D532" t="s">
        <v>955</v>
      </c>
      <c r="E532" t="s">
        <v>234</v>
      </c>
    </row>
    <row r="533" spans="1:5" x14ac:dyDescent="0.2">
      <c r="A533" t="s">
        <v>1132</v>
      </c>
      <c r="B533" t="s">
        <v>1133</v>
      </c>
      <c r="C533" t="s">
        <v>104</v>
      </c>
      <c r="D533" t="s">
        <v>955</v>
      </c>
      <c r="E533" t="s">
        <v>234</v>
      </c>
    </row>
    <row r="534" spans="1:5" x14ac:dyDescent="0.2">
      <c r="A534" t="s">
        <v>1134</v>
      </c>
      <c r="B534" t="s">
        <v>1135</v>
      </c>
      <c r="C534" t="s">
        <v>104</v>
      </c>
      <c r="D534" t="s">
        <v>254</v>
      </c>
      <c r="E534" t="s">
        <v>234</v>
      </c>
    </row>
    <row r="535" spans="1:5" x14ac:dyDescent="0.2">
      <c r="A535" t="s">
        <v>1136</v>
      </c>
      <c r="B535" t="s">
        <v>1137</v>
      </c>
      <c r="C535" t="s">
        <v>104</v>
      </c>
      <c r="D535" t="s">
        <v>254</v>
      </c>
      <c r="E535" t="s">
        <v>234</v>
      </c>
    </row>
    <row r="536" spans="1:5" x14ac:dyDescent="0.2">
      <c r="A536" t="s">
        <v>1138</v>
      </c>
      <c r="B536" t="s">
        <v>1139</v>
      </c>
      <c r="C536" t="s">
        <v>104</v>
      </c>
      <c r="D536" t="s">
        <v>252</v>
      </c>
      <c r="E536" t="s">
        <v>234</v>
      </c>
    </row>
    <row r="537" spans="1:5" x14ac:dyDescent="0.2">
      <c r="A537" t="s">
        <v>1140</v>
      </c>
      <c r="B537" t="s">
        <v>1141</v>
      </c>
      <c r="C537" t="s">
        <v>104</v>
      </c>
      <c r="D537" t="s">
        <v>252</v>
      </c>
      <c r="E537" t="s">
        <v>234</v>
      </c>
    </row>
    <row r="538" spans="1:5" x14ac:dyDescent="0.2">
      <c r="A538" t="s">
        <v>1142</v>
      </c>
      <c r="B538" t="s">
        <v>1143</v>
      </c>
      <c r="C538" t="s">
        <v>104</v>
      </c>
      <c r="D538" t="s">
        <v>241</v>
      </c>
      <c r="E538" t="s">
        <v>234</v>
      </c>
    </row>
    <row r="539" spans="1:5" x14ac:dyDescent="0.2">
      <c r="A539" t="s">
        <v>1144</v>
      </c>
      <c r="B539" t="s">
        <v>1145</v>
      </c>
      <c r="C539" t="s">
        <v>104</v>
      </c>
      <c r="D539" t="s">
        <v>241</v>
      </c>
      <c r="E539" t="s">
        <v>234</v>
      </c>
    </row>
    <row r="540" spans="1:5" x14ac:dyDescent="0.2">
      <c r="A540" t="s">
        <v>1146</v>
      </c>
      <c r="B540" t="s">
        <v>1147</v>
      </c>
      <c r="C540" t="s">
        <v>399</v>
      </c>
      <c r="D540" t="s">
        <v>323</v>
      </c>
      <c r="E540" t="s">
        <v>234</v>
      </c>
    </row>
    <row r="541" spans="1:5" x14ac:dyDescent="0.2">
      <c r="A541" t="s">
        <v>1148</v>
      </c>
      <c r="B541" t="s">
        <v>1149</v>
      </c>
      <c r="C541" t="s">
        <v>399</v>
      </c>
      <c r="D541" t="s">
        <v>323</v>
      </c>
      <c r="E541" t="s">
        <v>234</v>
      </c>
    </row>
    <row r="542" spans="1:5" x14ac:dyDescent="0.2">
      <c r="A542" t="s">
        <v>1150</v>
      </c>
      <c r="B542" t="s">
        <v>1151</v>
      </c>
      <c r="C542" t="s">
        <v>399</v>
      </c>
      <c r="D542" t="s">
        <v>444</v>
      </c>
      <c r="E542" t="s">
        <v>234</v>
      </c>
    </row>
    <row r="543" spans="1:5" x14ac:dyDescent="0.2">
      <c r="A543" t="s">
        <v>1152</v>
      </c>
      <c r="B543" t="s">
        <v>1153</v>
      </c>
      <c r="C543" t="s">
        <v>399</v>
      </c>
      <c r="D543" t="s">
        <v>444</v>
      </c>
      <c r="E543" t="s">
        <v>234</v>
      </c>
    </row>
    <row r="544" spans="1:5" x14ac:dyDescent="0.2">
      <c r="A544" t="s">
        <v>1154</v>
      </c>
      <c r="B544" t="s">
        <v>1155</v>
      </c>
      <c r="C544" t="s">
        <v>591</v>
      </c>
      <c r="D544" t="s">
        <v>323</v>
      </c>
      <c r="E544" t="s">
        <v>9091</v>
      </c>
    </row>
    <row r="545" spans="1:5" x14ac:dyDescent="0.2">
      <c r="A545" t="s">
        <v>1157</v>
      </c>
      <c r="B545" t="s">
        <v>1158</v>
      </c>
      <c r="C545" t="s">
        <v>591</v>
      </c>
      <c r="D545" t="s">
        <v>323</v>
      </c>
      <c r="E545" t="s">
        <v>9091</v>
      </c>
    </row>
    <row r="546" spans="1:5" x14ac:dyDescent="0.2">
      <c r="A546" t="s">
        <v>1159</v>
      </c>
      <c r="B546" t="s">
        <v>1160</v>
      </c>
      <c r="C546" t="s">
        <v>591</v>
      </c>
      <c r="D546" t="s">
        <v>422</v>
      </c>
      <c r="E546" t="s">
        <v>234</v>
      </c>
    </row>
    <row r="547" spans="1:5" x14ac:dyDescent="0.2">
      <c r="A547" t="s">
        <v>1161</v>
      </c>
      <c r="B547" t="s">
        <v>1162</v>
      </c>
      <c r="C547" t="s">
        <v>591</v>
      </c>
      <c r="D547" t="s">
        <v>422</v>
      </c>
      <c r="E547" t="s">
        <v>234</v>
      </c>
    </row>
    <row r="548" spans="1:5" x14ac:dyDescent="0.2">
      <c r="A548" t="s">
        <v>1163</v>
      </c>
      <c r="B548" t="s">
        <v>1164</v>
      </c>
      <c r="C548" t="s">
        <v>331</v>
      </c>
      <c r="D548" t="s">
        <v>296</v>
      </c>
      <c r="E548" t="s">
        <v>234</v>
      </c>
    </row>
    <row r="549" spans="1:5" x14ac:dyDescent="0.2">
      <c r="A549" t="s">
        <v>1165</v>
      </c>
      <c r="B549" t="s">
        <v>1166</v>
      </c>
      <c r="C549" t="s">
        <v>331</v>
      </c>
      <c r="D549" t="s">
        <v>296</v>
      </c>
      <c r="E549" t="s">
        <v>234</v>
      </c>
    </row>
    <row r="550" spans="1:5" x14ac:dyDescent="0.2">
      <c r="A550" t="s">
        <v>1167</v>
      </c>
      <c r="B550" t="s">
        <v>1168</v>
      </c>
      <c r="C550" t="s">
        <v>331</v>
      </c>
      <c r="D550" t="s">
        <v>299</v>
      </c>
      <c r="E550" t="s">
        <v>234</v>
      </c>
    </row>
    <row r="551" spans="1:5" x14ac:dyDescent="0.2">
      <c r="A551" t="s">
        <v>1169</v>
      </c>
      <c r="B551" t="s">
        <v>1170</v>
      </c>
      <c r="C551" t="s">
        <v>331</v>
      </c>
      <c r="D551" t="s">
        <v>299</v>
      </c>
      <c r="E551" t="s">
        <v>234</v>
      </c>
    </row>
    <row r="552" spans="1:5" x14ac:dyDescent="0.2">
      <c r="A552" t="s">
        <v>1173</v>
      </c>
      <c r="B552" t="s">
        <v>1174</v>
      </c>
      <c r="C552" t="s">
        <v>9092</v>
      </c>
      <c r="D552" t="s">
        <v>473</v>
      </c>
      <c r="E552" t="s">
        <v>234</v>
      </c>
    </row>
    <row r="553" spans="1:5" x14ac:dyDescent="0.2">
      <c r="A553" t="s">
        <v>1175</v>
      </c>
      <c r="B553" t="s">
        <v>1176</v>
      </c>
      <c r="C553" t="s">
        <v>9092</v>
      </c>
      <c r="D553" t="s">
        <v>473</v>
      </c>
      <c r="E553" t="s">
        <v>234</v>
      </c>
    </row>
    <row r="554" spans="1:5" x14ac:dyDescent="0.2">
      <c r="A554" t="s">
        <v>1177</v>
      </c>
      <c r="B554" t="s">
        <v>1178</v>
      </c>
      <c r="C554" t="s">
        <v>9092</v>
      </c>
      <c r="D554" t="s">
        <v>456</v>
      </c>
      <c r="E554" t="s">
        <v>234</v>
      </c>
    </row>
    <row r="555" spans="1:5" x14ac:dyDescent="0.2">
      <c r="A555" t="s">
        <v>1179</v>
      </c>
      <c r="B555" t="s">
        <v>1180</v>
      </c>
      <c r="C555" t="s">
        <v>9092</v>
      </c>
      <c r="D555" t="s">
        <v>456</v>
      </c>
      <c r="E555" t="s">
        <v>234</v>
      </c>
    </row>
    <row r="556" spans="1:5" x14ac:dyDescent="0.2">
      <c r="A556" t="s">
        <v>1181</v>
      </c>
      <c r="B556" t="s">
        <v>1182</v>
      </c>
      <c r="C556" t="s">
        <v>1183</v>
      </c>
      <c r="D556" t="s">
        <v>323</v>
      </c>
      <c r="E556" t="s">
        <v>234</v>
      </c>
    </row>
    <row r="557" spans="1:5" x14ac:dyDescent="0.2">
      <c r="A557" t="s">
        <v>1184</v>
      </c>
      <c r="B557" t="s">
        <v>1185</v>
      </c>
      <c r="C557" t="s">
        <v>1183</v>
      </c>
      <c r="D557" t="s">
        <v>323</v>
      </c>
      <c r="E557" t="s">
        <v>234</v>
      </c>
    </row>
    <row r="558" spans="1:5" x14ac:dyDescent="0.2">
      <c r="A558" t="s">
        <v>1186</v>
      </c>
      <c r="B558" t="s">
        <v>1187</v>
      </c>
      <c r="C558" t="s">
        <v>1183</v>
      </c>
      <c r="D558" t="s">
        <v>444</v>
      </c>
      <c r="E558" t="s">
        <v>234</v>
      </c>
    </row>
    <row r="559" spans="1:5" x14ac:dyDescent="0.2">
      <c r="A559" t="s">
        <v>1188</v>
      </c>
      <c r="B559" t="s">
        <v>1189</v>
      </c>
      <c r="C559" t="s">
        <v>1183</v>
      </c>
      <c r="D559" t="s">
        <v>444</v>
      </c>
      <c r="E559" t="s">
        <v>234</v>
      </c>
    </row>
    <row r="560" spans="1:5" x14ac:dyDescent="0.2">
      <c r="A560" t="s">
        <v>1190</v>
      </c>
      <c r="B560" t="s">
        <v>1191</v>
      </c>
      <c r="C560" t="s">
        <v>219</v>
      </c>
      <c r="D560" t="s">
        <v>1058</v>
      </c>
      <c r="E560" t="s">
        <v>234</v>
      </c>
    </row>
    <row r="561" spans="1:5" x14ac:dyDescent="0.2">
      <c r="A561" t="s">
        <v>1192</v>
      </c>
      <c r="B561" t="s">
        <v>1193</v>
      </c>
      <c r="C561" t="s">
        <v>219</v>
      </c>
      <c r="D561" t="s">
        <v>1058</v>
      </c>
      <c r="E561" t="s">
        <v>234</v>
      </c>
    </row>
    <row r="562" spans="1:5" x14ac:dyDescent="0.2">
      <c r="A562" t="s">
        <v>1194</v>
      </c>
      <c r="B562" t="s">
        <v>1195</v>
      </c>
      <c r="C562" t="s">
        <v>219</v>
      </c>
      <c r="D562" t="s">
        <v>400</v>
      </c>
      <c r="E562" t="s">
        <v>234</v>
      </c>
    </row>
    <row r="563" spans="1:5" x14ac:dyDescent="0.2">
      <c r="A563" t="s">
        <v>1196</v>
      </c>
      <c r="B563" t="s">
        <v>1197</v>
      </c>
      <c r="C563" t="s">
        <v>219</v>
      </c>
      <c r="D563" t="s">
        <v>400</v>
      </c>
      <c r="E563" t="s">
        <v>234</v>
      </c>
    </row>
    <row r="564" spans="1:5" x14ac:dyDescent="0.2">
      <c r="A564" t="s">
        <v>1198</v>
      </c>
      <c r="B564" t="s">
        <v>1199</v>
      </c>
      <c r="C564" t="s">
        <v>9093</v>
      </c>
      <c r="D564" t="s">
        <v>323</v>
      </c>
      <c r="E564" t="s">
        <v>234</v>
      </c>
    </row>
    <row r="565" spans="1:5" x14ac:dyDescent="0.2">
      <c r="A565" t="s">
        <v>1200</v>
      </c>
      <c r="B565" t="s">
        <v>1201</v>
      </c>
      <c r="C565" t="s">
        <v>9093</v>
      </c>
      <c r="D565" t="s">
        <v>323</v>
      </c>
      <c r="E565" t="s">
        <v>234</v>
      </c>
    </row>
    <row r="566" spans="1:5" x14ac:dyDescent="0.2">
      <c r="A566" t="s">
        <v>1202</v>
      </c>
      <c r="B566" t="s">
        <v>1203</v>
      </c>
      <c r="C566" t="s">
        <v>9093</v>
      </c>
      <c r="D566" t="s">
        <v>444</v>
      </c>
      <c r="E566" t="s">
        <v>234</v>
      </c>
    </row>
    <row r="567" spans="1:5" x14ac:dyDescent="0.2">
      <c r="A567" t="s">
        <v>1204</v>
      </c>
      <c r="B567" t="s">
        <v>1205</v>
      </c>
      <c r="C567" t="s">
        <v>9093</v>
      </c>
      <c r="D567" t="s">
        <v>444</v>
      </c>
      <c r="E567" t="s">
        <v>234</v>
      </c>
    </row>
    <row r="568" spans="1:5" x14ac:dyDescent="0.2">
      <c r="A568" t="s">
        <v>1206</v>
      </c>
      <c r="B568" t="s">
        <v>1207</v>
      </c>
      <c r="C568" t="s">
        <v>742</v>
      </c>
      <c r="D568" t="s">
        <v>150</v>
      </c>
      <c r="E568" t="s">
        <v>234</v>
      </c>
    </row>
    <row r="569" spans="1:5" x14ac:dyDescent="0.2">
      <c r="A569" t="s">
        <v>1208</v>
      </c>
      <c r="B569" t="s">
        <v>1209</v>
      </c>
      <c r="C569" t="s">
        <v>742</v>
      </c>
      <c r="D569" t="s">
        <v>150</v>
      </c>
      <c r="E569" t="s">
        <v>234</v>
      </c>
    </row>
    <row r="570" spans="1:5" x14ac:dyDescent="0.2">
      <c r="A570" t="s">
        <v>1210</v>
      </c>
      <c r="B570" t="s">
        <v>1211</v>
      </c>
      <c r="C570" t="s">
        <v>742</v>
      </c>
      <c r="D570" t="s">
        <v>394</v>
      </c>
      <c r="E570" t="s">
        <v>234</v>
      </c>
    </row>
    <row r="571" spans="1:5" x14ac:dyDescent="0.2">
      <c r="A571" t="s">
        <v>1212</v>
      </c>
      <c r="B571" t="s">
        <v>1213</v>
      </c>
      <c r="C571" t="s">
        <v>742</v>
      </c>
      <c r="D571" t="s">
        <v>394</v>
      </c>
      <c r="E571" t="s">
        <v>234</v>
      </c>
    </row>
    <row r="572" spans="1:5" x14ac:dyDescent="0.2">
      <c r="A572" t="s">
        <v>1214</v>
      </c>
      <c r="B572" t="s">
        <v>1215</v>
      </c>
      <c r="C572" t="s">
        <v>131</v>
      </c>
      <c r="D572" t="s">
        <v>547</v>
      </c>
      <c r="E572" t="s">
        <v>234</v>
      </c>
    </row>
    <row r="573" spans="1:5" x14ac:dyDescent="0.2">
      <c r="A573" t="s">
        <v>1216</v>
      </c>
      <c r="B573" t="s">
        <v>1217</v>
      </c>
      <c r="C573" t="s">
        <v>131</v>
      </c>
      <c r="D573" t="s">
        <v>547</v>
      </c>
      <c r="E573" t="s">
        <v>234</v>
      </c>
    </row>
    <row r="574" spans="1:5" x14ac:dyDescent="0.2">
      <c r="A574" t="s">
        <v>1218</v>
      </c>
      <c r="B574" t="s">
        <v>1219</v>
      </c>
      <c r="C574" t="s">
        <v>131</v>
      </c>
      <c r="D574" t="s">
        <v>145</v>
      </c>
      <c r="E574" t="s">
        <v>234</v>
      </c>
    </row>
    <row r="575" spans="1:5" x14ac:dyDescent="0.2">
      <c r="A575" t="s">
        <v>1220</v>
      </c>
      <c r="B575" t="s">
        <v>1221</v>
      </c>
      <c r="C575" t="s">
        <v>131</v>
      </c>
      <c r="D575" t="s">
        <v>145</v>
      </c>
      <c r="E575" t="s">
        <v>234</v>
      </c>
    </row>
    <row r="576" spans="1:5" x14ac:dyDescent="0.2">
      <c r="A576" t="s">
        <v>1222</v>
      </c>
      <c r="B576" t="s">
        <v>1223</v>
      </c>
      <c r="C576" t="s">
        <v>287</v>
      </c>
      <c r="D576" t="s">
        <v>290</v>
      </c>
      <c r="E576" t="s">
        <v>234</v>
      </c>
    </row>
    <row r="577" spans="1:5" x14ac:dyDescent="0.2">
      <c r="A577" t="s">
        <v>1224</v>
      </c>
      <c r="B577" t="s">
        <v>1225</v>
      </c>
      <c r="C577" t="s">
        <v>287</v>
      </c>
      <c r="D577" t="s">
        <v>290</v>
      </c>
      <c r="E577" t="s">
        <v>234</v>
      </c>
    </row>
    <row r="578" spans="1:5" x14ac:dyDescent="0.2">
      <c r="A578" t="s">
        <v>1226</v>
      </c>
      <c r="B578" t="s">
        <v>1227</v>
      </c>
      <c r="C578" t="s">
        <v>212</v>
      </c>
      <c r="D578" t="s">
        <v>150</v>
      </c>
      <c r="E578" t="s">
        <v>234</v>
      </c>
    </row>
    <row r="579" spans="1:5" x14ac:dyDescent="0.2">
      <c r="A579" t="s">
        <v>1228</v>
      </c>
      <c r="B579" t="s">
        <v>1229</v>
      </c>
      <c r="C579" t="s">
        <v>212</v>
      </c>
      <c r="D579" t="s">
        <v>150</v>
      </c>
      <c r="E579" t="s">
        <v>234</v>
      </c>
    </row>
    <row r="580" spans="1:5" x14ac:dyDescent="0.2">
      <c r="A580" t="s">
        <v>1230</v>
      </c>
      <c r="B580" t="s">
        <v>1231</v>
      </c>
      <c r="C580" t="s">
        <v>212</v>
      </c>
      <c r="D580" t="s">
        <v>394</v>
      </c>
      <c r="E580" t="s">
        <v>234</v>
      </c>
    </row>
    <row r="581" spans="1:5" x14ac:dyDescent="0.2">
      <c r="A581" t="s">
        <v>1232</v>
      </c>
      <c r="B581" t="s">
        <v>1233</v>
      </c>
      <c r="C581" t="s">
        <v>212</v>
      </c>
      <c r="D581" t="s">
        <v>394</v>
      </c>
      <c r="E581" t="s">
        <v>234</v>
      </c>
    </row>
    <row r="582" spans="1:5" x14ac:dyDescent="0.2">
      <c r="A582" t="s">
        <v>1234</v>
      </c>
      <c r="B582" t="s">
        <v>1235</v>
      </c>
      <c r="C582" t="s">
        <v>212</v>
      </c>
      <c r="D582" t="s">
        <v>1058</v>
      </c>
      <c r="E582" t="s">
        <v>234</v>
      </c>
    </row>
    <row r="583" spans="1:5" x14ac:dyDescent="0.2">
      <c r="A583" t="s">
        <v>1236</v>
      </c>
      <c r="B583" t="s">
        <v>1237</v>
      </c>
      <c r="C583" t="s">
        <v>212</v>
      </c>
      <c r="D583" t="s">
        <v>1058</v>
      </c>
      <c r="E583" t="s">
        <v>234</v>
      </c>
    </row>
    <row r="584" spans="1:5" x14ac:dyDescent="0.2">
      <c r="A584" t="s">
        <v>1238</v>
      </c>
      <c r="B584" t="s">
        <v>1239</v>
      </c>
      <c r="C584" t="s">
        <v>212</v>
      </c>
      <c r="D584" t="s">
        <v>400</v>
      </c>
      <c r="E584" t="s">
        <v>234</v>
      </c>
    </row>
    <row r="585" spans="1:5" x14ac:dyDescent="0.2">
      <c r="A585" t="s">
        <v>1240</v>
      </c>
      <c r="B585" t="s">
        <v>1241</v>
      </c>
      <c r="C585" t="s">
        <v>212</v>
      </c>
      <c r="D585" t="s">
        <v>400</v>
      </c>
      <c r="E585" t="s">
        <v>234</v>
      </c>
    </row>
    <row r="586" spans="1:5" x14ac:dyDescent="0.2">
      <c r="A586" t="s">
        <v>1246</v>
      </c>
      <c r="B586" t="s">
        <v>1247</v>
      </c>
      <c r="C586" t="s">
        <v>251</v>
      </c>
      <c r="D586" t="s">
        <v>150</v>
      </c>
      <c r="E586" t="s">
        <v>234</v>
      </c>
    </row>
    <row r="587" spans="1:5" x14ac:dyDescent="0.2">
      <c r="A587" t="s">
        <v>1248</v>
      </c>
      <c r="B587" t="s">
        <v>1249</v>
      </c>
      <c r="C587" t="s">
        <v>251</v>
      </c>
      <c r="D587" t="s">
        <v>394</v>
      </c>
      <c r="E587" t="s">
        <v>234</v>
      </c>
    </row>
    <row r="588" spans="1:5" x14ac:dyDescent="0.2">
      <c r="A588" t="s">
        <v>1250</v>
      </c>
      <c r="B588" t="s">
        <v>1251</v>
      </c>
      <c r="C588" t="s">
        <v>251</v>
      </c>
      <c r="D588" t="s">
        <v>394</v>
      </c>
      <c r="E588" t="s">
        <v>234</v>
      </c>
    </row>
    <row r="589" spans="1:5" x14ac:dyDescent="0.2">
      <c r="A589" t="s">
        <v>1252</v>
      </c>
      <c r="B589" t="s">
        <v>1253</v>
      </c>
      <c r="C589" t="s">
        <v>251</v>
      </c>
      <c r="D589" t="s">
        <v>427</v>
      </c>
      <c r="E589" t="s">
        <v>234</v>
      </c>
    </row>
    <row r="590" spans="1:5" x14ac:dyDescent="0.2">
      <c r="A590" t="s">
        <v>1254</v>
      </c>
      <c r="B590" t="s">
        <v>1255</v>
      </c>
      <c r="C590" t="s">
        <v>251</v>
      </c>
      <c r="D590" t="s">
        <v>427</v>
      </c>
      <c r="E590" t="s">
        <v>234</v>
      </c>
    </row>
    <row r="591" spans="1:5" x14ac:dyDescent="0.2">
      <c r="A591" t="s">
        <v>1256</v>
      </c>
      <c r="B591" t="s">
        <v>1257</v>
      </c>
      <c r="C591" t="s">
        <v>251</v>
      </c>
      <c r="D591" t="s">
        <v>422</v>
      </c>
      <c r="E591" t="s">
        <v>234</v>
      </c>
    </row>
    <row r="592" spans="1:5" x14ac:dyDescent="0.2">
      <c r="A592" t="s">
        <v>1258</v>
      </c>
      <c r="B592" t="s">
        <v>1259</v>
      </c>
      <c r="C592" t="s">
        <v>251</v>
      </c>
      <c r="D592" t="s">
        <v>422</v>
      </c>
      <c r="E592" t="s">
        <v>234</v>
      </c>
    </row>
    <row r="593" spans="1:5" x14ac:dyDescent="0.2">
      <c r="A593" t="s">
        <v>1260</v>
      </c>
      <c r="B593" t="s">
        <v>9094</v>
      </c>
      <c r="C593" t="s">
        <v>227</v>
      </c>
      <c r="D593" t="s">
        <v>150</v>
      </c>
      <c r="E593" t="s">
        <v>234</v>
      </c>
    </row>
    <row r="594" spans="1:5" x14ac:dyDescent="0.2">
      <c r="A594" t="s">
        <v>1261</v>
      </c>
      <c r="B594" t="s">
        <v>9095</v>
      </c>
      <c r="C594" t="s">
        <v>227</v>
      </c>
      <c r="D594" t="s">
        <v>394</v>
      </c>
      <c r="E594" t="s">
        <v>234</v>
      </c>
    </row>
    <row r="595" spans="1:5" x14ac:dyDescent="0.2">
      <c r="A595" t="s">
        <v>1262</v>
      </c>
      <c r="B595" t="s">
        <v>9096</v>
      </c>
      <c r="C595" t="s">
        <v>227</v>
      </c>
      <c r="D595" t="s">
        <v>394</v>
      </c>
      <c r="E595" t="s">
        <v>234</v>
      </c>
    </row>
    <row r="596" spans="1:5" x14ac:dyDescent="0.2">
      <c r="A596" t="s">
        <v>1242</v>
      </c>
      <c r="B596" t="s">
        <v>9097</v>
      </c>
      <c r="C596" t="s">
        <v>251</v>
      </c>
      <c r="D596" t="s">
        <v>150</v>
      </c>
      <c r="E596" t="s">
        <v>234</v>
      </c>
    </row>
    <row r="597" spans="1:5" x14ac:dyDescent="0.2">
      <c r="A597" t="s">
        <v>1243</v>
      </c>
      <c r="B597" t="s">
        <v>9098</v>
      </c>
      <c r="C597" t="s">
        <v>251</v>
      </c>
      <c r="D597" t="s">
        <v>150</v>
      </c>
      <c r="E597" t="s">
        <v>234</v>
      </c>
    </row>
    <row r="598" spans="1:5" x14ac:dyDescent="0.2">
      <c r="A598" t="s">
        <v>1244</v>
      </c>
      <c r="B598" t="s">
        <v>9099</v>
      </c>
      <c r="C598" t="s">
        <v>251</v>
      </c>
      <c r="D598" t="s">
        <v>394</v>
      </c>
      <c r="E598" t="s">
        <v>234</v>
      </c>
    </row>
    <row r="599" spans="1:5" x14ac:dyDescent="0.2">
      <c r="A599" t="s">
        <v>1245</v>
      </c>
      <c r="B599" t="s">
        <v>9100</v>
      </c>
      <c r="C599" t="s">
        <v>251</v>
      </c>
      <c r="D599" t="s">
        <v>394</v>
      </c>
      <c r="E599" t="s">
        <v>234</v>
      </c>
    </row>
    <row r="600" spans="1:5" x14ac:dyDescent="0.2">
      <c r="A600" t="s">
        <v>1263</v>
      </c>
      <c r="B600" t="s">
        <v>1264</v>
      </c>
      <c r="C600" t="s">
        <v>104</v>
      </c>
      <c r="D600" t="s">
        <v>252</v>
      </c>
      <c r="E600" t="s">
        <v>234</v>
      </c>
    </row>
    <row r="601" spans="1:5" x14ac:dyDescent="0.2">
      <c r="A601" t="s">
        <v>1265</v>
      </c>
      <c r="B601" t="s">
        <v>1266</v>
      </c>
      <c r="C601" t="s">
        <v>104</v>
      </c>
      <c r="D601" t="s">
        <v>241</v>
      </c>
      <c r="E601" t="s">
        <v>234</v>
      </c>
    </row>
    <row r="602" spans="1:5" x14ac:dyDescent="0.2">
      <c r="A602" t="s">
        <v>1267</v>
      </c>
      <c r="B602" t="s">
        <v>1268</v>
      </c>
      <c r="C602" t="s">
        <v>104</v>
      </c>
      <c r="D602" t="s">
        <v>241</v>
      </c>
      <c r="E602" t="s">
        <v>234</v>
      </c>
    </row>
    <row r="603" spans="1:5" x14ac:dyDescent="0.2">
      <c r="A603" t="s">
        <v>1269</v>
      </c>
      <c r="B603" t="s">
        <v>1270</v>
      </c>
      <c r="C603" t="s">
        <v>261</v>
      </c>
      <c r="D603" t="s">
        <v>710</v>
      </c>
      <c r="E603" t="s">
        <v>234</v>
      </c>
    </row>
    <row r="604" spans="1:5" x14ac:dyDescent="0.2">
      <c r="A604" t="s">
        <v>1271</v>
      </c>
      <c r="B604" t="s">
        <v>1272</v>
      </c>
      <c r="C604" t="s">
        <v>261</v>
      </c>
      <c r="D604" t="s">
        <v>710</v>
      </c>
      <c r="E604" t="s">
        <v>234</v>
      </c>
    </row>
    <row r="605" spans="1:5" x14ac:dyDescent="0.2">
      <c r="A605" t="s">
        <v>1273</v>
      </c>
      <c r="B605" t="s">
        <v>1274</v>
      </c>
      <c r="C605" t="s">
        <v>287</v>
      </c>
      <c r="D605" t="s">
        <v>550</v>
      </c>
      <c r="E605" t="s">
        <v>234</v>
      </c>
    </row>
    <row r="606" spans="1:5" x14ac:dyDescent="0.2">
      <c r="A606" t="s">
        <v>1275</v>
      </c>
      <c r="B606" t="s">
        <v>1276</v>
      </c>
      <c r="C606" t="s">
        <v>287</v>
      </c>
      <c r="D606" t="s">
        <v>275</v>
      </c>
      <c r="E606" t="s">
        <v>234</v>
      </c>
    </row>
    <row r="607" spans="1:5" x14ac:dyDescent="0.2">
      <c r="A607" t="s">
        <v>1277</v>
      </c>
      <c r="B607" t="s">
        <v>1278</v>
      </c>
      <c r="C607" t="s">
        <v>287</v>
      </c>
      <c r="D607" t="s">
        <v>275</v>
      </c>
      <c r="E607" t="s">
        <v>234</v>
      </c>
    </row>
    <row r="608" spans="1:5" x14ac:dyDescent="0.2">
      <c r="A608" t="s">
        <v>1279</v>
      </c>
      <c r="B608" t="s">
        <v>1280</v>
      </c>
      <c r="C608" t="s">
        <v>399</v>
      </c>
      <c r="D608" t="s">
        <v>955</v>
      </c>
      <c r="E608" t="s">
        <v>234</v>
      </c>
    </row>
    <row r="609" spans="1:5" x14ac:dyDescent="0.2">
      <c r="A609" t="s">
        <v>1281</v>
      </c>
      <c r="B609" t="s">
        <v>1282</v>
      </c>
      <c r="C609" t="s">
        <v>399</v>
      </c>
      <c r="D609" t="s">
        <v>241</v>
      </c>
      <c r="E609" t="s">
        <v>234</v>
      </c>
    </row>
    <row r="610" spans="1:5" x14ac:dyDescent="0.2">
      <c r="A610" t="s">
        <v>1283</v>
      </c>
      <c r="B610" t="s">
        <v>1284</v>
      </c>
      <c r="C610" t="s">
        <v>376</v>
      </c>
      <c r="D610" t="s">
        <v>444</v>
      </c>
      <c r="E610" t="s">
        <v>234</v>
      </c>
    </row>
    <row r="611" spans="1:5" x14ac:dyDescent="0.2">
      <c r="A611" t="s">
        <v>1285</v>
      </c>
      <c r="B611" t="s">
        <v>1286</v>
      </c>
      <c r="C611" t="s">
        <v>219</v>
      </c>
      <c r="D611" t="s">
        <v>241</v>
      </c>
      <c r="E611" t="s">
        <v>234</v>
      </c>
    </row>
    <row r="612" spans="1:5" x14ac:dyDescent="0.2">
      <c r="A612" t="s">
        <v>1287</v>
      </c>
      <c r="B612" t="s">
        <v>1288</v>
      </c>
      <c r="C612" t="s">
        <v>742</v>
      </c>
      <c r="D612" t="s">
        <v>422</v>
      </c>
      <c r="E612" t="s">
        <v>234</v>
      </c>
    </row>
    <row r="613" spans="1:5" x14ac:dyDescent="0.2">
      <c r="A613" t="s">
        <v>1289</v>
      </c>
      <c r="B613" t="s">
        <v>1290</v>
      </c>
      <c r="C613" t="s">
        <v>244</v>
      </c>
      <c r="D613" t="s">
        <v>1291</v>
      </c>
      <c r="E613" t="s">
        <v>234</v>
      </c>
    </row>
    <row r="614" spans="1:5" x14ac:dyDescent="0.2">
      <c r="A614" t="s">
        <v>1292</v>
      </c>
      <c r="B614" t="s">
        <v>1293</v>
      </c>
      <c r="C614" t="s">
        <v>244</v>
      </c>
      <c r="D614" t="s">
        <v>233</v>
      </c>
      <c r="E614" t="s">
        <v>234</v>
      </c>
    </row>
    <row r="615" spans="1:5" x14ac:dyDescent="0.2">
      <c r="A615" t="s">
        <v>1294</v>
      </c>
      <c r="B615" t="s">
        <v>1295</v>
      </c>
      <c r="C615" t="s">
        <v>244</v>
      </c>
      <c r="D615" t="s">
        <v>233</v>
      </c>
      <c r="E615" t="s">
        <v>234</v>
      </c>
    </row>
    <row r="616" spans="1:5" x14ac:dyDescent="0.2">
      <c r="A616" t="s">
        <v>1296</v>
      </c>
      <c r="B616" t="s">
        <v>1297</v>
      </c>
      <c r="C616" t="s">
        <v>244</v>
      </c>
      <c r="D616" t="s">
        <v>371</v>
      </c>
      <c r="E616" t="s">
        <v>234</v>
      </c>
    </row>
    <row r="617" spans="1:5" x14ac:dyDescent="0.2">
      <c r="A617" t="s">
        <v>1298</v>
      </c>
      <c r="B617" t="s">
        <v>1299</v>
      </c>
      <c r="C617" t="s">
        <v>244</v>
      </c>
      <c r="D617" t="s">
        <v>371</v>
      </c>
      <c r="E617" t="s">
        <v>234</v>
      </c>
    </row>
    <row r="618" spans="1:5" x14ac:dyDescent="0.2">
      <c r="A618" t="s">
        <v>1300</v>
      </c>
      <c r="B618" t="s">
        <v>1301</v>
      </c>
      <c r="C618" t="s">
        <v>244</v>
      </c>
      <c r="D618" t="s">
        <v>1302</v>
      </c>
      <c r="E618" t="s">
        <v>234</v>
      </c>
    </row>
    <row r="619" spans="1:5" x14ac:dyDescent="0.2">
      <c r="A619" t="s">
        <v>1303</v>
      </c>
      <c r="B619" t="s">
        <v>1304</v>
      </c>
      <c r="C619" t="s">
        <v>244</v>
      </c>
      <c r="D619" t="s">
        <v>1302</v>
      </c>
      <c r="E619" t="s">
        <v>234</v>
      </c>
    </row>
    <row r="620" spans="1:5" x14ac:dyDescent="0.2">
      <c r="A620" t="s">
        <v>1305</v>
      </c>
      <c r="B620" t="s">
        <v>1306</v>
      </c>
      <c r="C620" t="s">
        <v>349</v>
      </c>
      <c r="D620" t="s">
        <v>825</v>
      </c>
      <c r="E620" t="s">
        <v>234</v>
      </c>
    </row>
    <row r="621" spans="1:5" x14ac:dyDescent="0.2">
      <c r="A621" t="s">
        <v>1307</v>
      </c>
      <c r="B621" t="s">
        <v>1308</v>
      </c>
      <c r="C621" t="s">
        <v>287</v>
      </c>
      <c r="D621" t="s">
        <v>260</v>
      </c>
      <c r="E621" t="s">
        <v>234</v>
      </c>
    </row>
    <row r="622" spans="1:5" x14ac:dyDescent="0.2">
      <c r="A622" t="s">
        <v>1309</v>
      </c>
      <c r="B622" t="s">
        <v>1310</v>
      </c>
      <c r="C622" t="s">
        <v>705</v>
      </c>
      <c r="D622" t="s">
        <v>734</v>
      </c>
      <c r="E622" t="s">
        <v>234</v>
      </c>
    </row>
    <row r="623" spans="1:5" x14ac:dyDescent="0.2">
      <c r="A623" t="s">
        <v>1311</v>
      </c>
      <c r="B623" t="s">
        <v>1312</v>
      </c>
      <c r="C623" t="s">
        <v>705</v>
      </c>
      <c r="D623" t="s">
        <v>734</v>
      </c>
      <c r="E623" t="s">
        <v>234</v>
      </c>
    </row>
    <row r="624" spans="1:5" x14ac:dyDescent="0.2">
      <c r="A624" t="s">
        <v>1313</v>
      </c>
      <c r="B624" t="s">
        <v>1314</v>
      </c>
      <c r="C624" t="s">
        <v>705</v>
      </c>
      <c r="D624" t="s">
        <v>871</v>
      </c>
      <c r="E624" t="s">
        <v>234</v>
      </c>
    </row>
    <row r="625" spans="1:5" x14ac:dyDescent="0.2">
      <c r="A625" t="s">
        <v>1315</v>
      </c>
      <c r="B625" t="s">
        <v>1316</v>
      </c>
      <c r="C625" t="s">
        <v>705</v>
      </c>
      <c r="D625" t="s">
        <v>871</v>
      </c>
      <c r="E625" t="s">
        <v>234</v>
      </c>
    </row>
    <row r="626" spans="1:5" x14ac:dyDescent="0.2">
      <c r="A626" t="s">
        <v>1317</v>
      </c>
      <c r="B626" t="s">
        <v>1318</v>
      </c>
      <c r="C626" t="s">
        <v>399</v>
      </c>
      <c r="D626" t="s">
        <v>1319</v>
      </c>
      <c r="E626" t="s">
        <v>578</v>
      </c>
    </row>
    <row r="627" spans="1:5" x14ac:dyDescent="0.2">
      <c r="A627" t="s">
        <v>1320</v>
      </c>
      <c r="B627" t="s">
        <v>1321</v>
      </c>
      <c r="C627" t="s">
        <v>399</v>
      </c>
      <c r="D627" t="s">
        <v>1322</v>
      </c>
      <c r="E627" t="s">
        <v>578</v>
      </c>
    </row>
    <row r="628" spans="1:5" x14ac:dyDescent="0.2">
      <c r="A628" t="s">
        <v>1323</v>
      </c>
      <c r="B628" t="s">
        <v>1324</v>
      </c>
      <c r="C628" t="s">
        <v>399</v>
      </c>
      <c r="D628" t="s">
        <v>1322</v>
      </c>
      <c r="E628" t="s">
        <v>578</v>
      </c>
    </row>
    <row r="629" spans="1:5" x14ac:dyDescent="0.2">
      <c r="A629" t="s">
        <v>1325</v>
      </c>
      <c r="B629" t="s">
        <v>9101</v>
      </c>
      <c r="C629" t="s">
        <v>399</v>
      </c>
      <c r="D629" t="s">
        <v>868</v>
      </c>
      <c r="E629" t="s">
        <v>1326</v>
      </c>
    </row>
    <row r="630" spans="1:5" x14ac:dyDescent="0.2">
      <c r="A630" t="s">
        <v>1327</v>
      </c>
      <c r="B630" t="s">
        <v>1328</v>
      </c>
      <c r="C630" t="s">
        <v>227</v>
      </c>
      <c r="D630" t="s">
        <v>955</v>
      </c>
      <c r="E630" t="s">
        <v>403</v>
      </c>
    </row>
    <row r="631" spans="1:5" x14ac:dyDescent="0.2">
      <c r="A631" t="s">
        <v>1329</v>
      </c>
      <c r="B631" t="s">
        <v>1330</v>
      </c>
      <c r="C631" t="s">
        <v>227</v>
      </c>
      <c r="D631" t="s">
        <v>99</v>
      </c>
      <c r="E631" t="s">
        <v>403</v>
      </c>
    </row>
    <row r="632" spans="1:5" x14ac:dyDescent="0.2">
      <c r="A632" t="s">
        <v>1331</v>
      </c>
      <c r="B632" t="s">
        <v>1332</v>
      </c>
      <c r="C632" t="s">
        <v>227</v>
      </c>
      <c r="D632" t="s">
        <v>99</v>
      </c>
      <c r="E632" t="s">
        <v>403</v>
      </c>
    </row>
    <row r="633" spans="1:5" x14ac:dyDescent="0.2">
      <c r="A633" t="s">
        <v>1333</v>
      </c>
      <c r="B633" t="s">
        <v>1334</v>
      </c>
      <c r="C633" t="s">
        <v>318</v>
      </c>
      <c r="D633" t="s">
        <v>734</v>
      </c>
      <c r="E633" t="s">
        <v>578</v>
      </c>
    </row>
    <row r="634" spans="1:5" x14ac:dyDescent="0.2">
      <c r="A634" t="s">
        <v>1335</v>
      </c>
      <c r="B634" t="s">
        <v>1336</v>
      </c>
      <c r="C634" t="s">
        <v>318</v>
      </c>
      <c r="D634" t="s">
        <v>734</v>
      </c>
      <c r="E634" t="s">
        <v>578</v>
      </c>
    </row>
    <row r="635" spans="1:5" x14ac:dyDescent="0.2">
      <c r="A635" t="s">
        <v>1337</v>
      </c>
      <c r="B635" t="s">
        <v>1338</v>
      </c>
      <c r="C635" t="s">
        <v>557</v>
      </c>
      <c r="D635" t="s">
        <v>180</v>
      </c>
      <c r="E635" t="s">
        <v>578</v>
      </c>
    </row>
    <row r="636" spans="1:5" x14ac:dyDescent="0.2">
      <c r="A636" t="s">
        <v>1339</v>
      </c>
      <c r="B636" t="s">
        <v>1340</v>
      </c>
      <c r="C636" t="s">
        <v>557</v>
      </c>
      <c r="D636" t="s">
        <v>290</v>
      </c>
      <c r="E636" t="s">
        <v>578</v>
      </c>
    </row>
    <row r="637" spans="1:5" x14ac:dyDescent="0.2">
      <c r="A637" t="s">
        <v>1341</v>
      </c>
      <c r="B637" t="s">
        <v>1342</v>
      </c>
      <c r="C637" t="s">
        <v>557</v>
      </c>
      <c r="D637" t="s">
        <v>290</v>
      </c>
      <c r="E637" t="s">
        <v>578</v>
      </c>
    </row>
    <row r="638" spans="1:5" x14ac:dyDescent="0.2">
      <c r="A638" t="s">
        <v>1343</v>
      </c>
      <c r="B638" t="s">
        <v>1344</v>
      </c>
      <c r="C638" t="s">
        <v>199</v>
      </c>
      <c r="D638" t="s">
        <v>1058</v>
      </c>
      <c r="E638" t="s">
        <v>234</v>
      </c>
    </row>
    <row r="639" spans="1:5" x14ac:dyDescent="0.2">
      <c r="A639" t="s">
        <v>1345</v>
      </c>
      <c r="B639" t="s">
        <v>1346</v>
      </c>
      <c r="C639" t="s">
        <v>1347</v>
      </c>
      <c r="D639" t="s">
        <v>596</v>
      </c>
      <c r="E639" t="s">
        <v>1348</v>
      </c>
    </row>
    <row r="640" spans="1:5" x14ac:dyDescent="0.2">
      <c r="A640" t="s">
        <v>1349</v>
      </c>
      <c r="B640" t="s">
        <v>1350</v>
      </c>
      <c r="C640" t="s">
        <v>1347</v>
      </c>
      <c r="D640" t="s">
        <v>1351</v>
      </c>
      <c r="E640" t="s">
        <v>1348</v>
      </c>
    </row>
    <row r="641" spans="1:5" x14ac:dyDescent="0.2">
      <c r="A641" t="s">
        <v>1352</v>
      </c>
      <c r="B641" t="s">
        <v>1353</v>
      </c>
      <c r="C641" t="s">
        <v>1347</v>
      </c>
      <c r="D641" t="s">
        <v>1351</v>
      </c>
      <c r="E641" t="s">
        <v>1348</v>
      </c>
    </row>
    <row r="642" spans="1:5" x14ac:dyDescent="0.2">
      <c r="A642" t="s">
        <v>1354</v>
      </c>
      <c r="B642" t="s">
        <v>1355</v>
      </c>
      <c r="C642" t="s">
        <v>331</v>
      </c>
      <c r="D642" t="s">
        <v>955</v>
      </c>
      <c r="E642" t="s">
        <v>578</v>
      </c>
    </row>
    <row r="643" spans="1:5" x14ac:dyDescent="0.2">
      <c r="A643" t="s">
        <v>1356</v>
      </c>
      <c r="B643" t="s">
        <v>1357</v>
      </c>
      <c r="C643" t="s">
        <v>331</v>
      </c>
      <c r="D643" t="s">
        <v>734</v>
      </c>
      <c r="E643" t="s">
        <v>578</v>
      </c>
    </row>
    <row r="644" spans="1:5" x14ac:dyDescent="0.2">
      <c r="A644" t="s">
        <v>1358</v>
      </c>
      <c r="B644" t="s">
        <v>1359</v>
      </c>
      <c r="C644" t="s">
        <v>331</v>
      </c>
      <c r="D644" t="s">
        <v>734</v>
      </c>
      <c r="E644" t="s">
        <v>578</v>
      </c>
    </row>
    <row r="645" spans="1:5" x14ac:dyDescent="0.2">
      <c r="A645" t="s">
        <v>1360</v>
      </c>
      <c r="B645" t="s">
        <v>1361</v>
      </c>
      <c r="C645" t="s">
        <v>331</v>
      </c>
      <c r="D645" t="s">
        <v>955</v>
      </c>
      <c r="E645" t="s">
        <v>578</v>
      </c>
    </row>
    <row r="646" spans="1:5" x14ac:dyDescent="0.2">
      <c r="A646" t="s">
        <v>1362</v>
      </c>
      <c r="B646" t="s">
        <v>1363</v>
      </c>
      <c r="C646" t="s">
        <v>331</v>
      </c>
      <c r="D646" t="s">
        <v>734</v>
      </c>
      <c r="E646" t="s">
        <v>578</v>
      </c>
    </row>
    <row r="647" spans="1:5" x14ac:dyDescent="0.2">
      <c r="A647" t="s">
        <v>1364</v>
      </c>
      <c r="B647" t="s">
        <v>1365</v>
      </c>
      <c r="C647" t="s">
        <v>331</v>
      </c>
      <c r="D647" t="s">
        <v>734</v>
      </c>
      <c r="E647" t="s">
        <v>578</v>
      </c>
    </row>
    <row r="648" spans="1:5" x14ac:dyDescent="0.2">
      <c r="A648" t="s">
        <v>1366</v>
      </c>
      <c r="B648" t="s">
        <v>1367</v>
      </c>
      <c r="C648" t="s">
        <v>322</v>
      </c>
      <c r="D648" t="s">
        <v>1063</v>
      </c>
      <c r="E648" t="s">
        <v>578</v>
      </c>
    </row>
    <row r="649" spans="1:5" x14ac:dyDescent="0.2">
      <c r="A649" t="s">
        <v>1368</v>
      </c>
      <c r="B649" t="s">
        <v>1369</v>
      </c>
      <c r="C649" t="s">
        <v>322</v>
      </c>
      <c r="D649" t="s">
        <v>233</v>
      </c>
      <c r="E649" t="s">
        <v>578</v>
      </c>
    </row>
    <row r="650" spans="1:5" x14ac:dyDescent="0.2">
      <c r="A650" t="s">
        <v>1370</v>
      </c>
      <c r="B650" t="s">
        <v>1371</v>
      </c>
      <c r="C650" t="s">
        <v>322</v>
      </c>
      <c r="D650" t="s">
        <v>233</v>
      </c>
      <c r="E650" t="s">
        <v>578</v>
      </c>
    </row>
    <row r="651" spans="1:5" x14ac:dyDescent="0.2">
      <c r="A651" t="s">
        <v>1372</v>
      </c>
      <c r="B651" t="s">
        <v>1373</v>
      </c>
      <c r="C651" t="s">
        <v>219</v>
      </c>
      <c r="D651" t="s">
        <v>1374</v>
      </c>
      <c r="E651" t="s">
        <v>403</v>
      </c>
    </row>
    <row r="652" spans="1:5" x14ac:dyDescent="0.2">
      <c r="A652" t="s">
        <v>1375</v>
      </c>
      <c r="B652" t="s">
        <v>1376</v>
      </c>
      <c r="C652" t="s">
        <v>219</v>
      </c>
      <c r="D652" t="s">
        <v>290</v>
      </c>
      <c r="E652" t="s">
        <v>403</v>
      </c>
    </row>
    <row r="653" spans="1:5" x14ac:dyDescent="0.2">
      <c r="A653" t="s">
        <v>1377</v>
      </c>
      <c r="B653" t="s">
        <v>1378</v>
      </c>
      <c r="C653" t="s">
        <v>219</v>
      </c>
      <c r="D653" t="s">
        <v>290</v>
      </c>
      <c r="E653" t="s">
        <v>403</v>
      </c>
    </row>
    <row r="654" spans="1:5" x14ac:dyDescent="0.2">
      <c r="A654" t="s">
        <v>1379</v>
      </c>
      <c r="B654" t="s">
        <v>1380</v>
      </c>
      <c r="C654" t="s">
        <v>219</v>
      </c>
      <c r="D654" t="s">
        <v>955</v>
      </c>
      <c r="E654" t="s">
        <v>578</v>
      </c>
    </row>
    <row r="655" spans="1:5" x14ac:dyDescent="0.2">
      <c r="A655" t="s">
        <v>1381</v>
      </c>
      <c r="B655" t="s">
        <v>1382</v>
      </c>
      <c r="C655" t="s">
        <v>219</v>
      </c>
      <c r="D655" t="s">
        <v>734</v>
      </c>
      <c r="E655" t="s">
        <v>578</v>
      </c>
    </row>
    <row r="656" spans="1:5" x14ac:dyDescent="0.2">
      <c r="A656" t="s">
        <v>1383</v>
      </c>
      <c r="B656" t="s">
        <v>1384</v>
      </c>
      <c r="C656" t="s">
        <v>219</v>
      </c>
      <c r="D656" t="s">
        <v>734</v>
      </c>
      <c r="E656" t="s">
        <v>578</v>
      </c>
    </row>
    <row r="657" spans="1:5" x14ac:dyDescent="0.2">
      <c r="A657" t="s">
        <v>1385</v>
      </c>
      <c r="B657" t="s">
        <v>1386</v>
      </c>
      <c r="C657" t="s">
        <v>421</v>
      </c>
      <c r="D657" t="s">
        <v>698</v>
      </c>
      <c r="E657" t="s">
        <v>1387</v>
      </c>
    </row>
    <row r="658" spans="1:5" x14ac:dyDescent="0.2">
      <c r="A658" t="s">
        <v>1388</v>
      </c>
      <c r="B658" t="s">
        <v>1389</v>
      </c>
      <c r="C658" t="s">
        <v>421</v>
      </c>
      <c r="D658" t="s">
        <v>698</v>
      </c>
      <c r="E658" t="s">
        <v>1387</v>
      </c>
    </row>
    <row r="659" spans="1:5" x14ac:dyDescent="0.2">
      <c r="A659" t="s">
        <v>1390</v>
      </c>
      <c r="B659" t="s">
        <v>1391</v>
      </c>
      <c r="C659" t="s">
        <v>421</v>
      </c>
      <c r="D659" t="s">
        <v>260</v>
      </c>
      <c r="E659" t="s">
        <v>1387</v>
      </c>
    </row>
    <row r="660" spans="1:5" x14ac:dyDescent="0.2">
      <c r="A660" t="s">
        <v>1392</v>
      </c>
      <c r="B660" t="s">
        <v>1393</v>
      </c>
      <c r="C660" t="s">
        <v>421</v>
      </c>
      <c r="D660" t="s">
        <v>260</v>
      </c>
      <c r="E660" t="s">
        <v>1387</v>
      </c>
    </row>
    <row r="661" spans="1:5" x14ac:dyDescent="0.2">
      <c r="A661" t="s">
        <v>1394</v>
      </c>
      <c r="B661" t="s">
        <v>1395</v>
      </c>
      <c r="C661" t="s">
        <v>219</v>
      </c>
      <c r="D661" t="s">
        <v>260</v>
      </c>
      <c r="E661" t="s">
        <v>234</v>
      </c>
    </row>
    <row r="662" spans="1:5" x14ac:dyDescent="0.2">
      <c r="A662" t="s">
        <v>1396</v>
      </c>
      <c r="B662" t="s">
        <v>1397</v>
      </c>
      <c r="C662" t="s">
        <v>9093</v>
      </c>
      <c r="D662" t="s">
        <v>266</v>
      </c>
      <c r="E662" t="s">
        <v>1398</v>
      </c>
    </row>
    <row r="663" spans="1:5" x14ac:dyDescent="0.2">
      <c r="A663" t="s">
        <v>1399</v>
      </c>
      <c r="B663" t="s">
        <v>1400</v>
      </c>
      <c r="C663" t="s">
        <v>9093</v>
      </c>
      <c r="D663" t="s">
        <v>266</v>
      </c>
      <c r="E663" t="s">
        <v>1398</v>
      </c>
    </row>
    <row r="664" spans="1:5" x14ac:dyDescent="0.2">
      <c r="A664" t="s">
        <v>1401</v>
      </c>
      <c r="B664" t="s">
        <v>1402</v>
      </c>
      <c r="C664" t="s">
        <v>9093</v>
      </c>
      <c r="D664" t="s">
        <v>341</v>
      </c>
      <c r="E664" t="s">
        <v>1398</v>
      </c>
    </row>
    <row r="665" spans="1:5" x14ac:dyDescent="0.2">
      <c r="A665" t="s">
        <v>1403</v>
      </c>
      <c r="B665" t="s">
        <v>1404</v>
      </c>
      <c r="C665" t="s">
        <v>9093</v>
      </c>
      <c r="D665" t="s">
        <v>341</v>
      </c>
      <c r="E665" t="s">
        <v>1398</v>
      </c>
    </row>
    <row r="666" spans="1:5" x14ac:dyDescent="0.2">
      <c r="A666" t="s">
        <v>1405</v>
      </c>
      <c r="B666" t="s">
        <v>1406</v>
      </c>
      <c r="C666" t="s">
        <v>261</v>
      </c>
      <c r="D666" t="s">
        <v>200</v>
      </c>
      <c r="E666" t="s">
        <v>1348</v>
      </c>
    </row>
    <row r="667" spans="1:5" x14ac:dyDescent="0.2">
      <c r="A667" t="s">
        <v>55</v>
      </c>
      <c r="B667" t="s">
        <v>1407</v>
      </c>
      <c r="C667" t="s">
        <v>261</v>
      </c>
      <c r="D667" t="s">
        <v>830</v>
      </c>
      <c r="E667" t="s">
        <v>1348</v>
      </c>
    </row>
    <row r="668" spans="1:5" x14ac:dyDescent="0.2">
      <c r="A668" t="s">
        <v>1408</v>
      </c>
      <c r="B668" t="s">
        <v>1409</v>
      </c>
      <c r="C668" t="s">
        <v>261</v>
      </c>
      <c r="D668" t="s">
        <v>830</v>
      </c>
      <c r="E668" t="s">
        <v>1348</v>
      </c>
    </row>
    <row r="669" spans="1:5" x14ac:dyDescent="0.2">
      <c r="A669" t="s">
        <v>1410</v>
      </c>
      <c r="B669" t="s">
        <v>1411</v>
      </c>
      <c r="C669" t="s">
        <v>219</v>
      </c>
      <c r="D669" t="s">
        <v>572</v>
      </c>
      <c r="E669" t="s">
        <v>403</v>
      </c>
    </row>
    <row r="670" spans="1:5" x14ac:dyDescent="0.2">
      <c r="A670" t="s">
        <v>1412</v>
      </c>
      <c r="B670" t="s">
        <v>1413</v>
      </c>
      <c r="C670" t="s">
        <v>219</v>
      </c>
      <c r="D670" t="s">
        <v>290</v>
      </c>
      <c r="E670" t="s">
        <v>403</v>
      </c>
    </row>
    <row r="671" spans="1:5" x14ac:dyDescent="0.2">
      <c r="A671" t="s">
        <v>1414</v>
      </c>
      <c r="B671" t="s">
        <v>1415</v>
      </c>
      <c r="C671" t="s">
        <v>219</v>
      </c>
      <c r="D671" t="s">
        <v>290</v>
      </c>
      <c r="E671" t="s">
        <v>403</v>
      </c>
    </row>
    <row r="672" spans="1:5" x14ac:dyDescent="0.2">
      <c r="A672" t="s">
        <v>1416</v>
      </c>
      <c r="B672" t="s">
        <v>1417</v>
      </c>
      <c r="C672" t="s">
        <v>244</v>
      </c>
      <c r="D672" t="s">
        <v>245</v>
      </c>
      <c r="E672" t="s">
        <v>1348</v>
      </c>
    </row>
    <row r="673" spans="1:5" x14ac:dyDescent="0.2">
      <c r="A673" t="s">
        <v>1418</v>
      </c>
      <c r="B673" t="s">
        <v>1419</v>
      </c>
      <c r="C673" t="s">
        <v>244</v>
      </c>
      <c r="D673" t="s">
        <v>1420</v>
      </c>
      <c r="E673" t="s">
        <v>1348</v>
      </c>
    </row>
    <row r="674" spans="1:5" x14ac:dyDescent="0.2">
      <c r="A674" t="s">
        <v>1421</v>
      </c>
      <c r="B674" t="s">
        <v>1422</v>
      </c>
      <c r="C674" t="s">
        <v>244</v>
      </c>
      <c r="D674" t="s">
        <v>1420</v>
      </c>
      <c r="E674" t="s">
        <v>1348</v>
      </c>
    </row>
    <row r="675" spans="1:5" x14ac:dyDescent="0.2">
      <c r="A675" t="s">
        <v>1423</v>
      </c>
      <c r="B675" t="s">
        <v>1424</v>
      </c>
      <c r="C675" t="s">
        <v>244</v>
      </c>
      <c r="D675" t="s">
        <v>1420</v>
      </c>
      <c r="E675" t="s">
        <v>1348</v>
      </c>
    </row>
    <row r="676" spans="1:5" x14ac:dyDescent="0.2">
      <c r="A676" t="s">
        <v>1425</v>
      </c>
      <c r="B676" t="s">
        <v>1426</v>
      </c>
      <c r="C676" t="s">
        <v>244</v>
      </c>
      <c r="D676" t="s">
        <v>1420</v>
      </c>
      <c r="E676" t="s">
        <v>1348</v>
      </c>
    </row>
    <row r="677" spans="1:5" x14ac:dyDescent="0.2">
      <c r="A677" t="s">
        <v>1427</v>
      </c>
      <c r="B677" t="s">
        <v>1428</v>
      </c>
      <c r="C677" t="s">
        <v>742</v>
      </c>
      <c r="D677" t="s">
        <v>728</v>
      </c>
      <c r="E677" t="s">
        <v>578</v>
      </c>
    </row>
    <row r="678" spans="1:5" x14ac:dyDescent="0.2">
      <c r="A678" t="s">
        <v>56</v>
      </c>
      <c r="B678" t="s">
        <v>1429</v>
      </c>
      <c r="C678" t="s">
        <v>742</v>
      </c>
      <c r="D678" t="s">
        <v>635</v>
      </c>
      <c r="E678" t="s">
        <v>578</v>
      </c>
    </row>
    <row r="679" spans="1:5" x14ac:dyDescent="0.2">
      <c r="A679" t="s">
        <v>1430</v>
      </c>
      <c r="B679" t="s">
        <v>1431</v>
      </c>
      <c r="C679" t="s">
        <v>742</v>
      </c>
      <c r="D679" t="s">
        <v>635</v>
      </c>
      <c r="E679" t="s">
        <v>578</v>
      </c>
    </row>
    <row r="680" spans="1:5" x14ac:dyDescent="0.2">
      <c r="A680" t="s">
        <v>1432</v>
      </c>
      <c r="B680" t="s">
        <v>1433</v>
      </c>
      <c r="C680" t="s">
        <v>742</v>
      </c>
      <c r="D680" t="s">
        <v>583</v>
      </c>
      <c r="E680" t="s">
        <v>234</v>
      </c>
    </row>
    <row r="681" spans="1:5" x14ac:dyDescent="0.2">
      <c r="A681" t="s">
        <v>1434</v>
      </c>
      <c r="B681" t="s">
        <v>1435</v>
      </c>
      <c r="C681" t="s">
        <v>742</v>
      </c>
      <c r="D681" t="s">
        <v>583</v>
      </c>
      <c r="E681" t="s">
        <v>234</v>
      </c>
    </row>
    <row r="682" spans="1:5" x14ac:dyDescent="0.2">
      <c r="A682" t="s">
        <v>1436</v>
      </c>
      <c r="B682" t="s">
        <v>1437</v>
      </c>
      <c r="C682" t="s">
        <v>1438</v>
      </c>
      <c r="D682" t="s">
        <v>955</v>
      </c>
      <c r="E682" t="s">
        <v>578</v>
      </c>
    </row>
    <row r="683" spans="1:5" x14ac:dyDescent="0.2">
      <c r="A683" t="s">
        <v>1439</v>
      </c>
      <c r="B683" t="s">
        <v>1440</v>
      </c>
      <c r="C683" t="s">
        <v>1438</v>
      </c>
      <c r="D683" t="s">
        <v>635</v>
      </c>
      <c r="E683" t="s">
        <v>578</v>
      </c>
    </row>
    <row r="684" spans="1:5" x14ac:dyDescent="0.2">
      <c r="A684" t="s">
        <v>1441</v>
      </c>
      <c r="B684" t="s">
        <v>1442</v>
      </c>
      <c r="C684" t="s">
        <v>1438</v>
      </c>
      <c r="D684" t="s">
        <v>635</v>
      </c>
      <c r="E684" t="s">
        <v>578</v>
      </c>
    </row>
    <row r="685" spans="1:5" x14ac:dyDescent="0.2">
      <c r="A685" t="s">
        <v>1443</v>
      </c>
      <c r="B685" t="s">
        <v>9102</v>
      </c>
      <c r="C685" t="s">
        <v>742</v>
      </c>
      <c r="D685" t="s">
        <v>588</v>
      </c>
      <c r="E685" t="s">
        <v>1444</v>
      </c>
    </row>
    <row r="686" spans="1:5" x14ac:dyDescent="0.2">
      <c r="A686" t="s">
        <v>1445</v>
      </c>
      <c r="B686" t="s">
        <v>1446</v>
      </c>
      <c r="C686" t="s">
        <v>219</v>
      </c>
      <c r="D686" t="s">
        <v>1025</v>
      </c>
      <c r="E686" t="s">
        <v>234</v>
      </c>
    </row>
    <row r="687" spans="1:5" x14ac:dyDescent="0.2">
      <c r="A687" t="s">
        <v>1447</v>
      </c>
      <c r="B687" t="s">
        <v>1448</v>
      </c>
      <c r="C687" t="s">
        <v>131</v>
      </c>
      <c r="D687" t="s">
        <v>1319</v>
      </c>
      <c r="E687" t="s">
        <v>403</v>
      </c>
    </row>
    <row r="688" spans="1:5" x14ac:dyDescent="0.2">
      <c r="A688" t="s">
        <v>1449</v>
      </c>
      <c r="B688" t="s">
        <v>1450</v>
      </c>
      <c r="C688" t="s">
        <v>131</v>
      </c>
      <c r="D688" t="s">
        <v>955</v>
      </c>
      <c r="E688" t="s">
        <v>403</v>
      </c>
    </row>
    <row r="689" spans="1:5" x14ac:dyDescent="0.2">
      <c r="A689" t="s">
        <v>1451</v>
      </c>
      <c r="B689" t="s">
        <v>9103</v>
      </c>
      <c r="C689" t="s">
        <v>131</v>
      </c>
      <c r="D689" t="s">
        <v>371</v>
      </c>
      <c r="E689" t="s">
        <v>403</v>
      </c>
    </row>
    <row r="690" spans="1:5" x14ac:dyDescent="0.2">
      <c r="A690" t="s">
        <v>1452</v>
      </c>
      <c r="B690" t="s">
        <v>1453</v>
      </c>
      <c r="C690" t="s">
        <v>131</v>
      </c>
      <c r="D690" t="s">
        <v>371</v>
      </c>
      <c r="E690" t="s">
        <v>403</v>
      </c>
    </row>
    <row r="691" spans="1:5" x14ac:dyDescent="0.2">
      <c r="A691" t="s">
        <v>1454</v>
      </c>
      <c r="B691" t="s">
        <v>1455</v>
      </c>
      <c r="C691" t="s">
        <v>199</v>
      </c>
      <c r="D691" t="s">
        <v>233</v>
      </c>
      <c r="E691" t="s">
        <v>234</v>
      </c>
    </row>
    <row r="692" spans="1:5" x14ac:dyDescent="0.2">
      <c r="A692" t="s">
        <v>1456</v>
      </c>
      <c r="B692" t="s">
        <v>1457</v>
      </c>
      <c r="C692" t="s">
        <v>92</v>
      </c>
      <c r="D692" t="s">
        <v>1458</v>
      </c>
      <c r="E692" t="s">
        <v>234</v>
      </c>
    </row>
    <row r="693" spans="1:5" x14ac:dyDescent="0.2">
      <c r="A693" t="s">
        <v>1459</v>
      </c>
      <c r="B693" t="s">
        <v>1460</v>
      </c>
      <c r="C693" t="s">
        <v>376</v>
      </c>
      <c r="D693" t="s">
        <v>115</v>
      </c>
      <c r="E693" t="s">
        <v>578</v>
      </c>
    </row>
    <row r="694" spans="1:5" x14ac:dyDescent="0.2">
      <c r="A694" t="s">
        <v>1461</v>
      </c>
      <c r="B694" t="s">
        <v>1462</v>
      </c>
      <c r="C694" t="s">
        <v>376</v>
      </c>
      <c r="D694" t="s">
        <v>193</v>
      </c>
      <c r="E694" t="s">
        <v>578</v>
      </c>
    </row>
    <row r="695" spans="1:5" x14ac:dyDescent="0.2">
      <c r="A695" t="s">
        <v>1463</v>
      </c>
      <c r="B695" t="s">
        <v>1464</v>
      </c>
      <c r="C695" t="s">
        <v>376</v>
      </c>
      <c r="D695" t="s">
        <v>193</v>
      </c>
      <c r="E695" t="s">
        <v>578</v>
      </c>
    </row>
    <row r="696" spans="1:5" x14ac:dyDescent="0.2">
      <c r="A696" t="s">
        <v>1465</v>
      </c>
      <c r="B696" t="s">
        <v>1466</v>
      </c>
      <c r="C696" t="s">
        <v>219</v>
      </c>
      <c r="D696" t="s">
        <v>260</v>
      </c>
      <c r="E696" t="s">
        <v>234</v>
      </c>
    </row>
    <row r="697" spans="1:5" x14ac:dyDescent="0.2">
      <c r="A697" t="s">
        <v>1467</v>
      </c>
      <c r="B697" t="s">
        <v>1468</v>
      </c>
      <c r="C697" t="s">
        <v>219</v>
      </c>
      <c r="D697" t="s">
        <v>260</v>
      </c>
      <c r="E697" t="s">
        <v>234</v>
      </c>
    </row>
    <row r="698" spans="1:5" x14ac:dyDescent="0.2">
      <c r="A698" t="s">
        <v>1469</v>
      </c>
      <c r="B698" t="s">
        <v>1470</v>
      </c>
      <c r="C698" t="s">
        <v>421</v>
      </c>
      <c r="D698" t="s">
        <v>396</v>
      </c>
      <c r="E698" t="s">
        <v>1387</v>
      </c>
    </row>
    <row r="699" spans="1:5" x14ac:dyDescent="0.2">
      <c r="A699" t="s">
        <v>1471</v>
      </c>
      <c r="B699" t="s">
        <v>1472</v>
      </c>
      <c r="C699" t="s">
        <v>421</v>
      </c>
      <c r="D699" t="s">
        <v>396</v>
      </c>
      <c r="E699" t="s">
        <v>1387</v>
      </c>
    </row>
    <row r="700" spans="1:5" x14ac:dyDescent="0.2">
      <c r="A700" t="s">
        <v>1473</v>
      </c>
      <c r="B700" t="s">
        <v>1474</v>
      </c>
      <c r="C700" t="s">
        <v>287</v>
      </c>
      <c r="D700" t="s">
        <v>200</v>
      </c>
      <c r="E700" t="s">
        <v>1348</v>
      </c>
    </row>
    <row r="701" spans="1:5" x14ac:dyDescent="0.2">
      <c r="A701" t="s">
        <v>1475</v>
      </c>
      <c r="B701" t="s">
        <v>1476</v>
      </c>
      <c r="C701" t="s">
        <v>287</v>
      </c>
      <c r="D701" t="s">
        <v>200</v>
      </c>
      <c r="E701" t="s">
        <v>1348</v>
      </c>
    </row>
    <row r="702" spans="1:5" x14ac:dyDescent="0.2">
      <c r="A702" t="s">
        <v>1477</v>
      </c>
      <c r="B702" t="s">
        <v>1478</v>
      </c>
      <c r="C702" t="s">
        <v>287</v>
      </c>
      <c r="D702" t="s">
        <v>1351</v>
      </c>
      <c r="E702" t="s">
        <v>1348</v>
      </c>
    </row>
    <row r="703" spans="1:5" x14ac:dyDescent="0.2">
      <c r="A703" t="s">
        <v>1479</v>
      </c>
      <c r="B703" t="s">
        <v>1480</v>
      </c>
      <c r="C703" t="s">
        <v>287</v>
      </c>
      <c r="D703" t="s">
        <v>1351</v>
      </c>
      <c r="E703" t="s">
        <v>1348</v>
      </c>
    </row>
    <row r="704" spans="1:5" x14ac:dyDescent="0.2">
      <c r="A704" t="s">
        <v>1481</v>
      </c>
      <c r="B704" t="s">
        <v>1482</v>
      </c>
      <c r="C704" t="s">
        <v>251</v>
      </c>
      <c r="D704" t="s">
        <v>840</v>
      </c>
      <c r="E704" t="s">
        <v>403</v>
      </c>
    </row>
    <row r="705" spans="1:5" x14ac:dyDescent="0.2">
      <c r="A705" t="s">
        <v>1483</v>
      </c>
      <c r="B705" t="s">
        <v>1484</v>
      </c>
      <c r="C705" t="s">
        <v>251</v>
      </c>
      <c r="D705" t="s">
        <v>166</v>
      </c>
      <c r="E705" t="s">
        <v>403</v>
      </c>
    </row>
    <row r="706" spans="1:5" x14ac:dyDescent="0.2">
      <c r="A706" t="s">
        <v>1485</v>
      </c>
      <c r="B706" t="s">
        <v>1486</v>
      </c>
      <c r="C706" t="s">
        <v>251</v>
      </c>
      <c r="D706" t="s">
        <v>1458</v>
      </c>
      <c r="E706" t="s">
        <v>403</v>
      </c>
    </row>
    <row r="707" spans="1:5" x14ac:dyDescent="0.2">
      <c r="A707" t="s">
        <v>1487</v>
      </c>
      <c r="B707" t="s">
        <v>1488</v>
      </c>
      <c r="C707" t="s">
        <v>251</v>
      </c>
      <c r="D707" t="s">
        <v>1458</v>
      </c>
      <c r="E707" t="s">
        <v>403</v>
      </c>
    </row>
    <row r="708" spans="1:5" x14ac:dyDescent="0.2">
      <c r="A708" t="s">
        <v>1491</v>
      </c>
      <c r="B708" t="s">
        <v>1492</v>
      </c>
      <c r="C708" t="s">
        <v>376</v>
      </c>
      <c r="D708" t="s">
        <v>1493</v>
      </c>
      <c r="E708" t="s">
        <v>1494</v>
      </c>
    </row>
    <row r="709" spans="1:5" x14ac:dyDescent="0.2">
      <c r="A709" t="s">
        <v>1495</v>
      </c>
      <c r="B709" t="s">
        <v>1496</v>
      </c>
      <c r="C709" t="s">
        <v>376</v>
      </c>
      <c r="D709" t="s">
        <v>1493</v>
      </c>
      <c r="E709" t="s">
        <v>1494</v>
      </c>
    </row>
    <row r="710" spans="1:5" x14ac:dyDescent="0.2">
      <c r="A710" t="s">
        <v>1497</v>
      </c>
      <c r="B710" t="s">
        <v>1498</v>
      </c>
      <c r="C710" t="s">
        <v>376</v>
      </c>
      <c r="D710" t="s">
        <v>734</v>
      </c>
      <c r="E710" t="s">
        <v>1499</v>
      </c>
    </row>
    <row r="711" spans="1:5" x14ac:dyDescent="0.2">
      <c r="A711" t="s">
        <v>1500</v>
      </c>
      <c r="B711" t="s">
        <v>1501</v>
      </c>
      <c r="C711" t="s">
        <v>376</v>
      </c>
      <c r="D711" t="s">
        <v>171</v>
      </c>
      <c r="E711" t="s">
        <v>9104</v>
      </c>
    </row>
    <row r="712" spans="1:5" x14ac:dyDescent="0.2">
      <c r="A712" t="s">
        <v>1502</v>
      </c>
      <c r="B712" t="s">
        <v>1503</v>
      </c>
      <c r="C712" t="s">
        <v>376</v>
      </c>
      <c r="D712" t="s">
        <v>622</v>
      </c>
      <c r="E712" t="s">
        <v>1499</v>
      </c>
    </row>
    <row r="713" spans="1:5" x14ac:dyDescent="0.2">
      <c r="A713" t="s">
        <v>1504</v>
      </c>
      <c r="B713" t="s">
        <v>1505</v>
      </c>
      <c r="C713" t="s">
        <v>659</v>
      </c>
      <c r="D713" t="s">
        <v>1490</v>
      </c>
      <c r="E713" t="s">
        <v>1494</v>
      </c>
    </row>
    <row r="714" spans="1:5" x14ac:dyDescent="0.2">
      <c r="A714" t="s">
        <v>1506</v>
      </c>
      <c r="B714" t="s">
        <v>1507</v>
      </c>
      <c r="C714" t="s">
        <v>659</v>
      </c>
      <c r="D714" t="s">
        <v>386</v>
      </c>
      <c r="E714" t="s">
        <v>9104</v>
      </c>
    </row>
    <row r="715" spans="1:5" x14ac:dyDescent="0.2">
      <c r="A715" t="s">
        <v>1508</v>
      </c>
      <c r="B715" t="s">
        <v>1509</v>
      </c>
      <c r="C715" t="s">
        <v>322</v>
      </c>
      <c r="D715" t="s">
        <v>150</v>
      </c>
      <c r="E715" t="s">
        <v>1499</v>
      </c>
    </row>
    <row r="716" spans="1:5" x14ac:dyDescent="0.2">
      <c r="A716" t="s">
        <v>1510</v>
      </c>
      <c r="B716" t="s">
        <v>1511</v>
      </c>
      <c r="C716" t="s">
        <v>322</v>
      </c>
      <c r="D716" t="s">
        <v>299</v>
      </c>
      <c r="E716" t="s">
        <v>9104</v>
      </c>
    </row>
    <row r="717" spans="1:5" x14ac:dyDescent="0.2">
      <c r="A717" t="s">
        <v>1512</v>
      </c>
      <c r="B717" t="s">
        <v>1513</v>
      </c>
      <c r="C717" t="s">
        <v>591</v>
      </c>
      <c r="D717" t="s">
        <v>115</v>
      </c>
      <c r="E717" t="s">
        <v>1494</v>
      </c>
    </row>
    <row r="718" spans="1:5" x14ac:dyDescent="0.2">
      <c r="A718" t="s">
        <v>1514</v>
      </c>
      <c r="B718" t="s">
        <v>1515</v>
      </c>
      <c r="C718" t="s">
        <v>591</v>
      </c>
      <c r="D718" t="s">
        <v>115</v>
      </c>
      <c r="E718" t="s">
        <v>1494</v>
      </c>
    </row>
    <row r="719" spans="1:5" x14ac:dyDescent="0.2">
      <c r="A719" t="s">
        <v>1516</v>
      </c>
      <c r="B719" t="s">
        <v>1517</v>
      </c>
      <c r="C719" t="s">
        <v>591</v>
      </c>
      <c r="D719" t="s">
        <v>422</v>
      </c>
      <c r="E719" t="s">
        <v>9104</v>
      </c>
    </row>
    <row r="720" spans="1:5" x14ac:dyDescent="0.2">
      <c r="A720" t="s">
        <v>1518</v>
      </c>
      <c r="B720" t="s">
        <v>1519</v>
      </c>
      <c r="C720" t="s">
        <v>591</v>
      </c>
      <c r="D720" t="s">
        <v>258</v>
      </c>
      <c r="E720" t="s">
        <v>1494</v>
      </c>
    </row>
    <row r="721" spans="1:5" x14ac:dyDescent="0.2">
      <c r="A721" t="s">
        <v>1520</v>
      </c>
      <c r="B721" t="s">
        <v>1521</v>
      </c>
      <c r="C721" t="s">
        <v>591</v>
      </c>
      <c r="D721" t="s">
        <v>258</v>
      </c>
      <c r="E721" t="s">
        <v>1494</v>
      </c>
    </row>
    <row r="722" spans="1:5" x14ac:dyDescent="0.2">
      <c r="A722" t="s">
        <v>1522</v>
      </c>
      <c r="B722" t="s">
        <v>1523</v>
      </c>
      <c r="C722" t="s">
        <v>9105</v>
      </c>
      <c r="D722" t="s">
        <v>1524</v>
      </c>
      <c r="E722" t="s">
        <v>1494</v>
      </c>
    </row>
    <row r="723" spans="1:5" x14ac:dyDescent="0.2">
      <c r="A723" t="s">
        <v>1525</v>
      </c>
      <c r="B723" t="s">
        <v>1526</v>
      </c>
      <c r="C723" t="s">
        <v>9105</v>
      </c>
      <c r="D723" t="s">
        <v>728</v>
      </c>
      <c r="E723" t="s">
        <v>9106</v>
      </c>
    </row>
    <row r="724" spans="1:5" x14ac:dyDescent="0.2">
      <c r="A724" t="s">
        <v>1527</v>
      </c>
      <c r="B724" t="s">
        <v>1528</v>
      </c>
      <c r="C724" t="s">
        <v>591</v>
      </c>
      <c r="D724" t="s">
        <v>500</v>
      </c>
      <c r="E724" t="s">
        <v>9107</v>
      </c>
    </row>
    <row r="725" spans="1:5" x14ac:dyDescent="0.2">
      <c r="A725" t="s">
        <v>1530</v>
      </c>
      <c r="B725" t="s">
        <v>1531</v>
      </c>
      <c r="C725" t="s">
        <v>591</v>
      </c>
      <c r="D725" t="s">
        <v>462</v>
      </c>
      <c r="E725" t="s">
        <v>9107</v>
      </c>
    </row>
    <row r="726" spans="1:5" x14ac:dyDescent="0.2">
      <c r="A726" t="s">
        <v>1532</v>
      </c>
      <c r="B726" t="s">
        <v>1533</v>
      </c>
      <c r="C726" t="s">
        <v>591</v>
      </c>
      <c r="D726" t="s">
        <v>462</v>
      </c>
      <c r="E726" t="s">
        <v>1529</v>
      </c>
    </row>
    <row r="727" spans="1:5" x14ac:dyDescent="0.2">
      <c r="A727" t="s">
        <v>1535</v>
      </c>
      <c r="B727" t="s">
        <v>1536</v>
      </c>
      <c r="C727" t="s">
        <v>705</v>
      </c>
      <c r="D727" t="s">
        <v>728</v>
      </c>
      <c r="E727" t="s">
        <v>9107</v>
      </c>
    </row>
    <row r="728" spans="1:5" x14ac:dyDescent="0.2">
      <c r="A728" t="s">
        <v>1537</v>
      </c>
      <c r="B728" t="s">
        <v>1538</v>
      </c>
      <c r="C728" t="s">
        <v>705</v>
      </c>
      <c r="D728" t="s">
        <v>456</v>
      </c>
      <c r="E728" t="s">
        <v>9107</v>
      </c>
    </row>
    <row r="729" spans="1:5" x14ac:dyDescent="0.2">
      <c r="A729" t="s">
        <v>1539</v>
      </c>
      <c r="B729" t="s">
        <v>1540</v>
      </c>
      <c r="C729" t="s">
        <v>199</v>
      </c>
      <c r="D729" t="s">
        <v>233</v>
      </c>
      <c r="E729" t="s">
        <v>1541</v>
      </c>
    </row>
    <row r="730" spans="1:5" x14ac:dyDescent="0.2">
      <c r="A730" t="s">
        <v>1542</v>
      </c>
      <c r="B730" t="s">
        <v>1543</v>
      </c>
      <c r="C730" t="s">
        <v>376</v>
      </c>
      <c r="D730" t="s">
        <v>363</v>
      </c>
      <c r="E730" t="s">
        <v>1541</v>
      </c>
    </row>
    <row r="731" spans="1:5" x14ac:dyDescent="0.2">
      <c r="A731" t="s">
        <v>1544</v>
      </c>
      <c r="B731" t="s">
        <v>1545</v>
      </c>
      <c r="C731" t="s">
        <v>376</v>
      </c>
      <c r="D731" t="s">
        <v>245</v>
      </c>
      <c r="E731" t="s">
        <v>1541</v>
      </c>
    </row>
    <row r="732" spans="1:5" x14ac:dyDescent="0.2">
      <c r="A732" t="s">
        <v>1546</v>
      </c>
      <c r="B732" t="s">
        <v>1547</v>
      </c>
      <c r="C732" t="s">
        <v>131</v>
      </c>
      <c r="D732" t="s">
        <v>459</v>
      </c>
      <c r="E732" t="s">
        <v>1541</v>
      </c>
    </row>
    <row r="733" spans="1:5" x14ac:dyDescent="0.2">
      <c r="A733" t="s">
        <v>1548</v>
      </c>
      <c r="B733" t="s">
        <v>1549</v>
      </c>
      <c r="C733" t="s">
        <v>131</v>
      </c>
      <c r="D733" t="s">
        <v>459</v>
      </c>
      <c r="E733" t="s">
        <v>1541</v>
      </c>
    </row>
    <row r="734" spans="1:5" x14ac:dyDescent="0.2">
      <c r="A734" t="s">
        <v>1550</v>
      </c>
      <c r="B734" t="s">
        <v>1551</v>
      </c>
      <c r="C734" t="s">
        <v>131</v>
      </c>
      <c r="D734" t="s">
        <v>456</v>
      </c>
      <c r="E734" t="s">
        <v>1541</v>
      </c>
    </row>
    <row r="735" spans="1:5" x14ac:dyDescent="0.2">
      <c r="A735" t="s">
        <v>1552</v>
      </c>
      <c r="B735" t="s">
        <v>1553</v>
      </c>
      <c r="C735" t="s">
        <v>131</v>
      </c>
      <c r="D735" t="s">
        <v>456</v>
      </c>
      <c r="E735" t="s">
        <v>1541</v>
      </c>
    </row>
    <row r="736" spans="1:5" x14ac:dyDescent="0.2">
      <c r="A736" t="s">
        <v>1554</v>
      </c>
      <c r="B736" t="s">
        <v>9108</v>
      </c>
      <c r="C736" t="s">
        <v>1555</v>
      </c>
      <c r="D736" t="s">
        <v>371</v>
      </c>
      <c r="E736" t="s">
        <v>1541</v>
      </c>
    </row>
    <row r="737" spans="1:5" x14ac:dyDescent="0.2">
      <c r="A737" t="s">
        <v>1556</v>
      </c>
      <c r="B737" t="s">
        <v>1557</v>
      </c>
      <c r="C737" t="s">
        <v>1555</v>
      </c>
      <c r="D737" t="s">
        <v>371</v>
      </c>
      <c r="E737" t="s">
        <v>1541</v>
      </c>
    </row>
    <row r="738" spans="1:5" x14ac:dyDescent="0.2">
      <c r="A738" t="s">
        <v>1558</v>
      </c>
      <c r="B738" t="s">
        <v>9109</v>
      </c>
      <c r="C738" t="s">
        <v>1555</v>
      </c>
      <c r="D738" t="s">
        <v>662</v>
      </c>
      <c r="E738" t="s">
        <v>1541</v>
      </c>
    </row>
    <row r="739" spans="1:5" x14ac:dyDescent="0.2">
      <c r="A739" t="s">
        <v>1559</v>
      </c>
      <c r="B739" t="s">
        <v>1560</v>
      </c>
      <c r="C739" t="s">
        <v>1555</v>
      </c>
      <c r="D739" t="s">
        <v>662</v>
      </c>
      <c r="E739" t="s">
        <v>1541</v>
      </c>
    </row>
    <row r="740" spans="1:5" x14ac:dyDescent="0.2">
      <c r="A740" t="s">
        <v>1561</v>
      </c>
      <c r="B740" t="s">
        <v>1562</v>
      </c>
      <c r="C740" t="s">
        <v>1555</v>
      </c>
      <c r="D740" t="s">
        <v>1563</v>
      </c>
      <c r="E740" t="s">
        <v>1541</v>
      </c>
    </row>
    <row r="741" spans="1:5" x14ac:dyDescent="0.2">
      <c r="A741" t="s">
        <v>1564</v>
      </c>
      <c r="B741" t="s">
        <v>1565</v>
      </c>
      <c r="C741" t="s">
        <v>322</v>
      </c>
      <c r="D741" t="s">
        <v>1566</v>
      </c>
      <c r="E741" t="s">
        <v>1541</v>
      </c>
    </row>
    <row r="742" spans="1:5" x14ac:dyDescent="0.2">
      <c r="A742" t="s">
        <v>1567</v>
      </c>
      <c r="B742" t="s">
        <v>1568</v>
      </c>
      <c r="C742" t="s">
        <v>322</v>
      </c>
      <c r="D742" t="s">
        <v>1566</v>
      </c>
      <c r="E742" t="s">
        <v>1541</v>
      </c>
    </row>
    <row r="743" spans="1:5" x14ac:dyDescent="0.2">
      <c r="A743" t="s">
        <v>54</v>
      </c>
      <c r="B743" t="s">
        <v>1569</v>
      </c>
      <c r="C743" t="s">
        <v>322</v>
      </c>
      <c r="D743" t="s">
        <v>171</v>
      </c>
      <c r="E743" t="s">
        <v>1541</v>
      </c>
    </row>
    <row r="744" spans="1:5" x14ac:dyDescent="0.2">
      <c r="A744" t="s">
        <v>1570</v>
      </c>
      <c r="B744" t="s">
        <v>1571</v>
      </c>
      <c r="C744" t="s">
        <v>322</v>
      </c>
      <c r="D744" t="s">
        <v>171</v>
      </c>
      <c r="E744" t="s">
        <v>1541</v>
      </c>
    </row>
    <row r="745" spans="1:5" x14ac:dyDescent="0.2">
      <c r="A745" t="s">
        <v>1572</v>
      </c>
      <c r="B745" t="s">
        <v>1573</v>
      </c>
      <c r="C745" t="s">
        <v>322</v>
      </c>
      <c r="D745" t="s">
        <v>773</v>
      </c>
      <c r="E745" t="s">
        <v>1541</v>
      </c>
    </row>
    <row r="746" spans="1:5" x14ac:dyDescent="0.2">
      <c r="A746" t="s">
        <v>1574</v>
      </c>
      <c r="B746" t="s">
        <v>1575</v>
      </c>
      <c r="C746" t="s">
        <v>322</v>
      </c>
      <c r="D746" t="s">
        <v>773</v>
      </c>
      <c r="E746" t="s">
        <v>1541</v>
      </c>
    </row>
    <row r="747" spans="1:5" x14ac:dyDescent="0.2">
      <c r="A747" t="s">
        <v>1576</v>
      </c>
      <c r="B747" t="s">
        <v>1577</v>
      </c>
      <c r="C747" t="s">
        <v>322</v>
      </c>
      <c r="D747" t="s">
        <v>126</v>
      </c>
      <c r="E747" t="s">
        <v>1541</v>
      </c>
    </row>
    <row r="748" spans="1:5" x14ac:dyDescent="0.2">
      <c r="A748" t="s">
        <v>1578</v>
      </c>
      <c r="B748" t="s">
        <v>1579</v>
      </c>
      <c r="C748" t="s">
        <v>322</v>
      </c>
      <c r="D748" t="s">
        <v>126</v>
      </c>
      <c r="E748" t="s">
        <v>1541</v>
      </c>
    </row>
    <row r="749" spans="1:5" x14ac:dyDescent="0.2">
      <c r="A749" t="s">
        <v>1580</v>
      </c>
      <c r="B749" t="s">
        <v>1581</v>
      </c>
      <c r="C749" t="s">
        <v>322</v>
      </c>
      <c r="D749" t="s">
        <v>462</v>
      </c>
      <c r="E749" t="s">
        <v>1541</v>
      </c>
    </row>
    <row r="750" spans="1:5" x14ac:dyDescent="0.2">
      <c r="A750" t="s">
        <v>1582</v>
      </c>
      <c r="B750" t="s">
        <v>1583</v>
      </c>
      <c r="C750" t="s">
        <v>322</v>
      </c>
      <c r="D750" t="s">
        <v>126</v>
      </c>
      <c r="E750" t="s">
        <v>1541</v>
      </c>
    </row>
    <row r="751" spans="1:5" x14ac:dyDescent="0.2">
      <c r="A751" t="s">
        <v>1584</v>
      </c>
      <c r="B751" t="s">
        <v>9110</v>
      </c>
      <c r="C751" t="s">
        <v>244</v>
      </c>
      <c r="D751" t="s">
        <v>1351</v>
      </c>
      <c r="E751" t="s">
        <v>1541</v>
      </c>
    </row>
    <row r="752" spans="1:5" x14ac:dyDescent="0.2">
      <c r="A752" t="s">
        <v>1585</v>
      </c>
      <c r="B752" t="s">
        <v>1586</v>
      </c>
      <c r="C752" t="s">
        <v>244</v>
      </c>
      <c r="D752" t="s">
        <v>1587</v>
      </c>
      <c r="E752" t="s">
        <v>1541</v>
      </c>
    </row>
    <row r="753" spans="1:5" x14ac:dyDescent="0.2">
      <c r="A753" t="s">
        <v>1588</v>
      </c>
      <c r="B753" t="s">
        <v>9111</v>
      </c>
      <c r="C753" t="s">
        <v>244</v>
      </c>
      <c r="D753" t="s">
        <v>489</v>
      </c>
      <c r="E753" t="s">
        <v>1541</v>
      </c>
    </row>
    <row r="754" spans="1:5" x14ac:dyDescent="0.2">
      <c r="A754" t="s">
        <v>1589</v>
      </c>
      <c r="B754" t="s">
        <v>1590</v>
      </c>
      <c r="C754" t="s">
        <v>244</v>
      </c>
      <c r="D754" t="s">
        <v>489</v>
      </c>
      <c r="E754" t="s">
        <v>1541</v>
      </c>
    </row>
    <row r="755" spans="1:5" x14ac:dyDescent="0.2">
      <c r="A755" t="s">
        <v>1591</v>
      </c>
      <c r="B755" t="s">
        <v>9112</v>
      </c>
      <c r="C755" t="s">
        <v>244</v>
      </c>
      <c r="D755" t="s">
        <v>480</v>
      </c>
      <c r="E755" t="s">
        <v>1541</v>
      </c>
    </row>
    <row r="756" spans="1:5" x14ac:dyDescent="0.2">
      <c r="A756" t="s">
        <v>1592</v>
      </c>
      <c r="B756" t="s">
        <v>1593</v>
      </c>
      <c r="C756" t="s">
        <v>244</v>
      </c>
      <c r="D756" t="s">
        <v>480</v>
      </c>
      <c r="E756" t="s">
        <v>1541</v>
      </c>
    </row>
    <row r="757" spans="1:5" x14ac:dyDescent="0.2">
      <c r="A757" t="s">
        <v>1594</v>
      </c>
      <c r="B757" t="s">
        <v>1595</v>
      </c>
      <c r="C757" t="s">
        <v>244</v>
      </c>
      <c r="D757" t="s">
        <v>1351</v>
      </c>
      <c r="E757" t="s">
        <v>1541</v>
      </c>
    </row>
    <row r="758" spans="1:5" x14ac:dyDescent="0.2">
      <c r="A758" t="s">
        <v>1596</v>
      </c>
      <c r="B758" t="s">
        <v>1597</v>
      </c>
      <c r="C758" t="s">
        <v>244</v>
      </c>
      <c r="D758" t="s">
        <v>1351</v>
      </c>
      <c r="E758" t="s">
        <v>1541</v>
      </c>
    </row>
    <row r="759" spans="1:5" x14ac:dyDescent="0.2">
      <c r="A759" t="s">
        <v>1636</v>
      </c>
      <c r="B759" t="s">
        <v>9113</v>
      </c>
      <c r="C759" t="s">
        <v>219</v>
      </c>
      <c r="D759" t="s">
        <v>500</v>
      </c>
      <c r="E759" t="s">
        <v>1541</v>
      </c>
    </row>
    <row r="760" spans="1:5" x14ac:dyDescent="0.2">
      <c r="A760" t="s">
        <v>1637</v>
      </c>
      <c r="B760" t="s">
        <v>9114</v>
      </c>
      <c r="C760" t="s">
        <v>219</v>
      </c>
      <c r="D760" t="s">
        <v>500</v>
      </c>
      <c r="E760" t="s">
        <v>1541</v>
      </c>
    </row>
    <row r="761" spans="1:5" x14ac:dyDescent="0.2">
      <c r="A761" t="s">
        <v>1638</v>
      </c>
      <c r="B761" t="s">
        <v>9115</v>
      </c>
      <c r="C761" t="s">
        <v>219</v>
      </c>
      <c r="D761" t="s">
        <v>462</v>
      </c>
      <c r="E761" t="s">
        <v>1541</v>
      </c>
    </row>
    <row r="762" spans="1:5" x14ac:dyDescent="0.2">
      <c r="A762" t="s">
        <v>1639</v>
      </c>
      <c r="B762" t="s">
        <v>9116</v>
      </c>
      <c r="C762" t="s">
        <v>219</v>
      </c>
      <c r="D762" t="s">
        <v>462</v>
      </c>
      <c r="E762" t="s">
        <v>1541</v>
      </c>
    </row>
    <row r="763" spans="1:5" x14ac:dyDescent="0.2">
      <c r="A763" t="s">
        <v>1598</v>
      </c>
      <c r="B763" t="s">
        <v>1599</v>
      </c>
      <c r="C763" t="s">
        <v>591</v>
      </c>
      <c r="D763" t="s">
        <v>223</v>
      </c>
      <c r="E763" t="s">
        <v>1541</v>
      </c>
    </row>
    <row r="764" spans="1:5" x14ac:dyDescent="0.2">
      <c r="A764" t="s">
        <v>1600</v>
      </c>
      <c r="B764" t="s">
        <v>1601</v>
      </c>
      <c r="C764" t="s">
        <v>591</v>
      </c>
      <c r="D764" t="s">
        <v>223</v>
      </c>
      <c r="E764" t="s">
        <v>1541</v>
      </c>
    </row>
    <row r="765" spans="1:5" x14ac:dyDescent="0.2">
      <c r="A765" t="s">
        <v>1602</v>
      </c>
      <c r="B765" t="s">
        <v>1603</v>
      </c>
      <c r="C765" t="s">
        <v>591</v>
      </c>
      <c r="D765" t="s">
        <v>301</v>
      </c>
      <c r="E765" t="s">
        <v>1541</v>
      </c>
    </row>
    <row r="766" spans="1:5" x14ac:dyDescent="0.2">
      <c r="A766" t="s">
        <v>1604</v>
      </c>
      <c r="B766" t="s">
        <v>1605</v>
      </c>
      <c r="C766" t="s">
        <v>591</v>
      </c>
      <c r="D766" t="s">
        <v>1025</v>
      </c>
      <c r="E766" t="s">
        <v>1541</v>
      </c>
    </row>
    <row r="767" spans="1:5" x14ac:dyDescent="0.2">
      <c r="A767" t="s">
        <v>1606</v>
      </c>
      <c r="B767" t="s">
        <v>1607</v>
      </c>
      <c r="C767" t="s">
        <v>331</v>
      </c>
      <c r="D767" t="s">
        <v>783</v>
      </c>
      <c r="E767" t="s">
        <v>1541</v>
      </c>
    </row>
    <row r="768" spans="1:5" x14ac:dyDescent="0.2">
      <c r="A768" t="s">
        <v>1608</v>
      </c>
      <c r="B768" t="s">
        <v>1609</v>
      </c>
      <c r="C768" t="s">
        <v>331</v>
      </c>
      <c r="D768" t="s">
        <v>783</v>
      </c>
      <c r="E768" t="s">
        <v>1541</v>
      </c>
    </row>
    <row r="769" spans="1:5" x14ac:dyDescent="0.2">
      <c r="A769" t="s">
        <v>1610</v>
      </c>
      <c r="B769" t="s">
        <v>1611</v>
      </c>
      <c r="C769" t="s">
        <v>331</v>
      </c>
      <c r="D769" t="s">
        <v>535</v>
      </c>
      <c r="E769" t="s">
        <v>1541</v>
      </c>
    </row>
    <row r="770" spans="1:5" x14ac:dyDescent="0.2">
      <c r="A770" t="s">
        <v>1612</v>
      </c>
      <c r="B770" t="s">
        <v>1613</v>
      </c>
      <c r="C770" t="s">
        <v>331</v>
      </c>
      <c r="D770" t="s">
        <v>462</v>
      </c>
      <c r="E770" t="s">
        <v>1541</v>
      </c>
    </row>
    <row r="771" spans="1:5" x14ac:dyDescent="0.2">
      <c r="A771" t="s">
        <v>1614</v>
      </c>
      <c r="B771" t="s">
        <v>1615</v>
      </c>
      <c r="C771" t="s">
        <v>199</v>
      </c>
      <c r="D771" t="s">
        <v>622</v>
      </c>
      <c r="E771" t="s">
        <v>1541</v>
      </c>
    </row>
    <row r="772" spans="1:5" x14ac:dyDescent="0.2">
      <c r="A772" t="s">
        <v>1616</v>
      </c>
      <c r="B772" t="s">
        <v>1617</v>
      </c>
      <c r="C772" t="s">
        <v>199</v>
      </c>
      <c r="D772" t="s">
        <v>1566</v>
      </c>
      <c r="E772" t="s">
        <v>1541</v>
      </c>
    </row>
    <row r="773" spans="1:5" x14ac:dyDescent="0.2">
      <c r="A773" t="s">
        <v>1618</v>
      </c>
      <c r="B773" t="s">
        <v>1619</v>
      </c>
      <c r="C773" t="s">
        <v>322</v>
      </c>
      <c r="D773" t="s">
        <v>1566</v>
      </c>
      <c r="E773" t="s">
        <v>1541</v>
      </c>
    </row>
    <row r="774" spans="1:5" x14ac:dyDescent="0.2">
      <c r="A774" t="s">
        <v>1620</v>
      </c>
      <c r="B774" t="s">
        <v>1621</v>
      </c>
      <c r="C774" t="s">
        <v>322</v>
      </c>
      <c r="D774" t="s">
        <v>1566</v>
      </c>
      <c r="E774" t="s">
        <v>1541</v>
      </c>
    </row>
    <row r="775" spans="1:5" x14ac:dyDescent="0.2">
      <c r="A775" t="s">
        <v>1622</v>
      </c>
      <c r="B775" t="s">
        <v>1623</v>
      </c>
      <c r="C775" t="s">
        <v>322</v>
      </c>
      <c r="D775" t="s">
        <v>171</v>
      </c>
      <c r="E775" t="s">
        <v>1541</v>
      </c>
    </row>
    <row r="776" spans="1:5" x14ac:dyDescent="0.2">
      <c r="A776" t="s">
        <v>1624</v>
      </c>
      <c r="B776" t="s">
        <v>1625</v>
      </c>
      <c r="C776" t="s">
        <v>322</v>
      </c>
      <c r="D776" t="s">
        <v>171</v>
      </c>
      <c r="E776" t="s">
        <v>1541</v>
      </c>
    </row>
    <row r="777" spans="1:5" x14ac:dyDescent="0.2">
      <c r="A777" t="s">
        <v>1626</v>
      </c>
      <c r="B777" t="s">
        <v>1627</v>
      </c>
      <c r="C777" t="s">
        <v>322</v>
      </c>
      <c r="D777" t="s">
        <v>1566</v>
      </c>
      <c r="E777" t="s">
        <v>1541</v>
      </c>
    </row>
    <row r="778" spans="1:5" x14ac:dyDescent="0.2">
      <c r="A778" t="s">
        <v>1628</v>
      </c>
      <c r="B778" t="s">
        <v>1629</v>
      </c>
      <c r="C778" t="s">
        <v>322</v>
      </c>
      <c r="D778" t="s">
        <v>171</v>
      </c>
      <c r="E778" t="s">
        <v>1541</v>
      </c>
    </row>
    <row r="779" spans="1:5" x14ac:dyDescent="0.2">
      <c r="A779" t="s">
        <v>1630</v>
      </c>
      <c r="B779" t="s">
        <v>1631</v>
      </c>
      <c r="C779" t="s">
        <v>322</v>
      </c>
      <c r="D779" t="s">
        <v>171</v>
      </c>
      <c r="E779" t="s">
        <v>1541</v>
      </c>
    </row>
    <row r="780" spans="1:5" x14ac:dyDescent="0.2">
      <c r="A780" t="s">
        <v>1632</v>
      </c>
      <c r="B780" t="s">
        <v>1633</v>
      </c>
      <c r="C780" t="s">
        <v>322</v>
      </c>
      <c r="D780" t="s">
        <v>171</v>
      </c>
      <c r="E780" t="s">
        <v>1541</v>
      </c>
    </row>
    <row r="781" spans="1:5" x14ac:dyDescent="0.2">
      <c r="A781" t="s">
        <v>1634</v>
      </c>
      <c r="B781" t="s">
        <v>1635</v>
      </c>
      <c r="C781" t="s">
        <v>322</v>
      </c>
      <c r="D781" t="s">
        <v>171</v>
      </c>
      <c r="E781" t="s">
        <v>1541</v>
      </c>
    </row>
    <row r="782" spans="1:5" x14ac:dyDescent="0.2">
      <c r="A782" t="s">
        <v>1640</v>
      </c>
      <c r="B782" t="s">
        <v>1641</v>
      </c>
      <c r="C782" t="s">
        <v>421</v>
      </c>
      <c r="D782" t="s">
        <v>853</v>
      </c>
      <c r="E782" t="s">
        <v>1541</v>
      </c>
    </row>
    <row r="783" spans="1:5" x14ac:dyDescent="0.2">
      <c r="A783" t="s">
        <v>1642</v>
      </c>
      <c r="B783" t="s">
        <v>1643</v>
      </c>
      <c r="C783" t="s">
        <v>421</v>
      </c>
      <c r="D783" t="s">
        <v>853</v>
      </c>
      <c r="E783" t="s">
        <v>1541</v>
      </c>
    </row>
    <row r="784" spans="1:5" x14ac:dyDescent="0.2">
      <c r="A784" t="s">
        <v>1644</v>
      </c>
      <c r="B784" t="s">
        <v>1645</v>
      </c>
      <c r="C784" t="s">
        <v>421</v>
      </c>
      <c r="D784" t="s">
        <v>535</v>
      </c>
      <c r="E784" t="s">
        <v>1541</v>
      </c>
    </row>
    <row r="785" spans="1:5" x14ac:dyDescent="0.2">
      <c r="A785" t="s">
        <v>1646</v>
      </c>
      <c r="B785" t="s">
        <v>1647</v>
      </c>
      <c r="C785" t="s">
        <v>421</v>
      </c>
      <c r="D785" t="s">
        <v>535</v>
      </c>
      <c r="E785" t="s">
        <v>1541</v>
      </c>
    </row>
    <row r="786" spans="1:5" x14ac:dyDescent="0.2">
      <c r="A786" t="s">
        <v>1648</v>
      </c>
      <c r="B786" t="s">
        <v>1649</v>
      </c>
      <c r="C786" t="s">
        <v>219</v>
      </c>
      <c r="D786" t="s">
        <v>126</v>
      </c>
      <c r="E786" t="s">
        <v>1541</v>
      </c>
    </row>
    <row r="787" spans="1:5" x14ac:dyDescent="0.2">
      <c r="A787" t="s">
        <v>1650</v>
      </c>
      <c r="B787" t="s">
        <v>1651</v>
      </c>
      <c r="C787" t="s">
        <v>591</v>
      </c>
      <c r="D787" t="s">
        <v>1652</v>
      </c>
      <c r="E787" t="s">
        <v>1541</v>
      </c>
    </row>
    <row r="788" spans="1:5" x14ac:dyDescent="0.2">
      <c r="A788" t="s">
        <v>1653</v>
      </c>
      <c r="B788" t="s">
        <v>1654</v>
      </c>
      <c r="C788" t="s">
        <v>591</v>
      </c>
      <c r="D788" t="s">
        <v>1652</v>
      </c>
      <c r="E788" t="s">
        <v>1541</v>
      </c>
    </row>
    <row r="789" spans="1:5" x14ac:dyDescent="0.2">
      <c r="A789" t="s">
        <v>1655</v>
      </c>
      <c r="B789" t="s">
        <v>1656</v>
      </c>
      <c r="C789" t="s">
        <v>591</v>
      </c>
      <c r="D789" t="s">
        <v>93</v>
      </c>
      <c r="E789" t="s">
        <v>1541</v>
      </c>
    </row>
    <row r="790" spans="1:5" x14ac:dyDescent="0.2">
      <c r="A790" t="s">
        <v>1657</v>
      </c>
      <c r="B790" t="s">
        <v>1658</v>
      </c>
      <c r="C790" t="s">
        <v>591</v>
      </c>
      <c r="D790" t="s">
        <v>93</v>
      </c>
      <c r="E790" t="s">
        <v>1541</v>
      </c>
    </row>
    <row r="791" spans="1:5" x14ac:dyDescent="0.2">
      <c r="A791" t="s">
        <v>1659</v>
      </c>
      <c r="B791" t="s">
        <v>1660</v>
      </c>
      <c r="C791" t="s">
        <v>591</v>
      </c>
      <c r="D791" t="s">
        <v>299</v>
      </c>
      <c r="E791" t="s">
        <v>1541</v>
      </c>
    </row>
    <row r="792" spans="1:5" x14ac:dyDescent="0.2">
      <c r="A792" t="s">
        <v>1661</v>
      </c>
      <c r="B792" t="s">
        <v>1662</v>
      </c>
      <c r="C792" t="s">
        <v>591</v>
      </c>
      <c r="D792" t="s">
        <v>299</v>
      </c>
      <c r="E792" t="s">
        <v>1541</v>
      </c>
    </row>
    <row r="793" spans="1:5" x14ac:dyDescent="0.2">
      <c r="A793" t="s">
        <v>1663</v>
      </c>
      <c r="B793" t="s">
        <v>9117</v>
      </c>
      <c r="C793" t="s">
        <v>120</v>
      </c>
      <c r="D793" t="s">
        <v>1664</v>
      </c>
      <c r="E793" t="s">
        <v>1541</v>
      </c>
    </row>
    <row r="794" spans="1:5" x14ac:dyDescent="0.2">
      <c r="A794" t="s">
        <v>1665</v>
      </c>
      <c r="B794" t="s">
        <v>1666</v>
      </c>
      <c r="C794" t="s">
        <v>357</v>
      </c>
      <c r="D794" t="s">
        <v>1587</v>
      </c>
      <c r="E794" t="s">
        <v>1541</v>
      </c>
    </row>
    <row r="795" spans="1:5" x14ac:dyDescent="0.2">
      <c r="A795" t="s">
        <v>1667</v>
      </c>
      <c r="B795" t="s">
        <v>1668</v>
      </c>
      <c r="C795" t="s">
        <v>357</v>
      </c>
      <c r="D795" t="s">
        <v>1587</v>
      </c>
      <c r="E795" t="s">
        <v>1541</v>
      </c>
    </row>
    <row r="796" spans="1:5" x14ac:dyDescent="0.2">
      <c r="A796" t="s">
        <v>1669</v>
      </c>
      <c r="B796" t="s">
        <v>1670</v>
      </c>
      <c r="C796" t="s">
        <v>357</v>
      </c>
      <c r="D796" t="s">
        <v>1587</v>
      </c>
      <c r="E796" t="s">
        <v>1541</v>
      </c>
    </row>
    <row r="797" spans="1:5" x14ac:dyDescent="0.2">
      <c r="A797" t="s">
        <v>1671</v>
      </c>
      <c r="B797" t="s">
        <v>1672</v>
      </c>
      <c r="C797" t="s">
        <v>357</v>
      </c>
      <c r="D797" t="s">
        <v>1587</v>
      </c>
      <c r="E797" t="s">
        <v>1541</v>
      </c>
    </row>
    <row r="798" spans="1:5" x14ac:dyDescent="0.2">
      <c r="A798" t="s">
        <v>1673</v>
      </c>
      <c r="B798" t="s">
        <v>1674</v>
      </c>
      <c r="C798" t="s">
        <v>357</v>
      </c>
      <c r="D798" t="s">
        <v>1587</v>
      </c>
      <c r="E798" t="s">
        <v>1541</v>
      </c>
    </row>
    <row r="799" spans="1:5" x14ac:dyDescent="0.2">
      <c r="A799" t="s">
        <v>1675</v>
      </c>
      <c r="B799" t="s">
        <v>1676</v>
      </c>
      <c r="C799" t="s">
        <v>357</v>
      </c>
      <c r="D799" t="s">
        <v>1587</v>
      </c>
      <c r="E799" t="s">
        <v>1541</v>
      </c>
    </row>
    <row r="800" spans="1:5" x14ac:dyDescent="0.2">
      <c r="A800" t="s">
        <v>1677</v>
      </c>
      <c r="B800" t="s">
        <v>1678</v>
      </c>
      <c r="C800" t="s">
        <v>357</v>
      </c>
      <c r="D800" t="s">
        <v>1587</v>
      </c>
      <c r="E800" t="s">
        <v>1541</v>
      </c>
    </row>
    <row r="801" spans="1:5" x14ac:dyDescent="0.2">
      <c r="A801" t="s">
        <v>1679</v>
      </c>
      <c r="B801" t="s">
        <v>1680</v>
      </c>
      <c r="C801" t="s">
        <v>357</v>
      </c>
      <c r="D801" t="s">
        <v>1587</v>
      </c>
      <c r="E801" t="s">
        <v>1541</v>
      </c>
    </row>
    <row r="802" spans="1:5" x14ac:dyDescent="0.2">
      <c r="A802" t="s">
        <v>1681</v>
      </c>
      <c r="B802" t="s">
        <v>1682</v>
      </c>
      <c r="C802" t="s">
        <v>9105</v>
      </c>
      <c r="D802" t="s">
        <v>766</v>
      </c>
      <c r="E802" t="s">
        <v>1541</v>
      </c>
    </row>
    <row r="803" spans="1:5" x14ac:dyDescent="0.2">
      <c r="A803" t="s">
        <v>1683</v>
      </c>
      <c r="B803" t="s">
        <v>1684</v>
      </c>
      <c r="C803" t="s">
        <v>9105</v>
      </c>
      <c r="D803" t="s">
        <v>358</v>
      </c>
      <c r="E803" t="s">
        <v>1541</v>
      </c>
    </row>
    <row r="804" spans="1:5" x14ac:dyDescent="0.2">
      <c r="A804" t="s">
        <v>1685</v>
      </c>
      <c r="B804" t="s">
        <v>1686</v>
      </c>
      <c r="C804" t="s">
        <v>9105</v>
      </c>
      <c r="D804" t="s">
        <v>681</v>
      </c>
      <c r="E804" t="s">
        <v>1541</v>
      </c>
    </row>
    <row r="805" spans="1:5" x14ac:dyDescent="0.2">
      <c r="A805" t="s">
        <v>1687</v>
      </c>
      <c r="B805" t="s">
        <v>1688</v>
      </c>
      <c r="C805" t="s">
        <v>219</v>
      </c>
      <c r="D805" t="s">
        <v>1563</v>
      </c>
      <c r="E805" t="s">
        <v>1541</v>
      </c>
    </row>
    <row r="806" spans="1:5" x14ac:dyDescent="0.2">
      <c r="A806" t="s">
        <v>1689</v>
      </c>
      <c r="B806" t="s">
        <v>1690</v>
      </c>
      <c r="C806" t="s">
        <v>120</v>
      </c>
      <c r="D806" t="s">
        <v>1691</v>
      </c>
      <c r="E806" t="s">
        <v>1541</v>
      </c>
    </row>
    <row r="807" spans="1:5" x14ac:dyDescent="0.2">
      <c r="A807" t="s">
        <v>1692</v>
      </c>
      <c r="B807" t="s">
        <v>1693</v>
      </c>
      <c r="C807" t="s">
        <v>104</v>
      </c>
      <c r="D807" t="s">
        <v>1563</v>
      </c>
      <c r="E807" t="s">
        <v>1694</v>
      </c>
    </row>
    <row r="808" spans="1:5" x14ac:dyDescent="0.2">
      <c r="A808" t="s">
        <v>1695</v>
      </c>
      <c r="B808" t="s">
        <v>1696</v>
      </c>
      <c r="C808" t="s">
        <v>131</v>
      </c>
      <c r="D808" t="s">
        <v>1563</v>
      </c>
      <c r="E808" t="s">
        <v>1694</v>
      </c>
    </row>
    <row r="809" spans="1:5" x14ac:dyDescent="0.2">
      <c r="A809" t="s">
        <v>1697</v>
      </c>
      <c r="B809" t="s">
        <v>1698</v>
      </c>
      <c r="C809" t="s">
        <v>131</v>
      </c>
      <c r="D809" t="s">
        <v>1691</v>
      </c>
      <c r="E809" t="s">
        <v>1541</v>
      </c>
    </row>
    <row r="810" spans="1:5" x14ac:dyDescent="0.2">
      <c r="A810" t="s">
        <v>1699</v>
      </c>
      <c r="B810" t="s">
        <v>1700</v>
      </c>
      <c r="C810" t="s">
        <v>287</v>
      </c>
      <c r="D810" t="s">
        <v>635</v>
      </c>
      <c r="E810" t="s">
        <v>1541</v>
      </c>
    </row>
    <row r="811" spans="1:5" x14ac:dyDescent="0.2">
      <c r="A811" t="s">
        <v>1701</v>
      </c>
      <c r="B811" t="s">
        <v>1702</v>
      </c>
      <c r="C811" t="s">
        <v>287</v>
      </c>
      <c r="D811" t="s">
        <v>635</v>
      </c>
      <c r="E811" t="s">
        <v>1541</v>
      </c>
    </row>
    <row r="812" spans="1:5" x14ac:dyDescent="0.2">
      <c r="A812" t="s">
        <v>1703</v>
      </c>
      <c r="B812" t="s">
        <v>1704</v>
      </c>
      <c r="C812" t="s">
        <v>251</v>
      </c>
      <c r="D812" t="s">
        <v>1566</v>
      </c>
      <c r="E812" t="s">
        <v>1541</v>
      </c>
    </row>
    <row r="813" spans="1:5" x14ac:dyDescent="0.2">
      <c r="A813" t="s">
        <v>1705</v>
      </c>
      <c r="B813" t="s">
        <v>1706</v>
      </c>
      <c r="C813" t="s">
        <v>251</v>
      </c>
      <c r="D813" t="s">
        <v>1566</v>
      </c>
      <c r="E813" t="s">
        <v>1541</v>
      </c>
    </row>
    <row r="814" spans="1:5" x14ac:dyDescent="0.2">
      <c r="A814" t="s">
        <v>1707</v>
      </c>
      <c r="B814" t="s">
        <v>1708</v>
      </c>
      <c r="C814" t="s">
        <v>199</v>
      </c>
      <c r="D814" t="s">
        <v>126</v>
      </c>
      <c r="E814" t="s">
        <v>1541</v>
      </c>
    </row>
    <row r="815" spans="1:5" x14ac:dyDescent="0.2">
      <c r="A815" t="s">
        <v>1709</v>
      </c>
      <c r="B815" t="s">
        <v>1710</v>
      </c>
      <c r="C815" t="s">
        <v>199</v>
      </c>
      <c r="D815" t="s">
        <v>773</v>
      </c>
      <c r="E815" t="s">
        <v>1541</v>
      </c>
    </row>
    <row r="816" spans="1:5" x14ac:dyDescent="0.2">
      <c r="A816" t="s">
        <v>1711</v>
      </c>
      <c r="B816" t="s">
        <v>1712</v>
      </c>
      <c r="C816" t="s">
        <v>251</v>
      </c>
      <c r="D816" t="s">
        <v>171</v>
      </c>
      <c r="E816" t="s">
        <v>1541</v>
      </c>
    </row>
    <row r="817" spans="1:5" x14ac:dyDescent="0.2">
      <c r="A817" t="s">
        <v>1713</v>
      </c>
      <c r="B817" t="s">
        <v>1714</v>
      </c>
      <c r="C817" t="s">
        <v>251</v>
      </c>
      <c r="D817" t="s">
        <v>171</v>
      </c>
      <c r="E817" t="s">
        <v>1541</v>
      </c>
    </row>
    <row r="818" spans="1:5" x14ac:dyDescent="0.2">
      <c r="A818" t="s">
        <v>21</v>
      </c>
      <c r="B818" t="s">
        <v>1715</v>
      </c>
      <c r="C818" t="s">
        <v>251</v>
      </c>
      <c r="D818" t="s">
        <v>171</v>
      </c>
      <c r="E818" t="s">
        <v>1541</v>
      </c>
    </row>
    <row r="819" spans="1:5" x14ac:dyDescent="0.2">
      <c r="A819" t="s">
        <v>1716</v>
      </c>
      <c r="B819" t="s">
        <v>1717</v>
      </c>
      <c r="C819" t="s">
        <v>251</v>
      </c>
      <c r="D819" t="s">
        <v>260</v>
      </c>
      <c r="E819" t="s">
        <v>1541</v>
      </c>
    </row>
    <row r="820" spans="1:5" x14ac:dyDescent="0.2">
      <c r="A820" t="s">
        <v>1718</v>
      </c>
      <c r="B820" t="s">
        <v>1719</v>
      </c>
      <c r="C820" t="s">
        <v>212</v>
      </c>
      <c r="D820" t="s">
        <v>389</v>
      </c>
      <c r="E820" t="s">
        <v>1541</v>
      </c>
    </row>
    <row r="821" spans="1:5" x14ac:dyDescent="0.2">
      <c r="A821" t="s">
        <v>1720</v>
      </c>
      <c r="B821" t="s">
        <v>1721</v>
      </c>
      <c r="C821" t="s">
        <v>212</v>
      </c>
      <c r="D821" t="s">
        <v>389</v>
      </c>
      <c r="E821" t="s">
        <v>1541</v>
      </c>
    </row>
    <row r="822" spans="1:5" x14ac:dyDescent="0.2">
      <c r="A822" t="s">
        <v>1722</v>
      </c>
      <c r="B822" t="s">
        <v>1723</v>
      </c>
      <c r="C822" t="s">
        <v>212</v>
      </c>
      <c r="D822" t="s">
        <v>604</v>
      </c>
      <c r="E822" t="s">
        <v>1541</v>
      </c>
    </row>
    <row r="823" spans="1:5" x14ac:dyDescent="0.2">
      <c r="A823" t="s">
        <v>1724</v>
      </c>
      <c r="B823" t="s">
        <v>1725</v>
      </c>
      <c r="C823" t="s">
        <v>212</v>
      </c>
      <c r="D823" t="s">
        <v>604</v>
      </c>
      <c r="E823" t="s">
        <v>1541</v>
      </c>
    </row>
    <row r="824" spans="1:5" x14ac:dyDescent="0.2">
      <c r="A824" t="s">
        <v>1726</v>
      </c>
      <c r="B824" t="s">
        <v>1727</v>
      </c>
      <c r="C824" t="s">
        <v>212</v>
      </c>
      <c r="D824" t="s">
        <v>386</v>
      </c>
      <c r="E824" t="s">
        <v>1541</v>
      </c>
    </row>
    <row r="825" spans="1:5" x14ac:dyDescent="0.2">
      <c r="A825" t="s">
        <v>1728</v>
      </c>
      <c r="B825" t="s">
        <v>1729</v>
      </c>
      <c r="C825" t="s">
        <v>227</v>
      </c>
      <c r="D825" t="s">
        <v>773</v>
      </c>
      <c r="E825" t="s">
        <v>1541</v>
      </c>
    </row>
    <row r="826" spans="1:5" x14ac:dyDescent="0.2">
      <c r="A826" t="s">
        <v>1730</v>
      </c>
      <c r="B826" t="s">
        <v>1731</v>
      </c>
      <c r="C826" t="s">
        <v>227</v>
      </c>
      <c r="D826" t="s">
        <v>773</v>
      </c>
      <c r="E826" t="s">
        <v>1541</v>
      </c>
    </row>
    <row r="827" spans="1:5" x14ac:dyDescent="0.2">
      <c r="A827" t="s">
        <v>1732</v>
      </c>
      <c r="B827" t="s">
        <v>1733</v>
      </c>
      <c r="C827" t="s">
        <v>227</v>
      </c>
      <c r="D827" t="s">
        <v>126</v>
      </c>
      <c r="E827" t="s">
        <v>1541</v>
      </c>
    </row>
    <row r="828" spans="1:5" x14ac:dyDescent="0.2">
      <c r="A828" t="s">
        <v>1734</v>
      </c>
      <c r="B828" t="s">
        <v>1735</v>
      </c>
      <c r="C828" t="s">
        <v>227</v>
      </c>
      <c r="D828" t="s">
        <v>126</v>
      </c>
      <c r="E828" t="s">
        <v>1541</v>
      </c>
    </row>
    <row r="829" spans="1:5" x14ac:dyDescent="0.2">
      <c r="A829" t="s">
        <v>1736</v>
      </c>
      <c r="B829" t="s">
        <v>1737</v>
      </c>
      <c r="C829" t="s">
        <v>251</v>
      </c>
      <c r="D829" t="s">
        <v>1566</v>
      </c>
      <c r="E829" t="s">
        <v>1541</v>
      </c>
    </row>
    <row r="830" spans="1:5" x14ac:dyDescent="0.2">
      <c r="A830" t="s">
        <v>1738</v>
      </c>
      <c r="B830" t="s">
        <v>1739</v>
      </c>
      <c r="C830" t="s">
        <v>251</v>
      </c>
      <c r="D830" t="s">
        <v>1566</v>
      </c>
      <c r="E830" t="s">
        <v>1541</v>
      </c>
    </row>
    <row r="831" spans="1:5" x14ac:dyDescent="0.2">
      <c r="A831" t="s">
        <v>1740</v>
      </c>
      <c r="B831" t="s">
        <v>1741</v>
      </c>
      <c r="C831" t="s">
        <v>251</v>
      </c>
      <c r="D831" t="s">
        <v>171</v>
      </c>
      <c r="E831" t="s">
        <v>1541</v>
      </c>
    </row>
    <row r="832" spans="1:5" x14ac:dyDescent="0.2">
      <c r="A832" t="s">
        <v>1742</v>
      </c>
      <c r="B832" t="s">
        <v>1743</v>
      </c>
      <c r="C832" t="s">
        <v>251</v>
      </c>
      <c r="D832" t="s">
        <v>171</v>
      </c>
      <c r="E832" t="s">
        <v>1541</v>
      </c>
    </row>
    <row r="833" spans="1:5" x14ac:dyDescent="0.2">
      <c r="A833" t="s">
        <v>1744</v>
      </c>
      <c r="B833" t="s">
        <v>1745</v>
      </c>
      <c r="C833" t="s">
        <v>399</v>
      </c>
      <c r="D833" t="s">
        <v>296</v>
      </c>
      <c r="E833" t="s">
        <v>1541</v>
      </c>
    </row>
    <row r="834" spans="1:5" x14ac:dyDescent="0.2">
      <c r="A834" t="s">
        <v>1746</v>
      </c>
      <c r="B834" t="s">
        <v>1747</v>
      </c>
      <c r="C834" t="s">
        <v>399</v>
      </c>
      <c r="D834" t="s">
        <v>296</v>
      </c>
      <c r="E834" t="s">
        <v>1541</v>
      </c>
    </row>
    <row r="835" spans="1:5" x14ac:dyDescent="0.2">
      <c r="A835" t="s">
        <v>1748</v>
      </c>
      <c r="B835" t="s">
        <v>1749</v>
      </c>
      <c r="C835" t="s">
        <v>399</v>
      </c>
      <c r="D835" t="s">
        <v>299</v>
      </c>
      <c r="E835" t="s">
        <v>1541</v>
      </c>
    </row>
    <row r="836" spans="1:5" x14ac:dyDescent="0.2">
      <c r="A836" t="s">
        <v>1750</v>
      </c>
      <c r="B836" t="s">
        <v>1751</v>
      </c>
      <c r="C836" t="s">
        <v>399</v>
      </c>
      <c r="D836" t="s">
        <v>299</v>
      </c>
      <c r="E836" t="s">
        <v>1541</v>
      </c>
    </row>
    <row r="837" spans="1:5" x14ac:dyDescent="0.2">
      <c r="A837" t="s">
        <v>1752</v>
      </c>
      <c r="B837" t="s">
        <v>1753</v>
      </c>
      <c r="C837" t="s">
        <v>399</v>
      </c>
      <c r="D837" t="s">
        <v>296</v>
      </c>
      <c r="E837" t="s">
        <v>1541</v>
      </c>
    </row>
    <row r="838" spans="1:5" x14ac:dyDescent="0.2">
      <c r="A838" t="s">
        <v>1754</v>
      </c>
      <c r="B838" t="s">
        <v>1755</v>
      </c>
      <c r="C838" t="s">
        <v>399</v>
      </c>
      <c r="D838" t="s">
        <v>296</v>
      </c>
      <c r="E838" t="s">
        <v>1541</v>
      </c>
    </row>
    <row r="839" spans="1:5" x14ac:dyDescent="0.2">
      <c r="A839" t="s">
        <v>1756</v>
      </c>
      <c r="B839" t="s">
        <v>1757</v>
      </c>
      <c r="C839" t="s">
        <v>399</v>
      </c>
      <c r="D839" t="s">
        <v>299</v>
      </c>
      <c r="E839" t="s">
        <v>1541</v>
      </c>
    </row>
    <row r="840" spans="1:5" x14ac:dyDescent="0.2">
      <c r="A840" t="s">
        <v>1758</v>
      </c>
      <c r="B840" t="s">
        <v>1759</v>
      </c>
      <c r="C840" t="s">
        <v>399</v>
      </c>
      <c r="D840" t="s">
        <v>299</v>
      </c>
      <c r="E840" t="s">
        <v>1541</v>
      </c>
    </row>
    <row r="841" spans="1:5" x14ac:dyDescent="0.2">
      <c r="A841" t="s">
        <v>1773</v>
      </c>
      <c r="B841" t="s">
        <v>1774</v>
      </c>
      <c r="C841" t="s">
        <v>376</v>
      </c>
      <c r="D841" t="s">
        <v>121</v>
      </c>
      <c r="E841" t="s">
        <v>1775</v>
      </c>
    </row>
    <row r="842" spans="1:5" x14ac:dyDescent="0.2">
      <c r="A842" t="s">
        <v>1776</v>
      </c>
      <c r="B842" t="s">
        <v>1777</v>
      </c>
      <c r="C842" t="s">
        <v>376</v>
      </c>
      <c r="D842" t="s">
        <v>126</v>
      </c>
      <c r="E842" t="s">
        <v>1775</v>
      </c>
    </row>
    <row r="843" spans="1:5" x14ac:dyDescent="0.2">
      <c r="A843" t="s">
        <v>1778</v>
      </c>
      <c r="B843" t="s">
        <v>1779</v>
      </c>
      <c r="C843" t="s">
        <v>244</v>
      </c>
      <c r="D843" t="s">
        <v>252</v>
      </c>
      <c r="E843" t="s">
        <v>1775</v>
      </c>
    </row>
    <row r="844" spans="1:5" x14ac:dyDescent="0.2">
      <c r="A844" t="s">
        <v>1780</v>
      </c>
      <c r="B844" t="s">
        <v>1781</v>
      </c>
      <c r="C844" t="s">
        <v>244</v>
      </c>
      <c r="D844" t="s">
        <v>583</v>
      </c>
      <c r="E844" t="s">
        <v>1775</v>
      </c>
    </row>
    <row r="845" spans="1:5" x14ac:dyDescent="0.2">
      <c r="A845" t="s">
        <v>1782</v>
      </c>
      <c r="B845" t="s">
        <v>1783</v>
      </c>
      <c r="C845" t="s">
        <v>591</v>
      </c>
      <c r="D845" t="s">
        <v>1784</v>
      </c>
      <c r="E845" t="s">
        <v>1785</v>
      </c>
    </row>
    <row r="846" spans="1:5" x14ac:dyDescent="0.2">
      <c r="A846" t="s">
        <v>1786</v>
      </c>
      <c r="B846" t="s">
        <v>1787</v>
      </c>
      <c r="C846" t="s">
        <v>591</v>
      </c>
      <c r="D846" t="s">
        <v>254</v>
      </c>
      <c r="E846" t="s">
        <v>9118</v>
      </c>
    </row>
    <row r="847" spans="1:5" x14ac:dyDescent="0.2">
      <c r="A847" t="s">
        <v>1788</v>
      </c>
      <c r="B847" t="s">
        <v>1789</v>
      </c>
      <c r="C847" t="s">
        <v>331</v>
      </c>
      <c r="D847" t="s">
        <v>1790</v>
      </c>
      <c r="E847" t="s">
        <v>1775</v>
      </c>
    </row>
    <row r="848" spans="1:5" x14ac:dyDescent="0.2">
      <c r="A848" t="s">
        <v>1791</v>
      </c>
      <c r="B848" t="s">
        <v>1792</v>
      </c>
      <c r="C848" t="s">
        <v>331</v>
      </c>
      <c r="D848" t="s">
        <v>1793</v>
      </c>
      <c r="E848" t="s">
        <v>1775</v>
      </c>
    </row>
    <row r="849" spans="1:5" x14ac:dyDescent="0.2">
      <c r="A849" t="s">
        <v>1794</v>
      </c>
      <c r="B849" t="s">
        <v>1795</v>
      </c>
      <c r="C849" t="s">
        <v>251</v>
      </c>
      <c r="D849" t="s">
        <v>588</v>
      </c>
      <c r="E849" t="s">
        <v>1785</v>
      </c>
    </row>
    <row r="850" spans="1:5" x14ac:dyDescent="0.2">
      <c r="A850" t="s">
        <v>1796</v>
      </c>
      <c r="B850" t="s">
        <v>1797</v>
      </c>
      <c r="C850" t="s">
        <v>251</v>
      </c>
      <c r="D850" t="s">
        <v>145</v>
      </c>
      <c r="E850" t="s">
        <v>1785</v>
      </c>
    </row>
    <row r="851" spans="1:5" x14ac:dyDescent="0.2">
      <c r="A851" t="s">
        <v>1798</v>
      </c>
      <c r="B851" t="s">
        <v>1799</v>
      </c>
      <c r="C851" t="s">
        <v>251</v>
      </c>
      <c r="D851" t="s">
        <v>868</v>
      </c>
      <c r="E851" t="s">
        <v>9119</v>
      </c>
    </row>
    <row r="852" spans="1:5" x14ac:dyDescent="0.2">
      <c r="A852" t="s">
        <v>1800</v>
      </c>
      <c r="B852" t="s">
        <v>1801</v>
      </c>
      <c r="C852" t="s">
        <v>251</v>
      </c>
      <c r="D852" t="s">
        <v>3771</v>
      </c>
      <c r="E852" t="s">
        <v>9119</v>
      </c>
    </row>
    <row r="853" spans="1:5" x14ac:dyDescent="0.2">
      <c r="A853" t="s">
        <v>1802</v>
      </c>
      <c r="B853" t="s">
        <v>1803</v>
      </c>
      <c r="C853" t="s">
        <v>251</v>
      </c>
      <c r="D853" t="s">
        <v>825</v>
      </c>
      <c r="E853" t="s">
        <v>1785</v>
      </c>
    </row>
    <row r="854" spans="1:5" x14ac:dyDescent="0.2">
      <c r="A854" t="s">
        <v>1804</v>
      </c>
      <c r="B854" t="s">
        <v>1805</v>
      </c>
      <c r="C854" t="s">
        <v>669</v>
      </c>
      <c r="D854" t="s">
        <v>358</v>
      </c>
      <c r="E854" t="s">
        <v>1775</v>
      </c>
    </row>
    <row r="855" spans="1:5" x14ac:dyDescent="0.2">
      <c r="A855" t="s">
        <v>1806</v>
      </c>
      <c r="B855" t="s">
        <v>1807</v>
      </c>
      <c r="C855" t="s">
        <v>705</v>
      </c>
      <c r="D855" t="s">
        <v>1063</v>
      </c>
      <c r="E855" t="s">
        <v>1775</v>
      </c>
    </row>
    <row r="856" spans="1:5" x14ac:dyDescent="0.2">
      <c r="A856" t="s">
        <v>1808</v>
      </c>
      <c r="B856" t="s">
        <v>1809</v>
      </c>
      <c r="C856" t="s">
        <v>705</v>
      </c>
      <c r="D856" t="s">
        <v>840</v>
      </c>
      <c r="E856" t="s">
        <v>1775</v>
      </c>
    </row>
    <row r="857" spans="1:5" x14ac:dyDescent="0.2">
      <c r="A857" t="s">
        <v>1810</v>
      </c>
      <c r="B857" t="s">
        <v>1811</v>
      </c>
      <c r="C857" t="s">
        <v>705</v>
      </c>
      <c r="D857" t="s">
        <v>1458</v>
      </c>
      <c r="E857" t="s">
        <v>1775</v>
      </c>
    </row>
    <row r="858" spans="1:5" x14ac:dyDescent="0.2">
      <c r="A858" t="s">
        <v>1812</v>
      </c>
      <c r="B858" t="s">
        <v>1813</v>
      </c>
      <c r="C858" t="s">
        <v>705</v>
      </c>
      <c r="D858" t="s">
        <v>145</v>
      </c>
      <c r="E858" t="s">
        <v>1775</v>
      </c>
    </row>
    <row r="859" spans="1:5" x14ac:dyDescent="0.2">
      <c r="A859" t="s">
        <v>1814</v>
      </c>
      <c r="B859" t="s">
        <v>1815</v>
      </c>
      <c r="C859" t="s">
        <v>244</v>
      </c>
      <c r="D859" t="s">
        <v>588</v>
      </c>
      <c r="E859" t="s">
        <v>1775</v>
      </c>
    </row>
    <row r="860" spans="1:5" x14ac:dyDescent="0.2">
      <c r="A860" t="s">
        <v>1816</v>
      </c>
      <c r="B860" t="s">
        <v>1817</v>
      </c>
      <c r="C860" t="s">
        <v>92</v>
      </c>
      <c r="D860" t="s">
        <v>1818</v>
      </c>
      <c r="E860" t="s">
        <v>1775</v>
      </c>
    </row>
    <row r="861" spans="1:5" x14ac:dyDescent="0.2">
      <c r="A861" t="s">
        <v>1819</v>
      </c>
      <c r="B861" t="s">
        <v>1820</v>
      </c>
      <c r="C861" t="s">
        <v>92</v>
      </c>
      <c r="D861" t="s">
        <v>845</v>
      </c>
      <c r="E861" t="s">
        <v>1775</v>
      </c>
    </row>
    <row r="862" spans="1:5" x14ac:dyDescent="0.2">
      <c r="A862" t="s">
        <v>1821</v>
      </c>
      <c r="B862" t="s">
        <v>1822</v>
      </c>
      <c r="C862" t="s">
        <v>92</v>
      </c>
      <c r="D862" t="s">
        <v>459</v>
      </c>
      <c r="E862" t="s">
        <v>1775</v>
      </c>
    </row>
    <row r="863" spans="1:5" x14ac:dyDescent="0.2">
      <c r="A863" t="s">
        <v>1823</v>
      </c>
      <c r="B863" t="s">
        <v>1824</v>
      </c>
      <c r="C863" t="s">
        <v>357</v>
      </c>
      <c r="D863" t="s">
        <v>282</v>
      </c>
      <c r="E863" t="s">
        <v>1326</v>
      </c>
    </row>
    <row r="864" spans="1:5" x14ac:dyDescent="0.2">
      <c r="A864" t="s">
        <v>1825</v>
      </c>
      <c r="B864" t="s">
        <v>1826</v>
      </c>
      <c r="C864" t="s">
        <v>357</v>
      </c>
      <c r="D864" t="s">
        <v>282</v>
      </c>
      <c r="E864" t="s">
        <v>1326</v>
      </c>
    </row>
    <row r="865" spans="1:5" x14ac:dyDescent="0.2">
      <c r="A865" t="s">
        <v>1827</v>
      </c>
      <c r="B865" t="s">
        <v>1828</v>
      </c>
      <c r="C865" t="s">
        <v>357</v>
      </c>
      <c r="D865" t="s">
        <v>1524</v>
      </c>
      <c r="E865" t="s">
        <v>1326</v>
      </c>
    </row>
    <row r="866" spans="1:5" x14ac:dyDescent="0.2">
      <c r="A866" t="s">
        <v>1829</v>
      </c>
      <c r="B866" t="s">
        <v>1830</v>
      </c>
      <c r="C866" t="s">
        <v>357</v>
      </c>
      <c r="D866" t="s">
        <v>1831</v>
      </c>
      <c r="E866" t="s">
        <v>1326</v>
      </c>
    </row>
    <row r="867" spans="1:5" x14ac:dyDescent="0.2">
      <c r="A867" t="s">
        <v>1832</v>
      </c>
      <c r="B867" t="s">
        <v>1833</v>
      </c>
      <c r="C867" t="s">
        <v>357</v>
      </c>
      <c r="D867" t="s">
        <v>1831</v>
      </c>
      <c r="E867" t="s">
        <v>1326</v>
      </c>
    </row>
    <row r="868" spans="1:5" x14ac:dyDescent="0.2">
      <c r="A868" t="s">
        <v>1834</v>
      </c>
      <c r="B868" t="s">
        <v>1835</v>
      </c>
      <c r="C868" t="s">
        <v>357</v>
      </c>
      <c r="D868" t="s">
        <v>1836</v>
      </c>
      <c r="E868" t="s">
        <v>1775</v>
      </c>
    </row>
    <row r="869" spans="1:5" x14ac:dyDescent="0.2">
      <c r="A869" t="s">
        <v>1837</v>
      </c>
      <c r="B869" t="s">
        <v>1838</v>
      </c>
      <c r="C869" t="s">
        <v>357</v>
      </c>
      <c r="D869" t="s">
        <v>358</v>
      </c>
      <c r="E869" t="s">
        <v>1326</v>
      </c>
    </row>
    <row r="870" spans="1:5" x14ac:dyDescent="0.2">
      <c r="A870" t="s">
        <v>1839</v>
      </c>
      <c r="B870" t="s">
        <v>1840</v>
      </c>
      <c r="C870" t="s">
        <v>357</v>
      </c>
      <c r="D870" t="s">
        <v>358</v>
      </c>
      <c r="E870" t="s">
        <v>1326</v>
      </c>
    </row>
    <row r="871" spans="1:5" x14ac:dyDescent="0.2">
      <c r="A871" t="s">
        <v>1841</v>
      </c>
      <c r="B871" t="s">
        <v>1842</v>
      </c>
      <c r="C871" t="s">
        <v>357</v>
      </c>
      <c r="D871" t="s">
        <v>1836</v>
      </c>
      <c r="E871" t="s">
        <v>1775</v>
      </c>
    </row>
    <row r="872" spans="1:5" x14ac:dyDescent="0.2">
      <c r="A872" t="s">
        <v>1843</v>
      </c>
      <c r="B872" t="s">
        <v>1844</v>
      </c>
      <c r="C872" t="s">
        <v>357</v>
      </c>
      <c r="D872" t="s">
        <v>245</v>
      </c>
      <c r="E872" t="s">
        <v>1326</v>
      </c>
    </row>
    <row r="873" spans="1:5" x14ac:dyDescent="0.2">
      <c r="A873" t="s">
        <v>1845</v>
      </c>
      <c r="B873" t="s">
        <v>1846</v>
      </c>
      <c r="C873" t="s">
        <v>357</v>
      </c>
      <c r="D873" t="s">
        <v>245</v>
      </c>
      <c r="E873" t="s">
        <v>1326</v>
      </c>
    </row>
    <row r="874" spans="1:5" x14ac:dyDescent="0.2">
      <c r="A874" t="s">
        <v>1847</v>
      </c>
      <c r="B874" t="s">
        <v>1848</v>
      </c>
      <c r="C874" t="s">
        <v>357</v>
      </c>
      <c r="D874" t="s">
        <v>1836</v>
      </c>
      <c r="E874" t="s">
        <v>1775</v>
      </c>
    </row>
    <row r="875" spans="1:5" x14ac:dyDescent="0.2">
      <c r="A875" t="s">
        <v>1849</v>
      </c>
      <c r="B875" t="s">
        <v>1850</v>
      </c>
      <c r="C875" t="s">
        <v>357</v>
      </c>
      <c r="D875" t="s">
        <v>991</v>
      </c>
      <c r="E875" t="s">
        <v>1775</v>
      </c>
    </row>
    <row r="876" spans="1:5" x14ac:dyDescent="0.2">
      <c r="A876" t="s">
        <v>1851</v>
      </c>
      <c r="B876" t="s">
        <v>1852</v>
      </c>
      <c r="C876" t="s">
        <v>357</v>
      </c>
      <c r="D876" t="s">
        <v>991</v>
      </c>
      <c r="E876" t="s">
        <v>1775</v>
      </c>
    </row>
    <row r="877" spans="1:5" x14ac:dyDescent="0.2">
      <c r="A877" t="s">
        <v>1853</v>
      </c>
      <c r="B877" t="s">
        <v>1854</v>
      </c>
      <c r="C877" t="s">
        <v>131</v>
      </c>
      <c r="D877" t="s">
        <v>1855</v>
      </c>
      <c r="E877" t="s">
        <v>1856</v>
      </c>
    </row>
    <row r="878" spans="1:5" x14ac:dyDescent="0.2">
      <c r="A878" t="s">
        <v>1857</v>
      </c>
      <c r="B878" t="s">
        <v>1858</v>
      </c>
      <c r="C878" t="s">
        <v>131</v>
      </c>
      <c r="D878" t="s">
        <v>1855</v>
      </c>
      <c r="E878" t="s">
        <v>1856</v>
      </c>
    </row>
    <row r="879" spans="1:5" x14ac:dyDescent="0.2">
      <c r="A879" t="s">
        <v>1859</v>
      </c>
      <c r="B879" t="s">
        <v>1860</v>
      </c>
      <c r="C879" t="s">
        <v>131</v>
      </c>
      <c r="D879" t="s">
        <v>1770</v>
      </c>
      <c r="E879" t="s">
        <v>1856</v>
      </c>
    </row>
    <row r="880" spans="1:5" x14ac:dyDescent="0.2">
      <c r="A880" t="s">
        <v>1861</v>
      </c>
      <c r="B880" t="s">
        <v>1862</v>
      </c>
      <c r="C880" t="s">
        <v>131</v>
      </c>
      <c r="D880" t="s">
        <v>1770</v>
      </c>
      <c r="E880" t="s">
        <v>1856</v>
      </c>
    </row>
    <row r="881" spans="1:5" x14ac:dyDescent="0.2">
      <c r="A881" t="s">
        <v>1863</v>
      </c>
      <c r="B881" t="s">
        <v>1864</v>
      </c>
      <c r="C881" t="s">
        <v>219</v>
      </c>
      <c r="D881" t="s">
        <v>1865</v>
      </c>
      <c r="E881" t="s">
        <v>1775</v>
      </c>
    </row>
    <row r="882" spans="1:5" x14ac:dyDescent="0.2">
      <c r="A882" t="s">
        <v>1866</v>
      </c>
      <c r="B882" t="s">
        <v>1867</v>
      </c>
      <c r="C882" t="s">
        <v>219</v>
      </c>
      <c r="D882" t="s">
        <v>1868</v>
      </c>
      <c r="E882" t="s">
        <v>1775</v>
      </c>
    </row>
    <row r="883" spans="1:5" x14ac:dyDescent="0.2">
      <c r="A883" t="s">
        <v>1869</v>
      </c>
      <c r="B883" t="s">
        <v>1870</v>
      </c>
      <c r="C883" t="s">
        <v>104</v>
      </c>
      <c r="D883" t="s">
        <v>1871</v>
      </c>
      <c r="E883" t="s">
        <v>1856</v>
      </c>
    </row>
    <row r="884" spans="1:5" x14ac:dyDescent="0.2">
      <c r="A884" t="s">
        <v>1872</v>
      </c>
      <c r="B884" t="s">
        <v>1873</v>
      </c>
      <c r="C884" t="s">
        <v>104</v>
      </c>
      <c r="D884" t="s">
        <v>1874</v>
      </c>
      <c r="E884" t="s">
        <v>1856</v>
      </c>
    </row>
    <row r="885" spans="1:5" x14ac:dyDescent="0.2">
      <c r="A885" t="s">
        <v>1875</v>
      </c>
      <c r="B885" t="s">
        <v>1876</v>
      </c>
      <c r="C885" t="s">
        <v>104</v>
      </c>
      <c r="D885" t="s">
        <v>306</v>
      </c>
      <c r="E885" t="s">
        <v>1856</v>
      </c>
    </row>
    <row r="886" spans="1:5" x14ac:dyDescent="0.2">
      <c r="A886" t="s">
        <v>1877</v>
      </c>
      <c r="B886" t="s">
        <v>1878</v>
      </c>
      <c r="C886" t="s">
        <v>104</v>
      </c>
      <c r="D886" t="s">
        <v>306</v>
      </c>
      <c r="E886" t="s">
        <v>1856</v>
      </c>
    </row>
    <row r="887" spans="1:5" x14ac:dyDescent="0.2">
      <c r="A887" t="s">
        <v>1879</v>
      </c>
      <c r="B887" t="s">
        <v>1880</v>
      </c>
      <c r="C887" t="s">
        <v>104</v>
      </c>
      <c r="D887" t="s">
        <v>1784</v>
      </c>
      <c r="E887" t="s">
        <v>1856</v>
      </c>
    </row>
    <row r="888" spans="1:5" x14ac:dyDescent="0.2">
      <c r="A888" t="s">
        <v>1881</v>
      </c>
      <c r="B888" t="s">
        <v>1882</v>
      </c>
      <c r="C888" t="s">
        <v>104</v>
      </c>
      <c r="D888" t="s">
        <v>1784</v>
      </c>
      <c r="E888" t="s">
        <v>1856</v>
      </c>
    </row>
    <row r="889" spans="1:5" x14ac:dyDescent="0.2">
      <c r="A889" t="s">
        <v>1883</v>
      </c>
      <c r="B889" t="s">
        <v>1884</v>
      </c>
      <c r="C889" t="s">
        <v>104</v>
      </c>
      <c r="D889" t="s">
        <v>698</v>
      </c>
      <c r="E889" t="s">
        <v>1856</v>
      </c>
    </row>
    <row r="890" spans="1:5" x14ac:dyDescent="0.2">
      <c r="A890" t="s">
        <v>1885</v>
      </c>
      <c r="B890" t="s">
        <v>1886</v>
      </c>
      <c r="C890" t="s">
        <v>104</v>
      </c>
      <c r="D890" t="s">
        <v>698</v>
      </c>
      <c r="E890" t="s">
        <v>1856</v>
      </c>
    </row>
    <row r="891" spans="1:5" x14ac:dyDescent="0.2">
      <c r="A891" t="s">
        <v>1887</v>
      </c>
      <c r="B891" t="s">
        <v>1888</v>
      </c>
      <c r="C891" t="s">
        <v>104</v>
      </c>
      <c r="D891" t="s">
        <v>698</v>
      </c>
      <c r="E891" t="s">
        <v>1856</v>
      </c>
    </row>
    <row r="892" spans="1:5" x14ac:dyDescent="0.2">
      <c r="A892" t="s">
        <v>1889</v>
      </c>
      <c r="B892" t="s">
        <v>1890</v>
      </c>
      <c r="C892" t="s">
        <v>92</v>
      </c>
      <c r="D892" t="s">
        <v>1891</v>
      </c>
      <c r="E892" t="s">
        <v>1775</v>
      </c>
    </row>
    <row r="893" spans="1:5" x14ac:dyDescent="0.2">
      <c r="A893" t="s">
        <v>1892</v>
      </c>
      <c r="B893" t="s">
        <v>1893</v>
      </c>
      <c r="C893" t="s">
        <v>92</v>
      </c>
      <c r="D893" t="s">
        <v>766</v>
      </c>
      <c r="E893" t="s">
        <v>1775</v>
      </c>
    </row>
    <row r="894" spans="1:5" x14ac:dyDescent="0.2">
      <c r="A894" t="s">
        <v>1894</v>
      </c>
      <c r="B894" t="s">
        <v>1895</v>
      </c>
      <c r="C894" t="s">
        <v>92</v>
      </c>
      <c r="D894" t="s">
        <v>1896</v>
      </c>
      <c r="E894" t="s">
        <v>1785</v>
      </c>
    </row>
    <row r="895" spans="1:5" x14ac:dyDescent="0.2">
      <c r="A895" t="s">
        <v>1897</v>
      </c>
      <c r="B895" t="s">
        <v>1898</v>
      </c>
      <c r="C895" t="s">
        <v>92</v>
      </c>
      <c r="D895" t="s">
        <v>1868</v>
      </c>
      <c r="E895" t="s">
        <v>1785</v>
      </c>
    </row>
    <row r="896" spans="1:5" x14ac:dyDescent="0.2">
      <c r="A896" t="s">
        <v>1899</v>
      </c>
      <c r="B896" t="s">
        <v>1900</v>
      </c>
      <c r="C896" t="s">
        <v>287</v>
      </c>
      <c r="D896" t="s">
        <v>840</v>
      </c>
      <c r="E896" t="s">
        <v>1775</v>
      </c>
    </row>
    <row r="897" spans="1:5" x14ac:dyDescent="0.2">
      <c r="A897" t="s">
        <v>1901</v>
      </c>
      <c r="B897" t="s">
        <v>1902</v>
      </c>
      <c r="C897" t="s">
        <v>287</v>
      </c>
      <c r="D897" t="s">
        <v>635</v>
      </c>
      <c r="E897" t="s">
        <v>1775</v>
      </c>
    </row>
    <row r="898" spans="1:5" x14ac:dyDescent="0.2">
      <c r="A898" t="s">
        <v>1903</v>
      </c>
      <c r="B898" t="s">
        <v>1904</v>
      </c>
      <c r="C898" t="s">
        <v>261</v>
      </c>
      <c r="D898" t="s">
        <v>433</v>
      </c>
      <c r="E898" t="s">
        <v>1775</v>
      </c>
    </row>
    <row r="899" spans="1:5" x14ac:dyDescent="0.2">
      <c r="A899" t="s">
        <v>1905</v>
      </c>
      <c r="B899" t="s">
        <v>1906</v>
      </c>
      <c r="C899" t="s">
        <v>261</v>
      </c>
      <c r="D899" t="s">
        <v>1458</v>
      </c>
      <c r="E899" t="s">
        <v>1775</v>
      </c>
    </row>
    <row r="900" spans="1:5" x14ac:dyDescent="0.2">
      <c r="A900" t="s">
        <v>1907</v>
      </c>
      <c r="B900" t="s">
        <v>1908</v>
      </c>
      <c r="C900" t="s">
        <v>399</v>
      </c>
      <c r="D900" t="s">
        <v>1909</v>
      </c>
      <c r="E900" t="s">
        <v>1775</v>
      </c>
    </row>
    <row r="901" spans="1:5" x14ac:dyDescent="0.2">
      <c r="A901" t="s">
        <v>1910</v>
      </c>
      <c r="B901" t="s">
        <v>1911</v>
      </c>
      <c r="C901" t="s">
        <v>399</v>
      </c>
      <c r="D901" t="s">
        <v>412</v>
      </c>
      <c r="E901" t="s">
        <v>1775</v>
      </c>
    </row>
    <row r="902" spans="1:5" x14ac:dyDescent="0.2">
      <c r="A902" t="s">
        <v>1912</v>
      </c>
      <c r="B902" t="s">
        <v>1913</v>
      </c>
      <c r="C902" t="s">
        <v>591</v>
      </c>
      <c r="D902" t="s">
        <v>371</v>
      </c>
      <c r="E902" t="s">
        <v>1775</v>
      </c>
    </row>
    <row r="903" spans="1:5" x14ac:dyDescent="0.2">
      <c r="A903" t="s">
        <v>1914</v>
      </c>
      <c r="B903" t="s">
        <v>1915</v>
      </c>
      <c r="C903" t="s">
        <v>591</v>
      </c>
      <c r="D903" t="s">
        <v>341</v>
      </c>
      <c r="E903" t="s">
        <v>1775</v>
      </c>
    </row>
    <row r="904" spans="1:5" x14ac:dyDescent="0.2">
      <c r="A904" t="s">
        <v>1916</v>
      </c>
      <c r="B904" t="s">
        <v>1917</v>
      </c>
      <c r="C904" t="s">
        <v>669</v>
      </c>
      <c r="D904" t="s">
        <v>200</v>
      </c>
      <c r="E904" t="s">
        <v>1775</v>
      </c>
    </row>
    <row r="905" spans="1:5" x14ac:dyDescent="0.2">
      <c r="A905" t="s">
        <v>1918</v>
      </c>
      <c r="B905" t="s">
        <v>1919</v>
      </c>
      <c r="C905" t="s">
        <v>669</v>
      </c>
      <c r="D905" t="s">
        <v>200</v>
      </c>
      <c r="E905" t="s">
        <v>1775</v>
      </c>
    </row>
    <row r="906" spans="1:5" x14ac:dyDescent="0.2">
      <c r="A906" t="s">
        <v>1920</v>
      </c>
      <c r="B906" t="s">
        <v>1921</v>
      </c>
      <c r="C906" t="s">
        <v>219</v>
      </c>
      <c r="D906" t="s">
        <v>389</v>
      </c>
      <c r="E906" t="s">
        <v>1775</v>
      </c>
    </row>
    <row r="907" spans="1:5" x14ac:dyDescent="0.2">
      <c r="A907" t="s">
        <v>1922</v>
      </c>
      <c r="B907" t="s">
        <v>1923</v>
      </c>
      <c r="C907" t="s">
        <v>219</v>
      </c>
      <c r="D907" t="s">
        <v>783</v>
      </c>
      <c r="E907" t="s">
        <v>1775</v>
      </c>
    </row>
    <row r="908" spans="1:5" x14ac:dyDescent="0.2">
      <c r="A908" t="s">
        <v>1924</v>
      </c>
      <c r="B908" t="s">
        <v>1925</v>
      </c>
      <c r="C908" t="s">
        <v>219</v>
      </c>
      <c r="D908" t="s">
        <v>309</v>
      </c>
      <c r="E908" t="s">
        <v>1775</v>
      </c>
    </row>
    <row r="909" spans="1:5" x14ac:dyDescent="0.2">
      <c r="A909" t="s">
        <v>1926</v>
      </c>
      <c r="B909" t="s">
        <v>1927</v>
      </c>
      <c r="C909" t="s">
        <v>219</v>
      </c>
      <c r="D909" t="s">
        <v>386</v>
      </c>
      <c r="E909" t="s">
        <v>1775</v>
      </c>
    </row>
    <row r="910" spans="1:5" x14ac:dyDescent="0.2">
      <c r="A910" t="s">
        <v>1928</v>
      </c>
      <c r="B910" t="s">
        <v>1929</v>
      </c>
      <c r="C910" t="s">
        <v>244</v>
      </c>
      <c r="D910" t="s">
        <v>818</v>
      </c>
      <c r="E910" t="s">
        <v>1775</v>
      </c>
    </row>
    <row r="911" spans="1:5" x14ac:dyDescent="0.2">
      <c r="A911" t="s">
        <v>1930</v>
      </c>
      <c r="B911" t="s">
        <v>1931</v>
      </c>
      <c r="C911" t="s">
        <v>244</v>
      </c>
      <c r="D911" t="s">
        <v>1458</v>
      </c>
      <c r="E911" t="s">
        <v>1775</v>
      </c>
    </row>
    <row r="912" spans="1:5" x14ac:dyDescent="0.2">
      <c r="A912" t="s">
        <v>1932</v>
      </c>
      <c r="B912" t="s">
        <v>1933</v>
      </c>
      <c r="C912" t="s">
        <v>244</v>
      </c>
      <c r="D912" t="s">
        <v>480</v>
      </c>
      <c r="E912" t="s">
        <v>1775</v>
      </c>
    </row>
    <row r="913" spans="1:5" x14ac:dyDescent="0.2">
      <c r="A913" t="s">
        <v>1934</v>
      </c>
      <c r="B913" t="s">
        <v>1935</v>
      </c>
      <c r="C913" t="s">
        <v>251</v>
      </c>
      <c r="D913" t="s">
        <v>783</v>
      </c>
      <c r="E913" t="s">
        <v>1775</v>
      </c>
    </row>
    <row r="914" spans="1:5" x14ac:dyDescent="0.2">
      <c r="A914" t="s">
        <v>1936</v>
      </c>
      <c r="B914" t="s">
        <v>1937</v>
      </c>
      <c r="C914" t="s">
        <v>251</v>
      </c>
      <c r="D914" t="s">
        <v>853</v>
      </c>
      <c r="E914" t="s">
        <v>1775</v>
      </c>
    </row>
    <row r="915" spans="1:5" x14ac:dyDescent="0.2">
      <c r="A915" t="s">
        <v>1938</v>
      </c>
      <c r="B915" t="s">
        <v>1939</v>
      </c>
      <c r="C915" t="s">
        <v>251</v>
      </c>
      <c r="D915" t="s">
        <v>309</v>
      </c>
      <c r="E915" t="s">
        <v>1775</v>
      </c>
    </row>
    <row r="916" spans="1:5" x14ac:dyDescent="0.2">
      <c r="A916" t="s">
        <v>1940</v>
      </c>
      <c r="B916" t="s">
        <v>1941</v>
      </c>
      <c r="C916" t="s">
        <v>251</v>
      </c>
      <c r="D916" t="s">
        <v>422</v>
      </c>
      <c r="E916" t="s">
        <v>1775</v>
      </c>
    </row>
    <row r="917" spans="1:5" x14ac:dyDescent="0.2">
      <c r="A917" t="s">
        <v>1942</v>
      </c>
      <c r="B917" t="s">
        <v>1943</v>
      </c>
      <c r="C917" t="s">
        <v>212</v>
      </c>
      <c r="D917" t="s">
        <v>1944</v>
      </c>
      <c r="E917" t="s">
        <v>1785</v>
      </c>
    </row>
    <row r="918" spans="1:5" x14ac:dyDescent="0.2">
      <c r="A918" t="s">
        <v>1945</v>
      </c>
      <c r="B918" t="s">
        <v>1946</v>
      </c>
      <c r="C918" t="s">
        <v>212</v>
      </c>
      <c r="D918" t="s">
        <v>1947</v>
      </c>
      <c r="E918" t="s">
        <v>1785</v>
      </c>
    </row>
    <row r="919" spans="1:5" x14ac:dyDescent="0.2">
      <c r="A919" t="s">
        <v>1948</v>
      </c>
      <c r="B919" t="s">
        <v>1949</v>
      </c>
      <c r="C919" t="s">
        <v>212</v>
      </c>
      <c r="D919" t="s">
        <v>386</v>
      </c>
      <c r="E919" t="s">
        <v>9119</v>
      </c>
    </row>
    <row r="920" spans="1:5" x14ac:dyDescent="0.2">
      <c r="A920" t="s">
        <v>1950</v>
      </c>
      <c r="B920" t="s">
        <v>1951</v>
      </c>
      <c r="C920" t="s">
        <v>212</v>
      </c>
      <c r="D920" t="s">
        <v>258</v>
      </c>
      <c r="E920" t="s">
        <v>9119</v>
      </c>
    </row>
    <row r="921" spans="1:5" x14ac:dyDescent="0.2">
      <c r="A921" t="s">
        <v>1952</v>
      </c>
      <c r="B921" t="s">
        <v>1953</v>
      </c>
      <c r="C921" t="s">
        <v>322</v>
      </c>
      <c r="D921" t="s">
        <v>766</v>
      </c>
      <c r="E921" t="s">
        <v>1775</v>
      </c>
    </row>
    <row r="922" spans="1:5" x14ac:dyDescent="0.2">
      <c r="A922" t="s">
        <v>1954</v>
      </c>
      <c r="B922" t="s">
        <v>1955</v>
      </c>
      <c r="C922" t="s">
        <v>322</v>
      </c>
      <c r="D922" t="s">
        <v>1011</v>
      </c>
      <c r="E922" t="s">
        <v>1775</v>
      </c>
    </row>
    <row r="923" spans="1:5" x14ac:dyDescent="0.2">
      <c r="A923" t="s">
        <v>1956</v>
      </c>
      <c r="B923" t="s">
        <v>1957</v>
      </c>
      <c r="C923" t="s">
        <v>322</v>
      </c>
      <c r="D923" t="s">
        <v>422</v>
      </c>
      <c r="E923" t="s">
        <v>1775</v>
      </c>
    </row>
    <row r="924" spans="1:5" x14ac:dyDescent="0.2">
      <c r="A924" t="s">
        <v>1958</v>
      </c>
      <c r="B924" t="s">
        <v>1959</v>
      </c>
      <c r="C924" t="s">
        <v>322</v>
      </c>
      <c r="D924" t="s">
        <v>535</v>
      </c>
      <c r="E924" t="s">
        <v>1775</v>
      </c>
    </row>
    <row r="925" spans="1:5" x14ac:dyDescent="0.2">
      <c r="A925" t="s">
        <v>1960</v>
      </c>
      <c r="B925" t="s">
        <v>1961</v>
      </c>
      <c r="C925" t="s">
        <v>251</v>
      </c>
      <c r="D925" t="s">
        <v>1818</v>
      </c>
      <c r="E925" t="s">
        <v>1775</v>
      </c>
    </row>
    <row r="926" spans="1:5" x14ac:dyDescent="0.2">
      <c r="A926" t="s">
        <v>1962</v>
      </c>
      <c r="B926" t="s">
        <v>1963</v>
      </c>
      <c r="C926" t="s">
        <v>251</v>
      </c>
      <c r="D926" t="s">
        <v>380</v>
      </c>
      <c r="E926" t="s">
        <v>1775</v>
      </c>
    </row>
    <row r="927" spans="1:5" x14ac:dyDescent="0.2">
      <c r="A927" t="s">
        <v>1964</v>
      </c>
      <c r="B927" t="s">
        <v>1965</v>
      </c>
      <c r="C927" t="s">
        <v>219</v>
      </c>
      <c r="D927" t="s">
        <v>1966</v>
      </c>
      <c r="E927" t="s">
        <v>1775</v>
      </c>
    </row>
    <row r="928" spans="1:5" x14ac:dyDescent="0.2">
      <c r="A928" t="s">
        <v>1967</v>
      </c>
      <c r="B928" t="s">
        <v>1968</v>
      </c>
      <c r="C928" t="s">
        <v>219</v>
      </c>
      <c r="D928" t="s">
        <v>422</v>
      </c>
      <c r="E928" t="s">
        <v>1775</v>
      </c>
    </row>
    <row r="929" spans="1:5" x14ac:dyDescent="0.2">
      <c r="A929" t="s">
        <v>1969</v>
      </c>
      <c r="B929" t="s">
        <v>1970</v>
      </c>
      <c r="C929" t="s">
        <v>357</v>
      </c>
      <c r="D929" t="s">
        <v>1971</v>
      </c>
      <c r="E929" t="s">
        <v>194</v>
      </c>
    </row>
    <row r="930" spans="1:5" x14ac:dyDescent="0.2">
      <c r="A930" t="s">
        <v>1973</v>
      </c>
      <c r="B930" t="s">
        <v>1974</v>
      </c>
      <c r="C930" t="s">
        <v>357</v>
      </c>
      <c r="D930" t="s">
        <v>1971</v>
      </c>
      <c r="E930" t="s">
        <v>194</v>
      </c>
    </row>
    <row r="931" spans="1:5" x14ac:dyDescent="0.2">
      <c r="A931" t="s">
        <v>1975</v>
      </c>
      <c r="B931" t="s">
        <v>1976</v>
      </c>
      <c r="C931" t="s">
        <v>357</v>
      </c>
      <c r="D931" t="s">
        <v>1971</v>
      </c>
      <c r="E931" t="s">
        <v>1972</v>
      </c>
    </row>
    <row r="932" spans="1:5" x14ac:dyDescent="0.2">
      <c r="A932" t="s">
        <v>1977</v>
      </c>
      <c r="B932" t="s">
        <v>1978</v>
      </c>
      <c r="C932" t="s">
        <v>212</v>
      </c>
      <c r="D932" t="s">
        <v>1011</v>
      </c>
      <c r="E932" t="s">
        <v>1775</v>
      </c>
    </row>
    <row r="933" spans="1:5" x14ac:dyDescent="0.2">
      <c r="A933" t="s">
        <v>1979</v>
      </c>
      <c r="B933" t="s">
        <v>1980</v>
      </c>
      <c r="C933" t="s">
        <v>212</v>
      </c>
      <c r="D933" t="s">
        <v>1981</v>
      </c>
      <c r="E933" t="s">
        <v>1775</v>
      </c>
    </row>
    <row r="934" spans="1:5" x14ac:dyDescent="0.2">
      <c r="A934" t="s">
        <v>1982</v>
      </c>
      <c r="B934" t="s">
        <v>1983</v>
      </c>
      <c r="C934" t="s">
        <v>212</v>
      </c>
      <c r="D934" t="s">
        <v>309</v>
      </c>
      <c r="E934" t="s">
        <v>1775</v>
      </c>
    </row>
    <row r="935" spans="1:5" x14ac:dyDescent="0.2">
      <c r="A935" t="s">
        <v>1984</v>
      </c>
      <c r="B935" t="s">
        <v>1985</v>
      </c>
      <c r="C935" t="s">
        <v>212</v>
      </c>
      <c r="D935" t="s">
        <v>1793</v>
      </c>
      <c r="E935" t="s">
        <v>1775</v>
      </c>
    </row>
    <row r="936" spans="1:5" x14ac:dyDescent="0.2">
      <c r="A936" t="s">
        <v>1986</v>
      </c>
      <c r="B936" t="s">
        <v>1987</v>
      </c>
      <c r="C936" t="s">
        <v>591</v>
      </c>
      <c r="D936" t="s">
        <v>396</v>
      </c>
      <c r="E936" t="s">
        <v>1775</v>
      </c>
    </row>
    <row r="937" spans="1:5" x14ac:dyDescent="0.2">
      <c r="A937" t="s">
        <v>1988</v>
      </c>
      <c r="B937" t="s">
        <v>1989</v>
      </c>
      <c r="C937" t="s">
        <v>591</v>
      </c>
      <c r="D937" t="s">
        <v>412</v>
      </c>
      <c r="E937" t="s">
        <v>1775</v>
      </c>
    </row>
    <row r="938" spans="1:5" x14ac:dyDescent="0.2">
      <c r="A938" t="s">
        <v>1990</v>
      </c>
      <c r="B938" t="s">
        <v>1991</v>
      </c>
      <c r="C938" t="s">
        <v>591</v>
      </c>
      <c r="D938" t="s">
        <v>1664</v>
      </c>
      <c r="E938" t="s">
        <v>1775</v>
      </c>
    </row>
    <row r="939" spans="1:5" x14ac:dyDescent="0.2">
      <c r="A939" t="s">
        <v>1992</v>
      </c>
      <c r="B939" t="s">
        <v>1993</v>
      </c>
      <c r="C939" t="s">
        <v>591</v>
      </c>
      <c r="D939" t="s">
        <v>1994</v>
      </c>
      <c r="E939" t="s">
        <v>1775</v>
      </c>
    </row>
    <row r="940" spans="1:5" x14ac:dyDescent="0.2">
      <c r="A940" t="s">
        <v>1995</v>
      </c>
      <c r="B940" t="s">
        <v>1996</v>
      </c>
      <c r="C940" t="s">
        <v>251</v>
      </c>
      <c r="D940" t="s">
        <v>1997</v>
      </c>
      <c r="E940" t="s">
        <v>1775</v>
      </c>
    </row>
    <row r="941" spans="1:5" x14ac:dyDescent="0.2">
      <c r="A941" t="s">
        <v>1998</v>
      </c>
      <c r="B941" t="s">
        <v>1999</v>
      </c>
      <c r="C941" t="s">
        <v>251</v>
      </c>
      <c r="D941" t="s">
        <v>1351</v>
      </c>
      <c r="E941" t="s">
        <v>1775</v>
      </c>
    </row>
    <row r="942" spans="1:5" x14ac:dyDescent="0.2">
      <c r="A942" t="s">
        <v>2000</v>
      </c>
      <c r="B942" t="s">
        <v>2001</v>
      </c>
      <c r="C942" t="s">
        <v>251</v>
      </c>
      <c r="D942" t="s">
        <v>258</v>
      </c>
      <c r="E942" t="s">
        <v>1775</v>
      </c>
    </row>
    <row r="943" spans="1:5" x14ac:dyDescent="0.2">
      <c r="A943" t="s">
        <v>2002</v>
      </c>
      <c r="B943" t="s">
        <v>2003</v>
      </c>
      <c r="C943" t="s">
        <v>222</v>
      </c>
      <c r="D943" t="s">
        <v>323</v>
      </c>
      <c r="E943" t="s">
        <v>1775</v>
      </c>
    </row>
    <row r="944" spans="1:5" x14ac:dyDescent="0.2">
      <c r="A944" t="s">
        <v>2004</v>
      </c>
      <c r="B944" t="s">
        <v>2005</v>
      </c>
      <c r="C944" t="s">
        <v>222</v>
      </c>
      <c r="D944" t="s">
        <v>323</v>
      </c>
      <c r="E944" t="s">
        <v>1775</v>
      </c>
    </row>
    <row r="945" spans="1:5" x14ac:dyDescent="0.2">
      <c r="A945" t="s">
        <v>2006</v>
      </c>
      <c r="B945" t="s">
        <v>2007</v>
      </c>
      <c r="C945" t="s">
        <v>222</v>
      </c>
      <c r="D945" t="s">
        <v>444</v>
      </c>
      <c r="E945" t="s">
        <v>1775</v>
      </c>
    </row>
    <row r="946" spans="1:5" x14ac:dyDescent="0.2">
      <c r="A946" t="s">
        <v>2008</v>
      </c>
      <c r="B946" t="s">
        <v>2009</v>
      </c>
      <c r="C946" t="s">
        <v>222</v>
      </c>
      <c r="D946" t="s">
        <v>444</v>
      </c>
      <c r="E946" t="s">
        <v>1775</v>
      </c>
    </row>
    <row r="947" spans="1:5" x14ac:dyDescent="0.2">
      <c r="A947" t="s">
        <v>2010</v>
      </c>
      <c r="B947" t="s">
        <v>2011</v>
      </c>
      <c r="C947" t="s">
        <v>227</v>
      </c>
      <c r="D947" t="s">
        <v>2012</v>
      </c>
      <c r="E947" t="s">
        <v>1775</v>
      </c>
    </row>
    <row r="948" spans="1:5" x14ac:dyDescent="0.2">
      <c r="A948" t="s">
        <v>2013</v>
      </c>
      <c r="B948" t="s">
        <v>2014</v>
      </c>
      <c r="C948" t="s">
        <v>227</v>
      </c>
      <c r="D948" t="s">
        <v>462</v>
      </c>
      <c r="E948" t="s">
        <v>1775</v>
      </c>
    </row>
    <row r="949" spans="1:5" x14ac:dyDescent="0.2">
      <c r="A949" t="s">
        <v>2015</v>
      </c>
      <c r="B949" t="s">
        <v>2016</v>
      </c>
      <c r="C949" t="s">
        <v>357</v>
      </c>
      <c r="D949" t="s">
        <v>566</v>
      </c>
      <c r="E949" t="s">
        <v>1775</v>
      </c>
    </row>
    <row r="950" spans="1:5" x14ac:dyDescent="0.2">
      <c r="A950" t="s">
        <v>2017</v>
      </c>
      <c r="B950" t="s">
        <v>2018</v>
      </c>
      <c r="C950" t="s">
        <v>357</v>
      </c>
      <c r="D950" t="s">
        <v>566</v>
      </c>
      <c r="E950" t="s">
        <v>1775</v>
      </c>
    </row>
    <row r="951" spans="1:5" x14ac:dyDescent="0.2">
      <c r="A951" t="s">
        <v>2019</v>
      </c>
      <c r="B951" t="s">
        <v>2020</v>
      </c>
      <c r="C951" t="s">
        <v>357</v>
      </c>
      <c r="D951" t="s">
        <v>566</v>
      </c>
      <c r="E951" t="s">
        <v>1775</v>
      </c>
    </row>
    <row r="952" spans="1:5" x14ac:dyDescent="0.2">
      <c r="A952" t="s">
        <v>2021</v>
      </c>
      <c r="B952" t="s">
        <v>2022</v>
      </c>
      <c r="C952" t="s">
        <v>357</v>
      </c>
      <c r="D952" t="s">
        <v>566</v>
      </c>
      <c r="E952" t="s">
        <v>1775</v>
      </c>
    </row>
    <row r="953" spans="1:5" x14ac:dyDescent="0.2">
      <c r="A953" t="s">
        <v>2023</v>
      </c>
      <c r="B953" t="s">
        <v>2024</v>
      </c>
      <c r="C953" t="s">
        <v>357</v>
      </c>
      <c r="D953" t="s">
        <v>566</v>
      </c>
      <c r="E953" t="s">
        <v>1775</v>
      </c>
    </row>
    <row r="954" spans="1:5" x14ac:dyDescent="0.2">
      <c r="A954" t="s">
        <v>2025</v>
      </c>
      <c r="B954" t="s">
        <v>2026</v>
      </c>
      <c r="C954" t="s">
        <v>522</v>
      </c>
      <c r="D954" t="s">
        <v>377</v>
      </c>
      <c r="E954" t="s">
        <v>1775</v>
      </c>
    </row>
    <row r="955" spans="1:5" x14ac:dyDescent="0.2">
      <c r="A955" t="s">
        <v>2027</v>
      </c>
      <c r="B955" t="s">
        <v>2028</v>
      </c>
      <c r="C955" t="s">
        <v>522</v>
      </c>
      <c r="D955" t="s">
        <v>422</v>
      </c>
      <c r="E955" t="s">
        <v>1775</v>
      </c>
    </row>
    <row r="956" spans="1:5" x14ac:dyDescent="0.2">
      <c r="A956" t="s">
        <v>6368</v>
      </c>
      <c r="B956" t="s">
        <v>9120</v>
      </c>
      <c r="C956" t="s">
        <v>199</v>
      </c>
      <c r="D956" t="s">
        <v>991</v>
      </c>
      <c r="E956" t="s">
        <v>9121</v>
      </c>
    </row>
    <row r="957" spans="1:5" x14ac:dyDescent="0.2">
      <c r="A957" t="s">
        <v>6369</v>
      </c>
      <c r="B957" t="s">
        <v>9122</v>
      </c>
      <c r="C957" t="s">
        <v>199</v>
      </c>
      <c r="D957" t="s">
        <v>991</v>
      </c>
      <c r="E957" t="s">
        <v>9121</v>
      </c>
    </row>
    <row r="958" spans="1:5" x14ac:dyDescent="0.2">
      <c r="A958" t="s">
        <v>6370</v>
      </c>
      <c r="B958" t="s">
        <v>9123</v>
      </c>
      <c r="C958" t="s">
        <v>199</v>
      </c>
      <c r="D958" t="s">
        <v>171</v>
      </c>
      <c r="E958" t="s">
        <v>9121</v>
      </c>
    </row>
    <row r="959" spans="1:5" x14ac:dyDescent="0.2">
      <c r="A959" t="s">
        <v>2029</v>
      </c>
      <c r="B959" t="s">
        <v>2030</v>
      </c>
      <c r="C959" t="s">
        <v>376</v>
      </c>
      <c r="D959" t="s">
        <v>845</v>
      </c>
      <c r="E959" t="s">
        <v>9121</v>
      </c>
    </row>
    <row r="960" spans="1:5" x14ac:dyDescent="0.2">
      <c r="A960" t="s">
        <v>2032</v>
      </c>
      <c r="B960" t="s">
        <v>2033</v>
      </c>
      <c r="C960" t="s">
        <v>376</v>
      </c>
      <c r="D960" t="s">
        <v>845</v>
      </c>
      <c r="E960" t="s">
        <v>9121</v>
      </c>
    </row>
    <row r="961" spans="1:5" x14ac:dyDescent="0.2">
      <c r="A961" t="s">
        <v>2034</v>
      </c>
      <c r="B961" t="s">
        <v>2035</v>
      </c>
      <c r="C961" t="s">
        <v>376</v>
      </c>
      <c r="D961" t="s">
        <v>422</v>
      </c>
      <c r="E961" t="s">
        <v>9121</v>
      </c>
    </row>
    <row r="962" spans="1:5" x14ac:dyDescent="0.2">
      <c r="A962" t="s">
        <v>2036</v>
      </c>
      <c r="B962" t="s">
        <v>2037</v>
      </c>
      <c r="C962" t="s">
        <v>376</v>
      </c>
      <c r="D962" t="s">
        <v>422</v>
      </c>
      <c r="E962" t="s">
        <v>9121</v>
      </c>
    </row>
    <row r="963" spans="1:5" x14ac:dyDescent="0.2">
      <c r="A963" t="s">
        <v>2038</v>
      </c>
      <c r="B963" t="s">
        <v>2039</v>
      </c>
      <c r="C963" t="s">
        <v>376</v>
      </c>
      <c r="D963" t="s">
        <v>433</v>
      </c>
      <c r="E963" t="s">
        <v>9121</v>
      </c>
    </row>
    <row r="964" spans="1:5" x14ac:dyDescent="0.2">
      <c r="A964" t="s">
        <v>2043</v>
      </c>
      <c r="B964" t="s">
        <v>2044</v>
      </c>
      <c r="C964" t="s">
        <v>331</v>
      </c>
      <c r="D964" t="s">
        <v>299</v>
      </c>
      <c r="E964" t="s">
        <v>9121</v>
      </c>
    </row>
    <row r="965" spans="1:5" x14ac:dyDescent="0.2">
      <c r="A965" t="s">
        <v>2045</v>
      </c>
      <c r="B965" t="s">
        <v>2046</v>
      </c>
      <c r="C965" t="s">
        <v>331</v>
      </c>
      <c r="D965" t="s">
        <v>299</v>
      </c>
      <c r="E965" t="s">
        <v>9121</v>
      </c>
    </row>
    <row r="966" spans="1:5" x14ac:dyDescent="0.2">
      <c r="A966" t="s">
        <v>2047</v>
      </c>
      <c r="B966" t="s">
        <v>2048</v>
      </c>
      <c r="C966" t="s">
        <v>331</v>
      </c>
      <c r="D966" t="s">
        <v>783</v>
      </c>
      <c r="E966" t="s">
        <v>9121</v>
      </c>
    </row>
    <row r="967" spans="1:5" x14ac:dyDescent="0.2">
      <c r="A967" t="s">
        <v>2049</v>
      </c>
      <c r="B967" t="s">
        <v>2050</v>
      </c>
      <c r="C967" t="s">
        <v>331</v>
      </c>
      <c r="D967" t="s">
        <v>783</v>
      </c>
      <c r="E967" t="s">
        <v>9121</v>
      </c>
    </row>
    <row r="968" spans="1:5" x14ac:dyDescent="0.2">
      <c r="A968" t="s">
        <v>2051</v>
      </c>
      <c r="B968" t="s">
        <v>2052</v>
      </c>
      <c r="C968" t="s">
        <v>212</v>
      </c>
      <c r="D968" t="s">
        <v>394</v>
      </c>
      <c r="E968" t="s">
        <v>9121</v>
      </c>
    </row>
    <row r="969" spans="1:5" x14ac:dyDescent="0.2">
      <c r="A969" t="s">
        <v>2053</v>
      </c>
      <c r="B969" t="s">
        <v>2054</v>
      </c>
      <c r="C969" t="s">
        <v>212</v>
      </c>
      <c r="D969" t="s">
        <v>394</v>
      </c>
      <c r="E969" t="s">
        <v>9121</v>
      </c>
    </row>
    <row r="970" spans="1:5" x14ac:dyDescent="0.2">
      <c r="A970" t="s">
        <v>2055</v>
      </c>
      <c r="B970" t="s">
        <v>2056</v>
      </c>
      <c r="C970" t="s">
        <v>212</v>
      </c>
      <c r="D970" t="s">
        <v>1493</v>
      </c>
      <c r="E970" t="s">
        <v>9121</v>
      </c>
    </row>
    <row r="971" spans="1:5" x14ac:dyDescent="0.2">
      <c r="A971" t="s">
        <v>2057</v>
      </c>
      <c r="B971" t="s">
        <v>2058</v>
      </c>
      <c r="C971" t="s">
        <v>212</v>
      </c>
      <c r="D971" t="s">
        <v>1493</v>
      </c>
      <c r="E971" t="s">
        <v>9121</v>
      </c>
    </row>
    <row r="972" spans="1:5" x14ac:dyDescent="0.2">
      <c r="A972" t="s">
        <v>2059</v>
      </c>
      <c r="B972" t="s">
        <v>2060</v>
      </c>
      <c r="C972" t="s">
        <v>212</v>
      </c>
      <c r="D972" t="s">
        <v>444</v>
      </c>
      <c r="E972" t="s">
        <v>9121</v>
      </c>
    </row>
    <row r="973" spans="1:5" x14ac:dyDescent="0.2">
      <c r="A973" t="s">
        <v>2061</v>
      </c>
      <c r="B973" t="s">
        <v>2062</v>
      </c>
      <c r="C973" t="s">
        <v>212</v>
      </c>
      <c r="D973" t="s">
        <v>444</v>
      </c>
      <c r="E973" t="s">
        <v>9121</v>
      </c>
    </row>
    <row r="974" spans="1:5" x14ac:dyDescent="0.2">
      <c r="A974" t="s">
        <v>2063</v>
      </c>
      <c r="B974" t="s">
        <v>2064</v>
      </c>
      <c r="C974" t="s">
        <v>212</v>
      </c>
      <c r="D974" t="s">
        <v>296</v>
      </c>
      <c r="E974" t="s">
        <v>9121</v>
      </c>
    </row>
    <row r="975" spans="1:5" x14ac:dyDescent="0.2">
      <c r="A975" t="s">
        <v>2065</v>
      </c>
      <c r="B975" t="s">
        <v>2066</v>
      </c>
      <c r="C975" t="s">
        <v>212</v>
      </c>
      <c r="D975" t="s">
        <v>296</v>
      </c>
      <c r="E975" t="s">
        <v>9121</v>
      </c>
    </row>
    <row r="976" spans="1:5" x14ac:dyDescent="0.2">
      <c r="A976" t="s">
        <v>2067</v>
      </c>
      <c r="B976" t="s">
        <v>2068</v>
      </c>
      <c r="C976" t="s">
        <v>199</v>
      </c>
      <c r="D976" t="s">
        <v>193</v>
      </c>
      <c r="E976" t="s">
        <v>9121</v>
      </c>
    </row>
    <row r="977" spans="1:5" x14ac:dyDescent="0.2">
      <c r="A977" t="s">
        <v>2069</v>
      </c>
      <c r="B977" t="s">
        <v>2070</v>
      </c>
      <c r="C977" t="s">
        <v>199</v>
      </c>
      <c r="D977" t="s">
        <v>193</v>
      </c>
      <c r="E977" t="s">
        <v>9121</v>
      </c>
    </row>
    <row r="978" spans="1:5" x14ac:dyDescent="0.2">
      <c r="A978" t="s">
        <v>2071</v>
      </c>
      <c r="B978" t="s">
        <v>2072</v>
      </c>
      <c r="C978" t="s">
        <v>199</v>
      </c>
      <c r="D978" t="s">
        <v>1493</v>
      </c>
      <c r="E978" t="s">
        <v>9121</v>
      </c>
    </row>
    <row r="979" spans="1:5" x14ac:dyDescent="0.2">
      <c r="A979" t="s">
        <v>2074</v>
      </c>
      <c r="B979" t="s">
        <v>2075</v>
      </c>
      <c r="C979" t="s">
        <v>287</v>
      </c>
      <c r="D979" t="s">
        <v>266</v>
      </c>
      <c r="E979" t="s">
        <v>9121</v>
      </c>
    </row>
    <row r="980" spans="1:5" x14ac:dyDescent="0.2">
      <c r="A980" t="s">
        <v>2076</v>
      </c>
      <c r="B980" t="s">
        <v>2077</v>
      </c>
      <c r="C980" t="s">
        <v>287</v>
      </c>
      <c r="D980" t="s">
        <v>266</v>
      </c>
      <c r="E980" t="s">
        <v>9121</v>
      </c>
    </row>
    <row r="981" spans="1:5" x14ac:dyDescent="0.2">
      <c r="A981" t="s">
        <v>2078</v>
      </c>
      <c r="B981" t="s">
        <v>2079</v>
      </c>
      <c r="C981" t="s">
        <v>199</v>
      </c>
      <c r="D981" t="s">
        <v>386</v>
      </c>
      <c r="E981" t="s">
        <v>9121</v>
      </c>
    </row>
    <row r="982" spans="1:5" x14ac:dyDescent="0.2">
      <c r="A982" t="s">
        <v>2080</v>
      </c>
      <c r="B982" t="s">
        <v>2081</v>
      </c>
      <c r="C982" t="s">
        <v>199</v>
      </c>
      <c r="D982" t="s">
        <v>710</v>
      </c>
      <c r="E982" t="s">
        <v>9121</v>
      </c>
    </row>
    <row r="983" spans="1:5" x14ac:dyDescent="0.2">
      <c r="A983" t="s">
        <v>2082</v>
      </c>
      <c r="B983" t="s">
        <v>2083</v>
      </c>
      <c r="C983" t="s">
        <v>199</v>
      </c>
      <c r="D983" t="s">
        <v>710</v>
      </c>
      <c r="E983" t="s">
        <v>9121</v>
      </c>
    </row>
    <row r="984" spans="1:5" x14ac:dyDescent="0.2">
      <c r="A984" t="s">
        <v>2084</v>
      </c>
      <c r="B984" t="s">
        <v>2085</v>
      </c>
      <c r="C984" t="s">
        <v>199</v>
      </c>
      <c r="D984" t="s">
        <v>284</v>
      </c>
      <c r="E984" t="s">
        <v>9121</v>
      </c>
    </row>
    <row r="985" spans="1:5" x14ac:dyDescent="0.2">
      <c r="A985" t="s">
        <v>2086</v>
      </c>
      <c r="B985" t="s">
        <v>2087</v>
      </c>
      <c r="C985" t="s">
        <v>199</v>
      </c>
      <c r="D985" t="s">
        <v>284</v>
      </c>
      <c r="E985" t="s">
        <v>9121</v>
      </c>
    </row>
    <row r="986" spans="1:5" x14ac:dyDescent="0.2">
      <c r="A986" t="s">
        <v>2088</v>
      </c>
      <c r="B986" t="s">
        <v>2089</v>
      </c>
      <c r="C986" t="s">
        <v>199</v>
      </c>
      <c r="D986" t="s">
        <v>338</v>
      </c>
      <c r="E986" t="s">
        <v>9121</v>
      </c>
    </row>
    <row r="987" spans="1:5" x14ac:dyDescent="0.2">
      <c r="A987" t="s">
        <v>2090</v>
      </c>
      <c r="B987" t="s">
        <v>2091</v>
      </c>
      <c r="C987" t="s">
        <v>331</v>
      </c>
      <c r="D987" t="s">
        <v>394</v>
      </c>
      <c r="E987" t="s">
        <v>9121</v>
      </c>
    </row>
    <row r="988" spans="1:5" x14ac:dyDescent="0.2">
      <c r="A988" t="s">
        <v>2092</v>
      </c>
      <c r="B988" t="s">
        <v>2093</v>
      </c>
      <c r="C988" t="s">
        <v>331</v>
      </c>
      <c r="D988" t="s">
        <v>394</v>
      </c>
      <c r="E988" t="s">
        <v>9121</v>
      </c>
    </row>
    <row r="989" spans="1:5" x14ac:dyDescent="0.2">
      <c r="A989" t="s">
        <v>2094</v>
      </c>
      <c r="B989" t="s">
        <v>2095</v>
      </c>
      <c r="C989" t="s">
        <v>219</v>
      </c>
      <c r="D989" t="s">
        <v>386</v>
      </c>
      <c r="E989" t="s">
        <v>9121</v>
      </c>
    </row>
    <row r="990" spans="1:5" x14ac:dyDescent="0.2">
      <c r="A990" t="s">
        <v>2096</v>
      </c>
      <c r="B990" t="s">
        <v>2097</v>
      </c>
      <c r="C990" t="s">
        <v>219</v>
      </c>
      <c r="D990" t="s">
        <v>386</v>
      </c>
      <c r="E990" t="s">
        <v>9121</v>
      </c>
    </row>
    <row r="991" spans="1:5" x14ac:dyDescent="0.2">
      <c r="A991" t="s">
        <v>2098</v>
      </c>
      <c r="B991" t="s">
        <v>2099</v>
      </c>
      <c r="C991" t="s">
        <v>219</v>
      </c>
      <c r="D991" t="s">
        <v>459</v>
      </c>
      <c r="E991" t="s">
        <v>9121</v>
      </c>
    </row>
    <row r="992" spans="1:5" x14ac:dyDescent="0.2">
      <c r="A992" t="s">
        <v>2100</v>
      </c>
      <c r="B992" t="s">
        <v>2101</v>
      </c>
      <c r="C992" t="s">
        <v>261</v>
      </c>
      <c r="D992" t="s">
        <v>480</v>
      </c>
      <c r="E992" t="s">
        <v>9121</v>
      </c>
    </row>
    <row r="993" spans="1:5" x14ac:dyDescent="0.2">
      <c r="A993" t="s">
        <v>2102</v>
      </c>
      <c r="B993" t="s">
        <v>2103</v>
      </c>
      <c r="C993" t="s">
        <v>261</v>
      </c>
      <c r="D993" t="s">
        <v>480</v>
      </c>
      <c r="E993" t="s">
        <v>9121</v>
      </c>
    </row>
    <row r="994" spans="1:5" x14ac:dyDescent="0.2">
      <c r="A994" t="s">
        <v>2104</v>
      </c>
      <c r="B994" t="s">
        <v>2105</v>
      </c>
      <c r="C994" t="s">
        <v>261</v>
      </c>
      <c r="D994" t="s">
        <v>809</v>
      </c>
      <c r="E994" t="s">
        <v>9121</v>
      </c>
    </row>
    <row r="995" spans="1:5" x14ac:dyDescent="0.2">
      <c r="A995" t="s">
        <v>2106</v>
      </c>
      <c r="B995" t="s">
        <v>2107</v>
      </c>
      <c r="C995" t="s">
        <v>421</v>
      </c>
      <c r="D995" t="s">
        <v>380</v>
      </c>
      <c r="E995" t="s">
        <v>9121</v>
      </c>
    </row>
    <row r="996" spans="1:5" x14ac:dyDescent="0.2">
      <c r="A996" t="s">
        <v>2108</v>
      </c>
      <c r="B996" t="s">
        <v>2109</v>
      </c>
      <c r="C996" t="s">
        <v>421</v>
      </c>
      <c r="D996" t="s">
        <v>380</v>
      </c>
      <c r="E996" t="s">
        <v>9121</v>
      </c>
    </row>
    <row r="997" spans="1:5" x14ac:dyDescent="0.2">
      <c r="A997" t="s">
        <v>2110</v>
      </c>
      <c r="B997" t="s">
        <v>2111</v>
      </c>
      <c r="C997" t="s">
        <v>421</v>
      </c>
      <c r="D997" t="s">
        <v>258</v>
      </c>
      <c r="E997" t="s">
        <v>9121</v>
      </c>
    </row>
    <row r="998" spans="1:5" x14ac:dyDescent="0.2">
      <c r="A998" t="s">
        <v>2112</v>
      </c>
      <c r="B998" t="s">
        <v>2113</v>
      </c>
      <c r="C998" t="s">
        <v>421</v>
      </c>
      <c r="D998" t="s">
        <v>258</v>
      </c>
      <c r="E998" t="s">
        <v>9121</v>
      </c>
    </row>
    <row r="999" spans="1:5" x14ac:dyDescent="0.2">
      <c r="A999" t="s">
        <v>2116</v>
      </c>
      <c r="B999" t="s">
        <v>2117</v>
      </c>
      <c r="C999" t="s">
        <v>421</v>
      </c>
      <c r="D999" t="s">
        <v>389</v>
      </c>
      <c r="E999" t="s">
        <v>9121</v>
      </c>
    </row>
    <row r="1000" spans="1:5" x14ac:dyDescent="0.2">
      <c r="A1000" t="s">
        <v>2114</v>
      </c>
      <c r="B1000" t="s">
        <v>2115</v>
      </c>
      <c r="C1000" t="s">
        <v>421</v>
      </c>
      <c r="D1000" t="s">
        <v>389</v>
      </c>
      <c r="E1000" t="s">
        <v>9121</v>
      </c>
    </row>
    <row r="1001" spans="1:5" x14ac:dyDescent="0.2">
      <c r="A1001" t="s">
        <v>2118</v>
      </c>
      <c r="B1001" t="s">
        <v>2119</v>
      </c>
      <c r="C1001" t="s">
        <v>9124</v>
      </c>
      <c r="D1001" t="s">
        <v>260</v>
      </c>
      <c r="E1001" t="s">
        <v>9121</v>
      </c>
    </row>
    <row r="1002" spans="1:5" x14ac:dyDescent="0.2">
      <c r="A1002" t="s">
        <v>2120</v>
      </c>
      <c r="B1002" t="s">
        <v>2121</v>
      </c>
      <c r="C1002" t="s">
        <v>9124</v>
      </c>
      <c r="D1002" t="s">
        <v>260</v>
      </c>
      <c r="E1002" t="s">
        <v>9121</v>
      </c>
    </row>
    <row r="1003" spans="1:5" x14ac:dyDescent="0.2">
      <c r="A1003" t="s">
        <v>2122</v>
      </c>
      <c r="B1003" t="s">
        <v>2123</v>
      </c>
      <c r="C1003" t="s">
        <v>9124</v>
      </c>
      <c r="D1003" t="s">
        <v>258</v>
      </c>
      <c r="E1003" t="s">
        <v>9121</v>
      </c>
    </row>
    <row r="1004" spans="1:5" x14ac:dyDescent="0.2">
      <c r="A1004" t="s">
        <v>2124</v>
      </c>
      <c r="B1004" t="s">
        <v>2125</v>
      </c>
      <c r="C1004" t="s">
        <v>9124</v>
      </c>
      <c r="D1004" t="s">
        <v>258</v>
      </c>
      <c r="E1004" t="s">
        <v>9121</v>
      </c>
    </row>
    <row r="1005" spans="1:5" x14ac:dyDescent="0.2">
      <c r="A1005" t="s">
        <v>2126</v>
      </c>
      <c r="B1005" t="s">
        <v>2127</v>
      </c>
      <c r="C1005" t="s">
        <v>104</v>
      </c>
      <c r="D1005" t="s">
        <v>436</v>
      </c>
      <c r="E1005" t="s">
        <v>9121</v>
      </c>
    </row>
    <row r="1006" spans="1:5" x14ac:dyDescent="0.2">
      <c r="A1006" t="s">
        <v>2128</v>
      </c>
      <c r="B1006" t="s">
        <v>2129</v>
      </c>
      <c r="C1006" t="s">
        <v>104</v>
      </c>
      <c r="D1006" t="s">
        <v>436</v>
      </c>
      <c r="E1006" t="s">
        <v>9121</v>
      </c>
    </row>
    <row r="1007" spans="1:5" x14ac:dyDescent="0.2">
      <c r="A1007" t="s">
        <v>2130</v>
      </c>
      <c r="B1007" t="s">
        <v>2131</v>
      </c>
      <c r="C1007" t="s">
        <v>104</v>
      </c>
      <c r="D1007" t="s">
        <v>1566</v>
      </c>
      <c r="E1007" t="s">
        <v>9121</v>
      </c>
    </row>
    <row r="1008" spans="1:5" x14ac:dyDescent="0.2">
      <c r="A1008" t="s">
        <v>2133</v>
      </c>
      <c r="B1008" t="s">
        <v>2134</v>
      </c>
      <c r="C1008" t="s">
        <v>104</v>
      </c>
      <c r="D1008" t="s">
        <v>1566</v>
      </c>
      <c r="E1008" t="s">
        <v>9121</v>
      </c>
    </row>
    <row r="1009" spans="1:5" x14ac:dyDescent="0.2">
      <c r="A1009" t="s">
        <v>2135</v>
      </c>
      <c r="B1009" t="s">
        <v>2136</v>
      </c>
      <c r="C1009" t="s">
        <v>219</v>
      </c>
      <c r="D1009" t="s">
        <v>386</v>
      </c>
      <c r="E1009" t="s">
        <v>9121</v>
      </c>
    </row>
    <row r="1010" spans="1:5" x14ac:dyDescent="0.2">
      <c r="A1010" t="s">
        <v>2137</v>
      </c>
      <c r="B1010" t="s">
        <v>2138</v>
      </c>
      <c r="C1010" t="s">
        <v>219</v>
      </c>
      <c r="D1010" t="s">
        <v>386</v>
      </c>
      <c r="E1010" t="s">
        <v>9121</v>
      </c>
    </row>
    <row r="1011" spans="1:5" x14ac:dyDescent="0.2">
      <c r="A1011" t="s">
        <v>2139</v>
      </c>
      <c r="B1011" t="s">
        <v>2140</v>
      </c>
      <c r="C1011" t="s">
        <v>349</v>
      </c>
      <c r="D1011" t="s">
        <v>233</v>
      </c>
      <c r="E1011" t="s">
        <v>9121</v>
      </c>
    </row>
    <row r="1012" spans="1:5" x14ac:dyDescent="0.2">
      <c r="A1012" t="s">
        <v>2141</v>
      </c>
      <c r="B1012" t="s">
        <v>2142</v>
      </c>
      <c r="C1012" t="s">
        <v>287</v>
      </c>
      <c r="D1012" t="s">
        <v>1351</v>
      </c>
      <c r="E1012" t="s">
        <v>9121</v>
      </c>
    </row>
    <row r="1013" spans="1:5" x14ac:dyDescent="0.2">
      <c r="A1013" t="s">
        <v>2143</v>
      </c>
      <c r="B1013" t="s">
        <v>2144</v>
      </c>
      <c r="C1013" t="s">
        <v>287</v>
      </c>
      <c r="D1013" t="s">
        <v>1351</v>
      </c>
      <c r="E1013" t="s">
        <v>9121</v>
      </c>
    </row>
    <row r="1014" spans="1:5" x14ac:dyDescent="0.2">
      <c r="A1014" t="s">
        <v>2145</v>
      </c>
      <c r="B1014" t="s">
        <v>2146</v>
      </c>
      <c r="C1014" t="s">
        <v>287</v>
      </c>
      <c r="D1014" t="s">
        <v>99</v>
      </c>
      <c r="E1014" t="s">
        <v>9121</v>
      </c>
    </row>
    <row r="1015" spans="1:5" x14ac:dyDescent="0.2">
      <c r="A1015" t="s">
        <v>2147</v>
      </c>
      <c r="B1015" t="s">
        <v>2148</v>
      </c>
      <c r="C1015" t="s">
        <v>287</v>
      </c>
      <c r="D1015" t="s">
        <v>99</v>
      </c>
      <c r="E1015" t="s">
        <v>9121</v>
      </c>
    </row>
    <row r="1016" spans="1:5" x14ac:dyDescent="0.2">
      <c r="A1016" t="s">
        <v>2149</v>
      </c>
      <c r="B1016" t="s">
        <v>2150</v>
      </c>
      <c r="C1016" t="s">
        <v>287</v>
      </c>
      <c r="D1016" t="s">
        <v>441</v>
      </c>
      <c r="E1016" t="s">
        <v>9121</v>
      </c>
    </row>
    <row r="1017" spans="1:5" x14ac:dyDescent="0.2">
      <c r="A1017" t="s">
        <v>2151</v>
      </c>
      <c r="B1017" t="s">
        <v>2152</v>
      </c>
      <c r="C1017" t="s">
        <v>287</v>
      </c>
      <c r="D1017" t="s">
        <v>441</v>
      </c>
      <c r="E1017" t="s">
        <v>9121</v>
      </c>
    </row>
    <row r="1018" spans="1:5" x14ac:dyDescent="0.2">
      <c r="A1018" t="s">
        <v>2153</v>
      </c>
      <c r="B1018" t="s">
        <v>2154</v>
      </c>
      <c r="C1018" t="s">
        <v>705</v>
      </c>
      <c r="D1018" t="s">
        <v>1458</v>
      </c>
      <c r="E1018" t="s">
        <v>9121</v>
      </c>
    </row>
    <row r="1019" spans="1:5" x14ac:dyDescent="0.2">
      <c r="A1019" t="s">
        <v>2155</v>
      </c>
      <c r="B1019" t="s">
        <v>2156</v>
      </c>
      <c r="C1019" t="s">
        <v>705</v>
      </c>
      <c r="D1019" t="s">
        <v>1458</v>
      </c>
      <c r="E1019" t="s">
        <v>9121</v>
      </c>
    </row>
    <row r="1020" spans="1:5" x14ac:dyDescent="0.2">
      <c r="A1020" t="s">
        <v>2157</v>
      </c>
      <c r="B1020" t="s">
        <v>2158</v>
      </c>
      <c r="C1020" t="s">
        <v>705</v>
      </c>
      <c r="D1020" t="s">
        <v>1458</v>
      </c>
      <c r="E1020" t="s">
        <v>9121</v>
      </c>
    </row>
    <row r="1021" spans="1:5" x14ac:dyDescent="0.2">
      <c r="A1021" t="s">
        <v>2159</v>
      </c>
      <c r="B1021" t="s">
        <v>2160</v>
      </c>
      <c r="C1021" t="s">
        <v>705</v>
      </c>
      <c r="D1021" t="s">
        <v>1458</v>
      </c>
      <c r="E1021" t="s">
        <v>9121</v>
      </c>
    </row>
    <row r="1022" spans="1:5" x14ac:dyDescent="0.2">
      <c r="A1022" t="s">
        <v>2161</v>
      </c>
      <c r="B1022" t="s">
        <v>2162</v>
      </c>
      <c r="C1022" t="s">
        <v>705</v>
      </c>
      <c r="D1022" t="s">
        <v>560</v>
      </c>
      <c r="E1022" t="s">
        <v>9121</v>
      </c>
    </row>
    <row r="1023" spans="1:5" x14ac:dyDescent="0.2">
      <c r="A1023" t="s">
        <v>2163</v>
      </c>
      <c r="B1023" t="s">
        <v>2164</v>
      </c>
      <c r="C1023" t="s">
        <v>345</v>
      </c>
      <c r="D1023" t="s">
        <v>480</v>
      </c>
      <c r="E1023" t="s">
        <v>9121</v>
      </c>
    </row>
    <row r="1024" spans="1:5" x14ac:dyDescent="0.2">
      <c r="A1024" t="s">
        <v>2165</v>
      </c>
      <c r="B1024" t="s">
        <v>2166</v>
      </c>
      <c r="C1024" t="s">
        <v>219</v>
      </c>
      <c r="D1024" t="s">
        <v>386</v>
      </c>
      <c r="E1024" t="s">
        <v>9121</v>
      </c>
    </row>
    <row r="1025" spans="1:5" x14ac:dyDescent="0.2">
      <c r="A1025" t="s">
        <v>2167</v>
      </c>
      <c r="B1025" t="s">
        <v>2168</v>
      </c>
      <c r="C1025" t="s">
        <v>219</v>
      </c>
      <c r="D1025" t="s">
        <v>386</v>
      </c>
      <c r="E1025" t="s">
        <v>9121</v>
      </c>
    </row>
    <row r="1026" spans="1:5" x14ac:dyDescent="0.2">
      <c r="A1026" t="s">
        <v>2169</v>
      </c>
      <c r="B1026" t="s">
        <v>2170</v>
      </c>
      <c r="C1026" t="s">
        <v>219</v>
      </c>
      <c r="D1026" t="s">
        <v>459</v>
      </c>
      <c r="E1026" t="s">
        <v>9121</v>
      </c>
    </row>
    <row r="1027" spans="1:5" x14ac:dyDescent="0.2">
      <c r="A1027" t="s">
        <v>6371</v>
      </c>
      <c r="B1027" t="s">
        <v>9125</v>
      </c>
      <c r="C1027" t="s">
        <v>199</v>
      </c>
      <c r="D1027" t="s">
        <v>386</v>
      </c>
      <c r="E1027" t="s">
        <v>9121</v>
      </c>
    </row>
    <row r="1028" spans="1:5" x14ac:dyDescent="0.2">
      <c r="A1028" t="s">
        <v>2171</v>
      </c>
      <c r="B1028" t="s">
        <v>2172</v>
      </c>
      <c r="C1028" t="s">
        <v>131</v>
      </c>
      <c r="D1028" t="s">
        <v>99</v>
      </c>
      <c r="E1028" t="s">
        <v>9121</v>
      </c>
    </row>
    <row r="1029" spans="1:5" x14ac:dyDescent="0.2">
      <c r="A1029" t="s">
        <v>2173</v>
      </c>
      <c r="B1029" t="s">
        <v>2174</v>
      </c>
      <c r="C1029" t="s">
        <v>131</v>
      </c>
      <c r="D1029" t="s">
        <v>99</v>
      </c>
      <c r="E1029" t="s">
        <v>9121</v>
      </c>
    </row>
    <row r="1030" spans="1:5" x14ac:dyDescent="0.2">
      <c r="A1030" t="s">
        <v>2175</v>
      </c>
      <c r="B1030" t="s">
        <v>2176</v>
      </c>
      <c r="C1030" t="s">
        <v>131</v>
      </c>
      <c r="D1030" t="s">
        <v>473</v>
      </c>
      <c r="E1030" t="s">
        <v>9121</v>
      </c>
    </row>
    <row r="1031" spans="1:5" x14ac:dyDescent="0.2">
      <c r="A1031" t="s">
        <v>2177</v>
      </c>
      <c r="B1031" t="s">
        <v>2178</v>
      </c>
      <c r="C1031" t="s">
        <v>199</v>
      </c>
      <c r="D1031" t="s">
        <v>220</v>
      </c>
      <c r="E1031" t="s">
        <v>9121</v>
      </c>
    </row>
    <row r="1032" spans="1:5" x14ac:dyDescent="0.2">
      <c r="A1032" t="s">
        <v>2179</v>
      </c>
      <c r="B1032" t="s">
        <v>2180</v>
      </c>
      <c r="C1032" t="s">
        <v>199</v>
      </c>
      <c r="D1032" t="s">
        <v>220</v>
      </c>
      <c r="E1032" t="s">
        <v>9121</v>
      </c>
    </row>
    <row r="1033" spans="1:5" x14ac:dyDescent="0.2">
      <c r="A1033" t="s">
        <v>2181</v>
      </c>
      <c r="B1033" t="s">
        <v>2182</v>
      </c>
      <c r="C1033" t="s">
        <v>199</v>
      </c>
      <c r="D1033" t="s">
        <v>389</v>
      </c>
      <c r="E1033" t="s">
        <v>9121</v>
      </c>
    </row>
    <row r="1034" spans="1:5" x14ac:dyDescent="0.2">
      <c r="A1034" t="s">
        <v>2183</v>
      </c>
      <c r="B1034" t="s">
        <v>2184</v>
      </c>
      <c r="C1034" t="s">
        <v>199</v>
      </c>
      <c r="D1034" t="s">
        <v>389</v>
      </c>
      <c r="E1034" t="s">
        <v>9121</v>
      </c>
    </row>
    <row r="1035" spans="1:5" x14ac:dyDescent="0.2">
      <c r="A1035" t="s">
        <v>2185</v>
      </c>
      <c r="B1035" t="s">
        <v>2186</v>
      </c>
      <c r="C1035" t="s">
        <v>131</v>
      </c>
      <c r="D1035" t="s">
        <v>99</v>
      </c>
      <c r="E1035" t="s">
        <v>9121</v>
      </c>
    </row>
    <row r="1036" spans="1:5" x14ac:dyDescent="0.2">
      <c r="A1036" t="s">
        <v>2187</v>
      </c>
      <c r="B1036" t="s">
        <v>2188</v>
      </c>
      <c r="C1036" t="s">
        <v>131</v>
      </c>
      <c r="D1036" t="s">
        <v>99</v>
      </c>
      <c r="E1036" t="s">
        <v>9121</v>
      </c>
    </row>
    <row r="1037" spans="1:5" x14ac:dyDescent="0.2">
      <c r="A1037" t="s">
        <v>2189</v>
      </c>
      <c r="B1037" t="s">
        <v>2190</v>
      </c>
      <c r="C1037" t="s">
        <v>92</v>
      </c>
      <c r="D1037" t="s">
        <v>400</v>
      </c>
      <c r="E1037" t="s">
        <v>9121</v>
      </c>
    </row>
    <row r="1038" spans="1:5" x14ac:dyDescent="0.2">
      <c r="A1038" t="s">
        <v>2191</v>
      </c>
      <c r="B1038" t="s">
        <v>2192</v>
      </c>
      <c r="C1038" t="s">
        <v>92</v>
      </c>
      <c r="D1038" t="s">
        <v>99</v>
      </c>
      <c r="E1038" t="s">
        <v>9121</v>
      </c>
    </row>
    <row r="1039" spans="1:5" x14ac:dyDescent="0.2">
      <c r="A1039" t="s">
        <v>2193</v>
      </c>
      <c r="B1039" t="s">
        <v>2194</v>
      </c>
      <c r="C1039" t="s">
        <v>92</v>
      </c>
      <c r="D1039" t="s">
        <v>99</v>
      </c>
      <c r="E1039" t="s">
        <v>9121</v>
      </c>
    </row>
    <row r="1040" spans="1:5" x14ac:dyDescent="0.2">
      <c r="A1040" t="s">
        <v>2195</v>
      </c>
      <c r="B1040" t="s">
        <v>2196</v>
      </c>
      <c r="C1040" t="s">
        <v>92</v>
      </c>
      <c r="D1040" t="s">
        <v>459</v>
      </c>
      <c r="E1040" t="s">
        <v>9121</v>
      </c>
    </row>
    <row r="1041" spans="1:5" x14ac:dyDescent="0.2">
      <c r="A1041" t="s">
        <v>2197</v>
      </c>
      <c r="B1041" t="s">
        <v>2198</v>
      </c>
      <c r="C1041" t="s">
        <v>92</v>
      </c>
      <c r="D1041" t="s">
        <v>2199</v>
      </c>
      <c r="E1041" t="s">
        <v>9121</v>
      </c>
    </row>
    <row r="1042" spans="1:5" x14ac:dyDescent="0.2">
      <c r="A1042" t="s">
        <v>2200</v>
      </c>
      <c r="B1042" t="s">
        <v>2201</v>
      </c>
      <c r="C1042" t="s">
        <v>92</v>
      </c>
      <c r="D1042" t="s">
        <v>2199</v>
      </c>
      <c r="E1042" t="s">
        <v>9121</v>
      </c>
    </row>
    <row r="1043" spans="1:5" x14ac:dyDescent="0.2">
      <c r="A1043" t="s">
        <v>2202</v>
      </c>
      <c r="B1043" t="s">
        <v>2203</v>
      </c>
      <c r="C1043" t="s">
        <v>376</v>
      </c>
      <c r="D1043" t="s">
        <v>842</v>
      </c>
      <c r="E1043" t="s">
        <v>9121</v>
      </c>
    </row>
    <row r="1044" spans="1:5" x14ac:dyDescent="0.2">
      <c r="A1044" t="s">
        <v>2204</v>
      </c>
      <c r="B1044" t="s">
        <v>2205</v>
      </c>
      <c r="C1044" t="s">
        <v>376</v>
      </c>
      <c r="D1044" t="s">
        <v>224</v>
      </c>
      <c r="E1044" t="s">
        <v>9121</v>
      </c>
    </row>
    <row r="1045" spans="1:5" x14ac:dyDescent="0.2">
      <c r="A1045" t="s">
        <v>2206</v>
      </c>
      <c r="B1045" t="s">
        <v>2207</v>
      </c>
      <c r="C1045" t="s">
        <v>376</v>
      </c>
      <c r="D1045" t="s">
        <v>224</v>
      </c>
      <c r="E1045" t="s">
        <v>9121</v>
      </c>
    </row>
    <row r="1046" spans="1:5" x14ac:dyDescent="0.2">
      <c r="A1046" t="s">
        <v>2208</v>
      </c>
      <c r="B1046" t="s">
        <v>2209</v>
      </c>
      <c r="C1046" t="s">
        <v>376</v>
      </c>
      <c r="D1046" t="s">
        <v>1534</v>
      </c>
      <c r="E1046" t="s">
        <v>9121</v>
      </c>
    </row>
    <row r="1047" spans="1:5" x14ac:dyDescent="0.2">
      <c r="A1047" t="s">
        <v>2210</v>
      </c>
      <c r="B1047" t="s">
        <v>2211</v>
      </c>
      <c r="C1047" t="s">
        <v>199</v>
      </c>
      <c r="D1047" t="s">
        <v>282</v>
      </c>
      <c r="E1047" t="s">
        <v>9121</v>
      </c>
    </row>
    <row r="1048" spans="1:5" x14ac:dyDescent="0.2">
      <c r="A1048" t="s">
        <v>2212</v>
      </c>
      <c r="B1048" t="s">
        <v>2213</v>
      </c>
      <c r="C1048" t="s">
        <v>199</v>
      </c>
      <c r="D1048" t="s">
        <v>386</v>
      </c>
      <c r="E1048" t="s">
        <v>9121</v>
      </c>
    </row>
    <row r="1049" spans="1:5" x14ac:dyDescent="0.2">
      <c r="A1049" t="s">
        <v>2214</v>
      </c>
      <c r="B1049" t="s">
        <v>2215</v>
      </c>
      <c r="C1049" t="s">
        <v>199</v>
      </c>
      <c r="D1049" t="s">
        <v>386</v>
      </c>
      <c r="E1049" t="s">
        <v>9121</v>
      </c>
    </row>
    <row r="1050" spans="1:5" x14ac:dyDescent="0.2">
      <c r="A1050" t="s">
        <v>2216</v>
      </c>
      <c r="B1050" t="s">
        <v>2217</v>
      </c>
      <c r="C1050" t="s">
        <v>199</v>
      </c>
      <c r="D1050" t="s">
        <v>459</v>
      </c>
      <c r="E1050" t="s">
        <v>9121</v>
      </c>
    </row>
    <row r="1051" spans="1:5" x14ac:dyDescent="0.2">
      <c r="A1051" t="s">
        <v>6372</v>
      </c>
      <c r="B1051" t="s">
        <v>9126</v>
      </c>
      <c r="C1051" t="s">
        <v>244</v>
      </c>
      <c r="D1051" t="s">
        <v>284</v>
      </c>
      <c r="E1051" t="s">
        <v>9121</v>
      </c>
    </row>
    <row r="1052" spans="1:5" x14ac:dyDescent="0.2">
      <c r="A1052" t="s">
        <v>6373</v>
      </c>
      <c r="B1052" t="s">
        <v>9127</v>
      </c>
      <c r="C1052" t="s">
        <v>244</v>
      </c>
      <c r="D1052" t="s">
        <v>284</v>
      </c>
      <c r="E1052" t="s">
        <v>9121</v>
      </c>
    </row>
    <row r="1053" spans="1:5" x14ac:dyDescent="0.2">
      <c r="A1053" t="s">
        <v>6374</v>
      </c>
      <c r="B1053" t="s">
        <v>9128</v>
      </c>
      <c r="C1053" t="s">
        <v>244</v>
      </c>
      <c r="D1053" t="s">
        <v>444</v>
      </c>
      <c r="E1053" t="s">
        <v>9121</v>
      </c>
    </row>
    <row r="1054" spans="1:5" x14ac:dyDescent="0.2">
      <c r="A1054" t="s">
        <v>2040</v>
      </c>
      <c r="B1054" t="s">
        <v>9129</v>
      </c>
      <c r="C1054" t="s">
        <v>322</v>
      </c>
      <c r="D1054" t="s">
        <v>422</v>
      </c>
      <c r="E1054" t="s">
        <v>9121</v>
      </c>
    </row>
    <row r="1055" spans="1:5" x14ac:dyDescent="0.2">
      <c r="A1055" t="s">
        <v>2041</v>
      </c>
      <c r="B1055" t="s">
        <v>9130</v>
      </c>
      <c r="C1055" t="s">
        <v>322</v>
      </c>
      <c r="D1055" t="s">
        <v>422</v>
      </c>
      <c r="E1055" t="s">
        <v>9121</v>
      </c>
    </row>
    <row r="1056" spans="1:5" x14ac:dyDescent="0.2">
      <c r="A1056" t="s">
        <v>2042</v>
      </c>
      <c r="B1056" t="s">
        <v>9131</v>
      </c>
      <c r="C1056" t="s">
        <v>322</v>
      </c>
      <c r="D1056" t="s">
        <v>433</v>
      </c>
      <c r="E1056" t="s">
        <v>9121</v>
      </c>
    </row>
    <row r="1057" spans="1:5" x14ac:dyDescent="0.2">
      <c r="A1057" t="s">
        <v>2218</v>
      </c>
      <c r="B1057" t="s">
        <v>2219</v>
      </c>
      <c r="C1057" t="s">
        <v>199</v>
      </c>
      <c r="D1057" t="s">
        <v>588</v>
      </c>
      <c r="E1057" t="s">
        <v>2220</v>
      </c>
    </row>
    <row r="1058" spans="1:5" x14ac:dyDescent="0.2">
      <c r="A1058" t="s">
        <v>2221</v>
      </c>
      <c r="B1058" t="s">
        <v>2222</v>
      </c>
      <c r="C1058" t="s">
        <v>421</v>
      </c>
      <c r="D1058" t="s">
        <v>368</v>
      </c>
      <c r="E1058" t="s">
        <v>9121</v>
      </c>
    </row>
    <row r="1059" spans="1:5" x14ac:dyDescent="0.2">
      <c r="A1059" t="s">
        <v>2223</v>
      </c>
      <c r="B1059" t="s">
        <v>2224</v>
      </c>
      <c r="C1059" t="s">
        <v>421</v>
      </c>
      <c r="D1059" t="s">
        <v>604</v>
      </c>
      <c r="E1059" t="s">
        <v>9121</v>
      </c>
    </row>
    <row r="1060" spans="1:5" x14ac:dyDescent="0.2">
      <c r="A1060" t="s">
        <v>2225</v>
      </c>
      <c r="B1060" t="s">
        <v>2226</v>
      </c>
      <c r="C1060" t="s">
        <v>421</v>
      </c>
      <c r="D1060" t="s">
        <v>604</v>
      </c>
      <c r="E1060" t="s">
        <v>9121</v>
      </c>
    </row>
    <row r="1061" spans="1:5" x14ac:dyDescent="0.2">
      <c r="A1061" t="s">
        <v>2227</v>
      </c>
      <c r="B1061" t="s">
        <v>2228</v>
      </c>
      <c r="C1061" t="s">
        <v>219</v>
      </c>
      <c r="D1061" t="s">
        <v>444</v>
      </c>
      <c r="E1061" t="s">
        <v>9121</v>
      </c>
    </row>
    <row r="1062" spans="1:5" x14ac:dyDescent="0.2">
      <c r="A1062" t="s">
        <v>2229</v>
      </c>
      <c r="B1062" t="s">
        <v>2230</v>
      </c>
      <c r="C1062" t="s">
        <v>199</v>
      </c>
      <c r="D1062" t="s">
        <v>422</v>
      </c>
      <c r="E1062" t="s">
        <v>9121</v>
      </c>
    </row>
    <row r="1063" spans="1:5" x14ac:dyDescent="0.2">
      <c r="A1063" t="s">
        <v>2231</v>
      </c>
      <c r="B1063" t="s">
        <v>2232</v>
      </c>
      <c r="C1063" t="s">
        <v>199</v>
      </c>
      <c r="D1063" t="s">
        <v>422</v>
      </c>
      <c r="E1063" t="s">
        <v>9121</v>
      </c>
    </row>
    <row r="1064" spans="1:5" x14ac:dyDescent="0.2">
      <c r="A1064" t="s">
        <v>2247</v>
      </c>
      <c r="B1064" t="s">
        <v>9132</v>
      </c>
      <c r="C1064" t="s">
        <v>251</v>
      </c>
      <c r="D1064" t="s">
        <v>386</v>
      </c>
      <c r="E1064" t="s">
        <v>9121</v>
      </c>
    </row>
    <row r="1065" spans="1:5" x14ac:dyDescent="0.2">
      <c r="A1065" t="s">
        <v>2248</v>
      </c>
      <c r="B1065" t="s">
        <v>9133</v>
      </c>
      <c r="C1065" t="s">
        <v>251</v>
      </c>
      <c r="D1065" t="s">
        <v>386</v>
      </c>
      <c r="E1065" t="s">
        <v>9121</v>
      </c>
    </row>
    <row r="1066" spans="1:5" x14ac:dyDescent="0.2">
      <c r="A1066" t="s">
        <v>2249</v>
      </c>
      <c r="B1066" t="s">
        <v>9134</v>
      </c>
      <c r="C1066" t="s">
        <v>251</v>
      </c>
      <c r="D1066" t="s">
        <v>459</v>
      </c>
      <c r="E1066" t="s">
        <v>9121</v>
      </c>
    </row>
    <row r="1067" spans="1:5" x14ac:dyDescent="0.2">
      <c r="A1067" t="s">
        <v>2233</v>
      </c>
      <c r="B1067" t="s">
        <v>2234</v>
      </c>
      <c r="C1067" t="s">
        <v>251</v>
      </c>
      <c r="D1067" t="s">
        <v>309</v>
      </c>
      <c r="E1067" t="s">
        <v>9121</v>
      </c>
    </row>
    <row r="1068" spans="1:5" x14ac:dyDescent="0.2">
      <c r="A1068" t="s">
        <v>2235</v>
      </c>
      <c r="B1068" t="s">
        <v>2236</v>
      </c>
      <c r="C1068" t="s">
        <v>251</v>
      </c>
      <c r="D1068" t="s">
        <v>309</v>
      </c>
      <c r="E1068" t="s">
        <v>9121</v>
      </c>
    </row>
    <row r="1069" spans="1:5" x14ac:dyDescent="0.2">
      <c r="A1069" t="s">
        <v>2237</v>
      </c>
      <c r="B1069" t="s">
        <v>2238</v>
      </c>
      <c r="C1069" t="s">
        <v>251</v>
      </c>
      <c r="D1069" t="s">
        <v>473</v>
      </c>
      <c r="E1069" t="s">
        <v>9121</v>
      </c>
    </row>
    <row r="1070" spans="1:5" x14ac:dyDescent="0.2">
      <c r="A1070" t="s">
        <v>2239</v>
      </c>
      <c r="B1070" t="s">
        <v>2240</v>
      </c>
      <c r="C1070" t="s">
        <v>212</v>
      </c>
      <c r="D1070" t="s">
        <v>701</v>
      </c>
      <c r="E1070" t="s">
        <v>9121</v>
      </c>
    </row>
    <row r="1071" spans="1:5" x14ac:dyDescent="0.2">
      <c r="A1071" t="s">
        <v>2241</v>
      </c>
      <c r="B1071" t="s">
        <v>2242</v>
      </c>
      <c r="C1071" t="s">
        <v>212</v>
      </c>
      <c r="D1071" t="s">
        <v>309</v>
      </c>
      <c r="E1071" t="s">
        <v>9121</v>
      </c>
    </row>
    <row r="1072" spans="1:5" x14ac:dyDescent="0.2">
      <c r="A1072" t="s">
        <v>2243</v>
      </c>
      <c r="B1072" t="s">
        <v>2244</v>
      </c>
      <c r="C1072" t="s">
        <v>212</v>
      </c>
      <c r="D1072" t="s">
        <v>309</v>
      </c>
      <c r="E1072" t="s">
        <v>9121</v>
      </c>
    </row>
    <row r="1073" spans="1:5" x14ac:dyDescent="0.2">
      <c r="A1073" t="s">
        <v>2245</v>
      </c>
      <c r="B1073" t="s">
        <v>2246</v>
      </c>
      <c r="C1073" t="s">
        <v>212</v>
      </c>
      <c r="D1073" t="s">
        <v>473</v>
      </c>
      <c r="E1073" t="s">
        <v>9121</v>
      </c>
    </row>
    <row r="1074" spans="1:5" x14ac:dyDescent="0.2">
      <c r="A1074" t="s">
        <v>2250</v>
      </c>
      <c r="B1074" t="s">
        <v>2251</v>
      </c>
      <c r="C1074" t="s">
        <v>399</v>
      </c>
      <c r="D1074" t="s">
        <v>412</v>
      </c>
      <c r="E1074" t="s">
        <v>9121</v>
      </c>
    </row>
    <row r="1075" spans="1:5" x14ac:dyDescent="0.2">
      <c r="A1075" t="s">
        <v>2252</v>
      </c>
      <c r="B1075" t="s">
        <v>2253</v>
      </c>
      <c r="C1075" t="s">
        <v>399</v>
      </c>
      <c r="D1075" t="s">
        <v>412</v>
      </c>
      <c r="E1075" t="s">
        <v>9121</v>
      </c>
    </row>
    <row r="1076" spans="1:5" x14ac:dyDescent="0.2">
      <c r="A1076" t="s">
        <v>2254</v>
      </c>
      <c r="B1076" t="s">
        <v>2255</v>
      </c>
      <c r="C1076" t="s">
        <v>399</v>
      </c>
      <c r="D1076" t="s">
        <v>773</v>
      </c>
      <c r="E1076" t="s">
        <v>9121</v>
      </c>
    </row>
    <row r="1077" spans="1:5" x14ac:dyDescent="0.2">
      <c r="A1077" t="s">
        <v>2256</v>
      </c>
      <c r="B1077" t="s">
        <v>2257</v>
      </c>
      <c r="C1077" t="s">
        <v>131</v>
      </c>
      <c r="D1077" t="s">
        <v>822</v>
      </c>
      <c r="E1077" t="s">
        <v>2258</v>
      </c>
    </row>
    <row r="1078" spans="1:5" x14ac:dyDescent="0.2">
      <c r="A1078" t="s">
        <v>2259</v>
      </c>
      <c r="B1078" t="s">
        <v>2260</v>
      </c>
      <c r="C1078" t="s">
        <v>131</v>
      </c>
      <c r="D1078" t="s">
        <v>822</v>
      </c>
      <c r="E1078" t="s">
        <v>2258</v>
      </c>
    </row>
    <row r="1079" spans="1:5" x14ac:dyDescent="0.2">
      <c r="A1079" t="s">
        <v>2261</v>
      </c>
      <c r="B1079" t="s">
        <v>2262</v>
      </c>
      <c r="C1079" t="s">
        <v>120</v>
      </c>
      <c r="D1079" t="s">
        <v>698</v>
      </c>
      <c r="E1079" t="s">
        <v>2258</v>
      </c>
    </row>
    <row r="1080" spans="1:5" x14ac:dyDescent="0.2">
      <c r="A1080" t="s">
        <v>2263</v>
      </c>
      <c r="B1080" t="s">
        <v>2264</v>
      </c>
      <c r="C1080" t="s">
        <v>120</v>
      </c>
      <c r="D1080" t="s">
        <v>698</v>
      </c>
      <c r="E1080" t="s">
        <v>2258</v>
      </c>
    </row>
    <row r="1081" spans="1:5" x14ac:dyDescent="0.2">
      <c r="A1081" t="s">
        <v>2265</v>
      </c>
      <c r="B1081" t="s">
        <v>2266</v>
      </c>
      <c r="C1081" t="s">
        <v>92</v>
      </c>
      <c r="D1081" t="s">
        <v>441</v>
      </c>
      <c r="E1081" t="s">
        <v>2258</v>
      </c>
    </row>
    <row r="1082" spans="1:5" x14ac:dyDescent="0.2">
      <c r="A1082" t="s">
        <v>2267</v>
      </c>
      <c r="B1082" t="s">
        <v>2268</v>
      </c>
      <c r="C1082" t="s">
        <v>92</v>
      </c>
      <c r="D1082" t="s">
        <v>441</v>
      </c>
      <c r="E1082" t="s">
        <v>2258</v>
      </c>
    </row>
    <row r="1083" spans="1:5" x14ac:dyDescent="0.2">
      <c r="A1083" t="s">
        <v>2269</v>
      </c>
      <c r="B1083" t="s">
        <v>2270</v>
      </c>
      <c r="C1083" t="s">
        <v>131</v>
      </c>
      <c r="D1083" t="s">
        <v>252</v>
      </c>
      <c r="E1083" t="s">
        <v>2258</v>
      </c>
    </row>
    <row r="1084" spans="1:5" x14ac:dyDescent="0.2">
      <c r="A1084" t="s">
        <v>2271</v>
      </c>
      <c r="B1084" t="s">
        <v>2272</v>
      </c>
      <c r="C1084" t="s">
        <v>131</v>
      </c>
      <c r="D1084" t="s">
        <v>252</v>
      </c>
      <c r="E1084" t="s">
        <v>2258</v>
      </c>
    </row>
    <row r="1085" spans="1:5" x14ac:dyDescent="0.2">
      <c r="A1085" t="s">
        <v>2273</v>
      </c>
      <c r="B1085" t="s">
        <v>2274</v>
      </c>
      <c r="C1085" t="s">
        <v>131</v>
      </c>
      <c r="D1085" t="s">
        <v>237</v>
      </c>
      <c r="E1085" t="s">
        <v>2258</v>
      </c>
    </row>
    <row r="1086" spans="1:5" x14ac:dyDescent="0.2">
      <c r="A1086" t="s">
        <v>2275</v>
      </c>
      <c r="B1086" t="s">
        <v>2276</v>
      </c>
      <c r="C1086" t="s">
        <v>131</v>
      </c>
      <c r="D1086" t="s">
        <v>237</v>
      </c>
      <c r="E1086" t="s">
        <v>2258</v>
      </c>
    </row>
    <row r="1087" spans="1:5" x14ac:dyDescent="0.2">
      <c r="A1087" t="s">
        <v>2277</v>
      </c>
      <c r="B1087" t="s">
        <v>2278</v>
      </c>
      <c r="C1087" t="s">
        <v>104</v>
      </c>
      <c r="D1087" t="s">
        <v>1070</v>
      </c>
      <c r="E1087" t="s">
        <v>2258</v>
      </c>
    </row>
    <row r="1088" spans="1:5" x14ac:dyDescent="0.2">
      <c r="A1088" t="s">
        <v>2279</v>
      </c>
      <c r="B1088" t="s">
        <v>2280</v>
      </c>
      <c r="C1088" t="s">
        <v>104</v>
      </c>
      <c r="D1088" t="s">
        <v>1070</v>
      </c>
      <c r="E1088" t="s">
        <v>2258</v>
      </c>
    </row>
    <row r="1089" spans="1:5" x14ac:dyDescent="0.2">
      <c r="A1089" t="s">
        <v>2281</v>
      </c>
      <c r="B1089" t="s">
        <v>2282</v>
      </c>
      <c r="C1089" t="s">
        <v>104</v>
      </c>
      <c r="D1089" t="s">
        <v>822</v>
      </c>
      <c r="E1089" t="s">
        <v>2258</v>
      </c>
    </row>
    <row r="1090" spans="1:5" x14ac:dyDescent="0.2">
      <c r="A1090" t="s">
        <v>2283</v>
      </c>
      <c r="B1090" t="s">
        <v>2284</v>
      </c>
      <c r="C1090" t="s">
        <v>104</v>
      </c>
      <c r="D1090" t="s">
        <v>822</v>
      </c>
      <c r="E1090" t="s">
        <v>2258</v>
      </c>
    </row>
    <row r="1091" spans="1:5" x14ac:dyDescent="0.2">
      <c r="A1091" t="s">
        <v>2300</v>
      </c>
      <c r="B1091" t="s">
        <v>2301</v>
      </c>
      <c r="C1091" t="s">
        <v>251</v>
      </c>
      <c r="D1091" t="s">
        <v>560</v>
      </c>
      <c r="E1091" t="s">
        <v>9135</v>
      </c>
    </row>
    <row r="1092" spans="1:5" x14ac:dyDescent="0.2">
      <c r="A1092" t="s">
        <v>2302</v>
      </c>
      <c r="B1092" t="s">
        <v>2303</v>
      </c>
      <c r="C1092" t="s">
        <v>251</v>
      </c>
      <c r="D1092" t="s">
        <v>560</v>
      </c>
      <c r="E1092" t="s">
        <v>9135</v>
      </c>
    </row>
    <row r="1093" spans="1:5" x14ac:dyDescent="0.2">
      <c r="A1093" t="s">
        <v>2304</v>
      </c>
      <c r="B1093" t="s">
        <v>2305</v>
      </c>
      <c r="C1093" t="s">
        <v>251</v>
      </c>
      <c r="D1093" t="s">
        <v>560</v>
      </c>
      <c r="E1093" t="s">
        <v>9135</v>
      </c>
    </row>
    <row r="1094" spans="1:5" x14ac:dyDescent="0.2">
      <c r="A1094" t="s">
        <v>2306</v>
      </c>
      <c r="B1094" t="s">
        <v>2307</v>
      </c>
      <c r="C1094" t="s">
        <v>251</v>
      </c>
      <c r="D1094" t="s">
        <v>560</v>
      </c>
      <c r="E1094" t="s">
        <v>9135</v>
      </c>
    </row>
    <row r="1095" spans="1:5" x14ac:dyDescent="0.2">
      <c r="A1095" t="s">
        <v>2285</v>
      </c>
      <c r="B1095" t="s">
        <v>2286</v>
      </c>
      <c r="C1095" t="s">
        <v>322</v>
      </c>
      <c r="D1095" t="s">
        <v>1793</v>
      </c>
      <c r="E1095" t="s">
        <v>9135</v>
      </c>
    </row>
    <row r="1096" spans="1:5" x14ac:dyDescent="0.2">
      <c r="A1096" t="s">
        <v>2288</v>
      </c>
      <c r="B1096" t="s">
        <v>2289</v>
      </c>
      <c r="C1096" t="s">
        <v>212</v>
      </c>
      <c r="D1096" t="s">
        <v>718</v>
      </c>
      <c r="E1096" t="s">
        <v>9135</v>
      </c>
    </row>
    <row r="1097" spans="1:5" x14ac:dyDescent="0.2">
      <c r="A1097" t="s">
        <v>2290</v>
      </c>
      <c r="B1097" t="s">
        <v>2291</v>
      </c>
      <c r="C1097" t="s">
        <v>131</v>
      </c>
      <c r="D1097" t="s">
        <v>237</v>
      </c>
      <c r="E1097" t="s">
        <v>234</v>
      </c>
    </row>
    <row r="1098" spans="1:5" x14ac:dyDescent="0.2">
      <c r="A1098" t="s">
        <v>2292</v>
      </c>
      <c r="B1098" t="s">
        <v>2293</v>
      </c>
      <c r="C1098" t="s">
        <v>104</v>
      </c>
      <c r="D1098" t="s">
        <v>572</v>
      </c>
      <c r="E1098" t="s">
        <v>2287</v>
      </c>
    </row>
    <row r="1099" spans="1:5" x14ac:dyDescent="0.2">
      <c r="A1099" t="s">
        <v>2294</v>
      </c>
      <c r="B1099" t="s">
        <v>2295</v>
      </c>
      <c r="C1099" t="s">
        <v>251</v>
      </c>
      <c r="D1099" t="s">
        <v>845</v>
      </c>
      <c r="E1099" t="s">
        <v>9135</v>
      </c>
    </row>
    <row r="1100" spans="1:5" x14ac:dyDescent="0.2">
      <c r="A1100" t="s">
        <v>2296</v>
      </c>
      <c r="B1100" t="s">
        <v>2297</v>
      </c>
      <c r="C1100" t="s">
        <v>227</v>
      </c>
      <c r="D1100" t="s">
        <v>809</v>
      </c>
      <c r="E1100" t="s">
        <v>9135</v>
      </c>
    </row>
    <row r="1101" spans="1:5" x14ac:dyDescent="0.2">
      <c r="A1101" t="s">
        <v>2298</v>
      </c>
      <c r="B1101" t="s">
        <v>2299</v>
      </c>
      <c r="C1101" t="s">
        <v>199</v>
      </c>
      <c r="D1101" t="s">
        <v>252</v>
      </c>
      <c r="E1101" t="s">
        <v>9135</v>
      </c>
    </row>
    <row r="1102" spans="1:5" x14ac:dyDescent="0.2">
      <c r="A1102" t="s">
        <v>2308</v>
      </c>
      <c r="B1102" t="s">
        <v>2309</v>
      </c>
      <c r="C1102" t="s">
        <v>131</v>
      </c>
      <c r="D1102" t="s">
        <v>389</v>
      </c>
      <c r="E1102" t="s">
        <v>2571</v>
      </c>
    </row>
    <row r="1103" spans="1:5" x14ac:dyDescent="0.2">
      <c r="A1103" t="s">
        <v>2310</v>
      </c>
      <c r="B1103" t="s">
        <v>2311</v>
      </c>
      <c r="C1103" t="s">
        <v>131</v>
      </c>
      <c r="D1103" t="s">
        <v>299</v>
      </c>
      <c r="E1103" t="s">
        <v>2571</v>
      </c>
    </row>
    <row r="1104" spans="1:5" x14ac:dyDescent="0.2">
      <c r="A1104" t="s">
        <v>2312</v>
      </c>
      <c r="B1104" t="s">
        <v>2313</v>
      </c>
      <c r="C1104" t="s">
        <v>104</v>
      </c>
      <c r="D1104" t="s">
        <v>473</v>
      </c>
      <c r="E1104" t="s">
        <v>2571</v>
      </c>
    </row>
    <row r="1105" spans="1:5" x14ac:dyDescent="0.2">
      <c r="A1105" t="s">
        <v>2314</v>
      </c>
      <c r="B1105" t="s">
        <v>2315</v>
      </c>
      <c r="C1105" t="s">
        <v>104</v>
      </c>
      <c r="D1105" t="s">
        <v>473</v>
      </c>
      <c r="E1105" t="s">
        <v>2571</v>
      </c>
    </row>
    <row r="1106" spans="1:5" x14ac:dyDescent="0.2">
      <c r="A1106" t="s">
        <v>2317</v>
      </c>
      <c r="B1106" t="s">
        <v>2318</v>
      </c>
      <c r="C1106" t="s">
        <v>104</v>
      </c>
      <c r="D1106" t="s">
        <v>299</v>
      </c>
      <c r="E1106" t="s">
        <v>2571</v>
      </c>
    </row>
    <row r="1107" spans="1:5" x14ac:dyDescent="0.2">
      <c r="A1107" t="s">
        <v>2319</v>
      </c>
      <c r="B1107" t="s">
        <v>2320</v>
      </c>
      <c r="C1107" t="s">
        <v>104</v>
      </c>
      <c r="D1107" t="s">
        <v>171</v>
      </c>
      <c r="E1107" t="s">
        <v>2571</v>
      </c>
    </row>
    <row r="1108" spans="1:5" x14ac:dyDescent="0.2">
      <c r="A1108" t="s">
        <v>2321</v>
      </c>
      <c r="B1108" t="s">
        <v>2322</v>
      </c>
      <c r="C1108" t="s">
        <v>104</v>
      </c>
      <c r="D1108" t="s">
        <v>1493</v>
      </c>
      <c r="E1108" t="s">
        <v>2571</v>
      </c>
    </row>
    <row r="1109" spans="1:5" x14ac:dyDescent="0.2">
      <c r="A1109" t="s">
        <v>2323</v>
      </c>
      <c r="B1109" t="s">
        <v>2324</v>
      </c>
      <c r="C1109" t="s">
        <v>104</v>
      </c>
      <c r="D1109" t="s">
        <v>1493</v>
      </c>
      <c r="E1109" t="s">
        <v>2571</v>
      </c>
    </row>
    <row r="1110" spans="1:5" x14ac:dyDescent="0.2">
      <c r="A1110" t="s">
        <v>2325</v>
      </c>
      <c r="B1110" t="s">
        <v>2326</v>
      </c>
      <c r="C1110" t="s">
        <v>104</v>
      </c>
      <c r="D1110" t="s">
        <v>282</v>
      </c>
      <c r="E1110" t="s">
        <v>2571</v>
      </c>
    </row>
    <row r="1111" spans="1:5" x14ac:dyDescent="0.2">
      <c r="A1111" t="s">
        <v>2327</v>
      </c>
      <c r="B1111" t="s">
        <v>2328</v>
      </c>
      <c r="C1111" t="s">
        <v>104</v>
      </c>
      <c r="D1111" t="s">
        <v>380</v>
      </c>
      <c r="E1111" t="s">
        <v>2571</v>
      </c>
    </row>
    <row r="1112" spans="1:5" x14ac:dyDescent="0.2">
      <c r="A1112" t="s">
        <v>2329</v>
      </c>
      <c r="B1112" t="s">
        <v>2330</v>
      </c>
      <c r="C1112" t="s">
        <v>1183</v>
      </c>
      <c r="D1112" t="s">
        <v>99</v>
      </c>
      <c r="E1112" t="s">
        <v>2571</v>
      </c>
    </row>
    <row r="1113" spans="1:5" x14ac:dyDescent="0.2">
      <c r="A1113" t="s">
        <v>2331</v>
      </c>
      <c r="B1113" t="s">
        <v>2332</v>
      </c>
      <c r="C1113" t="s">
        <v>92</v>
      </c>
      <c r="D1113" t="s">
        <v>296</v>
      </c>
      <c r="E1113" t="s">
        <v>2571</v>
      </c>
    </row>
    <row r="1114" spans="1:5" x14ac:dyDescent="0.2">
      <c r="A1114" t="s">
        <v>2333</v>
      </c>
      <c r="B1114" t="s">
        <v>2334</v>
      </c>
      <c r="C1114" t="s">
        <v>92</v>
      </c>
      <c r="D1114" t="s">
        <v>171</v>
      </c>
      <c r="E1114" t="s">
        <v>2571</v>
      </c>
    </row>
    <row r="1115" spans="1:5" x14ac:dyDescent="0.2">
      <c r="A1115" t="s">
        <v>2335</v>
      </c>
      <c r="B1115" t="s">
        <v>2336</v>
      </c>
      <c r="C1115" t="s">
        <v>131</v>
      </c>
      <c r="D1115" t="s">
        <v>690</v>
      </c>
      <c r="E1115" t="s">
        <v>2571</v>
      </c>
    </row>
    <row r="1116" spans="1:5" x14ac:dyDescent="0.2">
      <c r="A1116" t="s">
        <v>2337</v>
      </c>
      <c r="B1116" t="s">
        <v>2338</v>
      </c>
      <c r="C1116" t="s">
        <v>104</v>
      </c>
      <c r="D1116" t="s">
        <v>809</v>
      </c>
      <c r="E1116" t="s">
        <v>2571</v>
      </c>
    </row>
    <row r="1117" spans="1:5" x14ac:dyDescent="0.2">
      <c r="A1117" t="s">
        <v>2339</v>
      </c>
      <c r="B1117" t="s">
        <v>2340</v>
      </c>
      <c r="C1117" t="s">
        <v>104</v>
      </c>
      <c r="D1117" t="s">
        <v>809</v>
      </c>
      <c r="E1117" t="s">
        <v>2571</v>
      </c>
    </row>
    <row r="1118" spans="1:5" x14ac:dyDescent="0.2">
      <c r="A1118" t="s">
        <v>2341</v>
      </c>
      <c r="B1118" t="s">
        <v>2342</v>
      </c>
      <c r="C1118" t="s">
        <v>92</v>
      </c>
      <c r="D1118" t="s">
        <v>845</v>
      </c>
      <c r="E1118" t="s">
        <v>2571</v>
      </c>
    </row>
    <row r="1119" spans="1:5" x14ac:dyDescent="0.2">
      <c r="A1119" t="s">
        <v>2343</v>
      </c>
      <c r="B1119" t="s">
        <v>2344</v>
      </c>
      <c r="C1119" t="s">
        <v>104</v>
      </c>
      <c r="D1119" t="s">
        <v>105</v>
      </c>
      <c r="E1119" t="s">
        <v>2571</v>
      </c>
    </row>
    <row r="1120" spans="1:5" x14ac:dyDescent="0.2">
      <c r="A1120" t="s">
        <v>2345</v>
      </c>
      <c r="B1120" t="s">
        <v>2346</v>
      </c>
      <c r="C1120" t="s">
        <v>104</v>
      </c>
      <c r="D1120" t="s">
        <v>93</v>
      </c>
      <c r="E1120" t="s">
        <v>2571</v>
      </c>
    </row>
    <row r="1121" spans="1:5" x14ac:dyDescent="0.2">
      <c r="A1121" t="s">
        <v>2347</v>
      </c>
      <c r="B1121" t="s">
        <v>2348</v>
      </c>
      <c r="C1121" t="s">
        <v>287</v>
      </c>
      <c r="D1121" t="s">
        <v>248</v>
      </c>
      <c r="E1121" t="s">
        <v>2571</v>
      </c>
    </row>
    <row r="1122" spans="1:5" x14ac:dyDescent="0.2">
      <c r="A1122" t="s">
        <v>2349</v>
      </c>
      <c r="B1122" t="s">
        <v>2350</v>
      </c>
      <c r="C1122" t="s">
        <v>92</v>
      </c>
      <c r="D1122" t="s">
        <v>238</v>
      </c>
      <c r="E1122" t="s">
        <v>2571</v>
      </c>
    </row>
    <row r="1123" spans="1:5" x14ac:dyDescent="0.2">
      <c r="A1123" t="s">
        <v>2351</v>
      </c>
      <c r="B1123" t="s">
        <v>2352</v>
      </c>
      <c r="C1123" t="s">
        <v>131</v>
      </c>
      <c r="D1123" t="s">
        <v>622</v>
      </c>
      <c r="E1123" t="s">
        <v>2571</v>
      </c>
    </row>
    <row r="1124" spans="1:5" x14ac:dyDescent="0.2">
      <c r="A1124" t="s">
        <v>2353</v>
      </c>
      <c r="B1124" t="s">
        <v>2354</v>
      </c>
      <c r="C1124" t="s">
        <v>244</v>
      </c>
      <c r="D1124" t="s">
        <v>248</v>
      </c>
      <c r="E1124" t="s">
        <v>2571</v>
      </c>
    </row>
    <row r="1125" spans="1:5" x14ac:dyDescent="0.2">
      <c r="A1125" t="s">
        <v>2355</v>
      </c>
      <c r="B1125" t="s">
        <v>2356</v>
      </c>
      <c r="C1125" t="s">
        <v>244</v>
      </c>
      <c r="D1125" t="s">
        <v>588</v>
      </c>
      <c r="E1125" t="s">
        <v>2571</v>
      </c>
    </row>
    <row r="1126" spans="1:5" x14ac:dyDescent="0.2">
      <c r="A1126" t="s">
        <v>2357</v>
      </c>
      <c r="B1126" t="s">
        <v>2358</v>
      </c>
      <c r="C1126" t="s">
        <v>131</v>
      </c>
      <c r="D1126" t="s">
        <v>1322</v>
      </c>
      <c r="E1126" t="s">
        <v>2571</v>
      </c>
    </row>
    <row r="1127" spans="1:5" x14ac:dyDescent="0.2">
      <c r="A1127" t="s">
        <v>2359</v>
      </c>
      <c r="B1127" t="s">
        <v>2360</v>
      </c>
      <c r="C1127" t="s">
        <v>104</v>
      </c>
      <c r="D1127" t="s">
        <v>248</v>
      </c>
      <c r="E1127" t="s">
        <v>2571</v>
      </c>
    </row>
    <row r="1128" spans="1:5" x14ac:dyDescent="0.2">
      <c r="A1128" t="s">
        <v>2361</v>
      </c>
      <c r="B1128" t="s">
        <v>2362</v>
      </c>
      <c r="C1128" t="s">
        <v>104</v>
      </c>
      <c r="D1128" t="s">
        <v>248</v>
      </c>
      <c r="E1128" t="s">
        <v>2571</v>
      </c>
    </row>
    <row r="1129" spans="1:5" x14ac:dyDescent="0.2">
      <c r="A1129" t="s">
        <v>2363</v>
      </c>
      <c r="B1129" t="s">
        <v>2364</v>
      </c>
      <c r="C1129" t="s">
        <v>92</v>
      </c>
      <c r="D1129" t="s">
        <v>525</v>
      </c>
      <c r="E1129" t="s">
        <v>2571</v>
      </c>
    </row>
    <row r="1130" spans="1:5" x14ac:dyDescent="0.2">
      <c r="A1130" t="s">
        <v>2365</v>
      </c>
      <c r="B1130" t="s">
        <v>2366</v>
      </c>
      <c r="C1130" t="s">
        <v>251</v>
      </c>
      <c r="D1130" t="s">
        <v>842</v>
      </c>
      <c r="E1130" t="s">
        <v>2367</v>
      </c>
    </row>
    <row r="1131" spans="1:5" x14ac:dyDescent="0.2">
      <c r="A1131" t="s">
        <v>2368</v>
      </c>
      <c r="B1131" t="s">
        <v>2369</v>
      </c>
      <c r="C1131" t="s">
        <v>251</v>
      </c>
      <c r="D1131" t="s">
        <v>842</v>
      </c>
      <c r="E1131" t="s">
        <v>2367</v>
      </c>
    </row>
    <row r="1132" spans="1:5" x14ac:dyDescent="0.2">
      <c r="A1132" t="s">
        <v>2370</v>
      </c>
      <c r="B1132" t="s">
        <v>2371</v>
      </c>
      <c r="C1132" t="s">
        <v>92</v>
      </c>
      <c r="D1132" t="s">
        <v>560</v>
      </c>
      <c r="E1132" t="s">
        <v>2372</v>
      </c>
    </row>
    <row r="1133" spans="1:5" x14ac:dyDescent="0.2">
      <c r="A1133" t="s">
        <v>2373</v>
      </c>
      <c r="B1133" t="s">
        <v>2374</v>
      </c>
      <c r="C1133" t="s">
        <v>92</v>
      </c>
      <c r="D1133" t="s">
        <v>560</v>
      </c>
      <c r="E1133" t="s">
        <v>2372</v>
      </c>
    </row>
    <row r="1134" spans="1:5" x14ac:dyDescent="0.2">
      <c r="A1134" t="s">
        <v>2375</v>
      </c>
      <c r="B1134" t="s">
        <v>2376</v>
      </c>
      <c r="C1134" t="s">
        <v>357</v>
      </c>
      <c r="D1134" t="s">
        <v>818</v>
      </c>
      <c r="E1134" t="s">
        <v>9136</v>
      </c>
    </row>
    <row r="1135" spans="1:5" x14ac:dyDescent="0.2">
      <c r="A1135" t="s">
        <v>2378</v>
      </c>
      <c r="B1135" t="s">
        <v>2379</v>
      </c>
      <c r="C1135" t="s">
        <v>357</v>
      </c>
      <c r="D1135" t="s">
        <v>140</v>
      </c>
      <c r="E1135" t="s">
        <v>2377</v>
      </c>
    </row>
    <row r="1136" spans="1:5" x14ac:dyDescent="0.2">
      <c r="A1136" t="s">
        <v>2380</v>
      </c>
      <c r="B1136" t="s">
        <v>2381</v>
      </c>
      <c r="C1136" t="s">
        <v>357</v>
      </c>
      <c r="D1136" t="s">
        <v>396</v>
      </c>
      <c r="E1136" t="s">
        <v>2377</v>
      </c>
    </row>
    <row r="1137" spans="1:5" x14ac:dyDescent="0.2">
      <c r="A1137" t="s">
        <v>2382</v>
      </c>
      <c r="B1137" t="s">
        <v>2383</v>
      </c>
      <c r="C1137" t="s">
        <v>357</v>
      </c>
      <c r="D1137" t="s">
        <v>396</v>
      </c>
      <c r="E1137" t="s">
        <v>2377</v>
      </c>
    </row>
    <row r="1138" spans="1:5" x14ac:dyDescent="0.2">
      <c r="A1138" t="s">
        <v>2384</v>
      </c>
      <c r="B1138" t="s">
        <v>2385</v>
      </c>
      <c r="C1138" t="s">
        <v>357</v>
      </c>
      <c r="D1138" t="s">
        <v>180</v>
      </c>
      <c r="E1138" t="s">
        <v>2377</v>
      </c>
    </row>
    <row r="1139" spans="1:5" x14ac:dyDescent="0.2">
      <c r="A1139" t="s">
        <v>2386</v>
      </c>
      <c r="B1139" t="s">
        <v>2387</v>
      </c>
      <c r="C1139" t="s">
        <v>357</v>
      </c>
      <c r="D1139" t="s">
        <v>718</v>
      </c>
      <c r="E1139" t="s">
        <v>9136</v>
      </c>
    </row>
    <row r="1140" spans="1:5" x14ac:dyDescent="0.2">
      <c r="A1140" t="s">
        <v>2388</v>
      </c>
      <c r="B1140" t="s">
        <v>2389</v>
      </c>
      <c r="C1140" t="s">
        <v>357</v>
      </c>
      <c r="D1140" t="s">
        <v>718</v>
      </c>
      <c r="E1140" t="s">
        <v>9136</v>
      </c>
    </row>
    <row r="1141" spans="1:5" x14ac:dyDescent="0.2">
      <c r="A1141" t="s">
        <v>2390</v>
      </c>
      <c r="B1141" t="s">
        <v>2391</v>
      </c>
      <c r="C1141" t="s">
        <v>357</v>
      </c>
      <c r="D1141" t="s">
        <v>710</v>
      </c>
      <c r="E1141" t="s">
        <v>2377</v>
      </c>
    </row>
    <row r="1142" spans="1:5" x14ac:dyDescent="0.2">
      <c r="A1142" t="s">
        <v>2392</v>
      </c>
      <c r="B1142" t="s">
        <v>2393</v>
      </c>
      <c r="C1142" t="s">
        <v>357</v>
      </c>
      <c r="D1142" t="s">
        <v>710</v>
      </c>
      <c r="E1142" t="s">
        <v>2377</v>
      </c>
    </row>
    <row r="1143" spans="1:5" x14ac:dyDescent="0.2">
      <c r="A1143" t="s">
        <v>2394</v>
      </c>
      <c r="B1143" t="s">
        <v>2395</v>
      </c>
      <c r="C1143" t="s">
        <v>357</v>
      </c>
      <c r="D1143" t="s">
        <v>718</v>
      </c>
      <c r="E1143" t="s">
        <v>9136</v>
      </c>
    </row>
    <row r="1144" spans="1:5" x14ac:dyDescent="0.2">
      <c r="A1144" t="s">
        <v>2396</v>
      </c>
      <c r="B1144" t="s">
        <v>2397</v>
      </c>
      <c r="C1144" t="s">
        <v>357</v>
      </c>
      <c r="D1144" t="s">
        <v>718</v>
      </c>
      <c r="E1144" t="s">
        <v>9136</v>
      </c>
    </row>
    <row r="1145" spans="1:5" x14ac:dyDescent="0.2">
      <c r="A1145" t="s">
        <v>2398</v>
      </c>
      <c r="B1145" t="s">
        <v>2399</v>
      </c>
      <c r="C1145" t="s">
        <v>357</v>
      </c>
      <c r="D1145" t="s">
        <v>260</v>
      </c>
      <c r="E1145" t="s">
        <v>2377</v>
      </c>
    </row>
    <row r="1146" spans="1:5" x14ac:dyDescent="0.2">
      <c r="A1146" t="s">
        <v>2400</v>
      </c>
      <c r="B1146" t="s">
        <v>2401</v>
      </c>
      <c r="C1146" t="s">
        <v>357</v>
      </c>
      <c r="D1146" t="s">
        <v>260</v>
      </c>
      <c r="E1146" t="s">
        <v>2377</v>
      </c>
    </row>
    <row r="1147" spans="1:5" x14ac:dyDescent="0.2">
      <c r="A1147" t="s">
        <v>2402</v>
      </c>
      <c r="B1147" t="s">
        <v>2403</v>
      </c>
      <c r="C1147" t="s">
        <v>357</v>
      </c>
      <c r="D1147" t="s">
        <v>822</v>
      </c>
      <c r="E1147" t="s">
        <v>9136</v>
      </c>
    </row>
    <row r="1148" spans="1:5" x14ac:dyDescent="0.2">
      <c r="A1148" t="s">
        <v>2404</v>
      </c>
      <c r="B1148" t="s">
        <v>2405</v>
      </c>
      <c r="C1148" t="s">
        <v>357</v>
      </c>
      <c r="D1148" t="s">
        <v>718</v>
      </c>
      <c r="E1148" t="s">
        <v>2377</v>
      </c>
    </row>
    <row r="1149" spans="1:5" x14ac:dyDescent="0.2">
      <c r="A1149" t="s">
        <v>2406</v>
      </c>
      <c r="B1149" t="s">
        <v>2407</v>
      </c>
      <c r="C1149" t="s">
        <v>357</v>
      </c>
      <c r="D1149" t="s">
        <v>260</v>
      </c>
      <c r="E1149" t="s">
        <v>2377</v>
      </c>
    </row>
    <row r="1150" spans="1:5" x14ac:dyDescent="0.2">
      <c r="A1150" t="s">
        <v>2408</v>
      </c>
      <c r="B1150" t="s">
        <v>2409</v>
      </c>
      <c r="C1150" t="s">
        <v>357</v>
      </c>
      <c r="D1150" t="s">
        <v>260</v>
      </c>
      <c r="E1150" t="s">
        <v>2377</v>
      </c>
    </row>
    <row r="1151" spans="1:5" x14ac:dyDescent="0.2">
      <c r="A1151" t="s">
        <v>2410</v>
      </c>
      <c r="B1151" t="s">
        <v>2411</v>
      </c>
      <c r="C1151" t="s">
        <v>357</v>
      </c>
      <c r="D1151" t="s">
        <v>718</v>
      </c>
      <c r="E1151" t="s">
        <v>2377</v>
      </c>
    </row>
    <row r="1152" spans="1:5" x14ac:dyDescent="0.2">
      <c r="A1152" t="s">
        <v>2412</v>
      </c>
      <c r="B1152" t="s">
        <v>2413</v>
      </c>
      <c r="C1152" t="s">
        <v>357</v>
      </c>
      <c r="D1152" t="s">
        <v>718</v>
      </c>
      <c r="E1152" t="s">
        <v>2377</v>
      </c>
    </row>
    <row r="1153" spans="1:5" x14ac:dyDescent="0.2">
      <c r="A1153" t="s">
        <v>2414</v>
      </c>
      <c r="B1153" t="s">
        <v>2415</v>
      </c>
      <c r="C1153" t="s">
        <v>357</v>
      </c>
      <c r="D1153" t="s">
        <v>778</v>
      </c>
      <c r="E1153" t="s">
        <v>9136</v>
      </c>
    </row>
    <row r="1154" spans="1:5" x14ac:dyDescent="0.2">
      <c r="A1154" t="s">
        <v>2416</v>
      </c>
      <c r="B1154" t="s">
        <v>2417</v>
      </c>
      <c r="C1154" t="s">
        <v>357</v>
      </c>
      <c r="D1154" t="s">
        <v>778</v>
      </c>
      <c r="E1154" t="s">
        <v>2377</v>
      </c>
    </row>
    <row r="1155" spans="1:5" x14ac:dyDescent="0.2">
      <c r="A1155" t="s">
        <v>2418</v>
      </c>
      <c r="B1155" t="s">
        <v>2419</v>
      </c>
      <c r="C1155" t="s">
        <v>357</v>
      </c>
      <c r="D1155" t="s">
        <v>260</v>
      </c>
      <c r="E1155" t="s">
        <v>2377</v>
      </c>
    </row>
    <row r="1156" spans="1:5" x14ac:dyDescent="0.2">
      <c r="A1156" t="s">
        <v>2420</v>
      </c>
      <c r="B1156" t="s">
        <v>2421</v>
      </c>
      <c r="C1156" t="s">
        <v>357</v>
      </c>
      <c r="D1156" t="s">
        <v>260</v>
      </c>
      <c r="E1156" t="s">
        <v>2377</v>
      </c>
    </row>
    <row r="1157" spans="1:5" x14ac:dyDescent="0.2">
      <c r="A1157" t="s">
        <v>2422</v>
      </c>
      <c r="B1157" t="s">
        <v>2423</v>
      </c>
      <c r="C1157" t="s">
        <v>331</v>
      </c>
      <c r="D1157" t="s">
        <v>9137</v>
      </c>
      <c r="E1157" t="s">
        <v>9138</v>
      </c>
    </row>
    <row r="1158" spans="1:5" x14ac:dyDescent="0.2">
      <c r="A1158" t="s">
        <v>2425</v>
      </c>
      <c r="B1158" t="s">
        <v>2426</v>
      </c>
      <c r="C1158" t="s">
        <v>331</v>
      </c>
      <c r="D1158" t="s">
        <v>9137</v>
      </c>
      <c r="E1158" t="s">
        <v>9138</v>
      </c>
    </row>
    <row r="1159" spans="1:5" x14ac:dyDescent="0.2">
      <c r="A1159" t="s">
        <v>2427</v>
      </c>
      <c r="B1159" t="s">
        <v>2428</v>
      </c>
      <c r="C1159" t="s">
        <v>705</v>
      </c>
      <c r="D1159" t="s">
        <v>888</v>
      </c>
      <c r="E1159" t="s">
        <v>9138</v>
      </c>
    </row>
    <row r="1160" spans="1:5" x14ac:dyDescent="0.2">
      <c r="A1160" t="s">
        <v>2429</v>
      </c>
      <c r="B1160" t="s">
        <v>2430</v>
      </c>
      <c r="C1160" t="s">
        <v>705</v>
      </c>
      <c r="D1160" t="s">
        <v>888</v>
      </c>
      <c r="E1160" t="s">
        <v>9138</v>
      </c>
    </row>
    <row r="1161" spans="1:5" x14ac:dyDescent="0.2">
      <c r="A1161" t="s">
        <v>2431</v>
      </c>
      <c r="B1161" t="s">
        <v>2432</v>
      </c>
      <c r="C1161" t="s">
        <v>705</v>
      </c>
      <c r="D1161" t="s">
        <v>888</v>
      </c>
      <c r="E1161" t="s">
        <v>9138</v>
      </c>
    </row>
    <row r="1162" spans="1:5" x14ac:dyDescent="0.2">
      <c r="A1162" t="s">
        <v>2433</v>
      </c>
      <c r="B1162" t="s">
        <v>2434</v>
      </c>
      <c r="C1162" t="s">
        <v>705</v>
      </c>
      <c r="D1162" t="s">
        <v>888</v>
      </c>
      <c r="E1162" t="s">
        <v>9138</v>
      </c>
    </row>
    <row r="1163" spans="1:5" x14ac:dyDescent="0.2">
      <c r="A1163" t="s">
        <v>2435</v>
      </c>
      <c r="B1163" t="s">
        <v>2436</v>
      </c>
      <c r="C1163" t="s">
        <v>219</v>
      </c>
      <c r="D1163" t="s">
        <v>1420</v>
      </c>
      <c r="E1163" t="s">
        <v>9138</v>
      </c>
    </row>
    <row r="1164" spans="1:5" x14ac:dyDescent="0.2">
      <c r="A1164" t="s">
        <v>2437</v>
      </c>
      <c r="B1164" t="s">
        <v>2438</v>
      </c>
      <c r="C1164" t="s">
        <v>219</v>
      </c>
      <c r="D1164" t="s">
        <v>1420</v>
      </c>
      <c r="E1164" t="s">
        <v>9138</v>
      </c>
    </row>
    <row r="1165" spans="1:5" x14ac:dyDescent="0.2">
      <c r="A1165" t="s">
        <v>2439</v>
      </c>
      <c r="B1165" t="s">
        <v>2440</v>
      </c>
      <c r="C1165" t="s">
        <v>219</v>
      </c>
      <c r="D1165" t="s">
        <v>1994</v>
      </c>
      <c r="E1165" t="s">
        <v>9138</v>
      </c>
    </row>
    <row r="1166" spans="1:5" x14ac:dyDescent="0.2">
      <c r="A1166" t="s">
        <v>2441</v>
      </c>
      <c r="B1166" t="s">
        <v>2442</v>
      </c>
      <c r="C1166" t="s">
        <v>219</v>
      </c>
      <c r="D1166" t="s">
        <v>1994</v>
      </c>
      <c r="E1166" t="s">
        <v>9138</v>
      </c>
    </row>
    <row r="1167" spans="1:5" x14ac:dyDescent="0.2">
      <c r="A1167" t="s">
        <v>2443</v>
      </c>
      <c r="B1167" t="s">
        <v>2444</v>
      </c>
      <c r="C1167" t="s">
        <v>251</v>
      </c>
      <c r="D1167" t="s">
        <v>1563</v>
      </c>
      <c r="E1167" t="s">
        <v>9138</v>
      </c>
    </row>
    <row r="1168" spans="1:5" x14ac:dyDescent="0.2">
      <c r="A1168" t="s">
        <v>2445</v>
      </c>
      <c r="B1168" t="s">
        <v>2446</v>
      </c>
      <c r="C1168" t="s">
        <v>251</v>
      </c>
      <c r="D1168" t="s">
        <v>1563</v>
      </c>
      <c r="E1168" t="s">
        <v>9138</v>
      </c>
    </row>
    <row r="1169" spans="1:5" x14ac:dyDescent="0.2">
      <c r="A1169" t="s">
        <v>2447</v>
      </c>
      <c r="B1169" t="s">
        <v>2448</v>
      </c>
      <c r="C1169" t="s">
        <v>227</v>
      </c>
      <c r="D1169" t="s">
        <v>1322</v>
      </c>
      <c r="E1169" t="s">
        <v>9138</v>
      </c>
    </row>
    <row r="1170" spans="1:5" x14ac:dyDescent="0.2">
      <c r="A1170" t="s">
        <v>2449</v>
      </c>
      <c r="B1170" t="s">
        <v>2450</v>
      </c>
      <c r="C1170" t="s">
        <v>227</v>
      </c>
      <c r="D1170" t="s">
        <v>1322</v>
      </c>
      <c r="E1170" t="s">
        <v>9138</v>
      </c>
    </row>
    <row r="1171" spans="1:5" x14ac:dyDescent="0.2">
      <c r="A1171" t="s">
        <v>2451</v>
      </c>
      <c r="B1171" t="s">
        <v>2452</v>
      </c>
      <c r="C1171" t="s">
        <v>251</v>
      </c>
      <c r="D1171" t="s">
        <v>1994</v>
      </c>
      <c r="E1171" t="s">
        <v>9138</v>
      </c>
    </row>
    <row r="1172" spans="1:5" x14ac:dyDescent="0.2">
      <c r="A1172" t="s">
        <v>2453</v>
      </c>
      <c r="B1172" t="s">
        <v>2454</v>
      </c>
      <c r="C1172" t="s">
        <v>251</v>
      </c>
      <c r="D1172" t="s">
        <v>1994</v>
      </c>
      <c r="E1172" t="s">
        <v>9138</v>
      </c>
    </row>
    <row r="1173" spans="1:5" x14ac:dyDescent="0.2">
      <c r="A1173" t="s">
        <v>2458</v>
      </c>
      <c r="B1173" t="s">
        <v>2459</v>
      </c>
      <c r="C1173" t="s">
        <v>104</v>
      </c>
      <c r="D1173" t="s">
        <v>338</v>
      </c>
      <c r="E1173" t="s">
        <v>2457</v>
      </c>
    </row>
    <row r="1174" spans="1:5" x14ac:dyDescent="0.2">
      <c r="A1174" t="s">
        <v>2455</v>
      </c>
      <c r="B1174" t="s">
        <v>2456</v>
      </c>
      <c r="C1174" t="s">
        <v>104</v>
      </c>
      <c r="D1174" t="s">
        <v>617</v>
      </c>
      <c r="E1174" t="s">
        <v>2457</v>
      </c>
    </row>
    <row r="1175" spans="1:5" x14ac:dyDescent="0.2">
      <c r="A1175" t="s">
        <v>2460</v>
      </c>
      <c r="B1175" t="s">
        <v>2461</v>
      </c>
      <c r="C1175" t="s">
        <v>92</v>
      </c>
      <c r="D1175" t="s">
        <v>2462</v>
      </c>
      <c r="E1175" t="s">
        <v>2457</v>
      </c>
    </row>
    <row r="1176" spans="1:5" x14ac:dyDescent="0.2">
      <c r="A1176" t="s">
        <v>2465</v>
      </c>
      <c r="B1176" t="s">
        <v>2466</v>
      </c>
      <c r="C1176" t="s">
        <v>131</v>
      </c>
      <c r="D1176" t="s">
        <v>338</v>
      </c>
      <c r="E1176" t="s">
        <v>2457</v>
      </c>
    </row>
    <row r="1177" spans="1:5" x14ac:dyDescent="0.2">
      <c r="A1177" t="s">
        <v>2463</v>
      </c>
      <c r="B1177" t="s">
        <v>2464</v>
      </c>
      <c r="C1177" t="s">
        <v>131</v>
      </c>
      <c r="D1177" t="s">
        <v>338</v>
      </c>
      <c r="E1177" t="s">
        <v>2457</v>
      </c>
    </row>
    <row r="1178" spans="1:5" x14ac:dyDescent="0.2">
      <c r="A1178" t="s">
        <v>2467</v>
      </c>
      <c r="B1178" t="s">
        <v>2468</v>
      </c>
      <c r="C1178" t="s">
        <v>120</v>
      </c>
      <c r="D1178" t="s">
        <v>223</v>
      </c>
      <c r="E1178" t="s">
        <v>2457</v>
      </c>
    </row>
    <row r="1179" spans="1:5" x14ac:dyDescent="0.2">
      <c r="A1179" t="s">
        <v>2469</v>
      </c>
      <c r="B1179" t="s">
        <v>2470</v>
      </c>
      <c r="C1179" t="s">
        <v>120</v>
      </c>
      <c r="D1179" t="s">
        <v>223</v>
      </c>
      <c r="E1179" t="s">
        <v>2457</v>
      </c>
    </row>
    <row r="1180" spans="1:5" x14ac:dyDescent="0.2">
      <c r="A1180" t="s">
        <v>2488</v>
      </c>
      <c r="B1180" t="s">
        <v>9139</v>
      </c>
      <c r="C1180" t="s">
        <v>131</v>
      </c>
      <c r="D1180" t="s">
        <v>263</v>
      </c>
      <c r="E1180" t="s">
        <v>8984</v>
      </c>
    </row>
    <row r="1181" spans="1:5" x14ac:dyDescent="0.2">
      <c r="A1181" t="s">
        <v>2489</v>
      </c>
      <c r="B1181" t="s">
        <v>9140</v>
      </c>
      <c r="C1181" t="s">
        <v>131</v>
      </c>
      <c r="D1181" t="s">
        <v>241</v>
      </c>
      <c r="E1181" t="s">
        <v>8984</v>
      </c>
    </row>
    <row r="1182" spans="1:5" x14ac:dyDescent="0.2">
      <c r="A1182" t="s">
        <v>2490</v>
      </c>
      <c r="B1182" t="s">
        <v>2491</v>
      </c>
      <c r="C1182" t="s">
        <v>322</v>
      </c>
      <c r="D1182" t="s">
        <v>338</v>
      </c>
      <c r="E1182" t="s">
        <v>8984</v>
      </c>
    </row>
    <row r="1183" spans="1:5" x14ac:dyDescent="0.2">
      <c r="A1183" t="s">
        <v>2492</v>
      </c>
      <c r="B1183" t="s">
        <v>2493</v>
      </c>
      <c r="C1183" t="s">
        <v>322</v>
      </c>
      <c r="D1183" t="s">
        <v>258</v>
      </c>
      <c r="E1183" t="s">
        <v>8984</v>
      </c>
    </row>
    <row r="1184" spans="1:5" x14ac:dyDescent="0.2">
      <c r="A1184" t="s">
        <v>2494</v>
      </c>
      <c r="B1184" t="s">
        <v>2495</v>
      </c>
      <c r="C1184" t="s">
        <v>219</v>
      </c>
      <c r="D1184" t="s">
        <v>547</v>
      </c>
      <c r="E1184" t="s">
        <v>8984</v>
      </c>
    </row>
    <row r="1185" spans="1:5" x14ac:dyDescent="0.2">
      <c r="A1185" t="s">
        <v>2496</v>
      </c>
      <c r="B1185" t="s">
        <v>2497</v>
      </c>
      <c r="C1185" t="s">
        <v>219</v>
      </c>
      <c r="D1185" t="s">
        <v>258</v>
      </c>
      <c r="E1185" t="s">
        <v>8984</v>
      </c>
    </row>
    <row r="1186" spans="1:5" x14ac:dyDescent="0.2">
      <c r="A1186" t="s">
        <v>2498</v>
      </c>
      <c r="B1186" t="s">
        <v>2499</v>
      </c>
      <c r="C1186" t="s">
        <v>244</v>
      </c>
      <c r="D1186" t="s">
        <v>1971</v>
      </c>
      <c r="E1186" t="s">
        <v>8984</v>
      </c>
    </row>
    <row r="1187" spans="1:5" x14ac:dyDescent="0.2">
      <c r="A1187" t="s">
        <v>2500</v>
      </c>
      <c r="B1187" t="s">
        <v>2501</v>
      </c>
      <c r="C1187" t="s">
        <v>287</v>
      </c>
      <c r="D1187" t="s">
        <v>140</v>
      </c>
      <c r="E1187" t="s">
        <v>8984</v>
      </c>
    </row>
    <row r="1188" spans="1:5" x14ac:dyDescent="0.2">
      <c r="A1188" t="s">
        <v>2502</v>
      </c>
      <c r="B1188" t="s">
        <v>2503</v>
      </c>
      <c r="C1188" t="s">
        <v>287</v>
      </c>
      <c r="D1188" t="s">
        <v>290</v>
      </c>
      <c r="E1188" t="s">
        <v>8984</v>
      </c>
    </row>
    <row r="1189" spans="1:5" x14ac:dyDescent="0.2">
      <c r="A1189" t="s">
        <v>2504</v>
      </c>
      <c r="B1189" t="s">
        <v>2505</v>
      </c>
      <c r="C1189" t="s">
        <v>251</v>
      </c>
      <c r="D1189" t="s">
        <v>441</v>
      </c>
      <c r="E1189" t="s">
        <v>8984</v>
      </c>
    </row>
    <row r="1190" spans="1:5" x14ac:dyDescent="0.2">
      <c r="A1190" t="s">
        <v>2506</v>
      </c>
      <c r="B1190" t="s">
        <v>2507</v>
      </c>
      <c r="C1190" t="s">
        <v>251</v>
      </c>
      <c r="D1190" t="s">
        <v>309</v>
      </c>
      <c r="E1190" t="s">
        <v>8984</v>
      </c>
    </row>
    <row r="1191" spans="1:5" x14ac:dyDescent="0.2">
      <c r="A1191" t="s">
        <v>2508</v>
      </c>
      <c r="B1191" t="s">
        <v>2509</v>
      </c>
      <c r="C1191" t="s">
        <v>251</v>
      </c>
      <c r="D1191" t="s">
        <v>263</v>
      </c>
      <c r="E1191" t="s">
        <v>8984</v>
      </c>
    </row>
    <row r="1192" spans="1:5" x14ac:dyDescent="0.2">
      <c r="A1192" t="s">
        <v>2510</v>
      </c>
      <c r="B1192" t="s">
        <v>2511</v>
      </c>
      <c r="C1192" t="s">
        <v>251</v>
      </c>
      <c r="D1192" t="s">
        <v>309</v>
      </c>
      <c r="E1192" t="s">
        <v>8984</v>
      </c>
    </row>
    <row r="1193" spans="1:5" x14ac:dyDescent="0.2">
      <c r="A1193" t="s">
        <v>2519</v>
      </c>
      <c r="B1193" t="s">
        <v>9141</v>
      </c>
      <c r="C1193" t="s">
        <v>131</v>
      </c>
      <c r="D1193" t="s">
        <v>323</v>
      </c>
      <c r="E1193" t="s">
        <v>8984</v>
      </c>
    </row>
    <row r="1194" spans="1:5" x14ac:dyDescent="0.2">
      <c r="A1194" t="s">
        <v>2520</v>
      </c>
      <c r="B1194" t="s">
        <v>9142</v>
      </c>
      <c r="C1194" t="s">
        <v>131</v>
      </c>
      <c r="D1194" t="s">
        <v>444</v>
      </c>
      <c r="E1194" t="s">
        <v>8984</v>
      </c>
    </row>
    <row r="1195" spans="1:5" x14ac:dyDescent="0.2">
      <c r="A1195" t="s">
        <v>2517</v>
      </c>
      <c r="B1195" t="s">
        <v>9143</v>
      </c>
      <c r="C1195" t="s">
        <v>104</v>
      </c>
      <c r="D1195" t="s">
        <v>473</v>
      </c>
      <c r="E1195" t="s">
        <v>8984</v>
      </c>
    </row>
    <row r="1196" spans="1:5" x14ac:dyDescent="0.2">
      <c r="A1196" t="s">
        <v>2518</v>
      </c>
      <c r="B1196" t="s">
        <v>9144</v>
      </c>
      <c r="C1196" t="s">
        <v>104</v>
      </c>
      <c r="D1196" t="s">
        <v>412</v>
      </c>
      <c r="E1196" t="s">
        <v>8984</v>
      </c>
    </row>
    <row r="1197" spans="1:5" x14ac:dyDescent="0.2">
      <c r="A1197" t="s">
        <v>2512</v>
      </c>
      <c r="B1197" t="s">
        <v>2513</v>
      </c>
      <c r="C1197" t="s">
        <v>92</v>
      </c>
      <c r="D1197" t="s">
        <v>150</v>
      </c>
      <c r="E1197" t="s">
        <v>8984</v>
      </c>
    </row>
    <row r="1198" spans="1:5" x14ac:dyDescent="0.2">
      <c r="A1198" t="s">
        <v>2515</v>
      </c>
      <c r="B1198" t="s">
        <v>2516</v>
      </c>
      <c r="C1198" t="s">
        <v>92</v>
      </c>
      <c r="D1198" t="s">
        <v>150</v>
      </c>
      <c r="E1198" t="s">
        <v>8984</v>
      </c>
    </row>
    <row r="1199" spans="1:5" x14ac:dyDescent="0.2">
      <c r="A1199" t="s">
        <v>2521</v>
      </c>
      <c r="B1199" t="s">
        <v>9145</v>
      </c>
      <c r="C1199" t="s">
        <v>131</v>
      </c>
      <c r="D1199" t="s">
        <v>7689</v>
      </c>
      <c r="E1199" t="s">
        <v>8984</v>
      </c>
    </row>
    <row r="1200" spans="1:5" x14ac:dyDescent="0.2">
      <c r="A1200" t="s">
        <v>2522</v>
      </c>
      <c r="B1200" t="s">
        <v>9146</v>
      </c>
      <c r="C1200" t="s">
        <v>131</v>
      </c>
      <c r="D1200" t="s">
        <v>1793</v>
      </c>
      <c r="E1200" t="s">
        <v>8984</v>
      </c>
    </row>
    <row r="1201" spans="1:5" x14ac:dyDescent="0.2">
      <c r="A1201" t="s">
        <v>2524</v>
      </c>
      <c r="B1201" t="s">
        <v>2525</v>
      </c>
      <c r="C1201" t="s">
        <v>92</v>
      </c>
      <c r="D1201" t="s">
        <v>150</v>
      </c>
      <c r="E1201" t="s">
        <v>8984</v>
      </c>
    </row>
    <row r="1202" spans="1:5" x14ac:dyDescent="0.2">
      <c r="A1202" t="s">
        <v>2526</v>
      </c>
      <c r="B1202" t="s">
        <v>2527</v>
      </c>
      <c r="C1202" t="s">
        <v>92</v>
      </c>
      <c r="D1202" t="s">
        <v>336</v>
      </c>
      <c r="E1202" t="s">
        <v>8984</v>
      </c>
    </row>
    <row r="1203" spans="1:5" x14ac:dyDescent="0.2">
      <c r="A1203" t="s">
        <v>2528</v>
      </c>
      <c r="B1203" t="s">
        <v>2529</v>
      </c>
      <c r="C1203" t="s">
        <v>92</v>
      </c>
      <c r="D1203" t="s">
        <v>9147</v>
      </c>
      <c r="E1203" t="s">
        <v>8984</v>
      </c>
    </row>
    <row r="1204" spans="1:5" x14ac:dyDescent="0.2">
      <c r="A1204" t="s">
        <v>2530</v>
      </c>
      <c r="B1204" t="s">
        <v>2531</v>
      </c>
      <c r="C1204" t="s">
        <v>104</v>
      </c>
      <c r="D1204" t="s">
        <v>1058</v>
      </c>
      <c r="E1204" t="s">
        <v>9148</v>
      </c>
    </row>
    <row r="1205" spans="1:5" x14ac:dyDescent="0.2">
      <c r="A1205" t="s">
        <v>2532</v>
      </c>
      <c r="B1205" t="s">
        <v>2533</v>
      </c>
      <c r="C1205" t="s">
        <v>92</v>
      </c>
      <c r="D1205" t="s">
        <v>163</v>
      </c>
      <c r="E1205" t="s">
        <v>9148</v>
      </c>
    </row>
    <row r="1206" spans="1:5" x14ac:dyDescent="0.2">
      <c r="A1206" t="s">
        <v>2535</v>
      </c>
      <c r="B1206" t="s">
        <v>2536</v>
      </c>
      <c r="C1206" t="s">
        <v>219</v>
      </c>
      <c r="D1206" t="s">
        <v>200</v>
      </c>
      <c r="E1206" t="s">
        <v>8984</v>
      </c>
    </row>
    <row r="1207" spans="1:5" x14ac:dyDescent="0.2">
      <c r="A1207" t="s">
        <v>2538</v>
      </c>
      <c r="B1207" t="s">
        <v>2539</v>
      </c>
      <c r="C1207" t="s">
        <v>219</v>
      </c>
      <c r="D1207" t="s">
        <v>200</v>
      </c>
      <c r="E1207" t="s">
        <v>8984</v>
      </c>
    </row>
    <row r="1208" spans="1:5" x14ac:dyDescent="0.2">
      <c r="A1208" t="s">
        <v>2540</v>
      </c>
      <c r="B1208" t="s">
        <v>2541</v>
      </c>
      <c r="C1208" t="s">
        <v>591</v>
      </c>
      <c r="D1208" t="s">
        <v>306</v>
      </c>
      <c r="E1208" t="s">
        <v>8879</v>
      </c>
    </row>
    <row r="1209" spans="1:5" x14ac:dyDescent="0.2">
      <c r="A1209" t="s">
        <v>2542</v>
      </c>
      <c r="B1209" t="s">
        <v>2543</v>
      </c>
      <c r="C1209" t="s">
        <v>591</v>
      </c>
      <c r="D1209" t="s">
        <v>306</v>
      </c>
      <c r="E1209" t="s">
        <v>8879</v>
      </c>
    </row>
    <row r="1210" spans="1:5" x14ac:dyDescent="0.2">
      <c r="A1210" t="s">
        <v>2544</v>
      </c>
      <c r="B1210" t="s">
        <v>2545</v>
      </c>
      <c r="C1210" t="s">
        <v>131</v>
      </c>
      <c r="D1210" t="s">
        <v>539</v>
      </c>
      <c r="E1210" t="s">
        <v>8880</v>
      </c>
    </row>
    <row r="1211" spans="1:5" x14ac:dyDescent="0.2">
      <c r="A1211" t="s">
        <v>2546</v>
      </c>
      <c r="B1211" t="s">
        <v>2547</v>
      </c>
      <c r="C1211" t="s">
        <v>131</v>
      </c>
      <c r="D1211" t="s">
        <v>539</v>
      </c>
      <c r="E1211" t="s">
        <v>8880</v>
      </c>
    </row>
    <row r="1212" spans="1:5" x14ac:dyDescent="0.2">
      <c r="A1212" t="s">
        <v>2548</v>
      </c>
      <c r="B1212" t="s">
        <v>2549</v>
      </c>
      <c r="C1212" t="s">
        <v>219</v>
      </c>
      <c r="D1212" t="s">
        <v>358</v>
      </c>
      <c r="E1212" t="s">
        <v>234</v>
      </c>
    </row>
    <row r="1213" spans="1:5" x14ac:dyDescent="0.2">
      <c r="A1213" t="s">
        <v>2550</v>
      </c>
      <c r="B1213" t="s">
        <v>9149</v>
      </c>
      <c r="C1213" t="s">
        <v>322</v>
      </c>
      <c r="D1213" t="s">
        <v>588</v>
      </c>
      <c r="E1213" t="s">
        <v>9150</v>
      </c>
    </row>
    <row r="1214" spans="1:5" x14ac:dyDescent="0.2">
      <c r="A1214" t="s">
        <v>2551</v>
      </c>
      <c r="B1214" t="s">
        <v>9151</v>
      </c>
      <c r="C1214" t="s">
        <v>322</v>
      </c>
      <c r="D1214" t="s">
        <v>386</v>
      </c>
      <c r="E1214" t="s">
        <v>9150</v>
      </c>
    </row>
    <row r="1215" spans="1:5" x14ac:dyDescent="0.2">
      <c r="A1215" t="s">
        <v>2552</v>
      </c>
      <c r="B1215" t="s">
        <v>2553</v>
      </c>
      <c r="C1215" t="s">
        <v>399</v>
      </c>
      <c r="D1215" t="s">
        <v>710</v>
      </c>
      <c r="E1215" t="s">
        <v>9150</v>
      </c>
    </row>
    <row r="1216" spans="1:5" x14ac:dyDescent="0.2">
      <c r="A1216" t="s">
        <v>2554</v>
      </c>
      <c r="B1216" t="s">
        <v>2555</v>
      </c>
      <c r="C1216" t="s">
        <v>399</v>
      </c>
      <c r="D1216" t="s">
        <v>710</v>
      </c>
      <c r="E1216" t="s">
        <v>9150</v>
      </c>
    </row>
    <row r="1217" spans="1:5" x14ac:dyDescent="0.2">
      <c r="A1217" t="s">
        <v>2556</v>
      </c>
      <c r="B1217" t="s">
        <v>2557</v>
      </c>
      <c r="C1217" t="s">
        <v>399</v>
      </c>
      <c r="D1217" t="s">
        <v>386</v>
      </c>
      <c r="E1217" t="s">
        <v>2558</v>
      </c>
    </row>
    <row r="1218" spans="1:5" x14ac:dyDescent="0.2">
      <c r="A1218" t="s">
        <v>2560</v>
      </c>
      <c r="B1218" t="s">
        <v>2561</v>
      </c>
      <c r="C1218" t="s">
        <v>591</v>
      </c>
      <c r="D1218" t="s">
        <v>2562</v>
      </c>
      <c r="E1218" t="s">
        <v>7639</v>
      </c>
    </row>
    <row r="1219" spans="1:5" x14ac:dyDescent="0.2">
      <c r="A1219" t="s">
        <v>2563</v>
      </c>
      <c r="B1219" t="s">
        <v>2564</v>
      </c>
      <c r="C1219" t="s">
        <v>92</v>
      </c>
      <c r="D1219" t="s">
        <v>436</v>
      </c>
      <c r="E1219" t="s">
        <v>9152</v>
      </c>
    </row>
    <row r="1220" spans="1:5" x14ac:dyDescent="0.2">
      <c r="A1220" t="s">
        <v>2565</v>
      </c>
      <c r="B1220" t="s">
        <v>2566</v>
      </c>
      <c r="C1220" t="s">
        <v>219</v>
      </c>
      <c r="D1220" t="s">
        <v>140</v>
      </c>
      <c r="E1220" t="s">
        <v>9152</v>
      </c>
    </row>
    <row r="1221" spans="1:5" x14ac:dyDescent="0.2">
      <c r="A1221" t="s">
        <v>2567</v>
      </c>
      <c r="B1221" t="s">
        <v>2568</v>
      </c>
      <c r="C1221" t="s">
        <v>219</v>
      </c>
      <c r="D1221" t="s">
        <v>462</v>
      </c>
      <c r="E1221" t="s">
        <v>9152</v>
      </c>
    </row>
    <row r="1222" spans="1:5" x14ac:dyDescent="0.2">
      <c r="A1222" t="s">
        <v>2569</v>
      </c>
      <c r="B1222" t="s">
        <v>2570</v>
      </c>
      <c r="C1222" t="s">
        <v>251</v>
      </c>
      <c r="D1222" t="s">
        <v>773</v>
      </c>
      <c r="E1222" t="s">
        <v>9152</v>
      </c>
    </row>
    <row r="1223" spans="1:5" x14ac:dyDescent="0.2">
      <c r="A1223" t="s">
        <v>2572</v>
      </c>
      <c r="B1223" t="s">
        <v>2573</v>
      </c>
      <c r="C1223" t="s">
        <v>251</v>
      </c>
      <c r="D1223" t="s">
        <v>126</v>
      </c>
      <c r="E1223" t="s">
        <v>9152</v>
      </c>
    </row>
    <row r="1224" spans="1:5" x14ac:dyDescent="0.2">
      <c r="A1224" t="s">
        <v>2574</v>
      </c>
      <c r="B1224" t="s">
        <v>2575</v>
      </c>
      <c r="C1224" t="s">
        <v>251</v>
      </c>
      <c r="D1224" t="s">
        <v>433</v>
      </c>
      <c r="E1224" t="s">
        <v>9152</v>
      </c>
    </row>
    <row r="1225" spans="1:5" x14ac:dyDescent="0.2">
      <c r="A1225" t="s">
        <v>2576</v>
      </c>
      <c r="B1225" t="s">
        <v>2577</v>
      </c>
      <c r="C1225" t="s">
        <v>251</v>
      </c>
      <c r="D1225" t="s">
        <v>224</v>
      </c>
      <c r="E1225" t="s">
        <v>9152</v>
      </c>
    </row>
    <row r="1226" spans="1:5" x14ac:dyDescent="0.2">
      <c r="A1226" t="s">
        <v>2578</v>
      </c>
      <c r="B1226" t="s">
        <v>2579</v>
      </c>
      <c r="C1226" t="s">
        <v>212</v>
      </c>
      <c r="D1226" t="s">
        <v>462</v>
      </c>
      <c r="E1226" t="s">
        <v>9152</v>
      </c>
    </row>
    <row r="1227" spans="1:5" x14ac:dyDescent="0.2">
      <c r="A1227" t="s">
        <v>2580</v>
      </c>
      <c r="B1227" t="s">
        <v>2581</v>
      </c>
      <c r="C1227" t="s">
        <v>227</v>
      </c>
      <c r="D1227" t="s">
        <v>299</v>
      </c>
      <c r="E1227" t="s">
        <v>9152</v>
      </c>
    </row>
    <row r="1228" spans="1:5" x14ac:dyDescent="0.2">
      <c r="A1228" t="s">
        <v>2582</v>
      </c>
      <c r="B1228" t="s">
        <v>2583</v>
      </c>
      <c r="C1228" t="s">
        <v>227</v>
      </c>
      <c r="D1228" t="s">
        <v>299</v>
      </c>
      <c r="E1228" t="s">
        <v>9152</v>
      </c>
    </row>
    <row r="1229" spans="1:5" x14ac:dyDescent="0.2">
      <c r="A1229" t="s">
        <v>2584</v>
      </c>
      <c r="B1229" t="s">
        <v>2585</v>
      </c>
      <c r="C1229" t="s">
        <v>251</v>
      </c>
      <c r="D1229" t="s">
        <v>93</v>
      </c>
      <c r="E1229" t="s">
        <v>9152</v>
      </c>
    </row>
    <row r="1230" spans="1:5" x14ac:dyDescent="0.2">
      <c r="A1230" t="s">
        <v>2586</v>
      </c>
      <c r="B1230" t="s">
        <v>2587</v>
      </c>
      <c r="C1230" t="s">
        <v>219</v>
      </c>
      <c r="D1230" t="s">
        <v>350</v>
      </c>
      <c r="E1230" t="s">
        <v>9153</v>
      </c>
    </row>
    <row r="1231" spans="1:5" x14ac:dyDescent="0.2">
      <c r="A1231" t="s">
        <v>2588</v>
      </c>
      <c r="B1231" t="s">
        <v>2589</v>
      </c>
      <c r="C1231" t="s">
        <v>399</v>
      </c>
      <c r="D1231" t="s">
        <v>1490</v>
      </c>
      <c r="E1231" t="s">
        <v>9153</v>
      </c>
    </row>
    <row r="1232" spans="1:5" x14ac:dyDescent="0.2">
      <c r="A1232" t="s">
        <v>2590</v>
      </c>
      <c r="B1232" t="s">
        <v>2591</v>
      </c>
      <c r="C1232" t="s">
        <v>399</v>
      </c>
      <c r="D1232" t="s">
        <v>473</v>
      </c>
      <c r="E1232" t="s">
        <v>9153</v>
      </c>
    </row>
    <row r="1233" spans="1:5" x14ac:dyDescent="0.2">
      <c r="A1233" t="s">
        <v>2592</v>
      </c>
      <c r="B1233" t="s">
        <v>2593</v>
      </c>
      <c r="C1233" t="s">
        <v>399</v>
      </c>
      <c r="D1233" t="s">
        <v>412</v>
      </c>
      <c r="E1233" t="s">
        <v>9153</v>
      </c>
    </row>
    <row r="1234" spans="1:5" x14ac:dyDescent="0.2">
      <c r="A1234" t="s">
        <v>2594</v>
      </c>
      <c r="B1234" t="s">
        <v>2595</v>
      </c>
      <c r="C1234" t="s">
        <v>399</v>
      </c>
      <c r="D1234" t="s">
        <v>386</v>
      </c>
      <c r="E1234" t="s">
        <v>9153</v>
      </c>
    </row>
    <row r="1235" spans="1:5" x14ac:dyDescent="0.2">
      <c r="A1235" t="s">
        <v>2596</v>
      </c>
      <c r="B1235" t="s">
        <v>2597</v>
      </c>
      <c r="C1235" t="s">
        <v>376</v>
      </c>
      <c r="D1235" t="s">
        <v>773</v>
      </c>
      <c r="E1235" t="s">
        <v>9153</v>
      </c>
    </row>
    <row r="1236" spans="1:5" x14ac:dyDescent="0.2">
      <c r="A1236" t="s">
        <v>2598</v>
      </c>
      <c r="B1236" t="s">
        <v>2599</v>
      </c>
      <c r="C1236" t="s">
        <v>376</v>
      </c>
      <c r="D1236" t="s">
        <v>224</v>
      </c>
      <c r="E1236" t="s">
        <v>9153</v>
      </c>
    </row>
    <row r="1237" spans="1:5" x14ac:dyDescent="0.2">
      <c r="A1237" t="s">
        <v>58</v>
      </c>
      <c r="B1237" t="s">
        <v>2600</v>
      </c>
      <c r="C1237" t="s">
        <v>376</v>
      </c>
      <c r="D1237" t="s">
        <v>126</v>
      </c>
      <c r="E1237" t="s">
        <v>9153</v>
      </c>
    </row>
    <row r="1238" spans="1:5" x14ac:dyDescent="0.2">
      <c r="A1238" t="s">
        <v>2601</v>
      </c>
      <c r="B1238" t="s">
        <v>2602</v>
      </c>
      <c r="C1238" t="s">
        <v>376</v>
      </c>
      <c r="D1238" t="s">
        <v>224</v>
      </c>
      <c r="E1238" t="s">
        <v>9153</v>
      </c>
    </row>
    <row r="1239" spans="1:5" x14ac:dyDescent="0.2">
      <c r="A1239" t="s">
        <v>2603</v>
      </c>
      <c r="B1239" t="s">
        <v>2604</v>
      </c>
      <c r="C1239" t="s">
        <v>376</v>
      </c>
      <c r="D1239" t="s">
        <v>224</v>
      </c>
      <c r="E1239" t="s">
        <v>9153</v>
      </c>
    </row>
    <row r="1240" spans="1:5" x14ac:dyDescent="0.2">
      <c r="A1240" t="s">
        <v>2605</v>
      </c>
      <c r="B1240" t="s">
        <v>2606</v>
      </c>
      <c r="C1240" t="s">
        <v>1555</v>
      </c>
      <c r="D1240" t="s">
        <v>893</v>
      </c>
      <c r="E1240" t="s">
        <v>9153</v>
      </c>
    </row>
    <row r="1241" spans="1:5" x14ac:dyDescent="0.2">
      <c r="A1241" t="s">
        <v>2607</v>
      </c>
      <c r="B1241" t="s">
        <v>2608</v>
      </c>
      <c r="C1241" t="s">
        <v>1555</v>
      </c>
      <c r="D1241" t="s">
        <v>893</v>
      </c>
      <c r="E1241" t="s">
        <v>9153</v>
      </c>
    </row>
    <row r="1242" spans="1:5" x14ac:dyDescent="0.2">
      <c r="A1242" t="s">
        <v>2609</v>
      </c>
      <c r="B1242" t="s">
        <v>2610</v>
      </c>
      <c r="C1242" t="s">
        <v>318</v>
      </c>
      <c r="D1242" t="s">
        <v>224</v>
      </c>
      <c r="E1242" t="s">
        <v>9153</v>
      </c>
    </row>
    <row r="1243" spans="1:5" x14ac:dyDescent="0.2">
      <c r="A1243" t="s">
        <v>2612</v>
      </c>
      <c r="B1243" t="s">
        <v>2613</v>
      </c>
      <c r="C1243" t="s">
        <v>591</v>
      </c>
      <c r="D1243" t="s">
        <v>853</v>
      </c>
      <c r="E1243" t="s">
        <v>9153</v>
      </c>
    </row>
    <row r="1244" spans="1:5" x14ac:dyDescent="0.2">
      <c r="A1244" t="s">
        <v>2614</v>
      </c>
      <c r="B1244" t="s">
        <v>2615</v>
      </c>
      <c r="C1244" t="s">
        <v>591</v>
      </c>
      <c r="D1244" t="s">
        <v>535</v>
      </c>
      <c r="E1244" t="s">
        <v>9153</v>
      </c>
    </row>
    <row r="1245" spans="1:5" x14ac:dyDescent="0.2">
      <c r="A1245" t="s">
        <v>2616</v>
      </c>
      <c r="B1245" t="s">
        <v>2617</v>
      </c>
      <c r="C1245" t="s">
        <v>331</v>
      </c>
      <c r="D1245" t="s">
        <v>853</v>
      </c>
      <c r="E1245" t="s">
        <v>9153</v>
      </c>
    </row>
    <row r="1246" spans="1:5" x14ac:dyDescent="0.2">
      <c r="A1246" t="s">
        <v>2618</v>
      </c>
      <c r="B1246" t="s">
        <v>2619</v>
      </c>
      <c r="C1246" t="s">
        <v>331</v>
      </c>
      <c r="D1246" t="s">
        <v>535</v>
      </c>
      <c r="E1246" t="s">
        <v>9153</v>
      </c>
    </row>
    <row r="1247" spans="1:5" x14ac:dyDescent="0.2">
      <c r="A1247" t="s">
        <v>2620</v>
      </c>
      <c r="B1247" t="s">
        <v>2621</v>
      </c>
      <c r="C1247" t="s">
        <v>212</v>
      </c>
      <c r="D1247" t="s">
        <v>1058</v>
      </c>
      <c r="E1247" t="s">
        <v>9153</v>
      </c>
    </row>
    <row r="1248" spans="1:5" x14ac:dyDescent="0.2">
      <c r="A1248" t="s">
        <v>2622</v>
      </c>
      <c r="B1248" t="s">
        <v>2623</v>
      </c>
      <c r="C1248" t="s">
        <v>212</v>
      </c>
      <c r="D1248" t="s">
        <v>400</v>
      </c>
      <c r="E1248" t="s">
        <v>9153</v>
      </c>
    </row>
    <row r="1249" spans="1:5" x14ac:dyDescent="0.2">
      <c r="A1249" t="s">
        <v>2624</v>
      </c>
      <c r="B1249" t="s">
        <v>2625</v>
      </c>
      <c r="C1249" t="s">
        <v>212</v>
      </c>
      <c r="D1249" t="s">
        <v>400</v>
      </c>
      <c r="E1249" t="s">
        <v>9153</v>
      </c>
    </row>
    <row r="1250" spans="1:5" x14ac:dyDescent="0.2">
      <c r="A1250" t="s">
        <v>2626</v>
      </c>
      <c r="B1250" t="s">
        <v>2627</v>
      </c>
      <c r="C1250" t="s">
        <v>212</v>
      </c>
      <c r="D1250" t="s">
        <v>400</v>
      </c>
      <c r="E1250" t="s">
        <v>9153</v>
      </c>
    </row>
    <row r="1251" spans="1:5" x14ac:dyDescent="0.2">
      <c r="A1251" t="s">
        <v>2628</v>
      </c>
      <c r="B1251" t="s">
        <v>2629</v>
      </c>
      <c r="C1251" t="s">
        <v>322</v>
      </c>
      <c r="D1251" t="s">
        <v>1493</v>
      </c>
      <c r="E1251" t="s">
        <v>9153</v>
      </c>
    </row>
    <row r="1252" spans="1:5" x14ac:dyDescent="0.2">
      <c r="A1252" t="s">
        <v>2630</v>
      </c>
      <c r="B1252" t="s">
        <v>2631</v>
      </c>
      <c r="C1252" t="s">
        <v>322</v>
      </c>
      <c r="D1252" t="s">
        <v>258</v>
      </c>
      <c r="E1252" t="s">
        <v>9153</v>
      </c>
    </row>
    <row r="1253" spans="1:5" x14ac:dyDescent="0.2">
      <c r="A1253" t="s">
        <v>2632</v>
      </c>
      <c r="B1253" t="s">
        <v>2633</v>
      </c>
      <c r="C1253" t="s">
        <v>322</v>
      </c>
      <c r="D1253" t="s">
        <v>622</v>
      </c>
      <c r="E1253" t="s">
        <v>9153</v>
      </c>
    </row>
    <row r="1254" spans="1:5" x14ac:dyDescent="0.2">
      <c r="A1254" t="s">
        <v>2634</v>
      </c>
      <c r="B1254" t="s">
        <v>2635</v>
      </c>
      <c r="C1254" t="s">
        <v>322</v>
      </c>
      <c r="D1254" t="s">
        <v>622</v>
      </c>
      <c r="E1254" t="s">
        <v>9153</v>
      </c>
    </row>
    <row r="1255" spans="1:5" x14ac:dyDescent="0.2">
      <c r="A1255" t="s">
        <v>2636</v>
      </c>
      <c r="B1255" t="s">
        <v>2637</v>
      </c>
      <c r="C1255" t="s">
        <v>287</v>
      </c>
      <c r="D1255" t="s">
        <v>822</v>
      </c>
      <c r="E1255" t="s">
        <v>9153</v>
      </c>
    </row>
    <row r="1256" spans="1:5" x14ac:dyDescent="0.2">
      <c r="A1256" t="s">
        <v>2638</v>
      </c>
      <c r="B1256" t="s">
        <v>2639</v>
      </c>
      <c r="C1256" t="s">
        <v>287</v>
      </c>
      <c r="D1256" t="s">
        <v>822</v>
      </c>
      <c r="E1256" t="s">
        <v>9153</v>
      </c>
    </row>
    <row r="1257" spans="1:5" x14ac:dyDescent="0.2">
      <c r="A1257" t="s">
        <v>2642</v>
      </c>
      <c r="B1257" t="s">
        <v>2643</v>
      </c>
      <c r="C1257" t="s">
        <v>287</v>
      </c>
      <c r="D1257" t="s">
        <v>266</v>
      </c>
      <c r="E1257" t="s">
        <v>9153</v>
      </c>
    </row>
    <row r="1258" spans="1:5" x14ac:dyDescent="0.2">
      <c r="A1258" t="s">
        <v>2640</v>
      </c>
      <c r="B1258" t="s">
        <v>2641</v>
      </c>
      <c r="C1258" t="s">
        <v>287</v>
      </c>
      <c r="D1258" t="s">
        <v>266</v>
      </c>
      <c r="E1258" t="s">
        <v>9153</v>
      </c>
    </row>
    <row r="1259" spans="1:5" x14ac:dyDescent="0.2">
      <c r="A1259" t="s">
        <v>2644</v>
      </c>
      <c r="B1259" t="s">
        <v>2645</v>
      </c>
      <c r="C1259" t="s">
        <v>421</v>
      </c>
      <c r="D1259" t="s">
        <v>773</v>
      </c>
      <c r="E1259" t="s">
        <v>9153</v>
      </c>
    </row>
    <row r="1260" spans="1:5" x14ac:dyDescent="0.2">
      <c r="A1260" t="s">
        <v>2646</v>
      </c>
      <c r="B1260" t="s">
        <v>2647</v>
      </c>
      <c r="C1260" t="s">
        <v>421</v>
      </c>
      <c r="D1260" t="s">
        <v>126</v>
      </c>
      <c r="E1260" t="s">
        <v>9153</v>
      </c>
    </row>
    <row r="1261" spans="1:5" x14ac:dyDescent="0.2">
      <c r="A1261" t="s">
        <v>2648</v>
      </c>
      <c r="B1261" t="s">
        <v>2649</v>
      </c>
      <c r="C1261" t="s">
        <v>421</v>
      </c>
      <c r="D1261" t="s">
        <v>126</v>
      </c>
      <c r="E1261" t="s">
        <v>9153</v>
      </c>
    </row>
    <row r="1262" spans="1:5" x14ac:dyDescent="0.2">
      <c r="A1262" t="s">
        <v>2650</v>
      </c>
      <c r="B1262" t="s">
        <v>2651</v>
      </c>
      <c r="C1262" t="s">
        <v>421</v>
      </c>
      <c r="D1262" t="s">
        <v>126</v>
      </c>
      <c r="E1262" t="s">
        <v>9153</v>
      </c>
    </row>
    <row r="1263" spans="1:5" x14ac:dyDescent="0.2">
      <c r="A1263" t="s">
        <v>2652</v>
      </c>
      <c r="B1263" t="s">
        <v>2653</v>
      </c>
      <c r="C1263" t="s">
        <v>421</v>
      </c>
      <c r="D1263" t="s">
        <v>462</v>
      </c>
      <c r="E1263" t="s">
        <v>9153</v>
      </c>
    </row>
    <row r="1264" spans="1:5" x14ac:dyDescent="0.2">
      <c r="A1264" t="s">
        <v>2654</v>
      </c>
      <c r="B1264" t="s">
        <v>2655</v>
      </c>
      <c r="C1264" t="s">
        <v>421</v>
      </c>
      <c r="D1264" t="s">
        <v>462</v>
      </c>
      <c r="E1264" t="s">
        <v>9153</v>
      </c>
    </row>
    <row r="1265" spans="1:5" x14ac:dyDescent="0.2">
      <c r="A1265" t="s">
        <v>2656</v>
      </c>
      <c r="B1265" t="s">
        <v>2657</v>
      </c>
      <c r="C1265" t="s">
        <v>421</v>
      </c>
      <c r="D1265" t="s">
        <v>462</v>
      </c>
      <c r="E1265" t="s">
        <v>9153</v>
      </c>
    </row>
    <row r="1266" spans="1:5" x14ac:dyDescent="0.2">
      <c r="A1266" t="s">
        <v>2658</v>
      </c>
      <c r="B1266" t="s">
        <v>2659</v>
      </c>
      <c r="C1266" t="s">
        <v>219</v>
      </c>
      <c r="D1266" t="s">
        <v>1058</v>
      </c>
      <c r="E1266" t="s">
        <v>9153</v>
      </c>
    </row>
    <row r="1267" spans="1:5" x14ac:dyDescent="0.2">
      <c r="A1267" t="s">
        <v>2660</v>
      </c>
      <c r="B1267" t="s">
        <v>2661</v>
      </c>
      <c r="C1267" t="s">
        <v>219</v>
      </c>
      <c r="D1267" t="s">
        <v>400</v>
      </c>
      <c r="E1267" t="s">
        <v>9153</v>
      </c>
    </row>
    <row r="1268" spans="1:5" x14ac:dyDescent="0.2">
      <c r="A1268" t="s">
        <v>2662</v>
      </c>
      <c r="B1268" t="s">
        <v>2663</v>
      </c>
      <c r="C1268" t="s">
        <v>261</v>
      </c>
      <c r="D1268" t="s">
        <v>2199</v>
      </c>
      <c r="E1268" t="s">
        <v>9153</v>
      </c>
    </row>
    <row r="1269" spans="1:5" x14ac:dyDescent="0.2">
      <c r="A1269" t="s">
        <v>2664</v>
      </c>
      <c r="B1269" t="s">
        <v>2665</v>
      </c>
      <c r="C1269" t="s">
        <v>261</v>
      </c>
      <c r="D1269" t="s">
        <v>2199</v>
      </c>
      <c r="E1269" t="s">
        <v>9153</v>
      </c>
    </row>
    <row r="1270" spans="1:5" x14ac:dyDescent="0.2">
      <c r="A1270" t="s">
        <v>2666</v>
      </c>
      <c r="B1270" t="s">
        <v>2667</v>
      </c>
      <c r="C1270" t="s">
        <v>669</v>
      </c>
      <c r="D1270" t="s">
        <v>773</v>
      </c>
      <c r="E1270" t="s">
        <v>9153</v>
      </c>
    </row>
    <row r="1271" spans="1:5" x14ac:dyDescent="0.2">
      <c r="A1271" t="s">
        <v>2668</v>
      </c>
      <c r="B1271" t="s">
        <v>2669</v>
      </c>
      <c r="C1271" t="s">
        <v>669</v>
      </c>
      <c r="D1271" t="s">
        <v>126</v>
      </c>
      <c r="E1271" t="s">
        <v>9153</v>
      </c>
    </row>
    <row r="1272" spans="1:5" x14ac:dyDescent="0.2">
      <c r="A1272" t="s">
        <v>2670</v>
      </c>
      <c r="B1272" t="s">
        <v>2671</v>
      </c>
      <c r="C1272" t="s">
        <v>669</v>
      </c>
      <c r="D1272" t="s">
        <v>126</v>
      </c>
      <c r="E1272" t="s">
        <v>9153</v>
      </c>
    </row>
    <row r="1273" spans="1:5" x14ac:dyDescent="0.2">
      <c r="A1273" t="s">
        <v>2672</v>
      </c>
      <c r="B1273" t="s">
        <v>2673</v>
      </c>
      <c r="C1273" t="s">
        <v>219</v>
      </c>
      <c r="D1273" t="s">
        <v>1493</v>
      </c>
      <c r="E1273" t="s">
        <v>9153</v>
      </c>
    </row>
    <row r="1274" spans="1:5" x14ac:dyDescent="0.2">
      <c r="A1274" t="s">
        <v>2674</v>
      </c>
      <c r="B1274" t="s">
        <v>2675</v>
      </c>
      <c r="C1274" t="s">
        <v>219</v>
      </c>
      <c r="D1274" t="s">
        <v>622</v>
      </c>
      <c r="E1274" t="s">
        <v>9153</v>
      </c>
    </row>
    <row r="1275" spans="1:5" x14ac:dyDescent="0.2">
      <c r="A1275" t="s">
        <v>2676</v>
      </c>
      <c r="B1275" t="s">
        <v>2677</v>
      </c>
      <c r="C1275" t="s">
        <v>331</v>
      </c>
      <c r="D1275" t="s">
        <v>350</v>
      </c>
      <c r="E1275" t="s">
        <v>9153</v>
      </c>
    </row>
    <row r="1276" spans="1:5" x14ac:dyDescent="0.2">
      <c r="A1276" t="s">
        <v>2678</v>
      </c>
      <c r="B1276" t="s">
        <v>2679</v>
      </c>
      <c r="C1276" t="s">
        <v>331</v>
      </c>
      <c r="D1276" t="s">
        <v>350</v>
      </c>
      <c r="E1276" t="s">
        <v>9153</v>
      </c>
    </row>
    <row r="1277" spans="1:5" x14ac:dyDescent="0.2">
      <c r="A1277" t="s">
        <v>2680</v>
      </c>
      <c r="B1277" t="s">
        <v>2681</v>
      </c>
      <c r="C1277" t="s">
        <v>322</v>
      </c>
      <c r="D1277" t="s">
        <v>2682</v>
      </c>
      <c r="E1277" t="s">
        <v>9153</v>
      </c>
    </row>
    <row r="1278" spans="1:5" x14ac:dyDescent="0.2">
      <c r="A1278" t="s">
        <v>2683</v>
      </c>
      <c r="B1278" t="s">
        <v>2684</v>
      </c>
      <c r="C1278" t="s">
        <v>322</v>
      </c>
      <c r="D1278" t="s">
        <v>2682</v>
      </c>
      <c r="E1278" t="s">
        <v>9153</v>
      </c>
    </row>
    <row r="1279" spans="1:5" x14ac:dyDescent="0.2">
      <c r="A1279" t="s">
        <v>2685</v>
      </c>
      <c r="B1279" t="s">
        <v>2686</v>
      </c>
      <c r="C1279" t="s">
        <v>742</v>
      </c>
      <c r="D1279" t="s">
        <v>2682</v>
      </c>
      <c r="E1279" t="s">
        <v>9153</v>
      </c>
    </row>
    <row r="1280" spans="1:5" x14ac:dyDescent="0.2">
      <c r="A1280" t="s">
        <v>2687</v>
      </c>
      <c r="B1280" t="s">
        <v>2688</v>
      </c>
      <c r="C1280" t="s">
        <v>742</v>
      </c>
      <c r="D1280" t="s">
        <v>2682</v>
      </c>
      <c r="E1280" t="s">
        <v>9153</v>
      </c>
    </row>
    <row r="1281" spans="1:5" x14ac:dyDescent="0.2">
      <c r="A1281" t="s">
        <v>2689</v>
      </c>
      <c r="B1281" t="s">
        <v>2690</v>
      </c>
      <c r="C1281" t="s">
        <v>376</v>
      </c>
      <c r="D1281" t="s">
        <v>714</v>
      </c>
      <c r="E1281" t="s">
        <v>9153</v>
      </c>
    </row>
    <row r="1282" spans="1:5" x14ac:dyDescent="0.2">
      <c r="A1282" t="s">
        <v>2691</v>
      </c>
      <c r="B1282" t="s">
        <v>2692</v>
      </c>
      <c r="C1282" t="s">
        <v>376</v>
      </c>
      <c r="D1282" t="s">
        <v>714</v>
      </c>
      <c r="E1282" t="s">
        <v>9153</v>
      </c>
    </row>
    <row r="1283" spans="1:5" x14ac:dyDescent="0.2">
      <c r="A1283" t="s">
        <v>2693</v>
      </c>
      <c r="B1283" t="s">
        <v>2694</v>
      </c>
      <c r="C1283" t="s">
        <v>251</v>
      </c>
      <c r="D1283" t="s">
        <v>314</v>
      </c>
      <c r="E1283" t="s">
        <v>9153</v>
      </c>
    </row>
    <row r="1284" spans="1:5" x14ac:dyDescent="0.2">
      <c r="A1284" t="s">
        <v>2695</v>
      </c>
      <c r="B1284" t="s">
        <v>2696</v>
      </c>
      <c r="C1284" t="s">
        <v>345</v>
      </c>
      <c r="D1284" t="s">
        <v>2682</v>
      </c>
      <c r="E1284" t="s">
        <v>9153</v>
      </c>
    </row>
    <row r="1285" spans="1:5" x14ac:dyDescent="0.2">
      <c r="A1285" t="s">
        <v>2697</v>
      </c>
      <c r="B1285" t="s">
        <v>2698</v>
      </c>
      <c r="C1285" t="s">
        <v>251</v>
      </c>
      <c r="D1285" t="s">
        <v>2699</v>
      </c>
      <c r="E1285" t="s">
        <v>9153</v>
      </c>
    </row>
    <row r="1286" spans="1:5" x14ac:dyDescent="0.2">
      <c r="A1286" t="s">
        <v>2700</v>
      </c>
      <c r="B1286" t="s">
        <v>2701</v>
      </c>
      <c r="C1286" t="s">
        <v>251</v>
      </c>
      <c r="D1286" t="s">
        <v>2699</v>
      </c>
      <c r="E1286" t="s">
        <v>9153</v>
      </c>
    </row>
    <row r="1287" spans="1:5" x14ac:dyDescent="0.2">
      <c r="A1287" t="s">
        <v>2702</v>
      </c>
      <c r="B1287" t="s">
        <v>2703</v>
      </c>
      <c r="C1287" t="s">
        <v>399</v>
      </c>
      <c r="D1287" t="s">
        <v>314</v>
      </c>
      <c r="E1287" t="s">
        <v>9153</v>
      </c>
    </row>
    <row r="1288" spans="1:5" x14ac:dyDescent="0.2">
      <c r="A1288" t="s">
        <v>2706</v>
      </c>
      <c r="B1288" t="s">
        <v>2707</v>
      </c>
      <c r="C1288" t="s">
        <v>399</v>
      </c>
      <c r="D1288" t="s">
        <v>2699</v>
      </c>
      <c r="E1288" t="s">
        <v>9153</v>
      </c>
    </row>
    <row r="1289" spans="1:5" x14ac:dyDescent="0.2">
      <c r="A1289" t="s">
        <v>2704</v>
      </c>
      <c r="B1289" t="s">
        <v>2705</v>
      </c>
      <c r="C1289" t="s">
        <v>399</v>
      </c>
      <c r="D1289" t="s">
        <v>893</v>
      </c>
      <c r="E1289" t="s">
        <v>9153</v>
      </c>
    </row>
    <row r="1290" spans="1:5" x14ac:dyDescent="0.2">
      <c r="A1290" t="s">
        <v>2708</v>
      </c>
      <c r="B1290" t="s">
        <v>2709</v>
      </c>
      <c r="C1290" t="s">
        <v>399</v>
      </c>
      <c r="D1290" t="s">
        <v>2699</v>
      </c>
      <c r="E1290" t="s">
        <v>9153</v>
      </c>
    </row>
    <row r="1291" spans="1:5" x14ac:dyDescent="0.2">
      <c r="A1291" t="s">
        <v>2710</v>
      </c>
      <c r="B1291" t="s">
        <v>2711</v>
      </c>
      <c r="C1291" t="s">
        <v>219</v>
      </c>
      <c r="D1291" t="s">
        <v>2712</v>
      </c>
      <c r="E1291" t="s">
        <v>9153</v>
      </c>
    </row>
    <row r="1292" spans="1:5" x14ac:dyDescent="0.2">
      <c r="A1292" t="s">
        <v>2713</v>
      </c>
      <c r="B1292" t="s">
        <v>2714</v>
      </c>
      <c r="C1292" t="s">
        <v>219</v>
      </c>
      <c r="D1292" t="s">
        <v>2712</v>
      </c>
      <c r="E1292" t="s">
        <v>9153</v>
      </c>
    </row>
    <row r="1293" spans="1:5" x14ac:dyDescent="0.2">
      <c r="A1293" t="s">
        <v>2715</v>
      </c>
      <c r="B1293" t="s">
        <v>2716</v>
      </c>
      <c r="C1293" t="s">
        <v>705</v>
      </c>
      <c r="D1293" t="s">
        <v>825</v>
      </c>
      <c r="E1293" t="s">
        <v>9153</v>
      </c>
    </row>
    <row r="1294" spans="1:5" x14ac:dyDescent="0.2">
      <c r="A1294" t="s">
        <v>2717</v>
      </c>
      <c r="B1294" t="s">
        <v>2718</v>
      </c>
      <c r="C1294" t="s">
        <v>244</v>
      </c>
      <c r="D1294" t="s">
        <v>275</v>
      </c>
      <c r="E1294" t="s">
        <v>9153</v>
      </c>
    </row>
    <row r="1295" spans="1:5" x14ac:dyDescent="0.2">
      <c r="A1295" t="s">
        <v>2719</v>
      </c>
      <c r="B1295" t="s">
        <v>2720</v>
      </c>
      <c r="C1295" t="s">
        <v>244</v>
      </c>
      <c r="D1295" t="s">
        <v>275</v>
      </c>
      <c r="E1295" t="s">
        <v>9153</v>
      </c>
    </row>
    <row r="1296" spans="1:5" x14ac:dyDescent="0.2">
      <c r="A1296" t="s">
        <v>2721</v>
      </c>
      <c r="B1296" t="s">
        <v>2722</v>
      </c>
      <c r="C1296" t="s">
        <v>331</v>
      </c>
      <c r="D1296" t="s">
        <v>842</v>
      </c>
      <c r="E1296" t="s">
        <v>9153</v>
      </c>
    </row>
    <row r="1297" spans="1:5" x14ac:dyDescent="0.2">
      <c r="A1297" t="s">
        <v>2723</v>
      </c>
      <c r="B1297" t="s">
        <v>2724</v>
      </c>
      <c r="C1297" t="s">
        <v>376</v>
      </c>
      <c r="D1297" t="s">
        <v>171</v>
      </c>
      <c r="E1297" t="s">
        <v>9153</v>
      </c>
    </row>
    <row r="1298" spans="1:5" x14ac:dyDescent="0.2">
      <c r="A1298" t="s">
        <v>2725</v>
      </c>
      <c r="B1298" t="s">
        <v>2726</v>
      </c>
      <c r="C1298" t="s">
        <v>244</v>
      </c>
      <c r="D1298" t="s">
        <v>275</v>
      </c>
      <c r="E1298" t="s">
        <v>9153</v>
      </c>
    </row>
    <row r="1299" spans="1:5" x14ac:dyDescent="0.2">
      <c r="A1299" t="s">
        <v>2727</v>
      </c>
      <c r="B1299" t="s">
        <v>2728</v>
      </c>
      <c r="C1299" t="s">
        <v>345</v>
      </c>
      <c r="D1299" t="s">
        <v>893</v>
      </c>
      <c r="E1299" t="s">
        <v>9153</v>
      </c>
    </row>
    <row r="1300" spans="1:5" x14ac:dyDescent="0.2">
      <c r="A1300" t="s">
        <v>2729</v>
      </c>
      <c r="B1300" t="s">
        <v>2730</v>
      </c>
      <c r="C1300" t="s">
        <v>742</v>
      </c>
      <c r="D1300" t="s">
        <v>1490</v>
      </c>
      <c r="E1300" t="s">
        <v>9153</v>
      </c>
    </row>
    <row r="1301" spans="1:5" x14ac:dyDescent="0.2">
      <c r="A1301" t="s">
        <v>2731</v>
      </c>
      <c r="B1301" t="s">
        <v>2732</v>
      </c>
      <c r="C1301" t="s">
        <v>742</v>
      </c>
      <c r="D1301" t="s">
        <v>773</v>
      </c>
      <c r="E1301" t="s">
        <v>9153</v>
      </c>
    </row>
    <row r="1302" spans="1:5" x14ac:dyDescent="0.2">
      <c r="A1302" t="s">
        <v>2733</v>
      </c>
      <c r="B1302" t="s">
        <v>2734</v>
      </c>
      <c r="C1302" t="s">
        <v>742</v>
      </c>
      <c r="D1302" t="s">
        <v>126</v>
      </c>
      <c r="E1302" t="s">
        <v>9153</v>
      </c>
    </row>
    <row r="1303" spans="1:5" x14ac:dyDescent="0.2">
      <c r="A1303" t="s">
        <v>2735</v>
      </c>
      <c r="B1303" t="s">
        <v>2736</v>
      </c>
      <c r="C1303" t="s">
        <v>742</v>
      </c>
      <c r="D1303" t="s">
        <v>386</v>
      </c>
      <c r="E1303" t="s">
        <v>9153</v>
      </c>
    </row>
    <row r="1304" spans="1:5" x14ac:dyDescent="0.2">
      <c r="A1304" t="s">
        <v>2737</v>
      </c>
      <c r="B1304" t="s">
        <v>2738</v>
      </c>
      <c r="C1304" t="s">
        <v>131</v>
      </c>
      <c r="D1304" t="s">
        <v>105</v>
      </c>
      <c r="E1304" t="s">
        <v>9153</v>
      </c>
    </row>
    <row r="1305" spans="1:5" x14ac:dyDescent="0.2">
      <c r="A1305" t="s">
        <v>2739</v>
      </c>
      <c r="B1305" t="s">
        <v>2740</v>
      </c>
      <c r="C1305" t="s">
        <v>131</v>
      </c>
      <c r="D1305" t="s">
        <v>110</v>
      </c>
      <c r="E1305" t="s">
        <v>9153</v>
      </c>
    </row>
    <row r="1306" spans="1:5" x14ac:dyDescent="0.2">
      <c r="A1306" t="s">
        <v>2741</v>
      </c>
      <c r="B1306" t="s">
        <v>2742</v>
      </c>
      <c r="C1306" t="s">
        <v>131</v>
      </c>
      <c r="D1306" t="s">
        <v>110</v>
      </c>
      <c r="E1306" t="s">
        <v>9153</v>
      </c>
    </row>
    <row r="1307" spans="1:5" x14ac:dyDescent="0.2">
      <c r="A1307" t="s">
        <v>2743</v>
      </c>
      <c r="B1307" t="s">
        <v>2744</v>
      </c>
      <c r="C1307" t="s">
        <v>212</v>
      </c>
      <c r="D1307" t="s">
        <v>93</v>
      </c>
      <c r="E1307" t="s">
        <v>9153</v>
      </c>
    </row>
    <row r="1308" spans="1:5" x14ac:dyDescent="0.2">
      <c r="A1308" t="s">
        <v>2745</v>
      </c>
      <c r="B1308" t="s">
        <v>2746</v>
      </c>
      <c r="C1308" t="s">
        <v>212</v>
      </c>
      <c r="D1308" t="s">
        <v>99</v>
      </c>
      <c r="E1308" t="s">
        <v>9153</v>
      </c>
    </row>
    <row r="1309" spans="1:5" x14ac:dyDescent="0.2">
      <c r="A1309" t="s">
        <v>2747</v>
      </c>
      <c r="B1309" t="s">
        <v>2748</v>
      </c>
      <c r="C1309" t="s">
        <v>212</v>
      </c>
      <c r="D1309" t="s">
        <v>99</v>
      </c>
      <c r="E1309" t="s">
        <v>9153</v>
      </c>
    </row>
    <row r="1310" spans="1:5" x14ac:dyDescent="0.2">
      <c r="A1310" t="s">
        <v>2749</v>
      </c>
      <c r="B1310" t="s">
        <v>2750</v>
      </c>
      <c r="C1310" t="s">
        <v>244</v>
      </c>
      <c r="D1310" t="s">
        <v>335</v>
      </c>
      <c r="E1310" t="s">
        <v>9153</v>
      </c>
    </row>
    <row r="1311" spans="1:5" x14ac:dyDescent="0.2">
      <c r="A1311" t="s">
        <v>2751</v>
      </c>
      <c r="B1311" t="s">
        <v>2752</v>
      </c>
      <c r="C1311" t="s">
        <v>244</v>
      </c>
      <c r="D1311" t="s">
        <v>335</v>
      </c>
      <c r="E1311" t="s">
        <v>9153</v>
      </c>
    </row>
    <row r="1312" spans="1:5" x14ac:dyDescent="0.2">
      <c r="A1312" t="s">
        <v>2753</v>
      </c>
      <c r="B1312" t="s">
        <v>2754</v>
      </c>
      <c r="C1312" t="s">
        <v>244</v>
      </c>
      <c r="D1312" t="s">
        <v>1458</v>
      </c>
      <c r="E1312" t="s">
        <v>9153</v>
      </c>
    </row>
    <row r="1313" spans="1:5" x14ac:dyDescent="0.2">
      <c r="A1313" t="s">
        <v>2755</v>
      </c>
      <c r="B1313" t="s">
        <v>2756</v>
      </c>
      <c r="C1313" t="s">
        <v>244</v>
      </c>
      <c r="D1313" t="s">
        <v>1458</v>
      </c>
      <c r="E1313" t="s">
        <v>9153</v>
      </c>
    </row>
    <row r="1314" spans="1:5" x14ac:dyDescent="0.2">
      <c r="A1314" t="s">
        <v>2757</v>
      </c>
      <c r="B1314" t="s">
        <v>2758</v>
      </c>
      <c r="C1314" t="s">
        <v>92</v>
      </c>
      <c r="D1314" t="s">
        <v>350</v>
      </c>
      <c r="E1314" t="s">
        <v>9153</v>
      </c>
    </row>
    <row r="1315" spans="1:5" x14ac:dyDescent="0.2">
      <c r="A1315" t="s">
        <v>2759</v>
      </c>
      <c r="B1315" t="s">
        <v>2760</v>
      </c>
      <c r="C1315" t="s">
        <v>120</v>
      </c>
      <c r="D1315" t="s">
        <v>350</v>
      </c>
      <c r="E1315" t="s">
        <v>9153</v>
      </c>
    </row>
    <row r="1316" spans="1:5" x14ac:dyDescent="0.2">
      <c r="A1316" t="s">
        <v>2761</v>
      </c>
      <c r="B1316" t="s">
        <v>2762</v>
      </c>
      <c r="C1316" t="s">
        <v>131</v>
      </c>
      <c r="D1316" t="s">
        <v>350</v>
      </c>
      <c r="E1316" t="s">
        <v>9153</v>
      </c>
    </row>
    <row r="1317" spans="1:5" x14ac:dyDescent="0.2">
      <c r="A1317" t="s">
        <v>2763</v>
      </c>
      <c r="B1317" t="s">
        <v>2764</v>
      </c>
      <c r="C1317" t="s">
        <v>104</v>
      </c>
      <c r="D1317" t="s">
        <v>350</v>
      </c>
      <c r="E1317" t="s">
        <v>9153</v>
      </c>
    </row>
    <row r="1318" spans="1:5" x14ac:dyDescent="0.2">
      <c r="A1318" t="s">
        <v>2765</v>
      </c>
      <c r="B1318" t="s">
        <v>2766</v>
      </c>
      <c r="C1318" t="s">
        <v>104</v>
      </c>
      <c r="D1318" t="s">
        <v>284</v>
      </c>
      <c r="E1318" t="s">
        <v>9153</v>
      </c>
    </row>
    <row r="1319" spans="1:5" x14ac:dyDescent="0.2">
      <c r="A1319" t="s">
        <v>2767</v>
      </c>
      <c r="B1319" t="s">
        <v>2768</v>
      </c>
      <c r="C1319" t="s">
        <v>131</v>
      </c>
      <c r="D1319" t="s">
        <v>1831</v>
      </c>
      <c r="E1319" t="s">
        <v>9153</v>
      </c>
    </row>
    <row r="1320" spans="1:5" x14ac:dyDescent="0.2">
      <c r="A1320" t="s">
        <v>2769</v>
      </c>
      <c r="B1320" t="s">
        <v>2770</v>
      </c>
      <c r="C1320" t="s">
        <v>120</v>
      </c>
      <c r="D1320" t="s">
        <v>853</v>
      </c>
      <c r="E1320" t="s">
        <v>9153</v>
      </c>
    </row>
    <row r="1321" spans="1:5" x14ac:dyDescent="0.2">
      <c r="A1321" t="s">
        <v>2771</v>
      </c>
      <c r="B1321" t="s">
        <v>2772</v>
      </c>
      <c r="C1321" t="s">
        <v>120</v>
      </c>
      <c r="D1321" t="s">
        <v>535</v>
      </c>
      <c r="E1321" t="s">
        <v>9153</v>
      </c>
    </row>
    <row r="1322" spans="1:5" x14ac:dyDescent="0.2">
      <c r="A1322" t="s">
        <v>2773</v>
      </c>
      <c r="B1322" t="s">
        <v>2774</v>
      </c>
      <c r="C1322" t="s">
        <v>120</v>
      </c>
      <c r="D1322" t="s">
        <v>535</v>
      </c>
      <c r="E1322" t="s">
        <v>9153</v>
      </c>
    </row>
    <row r="1323" spans="1:5" x14ac:dyDescent="0.2">
      <c r="A1323" t="s">
        <v>2775</v>
      </c>
      <c r="B1323" t="s">
        <v>2776</v>
      </c>
      <c r="C1323" t="s">
        <v>92</v>
      </c>
      <c r="D1323" t="s">
        <v>489</v>
      </c>
      <c r="E1323" t="s">
        <v>9153</v>
      </c>
    </row>
    <row r="1324" spans="1:5" x14ac:dyDescent="0.2">
      <c r="A1324" t="s">
        <v>2777</v>
      </c>
      <c r="B1324" t="s">
        <v>2778</v>
      </c>
      <c r="C1324" t="s">
        <v>120</v>
      </c>
      <c r="D1324" t="s">
        <v>1831</v>
      </c>
      <c r="E1324" t="s">
        <v>9153</v>
      </c>
    </row>
    <row r="1325" spans="1:5" x14ac:dyDescent="0.2">
      <c r="A1325" t="s">
        <v>2779</v>
      </c>
      <c r="B1325" t="s">
        <v>2780</v>
      </c>
      <c r="C1325" t="s">
        <v>131</v>
      </c>
      <c r="D1325" t="s">
        <v>1868</v>
      </c>
      <c r="E1325" t="s">
        <v>9153</v>
      </c>
    </row>
    <row r="1326" spans="1:5" x14ac:dyDescent="0.2">
      <c r="A1326" t="s">
        <v>2781</v>
      </c>
      <c r="B1326" t="s">
        <v>2782</v>
      </c>
      <c r="C1326" t="s">
        <v>131</v>
      </c>
      <c r="D1326" t="s">
        <v>1793</v>
      </c>
      <c r="E1326" t="s">
        <v>9153</v>
      </c>
    </row>
    <row r="1327" spans="1:5" x14ac:dyDescent="0.2">
      <c r="A1327" t="s">
        <v>2783</v>
      </c>
      <c r="B1327" t="s">
        <v>2784</v>
      </c>
      <c r="C1327" t="s">
        <v>104</v>
      </c>
      <c r="D1327" t="s">
        <v>200</v>
      </c>
      <c r="E1327" t="s">
        <v>9153</v>
      </c>
    </row>
    <row r="1328" spans="1:5" x14ac:dyDescent="0.2">
      <c r="A1328" t="s">
        <v>2785</v>
      </c>
      <c r="B1328" t="s">
        <v>2786</v>
      </c>
      <c r="C1328" t="s">
        <v>219</v>
      </c>
      <c r="D1328" t="s">
        <v>2787</v>
      </c>
      <c r="E1328" t="s">
        <v>9153</v>
      </c>
    </row>
    <row r="1329" spans="1:5" x14ac:dyDescent="0.2">
      <c r="A1329" t="s">
        <v>2788</v>
      </c>
      <c r="B1329" t="s">
        <v>2789</v>
      </c>
      <c r="C1329" t="s">
        <v>219</v>
      </c>
      <c r="D1329" t="s">
        <v>140</v>
      </c>
      <c r="E1329" t="s">
        <v>9153</v>
      </c>
    </row>
    <row r="1330" spans="1:5" x14ac:dyDescent="0.2">
      <c r="A1330" t="s">
        <v>14</v>
      </c>
      <c r="B1330" t="s">
        <v>2790</v>
      </c>
      <c r="C1330" t="s">
        <v>244</v>
      </c>
      <c r="D1330" t="s">
        <v>743</v>
      </c>
      <c r="E1330" t="s">
        <v>9153</v>
      </c>
    </row>
    <row r="1331" spans="1:5" x14ac:dyDescent="0.2">
      <c r="A1331" t="s">
        <v>2791</v>
      </c>
      <c r="B1331" t="s">
        <v>2792</v>
      </c>
      <c r="C1331" t="s">
        <v>244</v>
      </c>
      <c r="D1331" t="s">
        <v>743</v>
      </c>
      <c r="E1331" t="s">
        <v>9153</v>
      </c>
    </row>
    <row r="1332" spans="1:5" x14ac:dyDescent="0.2">
      <c r="A1332" t="s">
        <v>2793</v>
      </c>
      <c r="B1332" t="s">
        <v>2794</v>
      </c>
      <c r="C1332" t="s">
        <v>251</v>
      </c>
      <c r="D1332" t="s">
        <v>433</v>
      </c>
      <c r="E1332" t="s">
        <v>9153</v>
      </c>
    </row>
    <row r="1333" spans="1:5" x14ac:dyDescent="0.2">
      <c r="A1333" t="s">
        <v>2795</v>
      </c>
      <c r="B1333" t="s">
        <v>2796</v>
      </c>
      <c r="C1333" t="s">
        <v>251</v>
      </c>
      <c r="D1333" t="s">
        <v>224</v>
      </c>
      <c r="E1333" t="s">
        <v>9153</v>
      </c>
    </row>
    <row r="1334" spans="1:5" x14ac:dyDescent="0.2">
      <c r="A1334" t="s">
        <v>2797</v>
      </c>
      <c r="B1334" t="s">
        <v>2798</v>
      </c>
      <c r="C1334" t="s">
        <v>287</v>
      </c>
      <c r="D1334" t="s">
        <v>539</v>
      </c>
      <c r="E1334" t="s">
        <v>9153</v>
      </c>
    </row>
    <row r="1335" spans="1:5" x14ac:dyDescent="0.2">
      <c r="A1335" t="s">
        <v>2799</v>
      </c>
      <c r="B1335" t="s">
        <v>2800</v>
      </c>
      <c r="C1335" t="s">
        <v>287</v>
      </c>
      <c r="D1335" t="s">
        <v>539</v>
      </c>
      <c r="E1335" t="s">
        <v>9153</v>
      </c>
    </row>
    <row r="1336" spans="1:5" x14ac:dyDescent="0.2">
      <c r="A1336" t="s">
        <v>2801</v>
      </c>
      <c r="B1336" t="s">
        <v>2802</v>
      </c>
      <c r="C1336" t="s">
        <v>287</v>
      </c>
      <c r="D1336" t="s">
        <v>266</v>
      </c>
      <c r="E1336" t="s">
        <v>9153</v>
      </c>
    </row>
    <row r="1337" spans="1:5" x14ac:dyDescent="0.2">
      <c r="A1337" t="s">
        <v>2803</v>
      </c>
      <c r="B1337" t="s">
        <v>2804</v>
      </c>
      <c r="C1337" t="s">
        <v>287</v>
      </c>
      <c r="D1337" t="s">
        <v>266</v>
      </c>
      <c r="E1337" t="s">
        <v>9153</v>
      </c>
    </row>
    <row r="1338" spans="1:5" x14ac:dyDescent="0.2">
      <c r="A1338" t="s">
        <v>2611</v>
      </c>
      <c r="B1338" t="s">
        <v>9154</v>
      </c>
      <c r="C1338" t="s">
        <v>376</v>
      </c>
      <c r="D1338" t="s">
        <v>299</v>
      </c>
      <c r="E1338" t="s">
        <v>9153</v>
      </c>
    </row>
    <row r="1339" spans="1:5" x14ac:dyDescent="0.2">
      <c r="A1339" t="s">
        <v>2805</v>
      </c>
      <c r="B1339" t="s">
        <v>2806</v>
      </c>
      <c r="C1339" t="s">
        <v>322</v>
      </c>
      <c r="D1339" t="s">
        <v>1058</v>
      </c>
      <c r="E1339" t="s">
        <v>9153</v>
      </c>
    </row>
    <row r="1340" spans="1:5" x14ac:dyDescent="0.2">
      <c r="A1340" t="s">
        <v>2807</v>
      </c>
      <c r="B1340" t="s">
        <v>2808</v>
      </c>
      <c r="C1340" t="s">
        <v>322</v>
      </c>
      <c r="D1340" t="s">
        <v>400</v>
      </c>
      <c r="E1340" t="s">
        <v>9153</v>
      </c>
    </row>
    <row r="1341" spans="1:5" x14ac:dyDescent="0.2">
      <c r="A1341" t="s">
        <v>2809</v>
      </c>
      <c r="B1341" t="s">
        <v>2810</v>
      </c>
      <c r="C1341" t="s">
        <v>219</v>
      </c>
      <c r="D1341" t="s">
        <v>224</v>
      </c>
      <c r="E1341" t="s">
        <v>9153</v>
      </c>
    </row>
    <row r="1342" spans="1:5" x14ac:dyDescent="0.2">
      <c r="A1342" t="s">
        <v>2811</v>
      </c>
      <c r="B1342" t="s">
        <v>2812</v>
      </c>
      <c r="C1342" t="s">
        <v>219</v>
      </c>
      <c r="D1342" t="s">
        <v>224</v>
      </c>
      <c r="E1342" t="s">
        <v>9153</v>
      </c>
    </row>
    <row r="1343" spans="1:5" x14ac:dyDescent="0.2">
      <c r="A1343" t="s">
        <v>2813</v>
      </c>
      <c r="B1343" t="s">
        <v>2814</v>
      </c>
      <c r="C1343" t="s">
        <v>251</v>
      </c>
      <c r="D1343" t="s">
        <v>99</v>
      </c>
      <c r="E1343" t="s">
        <v>9153</v>
      </c>
    </row>
    <row r="1344" spans="1:5" x14ac:dyDescent="0.2">
      <c r="A1344" t="s">
        <v>2815</v>
      </c>
      <c r="B1344" t="s">
        <v>2816</v>
      </c>
      <c r="C1344" t="s">
        <v>251</v>
      </c>
      <c r="D1344" t="s">
        <v>99</v>
      </c>
      <c r="E1344" t="s">
        <v>9153</v>
      </c>
    </row>
    <row r="1345" spans="1:5" x14ac:dyDescent="0.2">
      <c r="A1345" t="s">
        <v>2817</v>
      </c>
      <c r="B1345" t="s">
        <v>2818</v>
      </c>
      <c r="C1345" t="s">
        <v>251</v>
      </c>
      <c r="D1345" t="s">
        <v>1490</v>
      </c>
      <c r="E1345" t="s">
        <v>9153</v>
      </c>
    </row>
    <row r="1346" spans="1:5" x14ac:dyDescent="0.2">
      <c r="A1346" t="s">
        <v>2819</v>
      </c>
      <c r="B1346" t="s">
        <v>2820</v>
      </c>
      <c r="C1346" t="s">
        <v>251</v>
      </c>
      <c r="D1346" t="s">
        <v>386</v>
      </c>
      <c r="E1346" t="s">
        <v>9153</v>
      </c>
    </row>
    <row r="1347" spans="1:5" x14ac:dyDescent="0.2">
      <c r="A1347" t="s">
        <v>2821</v>
      </c>
      <c r="B1347" t="s">
        <v>2822</v>
      </c>
      <c r="C1347" t="s">
        <v>227</v>
      </c>
      <c r="D1347" t="s">
        <v>1493</v>
      </c>
      <c r="E1347" t="s">
        <v>9153</v>
      </c>
    </row>
    <row r="1348" spans="1:5" x14ac:dyDescent="0.2">
      <c r="A1348" t="s">
        <v>2823</v>
      </c>
      <c r="B1348" t="s">
        <v>2824</v>
      </c>
      <c r="C1348" t="s">
        <v>227</v>
      </c>
      <c r="D1348" t="s">
        <v>622</v>
      </c>
      <c r="E1348" t="s">
        <v>9153</v>
      </c>
    </row>
    <row r="1349" spans="1:5" x14ac:dyDescent="0.2">
      <c r="A1349" t="s">
        <v>2825</v>
      </c>
      <c r="B1349" t="s">
        <v>2826</v>
      </c>
      <c r="C1349" t="s">
        <v>669</v>
      </c>
      <c r="D1349" t="s">
        <v>2012</v>
      </c>
      <c r="E1349" t="s">
        <v>9155</v>
      </c>
    </row>
    <row r="1350" spans="1:5" x14ac:dyDescent="0.2">
      <c r="A1350" t="s">
        <v>2827</v>
      </c>
      <c r="B1350" t="s">
        <v>2828</v>
      </c>
      <c r="C1350" t="s">
        <v>669</v>
      </c>
      <c r="D1350" t="s">
        <v>2012</v>
      </c>
      <c r="E1350" t="s">
        <v>9155</v>
      </c>
    </row>
    <row r="1351" spans="1:5" x14ac:dyDescent="0.2">
      <c r="A1351" t="s">
        <v>2829</v>
      </c>
      <c r="B1351" t="s">
        <v>2830</v>
      </c>
      <c r="C1351" t="s">
        <v>669</v>
      </c>
      <c r="D1351" t="s">
        <v>818</v>
      </c>
      <c r="E1351" t="s">
        <v>9155</v>
      </c>
    </row>
    <row r="1352" spans="1:5" x14ac:dyDescent="0.2">
      <c r="A1352" t="s">
        <v>2831</v>
      </c>
      <c r="B1352" t="s">
        <v>2832</v>
      </c>
      <c r="C1352" t="s">
        <v>669</v>
      </c>
      <c r="D1352" t="s">
        <v>568</v>
      </c>
      <c r="E1352" t="s">
        <v>9155</v>
      </c>
    </row>
    <row r="1353" spans="1:5" x14ac:dyDescent="0.2">
      <c r="A1353" t="s">
        <v>2834</v>
      </c>
      <c r="B1353" t="s">
        <v>2835</v>
      </c>
      <c r="C1353" t="s">
        <v>9124</v>
      </c>
      <c r="D1353" t="s">
        <v>323</v>
      </c>
      <c r="E1353" t="s">
        <v>9155</v>
      </c>
    </row>
    <row r="1354" spans="1:5" x14ac:dyDescent="0.2">
      <c r="A1354" t="s">
        <v>2836</v>
      </c>
      <c r="B1354" t="s">
        <v>2837</v>
      </c>
      <c r="C1354" t="s">
        <v>9124</v>
      </c>
      <c r="D1354" t="s">
        <v>115</v>
      </c>
      <c r="E1354" t="s">
        <v>9155</v>
      </c>
    </row>
    <row r="1355" spans="1:5" x14ac:dyDescent="0.2">
      <c r="A1355" t="s">
        <v>2838</v>
      </c>
      <c r="B1355" t="s">
        <v>2839</v>
      </c>
      <c r="C1355" t="s">
        <v>9124</v>
      </c>
      <c r="D1355" t="s">
        <v>309</v>
      </c>
      <c r="E1355" t="s">
        <v>9155</v>
      </c>
    </row>
    <row r="1356" spans="1:5" x14ac:dyDescent="0.2">
      <c r="A1356" t="s">
        <v>2840</v>
      </c>
      <c r="B1356" t="s">
        <v>2841</v>
      </c>
      <c r="C1356" t="s">
        <v>9124</v>
      </c>
      <c r="D1356" t="s">
        <v>224</v>
      </c>
      <c r="E1356" t="s">
        <v>9155</v>
      </c>
    </row>
    <row r="1357" spans="1:5" x14ac:dyDescent="0.2">
      <c r="A1357" t="s">
        <v>2842</v>
      </c>
      <c r="B1357" t="s">
        <v>2843</v>
      </c>
      <c r="C1357" t="s">
        <v>9124</v>
      </c>
      <c r="D1357" t="s">
        <v>604</v>
      </c>
      <c r="E1357" t="s">
        <v>9155</v>
      </c>
    </row>
    <row r="1358" spans="1:5" x14ac:dyDescent="0.2">
      <c r="A1358" t="s">
        <v>2844</v>
      </c>
      <c r="B1358" t="s">
        <v>2845</v>
      </c>
      <c r="C1358" t="s">
        <v>9124</v>
      </c>
      <c r="D1358" t="s">
        <v>386</v>
      </c>
      <c r="E1358" t="s">
        <v>9155</v>
      </c>
    </row>
    <row r="1359" spans="1:5" x14ac:dyDescent="0.2">
      <c r="A1359" t="s">
        <v>2846</v>
      </c>
      <c r="B1359" t="s">
        <v>2847</v>
      </c>
      <c r="C1359" t="s">
        <v>669</v>
      </c>
      <c r="D1359" t="s">
        <v>473</v>
      </c>
      <c r="E1359" t="s">
        <v>9155</v>
      </c>
    </row>
    <row r="1360" spans="1:5" x14ac:dyDescent="0.2">
      <c r="A1360" t="s">
        <v>2848</v>
      </c>
      <c r="B1360" t="s">
        <v>2849</v>
      </c>
      <c r="C1360" t="s">
        <v>669</v>
      </c>
      <c r="D1360" t="s">
        <v>150</v>
      </c>
      <c r="E1360" t="s">
        <v>9155</v>
      </c>
    </row>
    <row r="1361" spans="1:5" x14ac:dyDescent="0.2">
      <c r="A1361" t="s">
        <v>2850</v>
      </c>
      <c r="B1361" t="s">
        <v>2851</v>
      </c>
      <c r="C1361" t="s">
        <v>669</v>
      </c>
      <c r="D1361" t="s">
        <v>394</v>
      </c>
      <c r="E1361" t="s">
        <v>9155</v>
      </c>
    </row>
    <row r="1362" spans="1:5" x14ac:dyDescent="0.2">
      <c r="A1362" t="s">
        <v>2852</v>
      </c>
      <c r="B1362" t="s">
        <v>2853</v>
      </c>
      <c r="C1362" t="s">
        <v>669</v>
      </c>
      <c r="D1362" t="s">
        <v>604</v>
      </c>
      <c r="E1362" t="s">
        <v>9155</v>
      </c>
    </row>
    <row r="1363" spans="1:5" x14ac:dyDescent="0.2">
      <c r="A1363" t="s">
        <v>2854</v>
      </c>
      <c r="B1363" t="s">
        <v>2855</v>
      </c>
      <c r="C1363" t="s">
        <v>92</v>
      </c>
      <c r="D1363" t="s">
        <v>2856</v>
      </c>
      <c r="E1363" t="s">
        <v>2473</v>
      </c>
    </row>
    <row r="1364" spans="1:5" x14ac:dyDescent="0.2">
      <c r="A1364" t="s">
        <v>2857</v>
      </c>
      <c r="B1364" t="s">
        <v>2858</v>
      </c>
      <c r="C1364" t="s">
        <v>92</v>
      </c>
      <c r="D1364" t="s">
        <v>433</v>
      </c>
      <c r="E1364" t="s">
        <v>2473</v>
      </c>
    </row>
    <row r="1365" spans="1:5" x14ac:dyDescent="0.2">
      <c r="A1365" t="s">
        <v>2860</v>
      </c>
      <c r="B1365" t="s">
        <v>2861</v>
      </c>
      <c r="C1365" t="s">
        <v>104</v>
      </c>
      <c r="D1365" t="s">
        <v>459</v>
      </c>
      <c r="E1365" t="s">
        <v>2473</v>
      </c>
    </row>
    <row r="1366" spans="1:5" x14ac:dyDescent="0.2">
      <c r="A1366" t="s">
        <v>2862</v>
      </c>
      <c r="B1366" t="s">
        <v>2863</v>
      </c>
      <c r="C1366" t="s">
        <v>104</v>
      </c>
      <c r="D1366" t="s">
        <v>338</v>
      </c>
      <c r="E1366" t="s">
        <v>2473</v>
      </c>
    </row>
    <row r="1367" spans="1:5" x14ac:dyDescent="0.2">
      <c r="A1367" t="s">
        <v>2864</v>
      </c>
      <c r="B1367" t="s">
        <v>2865</v>
      </c>
      <c r="C1367" t="s">
        <v>104</v>
      </c>
      <c r="D1367" t="s">
        <v>459</v>
      </c>
      <c r="E1367" t="s">
        <v>2473</v>
      </c>
    </row>
    <row r="1368" spans="1:5" x14ac:dyDescent="0.2">
      <c r="A1368" t="s">
        <v>2866</v>
      </c>
      <c r="B1368" t="s">
        <v>2867</v>
      </c>
      <c r="C1368" t="s">
        <v>104</v>
      </c>
      <c r="D1368" t="s">
        <v>338</v>
      </c>
      <c r="E1368" t="s">
        <v>2473</v>
      </c>
    </row>
    <row r="1369" spans="1:5" x14ac:dyDescent="0.2">
      <c r="A1369" t="s">
        <v>2868</v>
      </c>
      <c r="B1369" t="s">
        <v>2869</v>
      </c>
      <c r="C1369" t="s">
        <v>322</v>
      </c>
      <c r="D1369" t="s">
        <v>710</v>
      </c>
      <c r="E1369" t="s">
        <v>2473</v>
      </c>
    </row>
    <row r="1370" spans="1:5" x14ac:dyDescent="0.2">
      <c r="A1370" t="s">
        <v>2870</v>
      </c>
      <c r="B1370" t="s">
        <v>2871</v>
      </c>
      <c r="C1370" t="s">
        <v>9124</v>
      </c>
      <c r="D1370" t="s">
        <v>1793</v>
      </c>
      <c r="E1370" t="s">
        <v>9156</v>
      </c>
    </row>
    <row r="1371" spans="1:5" x14ac:dyDescent="0.2">
      <c r="A1371" t="s">
        <v>2872</v>
      </c>
      <c r="B1371" t="s">
        <v>2873</v>
      </c>
      <c r="C1371" t="s">
        <v>9124</v>
      </c>
      <c r="D1371" t="s">
        <v>1793</v>
      </c>
      <c r="E1371" t="s">
        <v>9156</v>
      </c>
    </row>
    <row r="1372" spans="1:5" x14ac:dyDescent="0.2">
      <c r="A1372" t="s">
        <v>2874</v>
      </c>
      <c r="B1372" t="s">
        <v>2875</v>
      </c>
      <c r="C1372" t="s">
        <v>669</v>
      </c>
      <c r="D1372" t="s">
        <v>818</v>
      </c>
      <c r="E1372" t="s">
        <v>9157</v>
      </c>
    </row>
    <row r="1373" spans="1:5" x14ac:dyDescent="0.2">
      <c r="A1373" t="s">
        <v>2876</v>
      </c>
      <c r="B1373" t="s">
        <v>2877</v>
      </c>
      <c r="C1373" t="s">
        <v>669</v>
      </c>
      <c r="D1373" t="s">
        <v>818</v>
      </c>
      <c r="E1373" t="s">
        <v>9157</v>
      </c>
    </row>
    <row r="1374" spans="1:5" x14ac:dyDescent="0.2">
      <c r="A1374" t="s">
        <v>2878</v>
      </c>
      <c r="B1374" t="s">
        <v>2879</v>
      </c>
      <c r="C1374" t="s">
        <v>9124</v>
      </c>
      <c r="D1374" t="s">
        <v>156</v>
      </c>
      <c r="E1374" t="s">
        <v>9156</v>
      </c>
    </row>
    <row r="1375" spans="1:5" x14ac:dyDescent="0.2">
      <c r="A1375" t="s">
        <v>2880</v>
      </c>
      <c r="B1375" t="s">
        <v>2881</v>
      </c>
      <c r="C1375" t="s">
        <v>9124</v>
      </c>
      <c r="D1375" t="s">
        <v>156</v>
      </c>
      <c r="E1375" t="s">
        <v>9156</v>
      </c>
    </row>
    <row r="1376" spans="1:5" x14ac:dyDescent="0.2">
      <c r="A1376" t="s">
        <v>2882</v>
      </c>
      <c r="B1376" t="s">
        <v>2883</v>
      </c>
      <c r="C1376" t="s">
        <v>104</v>
      </c>
      <c r="D1376" t="s">
        <v>377</v>
      </c>
      <c r="E1376" t="s">
        <v>2473</v>
      </c>
    </row>
    <row r="1377" spans="1:5" x14ac:dyDescent="0.2">
      <c r="A1377" t="s">
        <v>2884</v>
      </c>
      <c r="B1377" t="s">
        <v>2885</v>
      </c>
      <c r="C1377" t="s">
        <v>104</v>
      </c>
      <c r="D1377" t="s">
        <v>156</v>
      </c>
      <c r="E1377" t="s">
        <v>2473</v>
      </c>
    </row>
    <row r="1378" spans="1:5" x14ac:dyDescent="0.2">
      <c r="A1378" t="s">
        <v>2886</v>
      </c>
      <c r="B1378" t="s">
        <v>2887</v>
      </c>
      <c r="C1378" t="s">
        <v>591</v>
      </c>
      <c r="D1378" t="s">
        <v>1006</v>
      </c>
      <c r="E1378" t="s">
        <v>9158</v>
      </c>
    </row>
    <row r="1379" spans="1:5" x14ac:dyDescent="0.2">
      <c r="A1379" t="s">
        <v>2888</v>
      </c>
      <c r="B1379" t="s">
        <v>2889</v>
      </c>
      <c r="C1379" t="s">
        <v>705</v>
      </c>
      <c r="D1379" t="s">
        <v>380</v>
      </c>
      <c r="E1379" t="s">
        <v>9158</v>
      </c>
    </row>
    <row r="1380" spans="1:5" x14ac:dyDescent="0.2">
      <c r="A1380" t="s">
        <v>2890</v>
      </c>
      <c r="B1380" t="s">
        <v>2891</v>
      </c>
      <c r="C1380" t="s">
        <v>705</v>
      </c>
      <c r="D1380" t="s">
        <v>380</v>
      </c>
      <c r="E1380" t="s">
        <v>9158</v>
      </c>
    </row>
    <row r="1381" spans="1:5" x14ac:dyDescent="0.2">
      <c r="A1381" t="s">
        <v>2892</v>
      </c>
      <c r="B1381" t="s">
        <v>2893</v>
      </c>
      <c r="C1381" t="s">
        <v>219</v>
      </c>
      <c r="D1381" t="s">
        <v>93</v>
      </c>
      <c r="E1381" t="s">
        <v>9158</v>
      </c>
    </row>
    <row r="1382" spans="1:5" x14ac:dyDescent="0.2">
      <c r="A1382" t="s">
        <v>2894</v>
      </c>
      <c r="B1382" t="s">
        <v>2895</v>
      </c>
      <c r="C1382" t="s">
        <v>199</v>
      </c>
      <c r="D1382" t="s">
        <v>223</v>
      </c>
      <c r="E1382" t="s">
        <v>9158</v>
      </c>
    </row>
    <row r="1383" spans="1:5" x14ac:dyDescent="0.2">
      <c r="A1383" t="s">
        <v>2896</v>
      </c>
      <c r="B1383" t="s">
        <v>2897</v>
      </c>
      <c r="C1383" t="s">
        <v>199</v>
      </c>
      <c r="D1383" t="s">
        <v>223</v>
      </c>
      <c r="E1383" t="s">
        <v>9158</v>
      </c>
    </row>
    <row r="1384" spans="1:5" x14ac:dyDescent="0.2">
      <c r="A1384" t="s">
        <v>2898</v>
      </c>
      <c r="B1384" t="s">
        <v>2899</v>
      </c>
      <c r="C1384" t="s">
        <v>219</v>
      </c>
      <c r="D1384" t="s">
        <v>456</v>
      </c>
      <c r="E1384" t="s">
        <v>9158</v>
      </c>
    </row>
    <row r="1385" spans="1:5" x14ac:dyDescent="0.2">
      <c r="A1385" t="s">
        <v>2900</v>
      </c>
      <c r="B1385" t="s">
        <v>2901</v>
      </c>
      <c r="C1385" t="s">
        <v>251</v>
      </c>
      <c r="D1385" t="s">
        <v>93</v>
      </c>
      <c r="E1385" t="s">
        <v>9158</v>
      </c>
    </row>
    <row r="1386" spans="1:5" x14ac:dyDescent="0.2">
      <c r="A1386" t="s">
        <v>2902</v>
      </c>
      <c r="B1386" t="s">
        <v>2903</v>
      </c>
      <c r="C1386" t="s">
        <v>227</v>
      </c>
      <c r="D1386" t="s">
        <v>822</v>
      </c>
      <c r="E1386" t="s">
        <v>9158</v>
      </c>
    </row>
    <row r="1387" spans="1:5" x14ac:dyDescent="0.2">
      <c r="A1387" t="s">
        <v>2904</v>
      </c>
      <c r="B1387" t="s">
        <v>2905</v>
      </c>
      <c r="C1387" t="s">
        <v>227</v>
      </c>
      <c r="D1387" t="s">
        <v>842</v>
      </c>
      <c r="E1387" t="s">
        <v>9158</v>
      </c>
    </row>
    <row r="1388" spans="1:5" x14ac:dyDescent="0.2">
      <c r="A1388" t="s">
        <v>2906</v>
      </c>
      <c r="B1388" t="s">
        <v>2907</v>
      </c>
      <c r="C1388" t="s">
        <v>212</v>
      </c>
      <c r="D1388" t="s">
        <v>588</v>
      </c>
      <c r="E1388" t="s">
        <v>9158</v>
      </c>
    </row>
    <row r="1389" spans="1:5" x14ac:dyDescent="0.2">
      <c r="A1389" t="s">
        <v>2908</v>
      </c>
      <c r="B1389" t="s">
        <v>2909</v>
      </c>
      <c r="C1389" t="s">
        <v>212</v>
      </c>
      <c r="D1389" t="s">
        <v>588</v>
      </c>
      <c r="E1389" t="s">
        <v>9158</v>
      </c>
    </row>
    <row r="1390" spans="1:5" x14ac:dyDescent="0.2">
      <c r="A1390" t="s">
        <v>2910</v>
      </c>
      <c r="B1390" t="s">
        <v>2911</v>
      </c>
      <c r="C1390" t="s">
        <v>331</v>
      </c>
      <c r="D1390" t="s">
        <v>813</v>
      </c>
      <c r="E1390" t="s">
        <v>2473</v>
      </c>
    </row>
    <row r="1391" spans="1:5" x14ac:dyDescent="0.2">
      <c r="A1391" t="s">
        <v>2912</v>
      </c>
      <c r="B1391" t="s">
        <v>2913</v>
      </c>
      <c r="C1391" t="s">
        <v>331</v>
      </c>
      <c r="D1391" t="s">
        <v>220</v>
      </c>
      <c r="E1391" t="s">
        <v>2473</v>
      </c>
    </row>
    <row r="1392" spans="1:5" x14ac:dyDescent="0.2">
      <c r="A1392" t="s">
        <v>2972</v>
      </c>
      <c r="B1392" t="s">
        <v>2973</v>
      </c>
      <c r="C1392" t="s">
        <v>131</v>
      </c>
      <c r="D1392" t="s">
        <v>1772</v>
      </c>
      <c r="E1392" t="s">
        <v>9158</v>
      </c>
    </row>
    <row r="1393" spans="1:5" x14ac:dyDescent="0.2">
      <c r="A1393" t="s">
        <v>2974</v>
      </c>
      <c r="B1393" t="s">
        <v>2975</v>
      </c>
      <c r="C1393" t="s">
        <v>104</v>
      </c>
      <c r="D1393" t="s">
        <v>596</v>
      </c>
      <c r="E1393" t="s">
        <v>9158</v>
      </c>
    </row>
    <row r="1394" spans="1:5" x14ac:dyDescent="0.2">
      <c r="A1394" t="s">
        <v>2976</v>
      </c>
      <c r="B1394" t="s">
        <v>2977</v>
      </c>
      <c r="C1394" t="s">
        <v>104</v>
      </c>
      <c r="D1394" t="s">
        <v>105</v>
      </c>
      <c r="E1394" t="s">
        <v>9158</v>
      </c>
    </row>
    <row r="1395" spans="1:5" x14ac:dyDescent="0.2">
      <c r="A1395" t="s">
        <v>2978</v>
      </c>
      <c r="B1395" t="s">
        <v>2979</v>
      </c>
      <c r="C1395" t="s">
        <v>131</v>
      </c>
      <c r="D1395" t="s">
        <v>654</v>
      </c>
      <c r="E1395" t="s">
        <v>9158</v>
      </c>
    </row>
    <row r="1396" spans="1:5" x14ac:dyDescent="0.2">
      <c r="A1396" t="s">
        <v>2980</v>
      </c>
      <c r="B1396" t="s">
        <v>2981</v>
      </c>
      <c r="C1396" t="s">
        <v>131</v>
      </c>
      <c r="D1396" t="s">
        <v>441</v>
      </c>
      <c r="E1396" t="s">
        <v>9158</v>
      </c>
    </row>
    <row r="1397" spans="1:5" x14ac:dyDescent="0.2">
      <c r="A1397" t="s">
        <v>2982</v>
      </c>
      <c r="B1397" t="s">
        <v>2983</v>
      </c>
      <c r="C1397" t="s">
        <v>219</v>
      </c>
      <c r="D1397" t="s">
        <v>773</v>
      </c>
      <c r="E1397" t="s">
        <v>9159</v>
      </c>
    </row>
    <row r="1398" spans="1:5" x14ac:dyDescent="0.2">
      <c r="A1398" t="s">
        <v>2984</v>
      </c>
      <c r="B1398" t="s">
        <v>2985</v>
      </c>
      <c r="C1398" t="s">
        <v>219</v>
      </c>
      <c r="D1398" t="s">
        <v>245</v>
      </c>
      <c r="E1398" t="s">
        <v>9159</v>
      </c>
    </row>
    <row r="1399" spans="1:5" x14ac:dyDescent="0.2">
      <c r="A1399" t="s">
        <v>2986</v>
      </c>
      <c r="B1399" t="s">
        <v>2987</v>
      </c>
      <c r="C1399" t="s">
        <v>219</v>
      </c>
      <c r="D1399" t="s">
        <v>245</v>
      </c>
      <c r="E1399" t="s">
        <v>9159</v>
      </c>
    </row>
    <row r="1400" spans="1:5" x14ac:dyDescent="0.2">
      <c r="A1400" t="s">
        <v>2914</v>
      </c>
      <c r="B1400" t="s">
        <v>2915</v>
      </c>
      <c r="C1400" t="s">
        <v>2471</v>
      </c>
      <c r="D1400" t="s">
        <v>323</v>
      </c>
      <c r="E1400" t="s">
        <v>9136</v>
      </c>
    </row>
    <row r="1401" spans="1:5" x14ac:dyDescent="0.2">
      <c r="A1401" t="s">
        <v>2916</v>
      </c>
      <c r="B1401" t="s">
        <v>2917</v>
      </c>
      <c r="C1401" t="s">
        <v>2471</v>
      </c>
      <c r="D1401" t="s">
        <v>323</v>
      </c>
      <c r="E1401" t="s">
        <v>9136</v>
      </c>
    </row>
    <row r="1402" spans="1:5" x14ac:dyDescent="0.2">
      <c r="A1402" t="s">
        <v>2918</v>
      </c>
      <c r="B1402" t="s">
        <v>2919</v>
      </c>
      <c r="C1402" t="s">
        <v>2471</v>
      </c>
      <c r="D1402" t="s">
        <v>444</v>
      </c>
      <c r="E1402" t="s">
        <v>9136</v>
      </c>
    </row>
    <row r="1403" spans="1:5" x14ac:dyDescent="0.2">
      <c r="A1403" t="s">
        <v>2920</v>
      </c>
      <c r="B1403" t="s">
        <v>2921</v>
      </c>
      <c r="C1403" t="s">
        <v>2471</v>
      </c>
      <c r="D1403" t="s">
        <v>444</v>
      </c>
      <c r="E1403" t="s">
        <v>9136</v>
      </c>
    </row>
    <row r="1404" spans="1:5" x14ac:dyDescent="0.2">
      <c r="A1404" t="s">
        <v>2922</v>
      </c>
      <c r="B1404" t="s">
        <v>2923</v>
      </c>
      <c r="C1404" t="s">
        <v>219</v>
      </c>
      <c r="D1404" t="s">
        <v>1652</v>
      </c>
      <c r="E1404" t="s">
        <v>9136</v>
      </c>
    </row>
    <row r="1405" spans="1:5" x14ac:dyDescent="0.2">
      <c r="A1405" t="s">
        <v>2924</v>
      </c>
      <c r="B1405" t="s">
        <v>2925</v>
      </c>
      <c r="C1405" t="s">
        <v>219</v>
      </c>
      <c r="D1405" t="s">
        <v>1652</v>
      </c>
      <c r="E1405" t="s">
        <v>9136</v>
      </c>
    </row>
    <row r="1406" spans="1:5" x14ac:dyDescent="0.2">
      <c r="A1406" t="s">
        <v>2926</v>
      </c>
      <c r="B1406" t="s">
        <v>2927</v>
      </c>
      <c r="C1406" t="s">
        <v>219</v>
      </c>
      <c r="D1406" t="s">
        <v>93</v>
      </c>
      <c r="E1406" t="s">
        <v>9136</v>
      </c>
    </row>
    <row r="1407" spans="1:5" x14ac:dyDescent="0.2">
      <c r="A1407" t="s">
        <v>2928</v>
      </c>
      <c r="B1407" t="s">
        <v>2929</v>
      </c>
      <c r="C1407" t="s">
        <v>219</v>
      </c>
      <c r="D1407" t="s">
        <v>93</v>
      </c>
      <c r="E1407" t="s">
        <v>9136</v>
      </c>
    </row>
    <row r="1408" spans="1:5" x14ac:dyDescent="0.2">
      <c r="A1408" t="s">
        <v>2930</v>
      </c>
      <c r="B1408" t="s">
        <v>2931</v>
      </c>
      <c r="C1408" t="s">
        <v>120</v>
      </c>
      <c r="D1408" t="s">
        <v>1458</v>
      </c>
      <c r="E1408" t="s">
        <v>9136</v>
      </c>
    </row>
    <row r="1409" spans="1:5" x14ac:dyDescent="0.2">
      <c r="A1409" t="s">
        <v>2932</v>
      </c>
      <c r="B1409" t="s">
        <v>2933</v>
      </c>
      <c r="C1409" t="s">
        <v>120</v>
      </c>
      <c r="D1409" t="s">
        <v>1458</v>
      </c>
      <c r="E1409" t="s">
        <v>9136</v>
      </c>
    </row>
    <row r="1410" spans="1:5" x14ac:dyDescent="0.2">
      <c r="A1410" t="s">
        <v>2934</v>
      </c>
      <c r="B1410" t="s">
        <v>2935</v>
      </c>
      <c r="C1410" t="s">
        <v>104</v>
      </c>
      <c r="D1410" t="s">
        <v>1458</v>
      </c>
      <c r="E1410" t="s">
        <v>9136</v>
      </c>
    </row>
    <row r="1411" spans="1:5" x14ac:dyDescent="0.2">
      <c r="A1411" t="s">
        <v>2936</v>
      </c>
      <c r="B1411" t="s">
        <v>2937</v>
      </c>
      <c r="C1411" t="s">
        <v>104</v>
      </c>
      <c r="D1411" t="s">
        <v>1458</v>
      </c>
      <c r="E1411" t="s">
        <v>9136</v>
      </c>
    </row>
    <row r="1412" spans="1:5" x14ac:dyDescent="0.2">
      <c r="A1412" t="s">
        <v>2938</v>
      </c>
      <c r="B1412" t="s">
        <v>2939</v>
      </c>
      <c r="C1412" t="s">
        <v>104</v>
      </c>
      <c r="D1412" t="s">
        <v>266</v>
      </c>
      <c r="E1412" t="s">
        <v>9136</v>
      </c>
    </row>
    <row r="1413" spans="1:5" x14ac:dyDescent="0.2">
      <c r="A1413" t="s">
        <v>2940</v>
      </c>
      <c r="B1413" t="s">
        <v>2941</v>
      </c>
      <c r="C1413" t="s">
        <v>104</v>
      </c>
      <c r="D1413" t="s">
        <v>233</v>
      </c>
      <c r="E1413" t="s">
        <v>1348</v>
      </c>
    </row>
    <row r="1414" spans="1:5" x14ac:dyDescent="0.2">
      <c r="A1414" t="s">
        <v>2942</v>
      </c>
      <c r="B1414" t="s">
        <v>2943</v>
      </c>
      <c r="C1414" t="s">
        <v>131</v>
      </c>
      <c r="D1414" t="s">
        <v>635</v>
      </c>
      <c r="E1414" t="s">
        <v>9136</v>
      </c>
    </row>
    <row r="1415" spans="1:5" x14ac:dyDescent="0.2">
      <c r="A1415" t="s">
        <v>2944</v>
      </c>
      <c r="B1415" t="s">
        <v>2945</v>
      </c>
      <c r="C1415" t="s">
        <v>131</v>
      </c>
      <c r="D1415" t="s">
        <v>99</v>
      </c>
      <c r="E1415" t="s">
        <v>2946</v>
      </c>
    </row>
    <row r="1416" spans="1:5" x14ac:dyDescent="0.2">
      <c r="A1416" t="s">
        <v>2947</v>
      </c>
      <c r="B1416" t="s">
        <v>2948</v>
      </c>
      <c r="C1416" t="s">
        <v>131</v>
      </c>
      <c r="D1416" t="s">
        <v>290</v>
      </c>
      <c r="E1416" t="s">
        <v>9136</v>
      </c>
    </row>
    <row r="1417" spans="1:5" x14ac:dyDescent="0.2">
      <c r="A1417" t="s">
        <v>2949</v>
      </c>
      <c r="B1417" t="s">
        <v>2950</v>
      </c>
      <c r="C1417" t="s">
        <v>131</v>
      </c>
      <c r="D1417" t="s">
        <v>290</v>
      </c>
      <c r="E1417" t="s">
        <v>9136</v>
      </c>
    </row>
    <row r="1418" spans="1:5" x14ac:dyDescent="0.2">
      <c r="A1418" t="s">
        <v>2951</v>
      </c>
      <c r="B1418" t="s">
        <v>2952</v>
      </c>
      <c r="C1418" t="s">
        <v>104</v>
      </c>
      <c r="D1418" t="s">
        <v>535</v>
      </c>
      <c r="E1418" t="s">
        <v>9136</v>
      </c>
    </row>
    <row r="1419" spans="1:5" x14ac:dyDescent="0.2">
      <c r="A1419" t="s">
        <v>2953</v>
      </c>
      <c r="B1419" t="s">
        <v>2954</v>
      </c>
      <c r="C1419" t="s">
        <v>104</v>
      </c>
      <c r="D1419" t="s">
        <v>535</v>
      </c>
      <c r="E1419" t="s">
        <v>9136</v>
      </c>
    </row>
    <row r="1420" spans="1:5" x14ac:dyDescent="0.2">
      <c r="A1420" t="s">
        <v>2955</v>
      </c>
      <c r="B1420" t="s">
        <v>2956</v>
      </c>
      <c r="C1420" t="s">
        <v>92</v>
      </c>
      <c r="D1420" t="s">
        <v>2957</v>
      </c>
      <c r="E1420" t="s">
        <v>9136</v>
      </c>
    </row>
    <row r="1421" spans="1:5" x14ac:dyDescent="0.2">
      <c r="A1421" t="s">
        <v>2958</v>
      </c>
      <c r="B1421" t="s">
        <v>2959</v>
      </c>
      <c r="C1421" t="s">
        <v>92</v>
      </c>
      <c r="D1421" t="s">
        <v>2957</v>
      </c>
      <c r="E1421" t="s">
        <v>9136</v>
      </c>
    </row>
    <row r="1422" spans="1:5" x14ac:dyDescent="0.2">
      <c r="A1422" t="s">
        <v>2960</v>
      </c>
      <c r="B1422" t="s">
        <v>2961</v>
      </c>
      <c r="C1422" t="s">
        <v>92</v>
      </c>
      <c r="D1422" t="s">
        <v>778</v>
      </c>
      <c r="E1422" t="s">
        <v>9136</v>
      </c>
    </row>
    <row r="1423" spans="1:5" x14ac:dyDescent="0.2">
      <c r="A1423" t="s">
        <v>2962</v>
      </c>
      <c r="B1423" t="s">
        <v>2963</v>
      </c>
      <c r="C1423" t="s">
        <v>92</v>
      </c>
      <c r="D1423" t="s">
        <v>778</v>
      </c>
      <c r="E1423" t="s">
        <v>9136</v>
      </c>
    </row>
    <row r="1424" spans="1:5" x14ac:dyDescent="0.2">
      <c r="A1424" t="s">
        <v>2964</v>
      </c>
      <c r="B1424" t="s">
        <v>2965</v>
      </c>
      <c r="C1424" t="s">
        <v>251</v>
      </c>
      <c r="D1424" t="s">
        <v>336</v>
      </c>
      <c r="E1424" t="s">
        <v>9136</v>
      </c>
    </row>
    <row r="1425" spans="1:5" x14ac:dyDescent="0.2">
      <c r="A1425" t="s">
        <v>2966</v>
      </c>
      <c r="B1425" t="s">
        <v>2967</v>
      </c>
      <c r="C1425" t="s">
        <v>251</v>
      </c>
      <c r="D1425" t="s">
        <v>336</v>
      </c>
      <c r="E1425" t="s">
        <v>9136</v>
      </c>
    </row>
    <row r="1426" spans="1:5" x14ac:dyDescent="0.2">
      <c r="A1426" t="s">
        <v>2968</v>
      </c>
      <c r="B1426" t="s">
        <v>2969</v>
      </c>
      <c r="C1426" t="s">
        <v>251</v>
      </c>
      <c r="D1426" t="s">
        <v>991</v>
      </c>
      <c r="E1426" t="s">
        <v>9136</v>
      </c>
    </row>
    <row r="1427" spans="1:5" x14ac:dyDescent="0.2">
      <c r="A1427" t="s">
        <v>2970</v>
      </c>
      <c r="B1427" t="s">
        <v>2971</v>
      </c>
      <c r="C1427" t="s">
        <v>251</v>
      </c>
      <c r="D1427" t="s">
        <v>991</v>
      </c>
      <c r="E1427" t="s">
        <v>9136</v>
      </c>
    </row>
    <row r="1428" spans="1:5" x14ac:dyDescent="0.2">
      <c r="A1428" t="s">
        <v>3005</v>
      </c>
      <c r="B1428" t="s">
        <v>3006</v>
      </c>
      <c r="C1428" t="s">
        <v>376</v>
      </c>
      <c r="D1428" t="s">
        <v>224</v>
      </c>
      <c r="E1428" t="s">
        <v>9155</v>
      </c>
    </row>
    <row r="1429" spans="1:5" x14ac:dyDescent="0.2">
      <c r="A1429" t="s">
        <v>3007</v>
      </c>
      <c r="B1429" t="s">
        <v>3008</v>
      </c>
      <c r="C1429" t="s">
        <v>331</v>
      </c>
      <c r="D1429" t="s">
        <v>224</v>
      </c>
      <c r="E1429" t="s">
        <v>9155</v>
      </c>
    </row>
    <row r="1430" spans="1:5" x14ac:dyDescent="0.2">
      <c r="A1430" t="s">
        <v>3009</v>
      </c>
      <c r="B1430" t="s">
        <v>3010</v>
      </c>
      <c r="C1430" t="s">
        <v>318</v>
      </c>
      <c r="D1430" t="s">
        <v>332</v>
      </c>
      <c r="E1430" t="s">
        <v>9155</v>
      </c>
    </row>
    <row r="1431" spans="1:5" x14ac:dyDescent="0.2">
      <c r="A1431" t="s">
        <v>3011</v>
      </c>
      <c r="B1431" t="s">
        <v>3012</v>
      </c>
      <c r="C1431" t="s">
        <v>318</v>
      </c>
      <c r="D1431" t="s">
        <v>489</v>
      </c>
      <c r="E1431" t="s">
        <v>9155</v>
      </c>
    </row>
    <row r="1432" spans="1:5" x14ac:dyDescent="0.2">
      <c r="A1432" t="s">
        <v>3013</v>
      </c>
      <c r="B1432" t="s">
        <v>3014</v>
      </c>
      <c r="C1432" t="s">
        <v>742</v>
      </c>
      <c r="D1432" t="s">
        <v>422</v>
      </c>
      <c r="E1432" t="s">
        <v>9155</v>
      </c>
    </row>
    <row r="1433" spans="1:5" x14ac:dyDescent="0.2">
      <c r="A1433" t="s">
        <v>4961</v>
      </c>
      <c r="B1433" t="s">
        <v>9160</v>
      </c>
      <c r="C1433" t="s">
        <v>287</v>
      </c>
      <c r="D1433" t="s">
        <v>301</v>
      </c>
      <c r="E1433" t="s">
        <v>234</v>
      </c>
    </row>
    <row r="1434" spans="1:5" x14ac:dyDescent="0.2">
      <c r="A1434" t="s">
        <v>4962</v>
      </c>
      <c r="B1434" t="s">
        <v>9161</v>
      </c>
      <c r="C1434" t="s">
        <v>287</v>
      </c>
      <c r="D1434" t="s">
        <v>110</v>
      </c>
      <c r="E1434" t="s">
        <v>234</v>
      </c>
    </row>
    <row r="1435" spans="1:5" x14ac:dyDescent="0.2">
      <c r="A1435" t="s">
        <v>4963</v>
      </c>
      <c r="B1435" t="s">
        <v>9162</v>
      </c>
      <c r="C1435" t="s">
        <v>421</v>
      </c>
      <c r="D1435" t="s">
        <v>200</v>
      </c>
      <c r="E1435" t="s">
        <v>9148</v>
      </c>
    </row>
    <row r="1436" spans="1:5" x14ac:dyDescent="0.2">
      <c r="A1436" t="s">
        <v>4964</v>
      </c>
      <c r="B1436" t="s">
        <v>9163</v>
      </c>
      <c r="C1436" t="s">
        <v>421</v>
      </c>
      <c r="D1436" t="s">
        <v>200</v>
      </c>
      <c r="E1436" t="s">
        <v>9148</v>
      </c>
    </row>
    <row r="1437" spans="1:5" x14ac:dyDescent="0.2">
      <c r="A1437" t="s">
        <v>4965</v>
      </c>
      <c r="B1437" t="s">
        <v>9164</v>
      </c>
      <c r="C1437" t="s">
        <v>9124</v>
      </c>
      <c r="D1437" t="s">
        <v>400</v>
      </c>
      <c r="E1437" t="s">
        <v>234</v>
      </c>
    </row>
    <row r="1438" spans="1:5" x14ac:dyDescent="0.2">
      <c r="A1438" t="s">
        <v>4966</v>
      </c>
      <c r="B1438" t="s">
        <v>9165</v>
      </c>
      <c r="C1438" t="s">
        <v>9124</v>
      </c>
      <c r="D1438" t="s">
        <v>400</v>
      </c>
      <c r="E1438" t="s">
        <v>234</v>
      </c>
    </row>
    <row r="1439" spans="1:5" x14ac:dyDescent="0.2">
      <c r="A1439" t="s">
        <v>4967</v>
      </c>
      <c r="B1439" t="s">
        <v>9166</v>
      </c>
      <c r="C1439" t="s">
        <v>9124</v>
      </c>
      <c r="D1439" t="s">
        <v>400</v>
      </c>
      <c r="E1439" t="s">
        <v>234</v>
      </c>
    </row>
    <row r="1440" spans="1:5" x14ac:dyDescent="0.2">
      <c r="A1440" t="s">
        <v>4968</v>
      </c>
      <c r="B1440" t="s">
        <v>9167</v>
      </c>
      <c r="C1440" t="s">
        <v>9124</v>
      </c>
      <c r="D1440" t="s">
        <v>400</v>
      </c>
      <c r="E1440" t="s">
        <v>234</v>
      </c>
    </row>
    <row r="1441" spans="1:5" x14ac:dyDescent="0.2">
      <c r="A1441" t="s">
        <v>4969</v>
      </c>
      <c r="B1441" t="s">
        <v>9168</v>
      </c>
      <c r="C1441" t="s">
        <v>399</v>
      </c>
      <c r="D1441" t="s">
        <v>171</v>
      </c>
      <c r="E1441" t="s">
        <v>234</v>
      </c>
    </row>
    <row r="1442" spans="1:5" x14ac:dyDescent="0.2">
      <c r="A1442" t="s">
        <v>4970</v>
      </c>
      <c r="B1442" t="s">
        <v>9169</v>
      </c>
      <c r="C1442" t="s">
        <v>399</v>
      </c>
      <c r="D1442" t="s">
        <v>224</v>
      </c>
      <c r="E1442" t="s">
        <v>234</v>
      </c>
    </row>
    <row r="1443" spans="1:5" x14ac:dyDescent="0.2">
      <c r="A1443" t="s">
        <v>4971</v>
      </c>
      <c r="B1443" t="s">
        <v>9170</v>
      </c>
      <c r="C1443" t="s">
        <v>399</v>
      </c>
      <c r="D1443" t="s">
        <v>171</v>
      </c>
      <c r="E1443" t="s">
        <v>234</v>
      </c>
    </row>
    <row r="1444" spans="1:5" x14ac:dyDescent="0.2">
      <c r="A1444" t="s">
        <v>4972</v>
      </c>
      <c r="B1444" t="s">
        <v>9171</v>
      </c>
      <c r="C1444" t="s">
        <v>399</v>
      </c>
      <c r="D1444" t="s">
        <v>681</v>
      </c>
      <c r="E1444" t="s">
        <v>9148</v>
      </c>
    </row>
    <row r="1445" spans="1:5" x14ac:dyDescent="0.2">
      <c r="A1445" t="s">
        <v>4975</v>
      </c>
      <c r="B1445" t="s">
        <v>9172</v>
      </c>
      <c r="C1445" t="s">
        <v>376</v>
      </c>
      <c r="D1445" t="s">
        <v>224</v>
      </c>
      <c r="E1445" t="s">
        <v>234</v>
      </c>
    </row>
    <row r="1446" spans="1:5" x14ac:dyDescent="0.2">
      <c r="A1446" t="s">
        <v>4976</v>
      </c>
      <c r="B1446" t="s">
        <v>9173</v>
      </c>
      <c r="C1446" t="s">
        <v>331</v>
      </c>
      <c r="D1446" t="s">
        <v>436</v>
      </c>
      <c r="E1446" t="s">
        <v>9148</v>
      </c>
    </row>
    <row r="1447" spans="1:5" x14ac:dyDescent="0.2">
      <c r="A1447" t="s">
        <v>4977</v>
      </c>
      <c r="B1447" t="s">
        <v>9174</v>
      </c>
      <c r="C1447" t="s">
        <v>331</v>
      </c>
      <c r="D1447" t="s">
        <v>383</v>
      </c>
      <c r="E1447" t="s">
        <v>9148</v>
      </c>
    </row>
    <row r="1448" spans="1:5" x14ac:dyDescent="0.2">
      <c r="A1448" t="s">
        <v>4978</v>
      </c>
      <c r="B1448" t="s">
        <v>9175</v>
      </c>
      <c r="C1448" t="s">
        <v>322</v>
      </c>
      <c r="D1448" t="s">
        <v>1322</v>
      </c>
      <c r="E1448" t="s">
        <v>9148</v>
      </c>
    </row>
    <row r="1449" spans="1:5" x14ac:dyDescent="0.2">
      <c r="A1449" t="s">
        <v>4979</v>
      </c>
      <c r="B1449" t="s">
        <v>9176</v>
      </c>
      <c r="C1449" t="s">
        <v>322</v>
      </c>
      <c r="D1449" t="s">
        <v>1831</v>
      </c>
      <c r="E1449" t="s">
        <v>9148</v>
      </c>
    </row>
    <row r="1450" spans="1:5" x14ac:dyDescent="0.2">
      <c r="A1450" t="s">
        <v>4980</v>
      </c>
      <c r="B1450" t="s">
        <v>9177</v>
      </c>
      <c r="C1450" t="s">
        <v>322</v>
      </c>
      <c r="D1450" t="s">
        <v>383</v>
      </c>
      <c r="E1450" t="s">
        <v>234</v>
      </c>
    </row>
    <row r="1451" spans="1:5" x14ac:dyDescent="0.2">
      <c r="A1451" t="s">
        <v>4981</v>
      </c>
      <c r="B1451" t="s">
        <v>9178</v>
      </c>
      <c r="C1451" t="s">
        <v>219</v>
      </c>
      <c r="D1451" t="s">
        <v>535</v>
      </c>
      <c r="E1451" t="s">
        <v>234</v>
      </c>
    </row>
    <row r="1452" spans="1:5" x14ac:dyDescent="0.2">
      <c r="A1452" t="s">
        <v>4974</v>
      </c>
      <c r="B1452" t="s">
        <v>9179</v>
      </c>
      <c r="C1452" t="s">
        <v>742</v>
      </c>
      <c r="D1452" t="s">
        <v>422</v>
      </c>
      <c r="E1452" t="s">
        <v>234</v>
      </c>
    </row>
    <row r="1453" spans="1:5" x14ac:dyDescent="0.2">
      <c r="A1453" t="s">
        <v>4973</v>
      </c>
      <c r="B1453" t="s">
        <v>9180</v>
      </c>
      <c r="C1453" t="s">
        <v>742</v>
      </c>
      <c r="D1453" t="s">
        <v>422</v>
      </c>
      <c r="E1453" t="s">
        <v>234</v>
      </c>
    </row>
    <row r="1454" spans="1:5" x14ac:dyDescent="0.2">
      <c r="A1454" t="s">
        <v>4982</v>
      </c>
      <c r="B1454" t="s">
        <v>9181</v>
      </c>
      <c r="C1454" t="s">
        <v>399</v>
      </c>
      <c r="D1454" t="s">
        <v>412</v>
      </c>
      <c r="E1454" t="s">
        <v>234</v>
      </c>
    </row>
    <row r="1455" spans="1:5" x14ac:dyDescent="0.2">
      <c r="A1455" t="s">
        <v>4984</v>
      </c>
      <c r="B1455" t="s">
        <v>9182</v>
      </c>
      <c r="C1455" t="s">
        <v>522</v>
      </c>
      <c r="D1455" t="s">
        <v>412</v>
      </c>
      <c r="E1455" t="s">
        <v>9148</v>
      </c>
    </row>
    <row r="1456" spans="1:5" x14ac:dyDescent="0.2">
      <c r="A1456" t="s">
        <v>4985</v>
      </c>
      <c r="B1456" t="s">
        <v>9183</v>
      </c>
      <c r="C1456" t="s">
        <v>705</v>
      </c>
      <c r="D1456" t="s">
        <v>260</v>
      </c>
      <c r="E1456" t="s">
        <v>234</v>
      </c>
    </row>
    <row r="1457" spans="1:5" x14ac:dyDescent="0.2">
      <c r="A1457" t="s">
        <v>4986</v>
      </c>
      <c r="B1457" t="s">
        <v>9184</v>
      </c>
      <c r="C1457" t="s">
        <v>705</v>
      </c>
      <c r="D1457" t="s">
        <v>241</v>
      </c>
      <c r="E1457" t="s">
        <v>9148</v>
      </c>
    </row>
    <row r="1458" spans="1:5" x14ac:dyDescent="0.2">
      <c r="A1458" t="s">
        <v>4987</v>
      </c>
      <c r="B1458" t="s">
        <v>9185</v>
      </c>
      <c r="C1458" t="s">
        <v>287</v>
      </c>
      <c r="D1458" t="s">
        <v>275</v>
      </c>
      <c r="E1458" t="s">
        <v>9148</v>
      </c>
    </row>
    <row r="1459" spans="1:5" x14ac:dyDescent="0.2">
      <c r="A1459" t="s">
        <v>2988</v>
      </c>
      <c r="B1459" t="s">
        <v>9186</v>
      </c>
      <c r="C1459" t="s">
        <v>244</v>
      </c>
      <c r="D1459" t="s">
        <v>588</v>
      </c>
      <c r="E1459" t="s">
        <v>9155</v>
      </c>
    </row>
    <row r="1460" spans="1:5" x14ac:dyDescent="0.2">
      <c r="A1460" t="s">
        <v>2989</v>
      </c>
      <c r="B1460" t="s">
        <v>9187</v>
      </c>
      <c r="C1460" t="s">
        <v>244</v>
      </c>
      <c r="D1460" t="s">
        <v>588</v>
      </c>
      <c r="E1460" t="s">
        <v>9155</v>
      </c>
    </row>
    <row r="1461" spans="1:5" x14ac:dyDescent="0.2">
      <c r="A1461" t="s">
        <v>4983</v>
      </c>
      <c r="B1461" t="s">
        <v>9188</v>
      </c>
      <c r="C1461" t="s">
        <v>251</v>
      </c>
      <c r="D1461" t="s">
        <v>701</v>
      </c>
      <c r="E1461" t="s">
        <v>9148</v>
      </c>
    </row>
    <row r="1462" spans="1:5" x14ac:dyDescent="0.2">
      <c r="A1462" t="s">
        <v>25</v>
      </c>
      <c r="B1462" t="s">
        <v>9189</v>
      </c>
      <c r="C1462" t="s">
        <v>212</v>
      </c>
      <c r="D1462" t="s">
        <v>1351</v>
      </c>
      <c r="E1462" t="s">
        <v>9155</v>
      </c>
    </row>
    <row r="1463" spans="1:5" x14ac:dyDescent="0.2">
      <c r="A1463" t="s">
        <v>2990</v>
      </c>
      <c r="B1463" t="s">
        <v>9190</v>
      </c>
      <c r="C1463" t="s">
        <v>212</v>
      </c>
      <c r="D1463" t="s">
        <v>1351</v>
      </c>
      <c r="E1463" t="s">
        <v>9155</v>
      </c>
    </row>
    <row r="1464" spans="1:5" x14ac:dyDescent="0.2">
      <c r="A1464" t="s">
        <v>2991</v>
      </c>
      <c r="B1464" t="s">
        <v>9191</v>
      </c>
      <c r="C1464" t="s">
        <v>345</v>
      </c>
      <c r="D1464" t="s">
        <v>341</v>
      </c>
      <c r="E1464" t="s">
        <v>9155</v>
      </c>
    </row>
    <row r="1465" spans="1:5" x14ac:dyDescent="0.2">
      <c r="A1465" t="s">
        <v>2992</v>
      </c>
      <c r="B1465" t="s">
        <v>9192</v>
      </c>
      <c r="C1465" t="s">
        <v>345</v>
      </c>
      <c r="D1465" t="s">
        <v>341</v>
      </c>
      <c r="E1465" t="s">
        <v>9155</v>
      </c>
    </row>
    <row r="1466" spans="1:5" x14ac:dyDescent="0.2">
      <c r="A1466" t="s">
        <v>2993</v>
      </c>
      <c r="B1466" t="s">
        <v>9193</v>
      </c>
      <c r="C1466" t="s">
        <v>251</v>
      </c>
      <c r="D1466" t="s">
        <v>368</v>
      </c>
      <c r="E1466" t="s">
        <v>2994</v>
      </c>
    </row>
    <row r="1467" spans="1:5" x14ac:dyDescent="0.2">
      <c r="A1467" t="s">
        <v>2995</v>
      </c>
      <c r="B1467" t="s">
        <v>9194</v>
      </c>
      <c r="C1467" t="s">
        <v>251</v>
      </c>
      <c r="D1467" t="s">
        <v>422</v>
      </c>
      <c r="E1467" t="s">
        <v>9155</v>
      </c>
    </row>
    <row r="1468" spans="1:5" x14ac:dyDescent="0.2">
      <c r="A1468" t="s">
        <v>2996</v>
      </c>
      <c r="B1468" t="s">
        <v>9195</v>
      </c>
      <c r="C1468" t="s">
        <v>251</v>
      </c>
      <c r="D1468" t="s">
        <v>444</v>
      </c>
      <c r="E1468" t="s">
        <v>9155</v>
      </c>
    </row>
    <row r="1469" spans="1:5" x14ac:dyDescent="0.2">
      <c r="A1469" t="s">
        <v>2997</v>
      </c>
      <c r="B1469" t="s">
        <v>9196</v>
      </c>
      <c r="C1469" t="s">
        <v>251</v>
      </c>
      <c r="D1469" t="s">
        <v>444</v>
      </c>
      <c r="E1469" t="s">
        <v>9155</v>
      </c>
    </row>
    <row r="1470" spans="1:5" x14ac:dyDescent="0.2">
      <c r="A1470" t="s">
        <v>2998</v>
      </c>
      <c r="B1470" t="s">
        <v>9197</v>
      </c>
      <c r="C1470" t="s">
        <v>251</v>
      </c>
      <c r="D1470" t="s">
        <v>710</v>
      </c>
      <c r="E1470" t="s">
        <v>9155</v>
      </c>
    </row>
    <row r="1471" spans="1:5" x14ac:dyDescent="0.2">
      <c r="A1471" t="s">
        <v>2999</v>
      </c>
      <c r="B1471" t="s">
        <v>9198</v>
      </c>
      <c r="C1471" t="s">
        <v>251</v>
      </c>
      <c r="D1471" t="s">
        <v>710</v>
      </c>
      <c r="E1471" t="s">
        <v>9155</v>
      </c>
    </row>
    <row r="1472" spans="1:5" x14ac:dyDescent="0.2">
      <c r="A1472" t="s">
        <v>3000</v>
      </c>
      <c r="B1472" t="s">
        <v>9199</v>
      </c>
      <c r="C1472" t="s">
        <v>251</v>
      </c>
      <c r="D1472" t="s">
        <v>396</v>
      </c>
      <c r="E1472" t="s">
        <v>9155</v>
      </c>
    </row>
    <row r="1473" spans="1:5" x14ac:dyDescent="0.2">
      <c r="A1473" t="s">
        <v>3001</v>
      </c>
      <c r="B1473" t="s">
        <v>9200</v>
      </c>
      <c r="C1473" t="s">
        <v>251</v>
      </c>
      <c r="D1473" t="s">
        <v>396</v>
      </c>
      <c r="E1473" t="s">
        <v>9155</v>
      </c>
    </row>
    <row r="1474" spans="1:5" x14ac:dyDescent="0.2">
      <c r="A1474" t="s">
        <v>3002</v>
      </c>
      <c r="B1474" t="s">
        <v>9201</v>
      </c>
      <c r="C1474" t="s">
        <v>227</v>
      </c>
      <c r="D1474" t="s">
        <v>422</v>
      </c>
      <c r="E1474" t="s">
        <v>9155</v>
      </c>
    </row>
    <row r="1475" spans="1:5" x14ac:dyDescent="0.2">
      <c r="A1475" t="s">
        <v>3003</v>
      </c>
      <c r="B1475" t="s">
        <v>9202</v>
      </c>
      <c r="C1475" t="s">
        <v>227</v>
      </c>
      <c r="D1475" t="s">
        <v>422</v>
      </c>
      <c r="E1475" t="s">
        <v>9155</v>
      </c>
    </row>
    <row r="1476" spans="1:5" x14ac:dyDescent="0.2">
      <c r="A1476" t="s">
        <v>3004</v>
      </c>
      <c r="B1476" t="s">
        <v>9203</v>
      </c>
      <c r="C1476" t="s">
        <v>399</v>
      </c>
      <c r="D1476" t="s">
        <v>394</v>
      </c>
      <c r="E1476" t="s">
        <v>9155</v>
      </c>
    </row>
    <row r="1477" spans="1:5" x14ac:dyDescent="0.2">
      <c r="A1477" t="s">
        <v>7782</v>
      </c>
      <c r="B1477" t="s">
        <v>9204</v>
      </c>
      <c r="C1477" t="s">
        <v>331</v>
      </c>
      <c r="D1477" t="s">
        <v>681</v>
      </c>
      <c r="E1477" t="s">
        <v>9155</v>
      </c>
    </row>
    <row r="1478" spans="1:5" x14ac:dyDescent="0.2">
      <c r="A1478" t="s">
        <v>7783</v>
      </c>
      <c r="B1478" t="s">
        <v>9205</v>
      </c>
      <c r="C1478" t="s">
        <v>219</v>
      </c>
      <c r="D1478" t="s">
        <v>386</v>
      </c>
      <c r="E1478" t="s">
        <v>9155</v>
      </c>
    </row>
    <row r="1479" spans="1:5" x14ac:dyDescent="0.2">
      <c r="A1479" t="s">
        <v>7784</v>
      </c>
      <c r="B1479" t="s">
        <v>9206</v>
      </c>
      <c r="C1479" t="s">
        <v>705</v>
      </c>
      <c r="D1479" t="s">
        <v>1006</v>
      </c>
      <c r="E1479" t="s">
        <v>9155</v>
      </c>
    </row>
    <row r="1480" spans="1:5" x14ac:dyDescent="0.2">
      <c r="A1480" t="s">
        <v>7785</v>
      </c>
      <c r="B1480" t="s">
        <v>9207</v>
      </c>
      <c r="C1480" t="s">
        <v>705</v>
      </c>
      <c r="D1480" t="s">
        <v>1006</v>
      </c>
      <c r="E1480" t="s">
        <v>9155</v>
      </c>
    </row>
    <row r="1481" spans="1:5" x14ac:dyDescent="0.2">
      <c r="A1481" t="s">
        <v>7786</v>
      </c>
      <c r="B1481" t="s">
        <v>9208</v>
      </c>
      <c r="C1481" t="s">
        <v>705</v>
      </c>
      <c r="D1481" t="s">
        <v>436</v>
      </c>
      <c r="E1481" t="s">
        <v>9155</v>
      </c>
    </row>
    <row r="1482" spans="1:5" x14ac:dyDescent="0.2">
      <c r="A1482" t="s">
        <v>7787</v>
      </c>
      <c r="B1482" t="s">
        <v>9209</v>
      </c>
      <c r="C1482" t="s">
        <v>705</v>
      </c>
      <c r="D1482" t="s">
        <v>436</v>
      </c>
      <c r="E1482" t="s">
        <v>9155</v>
      </c>
    </row>
    <row r="1483" spans="1:5" x14ac:dyDescent="0.2">
      <c r="A1483" t="s">
        <v>3015</v>
      </c>
      <c r="B1483" t="s">
        <v>3016</v>
      </c>
      <c r="C1483" t="s">
        <v>219</v>
      </c>
      <c r="D1483" t="s">
        <v>535</v>
      </c>
      <c r="E1483" t="s">
        <v>8880</v>
      </c>
    </row>
    <row r="1484" spans="1:5" x14ac:dyDescent="0.2">
      <c r="A1484" t="s">
        <v>3017</v>
      </c>
      <c r="B1484" t="s">
        <v>3018</v>
      </c>
      <c r="C1484" t="s">
        <v>219</v>
      </c>
      <c r="D1484" t="s">
        <v>535</v>
      </c>
      <c r="E1484" t="s">
        <v>8880</v>
      </c>
    </row>
    <row r="1485" spans="1:5" x14ac:dyDescent="0.2">
      <c r="A1485" t="s">
        <v>3019</v>
      </c>
      <c r="B1485" t="s">
        <v>3020</v>
      </c>
      <c r="C1485" t="s">
        <v>219</v>
      </c>
      <c r="D1485" t="s">
        <v>1490</v>
      </c>
      <c r="E1485" t="s">
        <v>8880</v>
      </c>
    </row>
    <row r="1486" spans="1:5" x14ac:dyDescent="0.2">
      <c r="A1486" t="s">
        <v>3021</v>
      </c>
      <c r="B1486" t="s">
        <v>3022</v>
      </c>
      <c r="C1486" t="s">
        <v>219</v>
      </c>
      <c r="D1486" t="s">
        <v>1490</v>
      </c>
      <c r="E1486" t="s">
        <v>8880</v>
      </c>
    </row>
    <row r="1487" spans="1:5" x14ac:dyDescent="0.2">
      <c r="A1487" t="s">
        <v>3023</v>
      </c>
      <c r="B1487" t="s">
        <v>3024</v>
      </c>
      <c r="C1487" t="s">
        <v>219</v>
      </c>
      <c r="D1487" t="s">
        <v>282</v>
      </c>
      <c r="E1487" t="s">
        <v>8880</v>
      </c>
    </row>
    <row r="1488" spans="1:5" x14ac:dyDescent="0.2">
      <c r="A1488" t="s">
        <v>3025</v>
      </c>
      <c r="B1488" t="s">
        <v>3026</v>
      </c>
      <c r="C1488" t="s">
        <v>219</v>
      </c>
      <c r="D1488" t="s">
        <v>282</v>
      </c>
      <c r="E1488" t="s">
        <v>8880</v>
      </c>
    </row>
    <row r="1489" spans="1:5" x14ac:dyDescent="0.2">
      <c r="A1489" t="s">
        <v>3027</v>
      </c>
      <c r="B1489" t="s">
        <v>3028</v>
      </c>
      <c r="C1489" t="s">
        <v>219</v>
      </c>
      <c r="D1489" t="s">
        <v>335</v>
      </c>
      <c r="E1489" t="s">
        <v>8880</v>
      </c>
    </row>
    <row r="1490" spans="1:5" x14ac:dyDescent="0.2">
      <c r="A1490" t="s">
        <v>3029</v>
      </c>
      <c r="B1490" t="s">
        <v>3030</v>
      </c>
      <c r="C1490" t="s">
        <v>219</v>
      </c>
      <c r="D1490" t="s">
        <v>335</v>
      </c>
      <c r="E1490" t="s">
        <v>8880</v>
      </c>
    </row>
    <row r="1491" spans="1:5" x14ac:dyDescent="0.2">
      <c r="A1491" t="s">
        <v>3031</v>
      </c>
      <c r="B1491" t="s">
        <v>3032</v>
      </c>
      <c r="C1491" t="s">
        <v>322</v>
      </c>
      <c r="D1491" t="s">
        <v>309</v>
      </c>
      <c r="E1491" t="s">
        <v>9210</v>
      </c>
    </row>
    <row r="1492" spans="1:5" x14ac:dyDescent="0.2">
      <c r="A1492" t="s">
        <v>3033</v>
      </c>
      <c r="B1492" t="s">
        <v>3034</v>
      </c>
      <c r="C1492" t="s">
        <v>287</v>
      </c>
      <c r="D1492" t="s">
        <v>105</v>
      </c>
      <c r="E1492" t="s">
        <v>9211</v>
      </c>
    </row>
    <row r="1493" spans="1:5" x14ac:dyDescent="0.2">
      <c r="A1493" t="s">
        <v>3035</v>
      </c>
      <c r="B1493" t="s">
        <v>3036</v>
      </c>
      <c r="C1493" t="s">
        <v>331</v>
      </c>
      <c r="D1493" t="s">
        <v>539</v>
      </c>
      <c r="E1493" t="s">
        <v>9212</v>
      </c>
    </row>
    <row r="1494" spans="1:5" x14ac:dyDescent="0.2">
      <c r="A1494" t="s">
        <v>3037</v>
      </c>
      <c r="B1494" t="s">
        <v>3038</v>
      </c>
      <c r="C1494" t="s">
        <v>219</v>
      </c>
      <c r="D1494" t="s">
        <v>150</v>
      </c>
      <c r="E1494" t="s">
        <v>2473</v>
      </c>
    </row>
    <row r="1495" spans="1:5" x14ac:dyDescent="0.2">
      <c r="A1495" t="s">
        <v>3039</v>
      </c>
      <c r="B1495" t="s">
        <v>3040</v>
      </c>
      <c r="C1495" t="s">
        <v>219</v>
      </c>
      <c r="D1495" t="s">
        <v>809</v>
      </c>
      <c r="E1495" t="s">
        <v>9213</v>
      </c>
    </row>
    <row r="1496" spans="1:5" x14ac:dyDescent="0.2">
      <c r="A1496" t="s">
        <v>3041</v>
      </c>
      <c r="B1496" t="s">
        <v>3042</v>
      </c>
      <c r="C1496" t="s">
        <v>399</v>
      </c>
      <c r="D1496" t="s">
        <v>150</v>
      </c>
      <c r="E1496" t="s">
        <v>9212</v>
      </c>
    </row>
    <row r="1497" spans="1:5" x14ac:dyDescent="0.2">
      <c r="A1497" t="s">
        <v>3043</v>
      </c>
      <c r="B1497" t="s">
        <v>3044</v>
      </c>
      <c r="C1497" t="s">
        <v>399</v>
      </c>
      <c r="D1497" t="s">
        <v>150</v>
      </c>
      <c r="E1497" t="s">
        <v>9212</v>
      </c>
    </row>
    <row r="1498" spans="1:5" x14ac:dyDescent="0.2">
      <c r="A1498" t="s">
        <v>3045</v>
      </c>
      <c r="B1498" t="s">
        <v>3046</v>
      </c>
      <c r="C1498" t="s">
        <v>399</v>
      </c>
      <c r="D1498" t="s">
        <v>200</v>
      </c>
      <c r="E1498" t="s">
        <v>9212</v>
      </c>
    </row>
    <row r="1499" spans="1:5" x14ac:dyDescent="0.2">
      <c r="A1499" t="s">
        <v>3047</v>
      </c>
      <c r="B1499" t="s">
        <v>3048</v>
      </c>
      <c r="C1499" t="s">
        <v>399</v>
      </c>
      <c r="D1499" t="s">
        <v>200</v>
      </c>
      <c r="E1499" t="s">
        <v>9212</v>
      </c>
    </row>
    <row r="1500" spans="1:5" x14ac:dyDescent="0.2">
      <c r="A1500" t="s">
        <v>3049</v>
      </c>
      <c r="B1500" t="s">
        <v>3050</v>
      </c>
      <c r="C1500" t="s">
        <v>212</v>
      </c>
      <c r="D1500" t="s">
        <v>422</v>
      </c>
      <c r="E1500" t="s">
        <v>9211</v>
      </c>
    </row>
    <row r="1501" spans="1:5" x14ac:dyDescent="0.2">
      <c r="A1501" t="s">
        <v>3051</v>
      </c>
      <c r="B1501" t="s">
        <v>3052</v>
      </c>
      <c r="C1501" t="s">
        <v>212</v>
      </c>
      <c r="D1501" t="s">
        <v>422</v>
      </c>
      <c r="E1501" t="s">
        <v>9211</v>
      </c>
    </row>
    <row r="1502" spans="1:5" x14ac:dyDescent="0.2">
      <c r="A1502" t="s">
        <v>3053</v>
      </c>
      <c r="B1502" t="s">
        <v>3054</v>
      </c>
      <c r="C1502" t="s">
        <v>212</v>
      </c>
      <c r="D1502" t="s">
        <v>368</v>
      </c>
      <c r="E1502" t="s">
        <v>9211</v>
      </c>
    </row>
    <row r="1503" spans="1:5" x14ac:dyDescent="0.2">
      <c r="A1503" t="s">
        <v>3055</v>
      </c>
      <c r="B1503" t="s">
        <v>3056</v>
      </c>
      <c r="C1503" t="s">
        <v>212</v>
      </c>
      <c r="D1503" t="s">
        <v>368</v>
      </c>
      <c r="E1503" t="s">
        <v>9211</v>
      </c>
    </row>
    <row r="1504" spans="1:5" x14ac:dyDescent="0.2">
      <c r="A1504" t="s">
        <v>3057</v>
      </c>
      <c r="B1504" t="s">
        <v>3058</v>
      </c>
      <c r="C1504" t="s">
        <v>251</v>
      </c>
      <c r="D1504" t="s">
        <v>200</v>
      </c>
      <c r="E1504" t="s">
        <v>234</v>
      </c>
    </row>
    <row r="1505" spans="1:5" x14ac:dyDescent="0.2">
      <c r="A1505" t="s">
        <v>3059</v>
      </c>
      <c r="B1505" t="s">
        <v>3060</v>
      </c>
      <c r="C1505" t="s">
        <v>251</v>
      </c>
      <c r="D1505" t="s">
        <v>200</v>
      </c>
      <c r="E1505" t="s">
        <v>234</v>
      </c>
    </row>
    <row r="1506" spans="1:5" x14ac:dyDescent="0.2">
      <c r="A1506" t="s">
        <v>5049</v>
      </c>
      <c r="B1506" t="s">
        <v>9214</v>
      </c>
      <c r="C1506" t="s">
        <v>2471</v>
      </c>
      <c r="D1506" t="s">
        <v>383</v>
      </c>
      <c r="E1506" t="s">
        <v>5050</v>
      </c>
    </row>
    <row r="1507" spans="1:5" x14ac:dyDescent="0.2">
      <c r="A1507" t="s">
        <v>5051</v>
      </c>
      <c r="B1507" t="s">
        <v>9215</v>
      </c>
      <c r="C1507" t="s">
        <v>2471</v>
      </c>
      <c r="D1507" t="s">
        <v>778</v>
      </c>
      <c r="E1507" t="s">
        <v>5050</v>
      </c>
    </row>
    <row r="1508" spans="1:5" x14ac:dyDescent="0.2">
      <c r="A1508" t="s">
        <v>5052</v>
      </c>
      <c r="B1508" t="s">
        <v>9216</v>
      </c>
      <c r="C1508" t="s">
        <v>2471</v>
      </c>
      <c r="D1508" t="s">
        <v>778</v>
      </c>
      <c r="E1508" t="s">
        <v>5050</v>
      </c>
    </row>
    <row r="1509" spans="1:5" x14ac:dyDescent="0.2">
      <c r="A1509" t="s">
        <v>5053</v>
      </c>
      <c r="B1509" t="s">
        <v>9217</v>
      </c>
      <c r="C1509" t="s">
        <v>104</v>
      </c>
      <c r="D1509" t="s">
        <v>547</v>
      </c>
      <c r="E1509" t="s">
        <v>5050</v>
      </c>
    </row>
    <row r="1510" spans="1:5" x14ac:dyDescent="0.2">
      <c r="A1510" t="s">
        <v>5054</v>
      </c>
      <c r="B1510" t="s">
        <v>9218</v>
      </c>
      <c r="C1510" t="s">
        <v>2471</v>
      </c>
      <c r="D1510" t="s">
        <v>309</v>
      </c>
      <c r="E1510" t="s">
        <v>5050</v>
      </c>
    </row>
    <row r="1511" spans="1:5" x14ac:dyDescent="0.2">
      <c r="A1511" t="s">
        <v>5055</v>
      </c>
      <c r="B1511" t="s">
        <v>9219</v>
      </c>
      <c r="C1511" t="s">
        <v>2471</v>
      </c>
      <c r="D1511" t="s">
        <v>701</v>
      </c>
      <c r="E1511" t="s">
        <v>5050</v>
      </c>
    </row>
    <row r="1512" spans="1:5" x14ac:dyDescent="0.2">
      <c r="A1512" t="s">
        <v>5056</v>
      </c>
      <c r="B1512" t="s">
        <v>9220</v>
      </c>
      <c r="C1512" t="s">
        <v>2471</v>
      </c>
      <c r="D1512" t="s">
        <v>701</v>
      </c>
      <c r="E1512" t="s">
        <v>5050</v>
      </c>
    </row>
    <row r="1513" spans="1:5" x14ac:dyDescent="0.2">
      <c r="A1513" t="s">
        <v>5057</v>
      </c>
      <c r="B1513" t="s">
        <v>9221</v>
      </c>
      <c r="C1513" t="s">
        <v>120</v>
      </c>
      <c r="D1513" t="s">
        <v>238</v>
      </c>
      <c r="E1513" t="s">
        <v>5050</v>
      </c>
    </row>
    <row r="1514" spans="1:5" x14ac:dyDescent="0.2">
      <c r="A1514" t="s">
        <v>5058</v>
      </c>
      <c r="B1514" t="s">
        <v>9222</v>
      </c>
      <c r="C1514" t="s">
        <v>2471</v>
      </c>
      <c r="D1514" t="s">
        <v>456</v>
      </c>
      <c r="E1514" t="s">
        <v>5050</v>
      </c>
    </row>
    <row r="1515" spans="1:5" x14ac:dyDescent="0.2">
      <c r="A1515" t="s">
        <v>5059</v>
      </c>
      <c r="B1515" t="s">
        <v>9223</v>
      </c>
      <c r="C1515" t="s">
        <v>2471</v>
      </c>
      <c r="D1515" t="s">
        <v>690</v>
      </c>
      <c r="E1515" t="s">
        <v>5050</v>
      </c>
    </row>
    <row r="1516" spans="1:5" x14ac:dyDescent="0.2">
      <c r="A1516" t="s">
        <v>5060</v>
      </c>
      <c r="B1516" t="s">
        <v>9224</v>
      </c>
      <c r="C1516" t="s">
        <v>2471</v>
      </c>
      <c r="D1516" t="s">
        <v>840</v>
      </c>
      <c r="E1516" t="s">
        <v>5050</v>
      </c>
    </row>
    <row r="1517" spans="1:5" x14ac:dyDescent="0.2">
      <c r="A1517" t="s">
        <v>5061</v>
      </c>
      <c r="B1517" t="s">
        <v>9225</v>
      </c>
      <c r="C1517" t="s">
        <v>131</v>
      </c>
      <c r="D1517" t="s">
        <v>818</v>
      </c>
      <c r="E1517" t="s">
        <v>5050</v>
      </c>
    </row>
    <row r="1518" spans="1:5" x14ac:dyDescent="0.2">
      <c r="A1518" t="s">
        <v>5062</v>
      </c>
      <c r="B1518" t="s">
        <v>9226</v>
      </c>
      <c r="C1518" t="s">
        <v>131</v>
      </c>
      <c r="D1518" t="s">
        <v>2559</v>
      </c>
      <c r="E1518" t="s">
        <v>5050</v>
      </c>
    </row>
    <row r="1519" spans="1:5" x14ac:dyDescent="0.2">
      <c r="A1519" t="s">
        <v>5063</v>
      </c>
      <c r="B1519" t="s">
        <v>9227</v>
      </c>
      <c r="C1519" t="s">
        <v>2471</v>
      </c>
      <c r="D1519" t="s">
        <v>223</v>
      </c>
      <c r="E1519" t="s">
        <v>5050</v>
      </c>
    </row>
    <row r="1520" spans="1:5" x14ac:dyDescent="0.2">
      <c r="A1520" t="s">
        <v>3061</v>
      </c>
      <c r="B1520" t="s">
        <v>3062</v>
      </c>
      <c r="C1520" t="s">
        <v>399</v>
      </c>
      <c r="D1520" t="s">
        <v>2699</v>
      </c>
      <c r="E1520" t="s">
        <v>3063</v>
      </c>
    </row>
    <row r="1521" spans="1:5" x14ac:dyDescent="0.2">
      <c r="A1521" t="s">
        <v>3064</v>
      </c>
      <c r="B1521" t="s">
        <v>3065</v>
      </c>
      <c r="C1521" t="s">
        <v>399</v>
      </c>
      <c r="D1521" t="s">
        <v>2699</v>
      </c>
      <c r="E1521" t="s">
        <v>3063</v>
      </c>
    </row>
    <row r="1522" spans="1:5" x14ac:dyDescent="0.2">
      <c r="A1522" t="s">
        <v>3066</v>
      </c>
      <c r="B1522" t="s">
        <v>3067</v>
      </c>
      <c r="C1522" t="s">
        <v>399</v>
      </c>
      <c r="D1522" t="s">
        <v>3068</v>
      </c>
      <c r="E1522" t="s">
        <v>3063</v>
      </c>
    </row>
    <row r="1523" spans="1:5" x14ac:dyDescent="0.2">
      <c r="A1523" t="s">
        <v>3069</v>
      </c>
      <c r="B1523" t="s">
        <v>3070</v>
      </c>
      <c r="C1523" t="s">
        <v>399</v>
      </c>
      <c r="D1523" t="s">
        <v>1291</v>
      </c>
      <c r="E1523" t="s">
        <v>3063</v>
      </c>
    </row>
    <row r="1524" spans="1:5" x14ac:dyDescent="0.2">
      <c r="A1524" t="s">
        <v>3071</v>
      </c>
      <c r="B1524" t="s">
        <v>3072</v>
      </c>
      <c r="C1524" t="s">
        <v>399</v>
      </c>
      <c r="D1524" t="s">
        <v>1291</v>
      </c>
      <c r="E1524" t="s">
        <v>3063</v>
      </c>
    </row>
    <row r="1525" spans="1:5" x14ac:dyDescent="0.2">
      <c r="A1525" t="s">
        <v>3073</v>
      </c>
      <c r="B1525" t="s">
        <v>3074</v>
      </c>
      <c r="C1525" t="s">
        <v>131</v>
      </c>
      <c r="D1525" t="s">
        <v>805</v>
      </c>
      <c r="E1525" t="s">
        <v>1387</v>
      </c>
    </row>
    <row r="1526" spans="1:5" x14ac:dyDescent="0.2">
      <c r="A1526" t="s">
        <v>3075</v>
      </c>
      <c r="B1526" t="s">
        <v>3076</v>
      </c>
      <c r="C1526" t="s">
        <v>131</v>
      </c>
      <c r="D1526" t="s">
        <v>805</v>
      </c>
      <c r="E1526" t="s">
        <v>1387</v>
      </c>
    </row>
    <row r="1527" spans="1:5" x14ac:dyDescent="0.2">
      <c r="A1527" t="s">
        <v>3077</v>
      </c>
      <c r="B1527" t="s">
        <v>3078</v>
      </c>
      <c r="C1527" t="s">
        <v>131</v>
      </c>
      <c r="D1527" t="s">
        <v>773</v>
      </c>
      <c r="E1527" t="s">
        <v>1387</v>
      </c>
    </row>
    <row r="1528" spans="1:5" x14ac:dyDescent="0.2">
      <c r="A1528" t="s">
        <v>3079</v>
      </c>
      <c r="B1528" t="s">
        <v>3080</v>
      </c>
      <c r="C1528" t="s">
        <v>244</v>
      </c>
      <c r="D1528" t="s">
        <v>1971</v>
      </c>
      <c r="E1528" t="s">
        <v>1387</v>
      </c>
    </row>
    <row r="1529" spans="1:5" x14ac:dyDescent="0.2">
      <c r="A1529" t="s">
        <v>3081</v>
      </c>
      <c r="B1529" t="s">
        <v>3082</v>
      </c>
      <c r="C1529" t="s">
        <v>244</v>
      </c>
      <c r="D1529" t="s">
        <v>1971</v>
      </c>
      <c r="E1529" t="s">
        <v>1387</v>
      </c>
    </row>
    <row r="1530" spans="1:5" x14ac:dyDescent="0.2">
      <c r="A1530" t="s">
        <v>3083</v>
      </c>
      <c r="B1530" t="s">
        <v>3084</v>
      </c>
      <c r="C1530" t="s">
        <v>244</v>
      </c>
      <c r="D1530" t="s">
        <v>991</v>
      </c>
      <c r="E1530" t="s">
        <v>1387</v>
      </c>
    </row>
    <row r="1531" spans="1:5" x14ac:dyDescent="0.2">
      <c r="A1531" t="s">
        <v>3085</v>
      </c>
      <c r="B1531" t="s">
        <v>3086</v>
      </c>
      <c r="C1531" t="s">
        <v>244</v>
      </c>
      <c r="D1531" t="s">
        <v>991</v>
      </c>
      <c r="E1531" t="s">
        <v>1387</v>
      </c>
    </row>
    <row r="1532" spans="1:5" x14ac:dyDescent="0.2">
      <c r="A1532" t="s">
        <v>3087</v>
      </c>
      <c r="B1532" t="s">
        <v>3088</v>
      </c>
      <c r="C1532" t="s">
        <v>322</v>
      </c>
      <c r="D1532" t="s">
        <v>2699</v>
      </c>
      <c r="E1532" t="s">
        <v>3063</v>
      </c>
    </row>
    <row r="1533" spans="1:5" x14ac:dyDescent="0.2">
      <c r="A1533" t="s">
        <v>3089</v>
      </c>
      <c r="B1533" t="s">
        <v>3090</v>
      </c>
      <c r="C1533" t="s">
        <v>322</v>
      </c>
      <c r="D1533" t="s">
        <v>2699</v>
      </c>
      <c r="E1533" t="s">
        <v>3063</v>
      </c>
    </row>
    <row r="1534" spans="1:5" x14ac:dyDescent="0.2">
      <c r="A1534" t="s">
        <v>3091</v>
      </c>
      <c r="B1534" t="s">
        <v>3092</v>
      </c>
      <c r="C1534" t="s">
        <v>322</v>
      </c>
      <c r="D1534" t="s">
        <v>3093</v>
      </c>
      <c r="E1534" t="s">
        <v>3063</v>
      </c>
    </row>
    <row r="1535" spans="1:5" x14ac:dyDescent="0.2">
      <c r="A1535" t="s">
        <v>3094</v>
      </c>
      <c r="B1535" t="s">
        <v>3095</v>
      </c>
      <c r="C1535" t="s">
        <v>322</v>
      </c>
      <c r="D1535" t="s">
        <v>1291</v>
      </c>
      <c r="E1535" t="s">
        <v>3063</v>
      </c>
    </row>
    <row r="1536" spans="1:5" x14ac:dyDescent="0.2">
      <c r="A1536" t="s">
        <v>3096</v>
      </c>
      <c r="B1536" t="s">
        <v>3097</v>
      </c>
      <c r="C1536" t="s">
        <v>322</v>
      </c>
      <c r="D1536" t="s">
        <v>1291</v>
      </c>
      <c r="E1536" t="s">
        <v>3063</v>
      </c>
    </row>
    <row r="1537" spans="1:5" x14ac:dyDescent="0.2">
      <c r="A1537" t="s">
        <v>3098</v>
      </c>
      <c r="B1537" t="s">
        <v>3099</v>
      </c>
      <c r="C1537" t="s">
        <v>251</v>
      </c>
      <c r="D1537" t="s">
        <v>3100</v>
      </c>
      <c r="E1537" t="s">
        <v>3101</v>
      </c>
    </row>
    <row r="1538" spans="1:5" x14ac:dyDescent="0.2">
      <c r="A1538" t="s">
        <v>3102</v>
      </c>
      <c r="B1538" t="s">
        <v>3103</v>
      </c>
      <c r="C1538" t="s">
        <v>251</v>
      </c>
      <c r="D1538" t="s">
        <v>3100</v>
      </c>
      <c r="E1538" t="s">
        <v>3101</v>
      </c>
    </row>
    <row r="1539" spans="1:5" x14ac:dyDescent="0.2">
      <c r="A1539" t="s">
        <v>3104</v>
      </c>
      <c r="B1539" t="s">
        <v>3105</v>
      </c>
      <c r="C1539" t="s">
        <v>251</v>
      </c>
      <c r="D1539" t="s">
        <v>1420</v>
      </c>
      <c r="E1539" t="s">
        <v>3063</v>
      </c>
    </row>
    <row r="1540" spans="1:5" x14ac:dyDescent="0.2">
      <c r="A1540" t="s">
        <v>3106</v>
      </c>
      <c r="B1540" t="s">
        <v>3107</v>
      </c>
      <c r="C1540" t="s">
        <v>251</v>
      </c>
      <c r="D1540" t="s">
        <v>1420</v>
      </c>
      <c r="E1540" t="s">
        <v>3063</v>
      </c>
    </row>
    <row r="1541" spans="1:5" x14ac:dyDescent="0.2">
      <c r="A1541" t="s">
        <v>3108</v>
      </c>
      <c r="B1541" t="s">
        <v>3109</v>
      </c>
      <c r="C1541" t="s">
        <v>251</v>
      </c>
      <c r="D1541" t="s">
        <v>2712</v>
      </c>
      <c r="E1541" t="s">
        <v>9228</v>
      </c>
    </row>
    <row r="1542" spans="1:5" x14ac:dyDescent="0.2">
      <c r="A1542" t="s">
        <v>3110</v>
      </c>
      <c r="B1542" t="s">
        <v>3111</v>
      </c>
      <c r="C1542" t="s">
        <v>251</v>
      </c>
      <c r="D1542" t="s">
        <v>2712</v>
      </c>
      <c r="E1542" t="s">
        <v>3101</v>
      </c>
    </row>
    <row r="1543" spans="1:5" x14ac:dyDescent="0.2">
      <c r="A1543" t="s">
        <v>3112</v>
      </c>
      <c r="B1543" t="s">
        <v>3113</v>
      </c>
      <c r="C1543" t="s">
        <v>251</v>
      </c>
      <c r="D1543" t="s">
        <v>1420</v>
      </c>
      <c r="E1543" t="s">
        <v>3063</v>
      </c>
    </row>
    <row r="1544" spans="1:5" x14ac:dyDescent="0.2">
      <c r="A1544" t="s">
        <v>3114</v>
      </c>
      <c r="B1544" t="s">
        <v>3115</v>
      </c>
      <c r="C1544" t="s">
        <v>251</v>
      </c>
      <c r="D1544" t="s">
        <v>1420</v>
      </c>
      <c r="E1544" t="s">
        <v>3063</v>
      </c>
    </row>
    <row r="1545" spans="1:5" x14ac:dyDescent="0.2">
      <c r="A1545" t="s">
        <v>3116</v>
      </c>
      <c r="B1545" t="s">
        <v>3117</v>
      </c>
      <c r="C1545" t="s">
        <v>251</v>
      </c>
      <c r="D1545" t="s">
        <v>3118</v>
      </c>
      <c r="E1545" t="s">
        <v>3063</v>
      </c>
    </row>
    <row r="1546" spans="1:5" x14ac:dyDescent="0.2">
      <c r="A1546" t="s">
        <v>3119</v>
      </c>
      <c r="B1546" t="s">
        <v>3120</v>
      </c>
      <c r="C1546" t="s">
        <v>251</v>
      </c>
      <c r="D1546" t="s">
        <v>3118</v>
      </c>
      <c r="E1546" t="s">
        <v>3063</v>
      </c>
    </row>
    <row r="1547" spans="1:5" x14ac:dyDescent="0.2">
      <c r="A1547" t="s">
        <v>3121</v>
      </c>
      <c r="B1547" t="s">
        <v>3122</v>
      </c>
      <c r="C1547" t="s">
        <v>251</v>
      </c>
      <c r="D1547" t="s">
        <v>2699</v>
      </c>
      <c r="E1547" t="s">
        <v>3063</v>
      </c>
    </row>
    <row r="1548" spans="1:5" x14ac:dyDescent="0.2">
      <c r="A1548" t="s">
        <v>3123</v>
      </c>
      <c r="B1548" t="s">
        <v>3124</v>
      </c>
      <c r="C1548" t="s">
        <v>251</v>
      </c>
      <c r="D1548" t="s">
        <v>2699</v>
      </c>
      <c r="E1548" t="s">
        <v>3063</v>
      </c>
    </row>
    <row r="1549" spans="1:5" x14ac:dyDescent="0.2">
      <c r="A1549" t="s">
        <v>3125</v>
      </c>
      <c r="B1549" t="s">
        <v>3126</v>
      </c>
      <c r="C1549" t="s">
        <v>251</v>
      </c>
      <c r="D1549" t="s">
        <v>3068</v>
      </c>
      <c r="E1549" t="s">
        <v>3063</v>
      </c>
    </row>
    <row r="1550" spans="1:5" x14ac:dyDescent="0.2">
      <c r="A1550" t="s">
        <v>3127</v>
      </c>
      <c r="B1550" t="s">
        <v>3128</v>
      </c>
      <c r="C1550" t="s">
        <v>251</v>
      </c>
      <c r="D1550" t="s">
        <v>1291</v>
      </c>
      <c r="E1550" t="s">
        <v>3063</v>
      </c>
    </row>
    <row r="1551" spans="1:5" x14ac:dyDescent="0.2">
      <c r="A1551" t="s">
        <v>3129</v>
      </c>
      <c r="B1551" t="s">
        <v>3130</v>
      </c>
      <c r="C1551" t="s">
        <v>251</v>
      </c>
      <c r="D1551" t="s">
        <v>1291</v>
      </c>
      <c r="E1551" t="s">
        <v>3063</v>
      </c>
    </row>
    <row r="1552" spans="1:5" x14ac:dyDescent="0.2">
      <c r="A1552" t="s">
        <v>3131</v>
      </c>
      <c r="B1552" t="s">
        <v>3132</v>
      </c>
      <c r="C1552" t="s">
        <v>219</v>
      </c>
      <c r="D1552" t="s">
        <v>714</v>
      </c>
      <c r="E1552" t="s">
        <v>3101</v>
      </c>
    </row>
    <row r="1553" spans="1:5" x14ac:dyDescent="0.2">
      <c r="A1553" t="s">
        <v>3133</v>
      </c>
      <c r="B1553" t="s">
        <v>3134</v>
      </c>
      <c r="C1553" t="s">
        <v>219</v>
      </c>
      <c r="D1553" t="s">
        <v>714</v>
      </c>
      <c r="E1553" t="s">
        <v>3101</v>
      </c>
    </row>
    <row r="1554" spans="1:5" x14ac:dyDescent="0.2">
      <c r="A1554" t="s">
        <v>3135</v>
      </c>
      <c r="B1554" t="s">
        <v>3136</v>
      </c>
      <c r="C1554" t="s">
        <v>219</v>
      </c>
      <c r="D1554" t="s">
        <v>3137</v>
      </c>
      <c r="E1554" t="s">
        <v>3063</v>
      </c>
    </row>
    <row r="1555" spans="1:5" x14ac:dyDescent="0.2">
      <c r="A1555" t="s">
        <v>3138</v>
      </c>
      <c r="B1555" t="s">
        <v>3139</v>
      </c>
      <c r="C1555" t="s">
        <v>219</v>
      </c>
      <c r="D1555" t="s">
        <v>714</v>
      </c>
      <c r="E1555" t="s">
        <v>3063</v>
      </c>
    </row>
    <row r="1556" spans="1:5" x14ac:dyDescent="0.2">
      <c r="A1556" t="s">
        <v>3140</v>
      </c>
      <c r="B1556" t="s">
        <v>3141</v>
      </c>
      <c r="C1556" t="s">
        <v>219</v>
      </c>
      <c r="D1556" t="s">
        <v>714</v>
      </c>
      <c r="E1556" t="s">
        <v>3063</v>
      </c>
    </row>
    <row r="1557" spans="1:5" x14ac:dyDescent="0.2">
      <c r="A1557" t="s">
        <v>3142</v>
      </c>
      <c r="B1557" t="s">
        <v>3143</v>
      </c>
      <c r="C1557" t="s">
        <v>669</v>
      </c>
      <c r="D1557" t="s">
        <v>126</v>
      </c>
      <c r="E1557" t="s">
        <v>1387</v>
      </c>
    </row>
    <row r="1558" spans="1:5" x14ac:dyDescent="0.2">
      <c r="A1558" t="s">
        <v>3144</v>
      </c>
      <c r="B1558" t="s">
        <v>3145</v>
      </c>
      <c r="C1558" t="s">
        <v>669</v>
      </c>
      <c r="D1558" t="s">
        <v>842</v>
      </c>
      <c r="E1558" t="s">
        <v>1387</v>
      </c>
    </row>
    <row r="1559" spans="1:5" x14ac:dyDescent="0.2">
      <c r="A1559" t="s">
        <v>3146</v>
      </c>
      <c r="B1559" t="s">
        <v>3147</v>
      </c>
      <c r="C1559" t="s">
        <v>669</v>
      </c>
      <c r="D1559" t="s">
        <v>842</v>
      </c>
      <c r="E1559" t="s">
        <v>1387</v>
      </c>
    </row>
    <row r="1560" spans="1:5" x14ac:dyDescent="0.2">
      <c r="A1560" t="s">
        <v>3148</v>
      </c>
      <c r="B1560" t="s">
        <v>3149</v>
      </c>
      <c r="C1560" t="s">
        <v>669</v>
      </c>
      <c r="D1560" t="s">
        <v>2012</v>
      </c>
      <c r="E1560" t="s">
        <v>1387</v>
      </c>
    </row>
    <row r="1561" spans="1:5" x14ac:dyDescent="0.2">
      <c r="A1561" t="s">
        <v>3150</v>
      </c>
      <c r="B1561" t="s">
        <v>3151</v>
      </c>
      <c r="C1561" t="s">
        <v>357</v>
      </c>
      <c r="D1561" t="s">
        <v>550</v>
      </c>
      <c r="E1561" t="s">
        <v>1387</v>
      </c>
    </row>
    <row r="1562" spans="1:5" x14ac:dyDescent="0.2">
      <c r="A1562" t="s">
        <v>3152</v>
      </c>
      <c r="B1562" t="s">
        <v>3153</v>
      </c>
      <c r="C1562" t="s">
        <v>357</v>
      </c>
      <c r="D1562" t="s">
        <v>1691</v>
      </c>
      <c r="E1562" t="s">
        <v>1387</v>
      </c>
    </row>
    <row r="1563" spans="1:5" x14ac:dyDescent="0.2">
      <c r="A1563" t="s">
        <v>3154</v>
      </c>
      <c r="B1563" t="s">
        <v>3155</v>
      </c>
      <c r="C1563" t="s">
        <v>357</v>
      </c>
      <c r="D1563" t="s">
        <v>3156</v>
      </c>
      <c r="E1563" t="s">
        <v>1387</v>
      </c>
    </row>
    <row r="1564" spans="1:5" x14ac:dyDescent="0.2">
      <c r="A1564" t="s">
        <v>3157</v>
      </c>
      <c r="B1564" t="s">
        <v>3158</v>
      </c>
      <c r="C1564" t="s">
        <v>357</v>
      </c>
      <c r="D1564" t="s">
        <v>3156</v>
      </c>
      <c r="E1564" t="s">
        <v>1387</v>
      </c>
    </row>
    <row r="1565" spans="1:5" x14ac:dyDescent="0.2">
      <c r="A1565" t="s">
        <v>3159</v>
      </c>
      <c r="B1565" t="s">
        <v>3160</v>
      </c>
      <c r="C1565" t="s">
        <v>357</v>
      </c>
      <c r="D1565" t="s">
        <v>3161</v>
      </c>
      <c r="E1565" t="s">
        <v>1387</v>
      </c>
    </row>
    <row r="1566" spans="1:5" x14ac:dyDescent="0.2">
      <c r="A1566" t="s">
        <v>3162</v>
      </c>
      <c r="B1566" t="s">
        <v>3163</v>
      </c>
      <c r="C1566" t="s">
        <v>357</v>
      </c>
      <c r="D1566" t="s">
        <v>3161</v>
      </c>
      <c r="E1566" t="s">
        <v>1387</v>
      </c>
    </row>
    <row r="1567" spans="1:5" x14ac:dyDescent="0.2">
      <c r="A1567" t="s">
        <v>3164</v>
      </c>
      <c r="B1567" t="s">
        <v>3165</v>
      </c>
      <c r="C1567" t="s">
        <v>357</v>
      </c>
      <c r="D1567" t="s">
        <v>248</v>
      </c>
      <c r="E1567" t="s">
        <v>1387</v>
      </c>
    </row>
    <row r="1568" spans="1:5" x14ac:dyDescent="0.2">
      <c r="A1568" t="s">
        <v>3166</v>
      </c>
      <c r="B1568" t="s">
        <v>3167</v>
      </c>
      <c r="C1568" t="s">
        <v>357</v>
      </c>
      <c r="D1568" t="s">
        <v>3156</v>
      </c>
      <c r="E1568" t="s">
        <v>1387</v>
      </c>
    </row>
    <row r="1569" spans="1:5" x14ac:dyDescent="0.2">
      <c r="A1569" t="s">
        <v>3168</v>
      </c>
      <c r="B1569" t="s">
        <v>3169</v>
      </c>
      <c r="C1569" t="s">
        <v>357</v>
      </c>
      <c r="D1569" t="s">
        <v>3156</v>
      </c>
      <c r="E1569" t="s">
        <v>1387</v>
      </c>
    </row>
    <row r="1570" spans="1:5" x14ac:dyDescent="0.2">
      <c r="A1570" t="s">
        <v>3170</v>
      </c>
      <c r="B1570" t="s">
        <v>3171</v>
      </c>
      <c r="C1570" t="s">
        <v>357</v>
      </c>
      <c r="D1570" t="s">
        <v>350</v>
      </c>
      <c r="E1570" t="s">
        <v>1387</v>
      </c>
    </row>
    <row r="1571" spans="1:5" x14ac:dyDescent="0.2">
      <c r="A1571" t="s">
        <v>3172</v>
      </c>
      <c r="B1571" t="s">
        <v>3173</v>
      </c>
      <c r="C1571" t="s">
        <v>357</v>
      </c>
      <c r="D1571" t="s">
        <v>350</v>
      </c>
      <c r="E1571" t="s">
        <v>1387</v>
      </c>
    </row>
    <row r="1572" spans="1:5" x14ac:dyDescent="0.2">
      <c r="A1572" t="s">
        <v>3174</v>
      </c>
      <c r="B1572" t="s">
        <v>3175</v>
      </c>
      <c r="C1572" t="s">
        <v>357</v>
      </c>
      <c r="D1572" t="s">
        <v>254</v>
      </c>
      <c r="E1572" t="s">
        <v>1387</v>
      </c>
    </row>
    <row r="1573" spans="1:5" x14ac:dyDescent="0.2">
      <c r="A1573" t="s">
        <v>3176</v>
      </c>
      <c r="B1573" t="s">
        <v>3177</v>
      </c>
      <c r="C1573" t="s">
        <v>357</v>
      </c>
      <c r="D1573" t="s">
        <v>220</v>
      </c>
      <c r="E1573" t="s">
        <v>1387</v>
      </c>
    </row>
    <row r="1574" spans="1:5" x14ac:dyDescent="0.2">
      <c r="A1574" t="s">
        <v>3178</v>
      </c>
      <c r="B1574" t="s">
        <v>3179</v>
      </c>
      <c r="C1574" t="s">
        <v>357</v>
      </c>
      <c r="D1574" t="s">
        <v>254</v>
      </c>
      <c r="E1574" t="s">
        <v>1387</v>
      </c>
    </row>
    <row r="1575" spans="1:5" x14ac:dyDescent="0.2">
      <c r="A1575" t="s">
        <v>3180</v>
      </c>
      <c r="B1575" t="s">
        <v>3181</v>
      </c>
      <c r="C1575" t="s">
        <v>357</v>
      </c>
      <c r="D1575" t="s">
        <v>734</v>
      </c>
      <c r="E1575" t="s">
        <v>1387</v>
      </c>
    </row>
    <row r="1576" spans="1:5" x14ac:dyDescent="0.2">
      <c r="A1576" t="s">
        <v>3182</v>
      </c>
      <c r="B1576" t="s">
        <v>3183</v>
      </c>
      <c r="C1576" t="s">
        <v>357</v>
      </c>
      <c r="D1576" t="s">
        <v>254</v>
      </c>
      <c r="E1576" t="s">
        <v>1387</v>
      </c>
    </row>
    <row r="1577" spans="1:5" x14ac:dyDescent="0.2">
      <c r="A1577" t="s">
        <v>3184</v>
      </c>
      <c r="B1577" t="s">
        <v>3185</v>
      </c>
      <c r="C1577" t="s">
        <v>212</v>
      </c>
      <c r="D1577" t="s">
        <v>394</v>
      </c>
      <c r="E1577" t="s">
        <v>1387</v>
      </c>
    </row>
    <row r="1578" spans="1:5" x14ac:dyDescent="0.2">
      <c r="A1578" t="s">
        <v>3186</v>
      </c>
      <c r="B1578" t="s">
        <v>3187</v>
      </c>
      <c r="C1578" t="s">
        <v>212</v>
      </c>
      <c r="D1578" t="s">
        <v>394</v>
      </c>
      <c r="E1578" t="s">
        <v>1387</v>
      </c>
    </row>
    <row r="1579" spans="1:5" x14ac:dyDescent="0.2">
      <c r="A1579" t="s">
        <v>3188</v>
      </c>
      <c r="B1579" t="s">
        <v>3189</v>
      </c>
      <c r="C1579" t="s">
        <v>212</v>
      </c>
      <c r="D1579" t="s">
        <v>252</v>
      </c>
      <c r="E1579" t="s">
        <v>1387</v>
      </c>
    </row>
    <row r="1580" spans="1:5" x14ac:dyDescent="0.2">
      <c r="A1580" t="s">
        <v>3190</v>
      </c>
      <c r="B1580" t="s">
        <v>3191</v>
      </c>
      <c r="C1580" t="s">
        <v>212</v>
      </c>
      <c r="D1580" t="s">
        <v>252</v>
      </c>
      <c r="E1580" t="s">
        <v>1387</v>
      </c>
    </row>
    <row r="1581" spans="1:5" x14ac:dyDescent="0.2">
      <c r="A1581" t="s">
        <v>3192</v>
      </c>
      <c r="B1581" t="s">
        <v>3193</v>
      </c>
      <c r="C1581" t="s">
        <v>742</v>
      </c>
      <c r="D1581" t="s">
        <v>2712</v>
      </c>
      <c r="E1581" t="s">
        <v>3101</v>
      </c>
    </row>
    <row r="1582" spans="1:5" x14ac:dyDescent="0.2">
      <c r="A1582" t="s">
        <v>3194</v>
      </c>
      <c r="B1582" t="s">
        <v>3195</v>
      </c>
      <c r="C1582" t="s">
        <v>742</v>
      </c>
      <c r="D1582" t="s">
        <v>2712</v>
      </c>
      <c r="E1582" t="s">
        <v>3101</v>
      </c>
    </row>
    <row r="1583" spans="1:5" x14ac:dyDescent="0.2">
      <c r="A1583" t="s">
        <v>3196</v>
      </c>
      <c r="B1583" t="s">
        <v>3197</v>
      </c>
      <c r="C1583" t="s">
        <v>742</v>
      </c>
      <c r="D1583" t="s">
        <v>3137</v>
      </c>
      <c r="E1583" t="s">
        <v>3063</v>
      </c>
    </row>
    <row r="1584" spans="1:5" x14ac:dyDescent="0.2">
      <c r="A1584" t="s">
        <v>3198</v>
      </c>
      <c r="B1584" t="s">
        <v>3199</v>
      </c>
      <c r="C1584" t="s">
        <v>742</v>
      </c>
      <c r="D1584" t="s">
        <v>566</v>
      </c>
      <c r="E1584" t="s">
        <v>3063</v>
      </c>
    </row>
    <row r="1585" spans="1:5" x14ac:dyDescent="0.2">
      <c r="A1585" t="s">
        <v>3200</v>
      </c>
      <c r="B1585" t="s">
        <v>3201</v>
      </c>
      <c r="C1585" t="s">
        <v>742</v>
      </c>
      <c r="D1585" t="s">
        <v>566</v>
      </c>
      <c r="E1585" t="s">
        <v>3063</v>
      </c>
    </row>
    <row r="1586" spans="1:5" x14ac:dyDescent="0.2">
      <c r="A1586" t="s">
        <v>3202</v>
      </c>
      <c r="B1586" t="s">
        <v>3203</v>
      </c>
      <c r="C1586" t="s">
        <v>742</v>
      </c>
      <c r="D1586" t="s">
        <v>3204</v>
      </c>
      <c r="E1586" t="s">
        <v>3063</v>
      </c>
    </row>
    <row r="1587" spans="1:5" x14ac:dyDescent="0.2">
      <c r="A1587" t="s">
        <v>3205</v>
      </c>
      <c r="B1587" t="s">
        <v>3206</v>
      </c>
      <c r="C1587" t="s">
        <v>742</v>
      </c>
      <c r="D1587" t="s">
        <v>3204</v>
      </c>
      <c r="E1587" t="s">
        <v>3063</v>
      </c>
    </row>
    <row r="1588" spans="1:5" x14ac:dyDescent="0.2">
      <c r="A1588" t="s">
        <v>3207</v>
      </c>
      <c r="B1588" t="s">
        <v>3208</v>
      </c>
      <c r="C1588" t="s">
        <v>131</v>
      </c>
      <c r="D1588" t="s">
        <v>1025</v>
      </c>
      <c r="E1588" t="s">
        <v>1387</v>
      </c>
    </row>
    <row r="1589" spans="1:5" x14ac:dyDescent="0.2">
      <c r="A1589" t="s">
        <v>3210</v>
      </c>
      <c r="B1589" t="s">
        <v>3211</v>
      </c>
      <c r="C1589" t="s">
        <v>131</v>
      </c>
      <c r="D1589" t="s">
        <v>1025</v>
      </c>
      <c r="E1589" t="s">
        <v>1387</v>
      </c>
    </row>
    <row r="1590" spans="1:5" x14ac:dyDescent="0.2">
      <c r="A1590" t="s">
        <v>3212</v>
      </c>
      <c r="B1590" t="s">
        <v>3213</v>
      </c>
      <c r="C1590" t="s">
        <v>131</v>
      </c>
      <c r="D1590" t="s">
        <v>441</v>
      </c>
      <c r="E1590" t="s">
        <v>1387</v>
      </c>
    </row>
    <row r="1591" spans="1:5" x14ac:dyDescent="0.2">
      <c r="A1591" t="s">
        <v>3214</v>
      </c>
      <c r="B1591" t="s">
        <v>3215</v>
      </c>
      <c r="C1591" t="s">
        <v>131</v>
      </c>
      <c r="D1591" t="s">
        <v>441</v>
      </c>
      <c r="E1591" t="s">
        <v>1387</v>
      </c>
    </row>
    <row r="1592" spans="1:5" x14ac:dyDescent="0.2">
      <c r="A1592" t="s">
        <v>3216</v>
      </c>
      <c r="B1592" t="s">
        <v>3217</v>
      </c>
      <c r="C1592" t="s">
        <v>376</v>
      </c>
      <c r="D1592" t="s">
        <v>893</v>
      </c>
      <c r="E1592" t="s">
        <v>9228</v>
      </c>
    </row>
    <row r="1593" spans="1:5" x14ac:dyDescent="0.2">
      <c r="A1593" t="s">
        <v>3218</v>
      </c>
      <c r="B1593" t="s">
        <v>3219</v>
      </c>
      <c r="C1593" t="s">
        <v>376</v>
      </c>
      <c r="D1593" t="s">
        <v>893</v>
      </c>
      <c r="E1593" t="s">
        <v>9228</v>
      </c>
    </row>
    <row r="1594" spans="1:5" x14ac:dyDescent="0.2">
      <c r="A1594" t="s">
        <v>3220</v>
      </c>
      <c r="B1594" t="s">
        <v>3221</v>
      </c>
      <c r="C1594" t="s">
        <v>376</v>
      </c>
      <c r="D1594" t="s">
        <v>3636</v>
      </c>
      <c r="E1594" t="s">
        <v>9228</v>
      </c>
    </row>
    <row r="1595" spans="1:5" x14ac:dyDescent="0.2">
      <c r="A1595" t="s">
        <v>3222</v>
      </c>
      <c r="B1595" t="s">
        <v>3223</v>
      </c>
      <c r="C1595" t="s">
        <v>376</v>
      </c>
      <c r="D1595" t="s">
        <v>868</v>
      </c>
      <c r="E1595" t="s">
        <v>9228</v>
      </c>
    </row>
    <row r="1596" spans="1:5" x14ac:dyDescent="0.2">
      <c r="A1596" t="s">
        <v>3224</v>
      </c>
      <c r="B1596" t="s">
        <v>3225</v>
      </c>
      <c r="C1596" t="s">
        <v>376</v>
      </c>
      <c r="D1596" t="s">
        <v>868</v>
      </c>
      <c r="E1596" t="s">
        <v>9228</v>
      </c>
    </row>
    <row r="1597" spans="1:5" x14ac:dyDescent="0.2">
      <c r="A1597" t="s">
        <v>3226</v>
      </c>
      <c r="B1597" t="s">
        <v>3227</v>
      </c>
      <c r="C1597" t="s">
        <v>244</v>
      </c>
      <c r="D1597" t="s">
        <v>3237</v>
      </c>
      <c r="E1597" t="s">
        <v>9229</v>
      </c>
    </row>
    <row r="1598" spans="1:5" x14ac:dyDescent="0.2">
      <c r="A1598" t="s">
        <v>3228</v>
      </c>
      <c r="B1598" t="s">
        <v>3229</v>
      </c>
      <c r="C1598" t="s">
        <v>244</v>
      </c>
      <c r="D1598" t="s">
        <v>3237</v>
      </c>
      <c r="E1598" t="s">
        <v>9229</v>
      </c>
    </row>
    <row r="1599" spans="1:5" x14ac:dyDescent="0.2">
      <c r="A1599" t="s">
        <v>3230</v>
      </c>
      <c r="B1599" t="s">
        <v>3231</v>
      </c>
      <c r="C1599" t="s">
        <v>244</v>
      </c>
      <c r="D1599" t="s">
        <v>3232</v>
      </c>
      <c r="E1599" t="s">
        <v>3063</v>
      </c>
    </row>
    <row r="1600" spans="1:5" x14ac:dyDescent="0.2">
      <c r="A1600" t="s">
        <v>3233</v>
      </c>
      <c r="B1600" t="s">
        <v>3234</v>
      </c>
      <c r="C1600" t="s">
        <v>244</v>
      </c>
      <c r="D1600" t="s">
        <v>3232</v>
      </c>
      <c r="E1600" t="s">
        <v>3063</v>
      </c>
    </row>
    <row r="1601" spans="1:5" x14ac:dyDescent="0.2">
      <c r="A1601" t="s">
        <v>3235</v>
      </c>
      <c r="B1601" t="s">
        <v>3236</v>
      </c>
      <c r="C1601" t="s">
        <v>345</v>
      </c>
      <c r="D1601" t="s">
        <v>3237</v>
      </c>
      <c r="E1601" t="s">
        <v>3101</v>
      </c>
    </row>
    <row r="1602" spans="1:5" x14ac:dyDescent="0.2">
      <c r="A1602" t="s">
        <v>3238</v>
      </c>
      <c r="B1602" t="s">
        <v>3239</v>
      </c>
      <c r="C1602" t="s">
        <v>345</v>
      </c>
      <c r="D1602" t="s">
        <v>3237</v>
      </c>
      <c r="E1602" t="s">
        <v>3101</v>
      </c>
    </row>
    <row r="1603" spans="1:5" x14ac:dyDescent="0.2">
      <c r="A1603" t="s">
        <v>3240</v>
      </c>
      <c r="B1603" t="s">
        <v>3241</v>
      </c>
      <c r="C1603" t="s">
        <v>345</v>
      </c>
      <c r="D1603" t="s">
        <v>868</v>
      </c>
      <c r="E1603" t="s">
        <v>3063</v>
      </c>
    </row>
    <row r="1604" spans="1:5" x14ac:dyDescent="0.2">
      <c r="A1604" t="s">
        <v>3242</v>
      </c>
      <c r="B1604" t="s">
        <v>3243</v>
      </c>
      <c r="C1604" t="s">
        <v>251</v>
      </c>
      <c r="D1604" t="s">
        <v>422</v>
      </c>
      <c r="E1604" t="s">
        <v>1387</v>
      </c>
    </row>
    <row r="1605" spans="1:5" x14ac:dyDescent="0.2">
      <c r="A1605" t="s">
        <v>3244</v>
      </c>
      <c r="B1605" t="s">
        <v>3245</v>
      </c>
      <c r="C1605" t="s">
        <v>251</v>
      </c>
      <c r="D1605" t="s">
        <v>422</v>
      </c>
      <c r="E1605" t="s">
        <v>1387</v>
      </c>
    </row>
    <row r="1606" spans="1:5" x14ac:dyDescent="0.2">
      <c r="A1606" t="s">
        <v>3246</v>
      </c>
      <c r="B1606" t="s">
        <v>3247</v>
      </c>
      <c r="C1606" t="s">
        <v>251</v>
      </c>
      <c r="D1606" t="s">
        <v>252</v>
      </c>
      <c r="E1606" t="s">
        <v>1387</v>
      </c>
    </row>
    <row r="1607" spans="1:5" x14ac:dyDescent="0.2">
      <c r="A1607" t="s">
        <v>3248</v>
      </c>
      <c r="B1607" t="s">
        <v>3249</v>
      </c>
      <c r="C1607" t="s">
        <v>251</v>
      </c>
      <c r="D1607" t="s">
        <v>252</v>
      </c>
      <c r="E1607" t="s">
        <v>1387</v>
      </c>
    </row>
    <row r="1608" spans="1:5" x14ac:dyDescent="0.2">
      <c r="A1608" t="s">
        <v>3254</v>
      </c>
      <c r="B1608" t="s">
        <v>3255</v>
      </c>
      <c r="C1608" t="s">
        <v>104</v>
      </c>
      <c r="D1608" t="s">
        <v>213</v>
      </c>
      <c r="E1608" t="s">
        <v>1387</v>
      </c>
    </row>
    <row r="1609" spans="1:5" x14ac:dyDescent="0.2">
      <c r="A1609" t="s">
        <v>3256</v>
      </c>
      <c r="B1609" t="s">
        <v>3257</v>
      </c>
      <c r="C1609" t="s">
        <v>104</v>
      </c>
      <c r="D1609" t="s">
        <v>213</v>
      </c>
      <c r="E1609" t="s">
        <v>1387</v>
      </c>
    </row>
    <row r="1610" spans="1:5" x14ac:dyDescent="0.2">
      <c r="A1610" t="s">
        <v>3258</v>
      </c>
      <c r="B1610" t="s">
        <v>3259</v>
      </c>
      <c r="C1610" t="s">
        <v>104</v>
      </c>
      <c r="D1610" t="s">
        <v>1374</v>
      </c>
      <c r="E1610" t="s">
        <v>1387</v>
      </c>
    </row>
    <row r="1611" spans="1:5" x14ac:dyDescent="0.2">
      <c r="A1611" t="s">
        <v>3250</v>
      </c>
      <c r="B1611" t="s">
        <v>3251</v>
      </c>
      <c r="C1611" t="s">
        <v>2471</v>
      </c>
      <c r="D1611" t="s">
        <v>220</v>
      </c>
      <c r="E1611" t="s">
        <v>1387</v>
      </c>
    </row>
    <row r="1612" spans="1:5" x14ac:dyDescent="0.2">
      <c r="A1612" t="s">
        <v>3252</v>
      </c>
      <c r="B1612" t="s">
        <v>3253</v>
      </c>
      <c r="C1612" t="s">
        <v>2471</v>
      </c>
      <c r="D1612" t="s">
        <v>220</v>
      </c>
      <c r="E1612" t="s">
        <v>1387</v>
      </c>
    </row>
    <row r="1613" spans="1:5" x14ac:dyDescent="0.2">
      <c r="A1613" t="s">
        <v>3260</v>
      </c>
      <c r="B1613" t="s">
        <v>3261</v>
      </c>
      <c r="C1613" t="s">
        <v>2471</v>
      </c>
      <c r="D1613" t="s">
        <v>220</v>
      </c>
      <c r="E1613" t="s">
        <v>1387</v>
      </c>
    </row>
    <row r="1614" spans="1:5" x14ac:dyDescent="0.2">
      <c r="A1614" t="s">
        <v>3262</v>
      </c>
      <c r="B1614" t="s">
        <v>3263</v>
      </c>
      <c r="C1614" t="s">
        <v>2471</v>
      </c>
      <c r="D1614" t="s">
        <v>220</v>
      </c>
      <c r="E1614" t="s">
        <v>1387</v>
      </c>
    </row>
    <row r="1615" spans="1:5" x14ac:dyDescent="0.2">
      <c r="A1615" t="s">
        <v>3264</v>
      </c>
      <c r="B1615" t="s">
        <v>3265</v>
      </c>
      <c r="C1615" t="s">
        <v>104</v>
      </c>
      <c r="D1615" t="s">
        <v>2559</v>
      </c>
      <c r="E1615" t="s">
        <v>8879</v>
      </c>
    </row>
    <row r="1616" spans="1:5" x14ac:dyDescent="0.2">
      <c r="A1616" t="s">
        <v>3266</v>
      </c>
      <c r="B1616" t="s">
        <v>3267</v>
      </c>
      <c r="C1616" t="s">
        <v>357</v>
      </c>
      <c r="D1616" t="s">
        <v>2199</v>
      </c>
      <c r="E1616" t="s">
        <v>8894</v>
      </c>
    </row>
    <row r="1617" spans="1:5" x14ac:dyDescent="0.2">
      <c r="A1617" t="s">
        <v>3268</v>
      </c>
      <c r="B1617" t="s">
        <v>3269</v>
      </c>
      <c r="C1617" t="s">
        <v>357</v>
      </c>
      <c r="D1617" t="s">
        <v>2199</v>
      </c>
      <c r="E1617" t="s">
        <v>8894</v>
      </c>
    </row>
    <row r="1618" spans="1:5" x14ac:dyDescent="0.2">
      <c r="A1618" t="s">
        <v>3270</v>
      </c>
      <c r="B1618" t="s">
        <v>3271</v>
      </c>
      <c r="C1618" t="s">
        <v>357</v>
      </c>
      <c r="D1618" t="s">
        <v>309</v>
      </c>
      <c r="E1618" t="s">
        <v>8894</v>
      </c>
    </row>
    <row r="1619" spans="1:5" x14ac:dyDescent="0.2">
      <c r="A1619" t="s">
        <v>3272</v>
      </c>
      <c r="B1619" t="s">
        <v>3273</v>
      </c>
      <c r="C1619" t="s">
        <v>357</v>
      </c>
      <c r="D1619" t="s">
        <v>412</v>
      </c>
      <c r="E1619" t="s">
        <v>8894</v>
      </c>
    </row>
    <row r="1620" spans="1:5" x14ac:dyDescent="0.2">
      <c r="A1620" t="s">
        <v>3274</v>
      </c>
      <c r="B1620" t="s">
        <v>3275</v>
      </c>
      <c r="C1620" t="s">
        <v>357</v>
      </c>
      <c r="D1620" t="s">
        <v>335</v>
      </c>
      <c r="E1620" t="s">
        <v>8894</v>
      </c>
    </row>
    <row r="1621" spans="1:5" x14ac:dyDescent="0.2">
      <c r="A1621" t="s">
        <v>3276</v>
      </c>
      <c r="B1621" t="s">
        <v>3277</v>
      </c>
      <c r="C1621" t="s">
        <v>357</v>
      </c>
      <c r="D1621" t="s">
        <v>1831</v>
      </c>
      <c r="E1621" t="s">
        <v>8894</v>
      </c>
    </row>
    <row r="1622" spans="1:5" x14ac:dyDescent="0.2">
      <c r="A1622" t="s">
        <v>6013</v>
      </c>
      <c r="B1622" t="s">
        <v>9230</v>
      </c>
      <c r="C1622" t="s">
        <v>131</v>
      </c>
      <c r="D1622" t="s">
        <v>9231</v>
      </c>
      <c r="E1622" t="s">
        <v>9135</v>
      </c>
    </row>
    <row r="1623" spans="1:5" x14ac:dyDescent="0.2">
      <c r="A1623" t="s">
        <v>6014</v>
      </c>
      <c r="B1623" t="s">
        <v>9232</v>
      </c>
      <c r="C1623" t="s">
        <v>131</v>
      </c>
      <c r="D1623" t="s">
        <v>180</v>
      </c>
      <c r="E1623" t="s">
        <v>9135</v>
      </c>
    </row>
    <row r="1624" spans="1:5" x14ac:dyDescent="0.2">
      <c r="A1624" t="s">
        <v>6015</v>
      </c>
      <c r="B1624" t="s">
        <v>9233</v>
      </c>
      <c r="C1624" t="s">
        <v>244</v>
      </c>
      <c r="D1624" t="s">
        <v>1058</v>
      </c>
      <c r="E1624" t="s">
        <v>8879</v>
      </c>
    </row>
    <row r="1625" spans="1:5" x14ac:dyDescent="0.2">
      <c r="A1625" t="s">
        <v>6016</v>
      </c>
      <c r="B1625" t="s">
        <v>9234</v>
      </c>
      <c r="C1625" t="s">
        <v>244</v>
      </c>
      <c r="D1625" t="s">
        <v>400</v>
      </c>
      <c r="E1625" t="s">
        <v>8879</v>
      </c>
    </row>
    <row r="1626" spans="1:5" x14ac:dyDescent="0.2">
      <c r="A1626" t="s">
        <v>6017</v>
      </c>
      <c r="B1626" t="s">
        <v>9235</v>
      </c>
      <c r="C1626" t="s">
        <v>104</v>
      </c>
      <c r="D1626" t="s">
        <v>3832</v>
      </c>
      <c r="E1626" t="s">
        <v>9148</v>
      </c>
    </row>
    <row r="1627" spans="1:5" x14ac:dyDescent="0.2">
      <c r="A1627" t="s">
        <v>6019</v>
      </c>
      <c r="B1627" t="s">
        <v>9236</v>
      </c>
      <c r="C1627" t="s">
        <v>104</v>
      </c>
      <c r="D1627" t="s">
        <v>3832</v>
      </c>
      <c r="E1627" t="s">
        <v>9148</v>
      </c>
    </row>
    <row r="1628" spans="1:5" x14ac:dyDescent="0.2">
      <c r="A1628" t="s">
        <v>6020</v>
      </c>
      <c r="B1628" t="s">
        <v>9237</v>
      </c>
      <c r="C1628" t="s">
        <v>104</v>
      </c>
      <c r="D1628" t="s">
        <v>252</v>
      </c>
      <c r="E1628" t="s">
        <v>9148</v>
      </c>
    </row>
    <row r="1629" spans="1:5" x14ac:dyDescent="0.2">
      <c r="A1629" t="s">
        <v>6021</v>
      </c>
      <c r="B1629" t="s">
        <v>9238</v>
      </c>
      <c r="C1629" t="s">
        <v>104</v>
      </c>
      <c r="D1629" t="s">
        <v>252</v>
      </c>
      <c r="E1629" t="s">
        <v>9148</v>
      </c>
    </row>
    <row r="1630" spans="1:5" x14ac:dyDescent="0.2">
      <c r="A1630" t="s">
        <v>6022</v>
      </c>
      <c r="B1630" t="s">
        <v>9239</v>
      </c>
      <c r="C1630" t="s">
        <v>331</v>
      </c>
      <c r="D1630" t="s">
        <v>1966</v>
      </c>
      <c r="E1630" t="s">
        <v>9240</v>
      </c>
    </row>
    <row r="1631" spans="1:5" x14ac:dyDescent="0.2">
      <c r="A1631" t="s">
        <v>6023</v>
      </c>
      <c r="B1631" t="s">
        <v>9241</v>
      </c>
      <c r="C1631" t="s">
        <v>331</v>
      </c>
      <c r="D1631" t="s">
        <v>617</v>
      </c>
      <c r="E1631" t="s">
        <v>9240</v>
      </c>
    </row>
    <row r="1632" spans="1:5" x14ac:dyDescent="0.2">
      <c r="A1632" t="s">
        <v>6024</v>
      </c>
      <c r="B1632" t="s">
        <v>9242</v>
      </c>
      <c r="C1632" t="s">
        <v>322</v>
      </c>
      <c r="D1632" t="s">
        <v>115</v>
      </c>
      <c r="E1632" t="s">
        <v>9240</v>
      </c>
    </row>
    <row r="1633" spans="1:5" x14ac:dyDescent="0.2">
      <c r="A1633" t="s">
        <v>6025</v>
      </c>
      <c r="B1633" t="s">
        <v>9243</v>
      </c>
      <c r="C1633" t="s">
        <v>322</v>
      </c>
      <c r="D1633" t="s">
        <v>258</v>
      </c>
      <c r="E1633" t="s">
        <v>9240</v>
      </c>
    </row>
    <row r="1634" spans="1:5" x14ac:dyDescent="0.2">
      <c r="A1634" t="s">
        <v>6026</v>
      </c>
      <c r="B1634" t="s">
        <v>9244</v>
      </c>
      <c r="C1634" t="s">
        <v>131</v>
      </c>
      <c r="D1634" t="s">
        <v>1534</v>
      </c>
      <c r="E1634" t="s">
        <v>9245</v>
      </c>
    </row>
    <row r="1635" spans="1:5" x14ac:dyDescent="0.2">
      <c r="A1635" t="s">
        <v>6027</v>
      </c>
      <c r="B1635" t="s">
        <v>9246</v>
      </c>
      <c r="C1635" t="s">
        <v>131</v>
      </c>
      <c r="D1635" t="s">
        <v>1831</v>
      </c>
      <c r="E1635" t="s">
        <v>9245</v>
      </c>
    </row>
    <row r="1636" spans="1:5" x14ac:dyDescent="0.2">
      <c r="A1636" t="s">
        <v>6028</v>
      </c>
      <c r="B1636" t="s">
        <v>9247</v>
      </c>
      <c r="C1636" t="s">
        <v>376</v>
      </c>
      <c r="D1636" t="s">
        <v>1566</v>
      </c>
      <c r="E1636" t="s">
        <v>8894</v>
      </c>
    </row>
    <row r="1637" spans="1:5" x14ac:dyDescent="0.2">
      <c r="A1637" t="s">
        <v>6029</v>
      </c>
      <c r="B1637" t="s">
        <v>9248</v>
      </c>
      <c r="C1637" t="s">
        <v>376</v>
      </c>
      <c r="D1637" t="s">
        <v>1566</v>
      </c>
      <c r="E1637" t="s">
        <v>8894</v>
      </c>
    </row>
    <row r="1638" spans="1:5" x14ac:dyDescent="0.2">
      <c r="A1638" t="s">
        <v>6030</v>
      </c>
      <c r="B1638" t="s">
        <v>9249</v>
      </c>
      <c r="C1638" t="s">
        <v>376</v>
      </c>
      <c r="D1638" t="s">
        <v>171</v>
      </c>
      <c r="E1638" t="s">
        <v>8894</v>
      </c>
    </row>
    <row r="1639" spans="1:5" x14ac:dyDescent="0.2">
      <c r="A1639" t="s">
        <v>6031</v>
      </c>
      <c r="B1639" t="s">
        <v>9250</v>
      </c>
      <c r="C1639" t="s">
        <v>376</v>
      </c>
      <c r="D1639" t="s">
        <v>171</v>
      </c>
      <c r="E1639" t="s">
        <v>8894</v>
      </c>
    </row>
    <row r="1640" spans="1:5" x14ac:dyDescent="0.2">
      <c r="A1640" t="s">
        <v>6032</v>
      </c>
      <c r="B1640" t="s">
        <v>9251</v>
      </c>
      <c r="C1640" t="s">
        <v>219</v>
      </c>
      <c r="D1640" t="s">
        <v>9231</v>
      </c>
      <c r="E1640" t="s">
        <v>8984</v>
      </c>
    </row>
    <row r="1641" spans="1:5" x14ac:dyDescent="0.2">
      <c r="A1641" t="s">
        <v>6033</v>
      </c>
      <c r="B1641" t="s">
        <v>9252</v>
      </c>
      <c r="C1641" t="s">
        <v>705</v>
      </c>
      <c r="D1641" t="s">
        <v>93</v>
      </c>
      <c r="E1641" t="s">
        <v>9253</v>
      </c>
    </row>
    <row r="1642" spans="1:5" x14ac:dyDescent="0.2">
      <c r="A1642" t="s">
        <v>6034</v>
      </c>
      <c r="B1642" t="s">
        <v>9254</v>
      </c>
      <c r="C1642" t="s">
        <v>705</v>
      </c>
      <c r="D1642" t="s">
        <v>93</v>
      </c>
      <c r="E1642" t="s">
        <v>9253</v>
      </c>
    </row>
    <row r="1643" spans="1:5" x14ac:dyDescent="0.2">
      <c r="A1643" t="s">
        <v>6035</v>
      </c>
      <c r="B1643" t="s">
        <v>9255</v>
      </c>
      <c r="C1643" t="s">
        <v>705</v>
      </c>
      <c r="D1643" t="s">
        <v>371</v>
      </c>
      <c r="E1643" t="s">
        <v>9253</v>
      </c>
    </row>
    <row r="1644" spans="1:5" x14ac:dyDescent="0.2">
      <c r="A1644" t="s">
        <v>6036</v>
      </c>
      <c r="B1644" t="s">
        <v>9256</v>
      </c>
      <c r="C1644" t="s">
        <v>705</v>
      </c>
      <c r="D1644" t="s">
        <v>371</v>
      </c>
      <c r="E1644" t="s">
        <v>9253</v>
      </c>
    </row>
    <row r="1645" spans="1:5" x14ac:dyDescent="0.2">
      <c r="A1645" t="s">
        <v>6037</v>
      </c>
      <c r="B1645" t="s">
        <v>9257</v>
      </c>
      <c r="C1645" t="s">
        <v>219</v>
      </c>
      <c r="D1645" t="s">
        <v>180</v>
      </c>
      <c r="E1645" t="s">
        <v>8984</v>
      </c>
    </row>
    <row r="1646" spans="1:5" x14ac:dyDescent="0.2">
      <c r="A1646" t="s">
        <v>6038</v>
      </c>
      <c r="B1646" t="s">
        <v>9258</v>
      </c>
      <c r="C1646" t="s">
        <v>261</v>
      </c>
      <c r="D1646" t="s">
        <v>150</v>
      </c>
      <c r="E1646" t="s">
        <v>8984</v>
      </c>
    </row>
    <row r="1647" spans="1:5" x14ac:dyDescent="0.2">
      <c r="A1647" t="s">
        <v>6039</v>
      </c>
      <c r="B1647" t="s">
        <v>9259</v>
      </c>
      <c r="C1647" t="s">
        <v>261</v>
      </c>
      <c r="D1647" t="s">
        <v>394</v>
      </c>
      <c r="E1647" t="s">
        <v>8984</v>
      </c>
    </row>
    <row r="1648" spans="1:5" x14ac:dyDescent="0.2">
      <c r="A1648" t="s">
        <v>6040</v>
      </c>
      <c r="B1648" t="s">
        <v>9260</v>
      </c>
      <c r="C1648" t="s">
        <v>212</v>
      </c>
      <c r="D1648" t="s">
        <v>459</v>
      </c>
      <c r="E1648" t="s">
        <v>8894</v>
      </c>
    </row>
    <row r="1649" spans="1:5" x14ac:dyDescent="0.2">
      <c r="A1649" t="s">
        <v>6041</v>
      </c>
      <c r="B1649" t="s">
        <v>9261</v>
      </c>
      <c r="C1649" t="s">
        <v>212</v>
      </c>
      <c r="D1649" t="s">
        <v>459</v>
      </c>
      <c r="E1649" t="s">
        <v>8894</v>
      </c>
    </row>
    <row r="1650" spans="1:5" x14ac:dyDescent="0.2">
      <c r="A1650" t="s">
        <v>6042</v>
      </c>
      <c r="B1650" t="s">
        <v>9262</v>
      </c>
      <c r="C1650" t="s">
        <v>212</v>
      </c>
      <c r="D1650" t="s">
        <v>456</v>
      </c>
      <c r="E1650" t="s">
        <v>8894</v>
      </c>
    </row>
    <row r="1651" spans="1:5" x14ac:dyDescent="0.2">
      <c r="A1651" t="s">
        <v>6043</v>
      </c>
      <c r="B1651" t="s">
        <v>9263</v>
      </c>
      <c r="C1651" t="s">
        <v>212</v>
      </c>
      <c r="D1651" t="s">
        <v>456</v>
      </c>
      <c r="E1651" t="s">
        <v>8894</v>
      </c>
    </row>
    <row r="1652" spans="1:5" x14ac:dyDescent="0.2">
      <c r="A1652" t="s">
        <v>6044</v>
      </c>
      <c r="B1652" t="s">
        <v>9264</v>
      </c>
      <c r="C1652" t="s">
        <v>251</v>
      </c>
      <c r="D1652" t="s">
        <v>1490</v>
      </c>
      <c r="E1652" t="s">
        <v>9265</v>
      </c>
    </row>
    <row r="1653" spans="1:5" x14ac:dyDescent="0.2">
      <c r="A1653" t="s">
        <v>6045</v>
      </c>
      <c r="B1653" t="s">
        <v>9266</v>
      </c>
      <c r="C1653" t="s">
        <v>251</v>
      </c>
      <c r="D1653" t="s">
        <v>386</v>
      </c>
      <c r="E1653" t="s">
        <v>9265</v>
      </c>
    </row>
    <row r="1654" spans="1:5" x14ac:dyDescent="0.2">
      <c r="A1654" t="s">
        <v>6046</v>
      </c>
      <c r="B1654" t="s">
        <v>9267</v>
      </c>
      <c r="C1654" t="s">
        <v>227</v>
      </c>
      <c r="D1654" t="s">
        <v>258</v>
      </c>
      <c r="E1654" t="s">
        <v>8894</v>
      </c>
    </row>
    <row r="1655" spans="1:5" x14ac:dyDescent="0.2">
      <c r="A1655" t="s">
        <v>6047</v>
      </c>
      <c r="B1655" t="s">
        <v>9268</v>
      </c>
      <c r="C1655" t="s">
        <v>251</v>
      </c>
      <c r="D1655" t="s">
        <v>306</v>
      </c>
      <c r="E1655" t="s">
        <v>9269</v>
      </c>
    </row>
    <row r="1656" spans="1:5" x14ac:dyDescent="0.2">
      <c r="A1656" t="s">
        <v>6048</v>
      </c>
      <c r="B1656" t="s">
        <v>9270</v>
      </c>
      <c r="C1656" t="s">
        <v>251</v>
      </c>
      <c r="D1656" t="s">
        <v>309</v>
      </c>
      <c r="E1656" t="s">
        <v>9269</v>
      </c>
    </row>
    <row r="1657" spans="1:5" x14ac:dyDescent="0.2">
      <c r="A1657" t="s">
        <v>6049</v>
      </c>
      <c r="B1657" t="s">
        <v>9271</v>
      </c>
      <c r="C1657" t="s">
        <v>227</v>
      </c>
      <c r="D1657" t="s">
        <v>115</v>
      </c>
      <c r="E1657" t="s">
        <v>8894</v>
      </c>
    </row>
    <row r="1658" spans="1:5" x14ac:dyDescent="0.2">
      <c r="A1658" t="s">
        <v>6050</v>
      </c>
      <c r="B1658" t="s">
        <v>9272</v>
      </c>
      <c r="C1658" t="s">
        <v>227</v>
      </c>
      <c r="D1658" t="s">
        <v>258</v>
      </c>
      <c r="E1658" t="s">
        <v>8894</v>
      </c>
    </row>
    <row r="1659" spans="1:5" x14ac:dyDescent="0.2">
      <c r="A1659" t="s">
        <v>6051</v>
      </c>
      <c r="B1659" t="s">
        <v>9273</v>
      </c>
      <c r="C1659" t="s">
        <v>399</v>
      </c>
      <c r="D1659" t="s">
        <v>427</v>
      </c>
      <c r="E1659" t="s">
        <v>9240</v>
      </c>
    </row>
    <row r="1660" spans="1:5" x14ac:dyDescent="0.2">
      <c r="A1660" t="s">
        <v>6052</v>
      </c>
      <c r="B1660" t="s">
        <v>9274</v>
      </c>
      <c r="C1660" t="s">
        <v>399</v>
      </c>
      <c r="D1660" t="s">
        <v>422</v>
      </c>
      <c r="E1660" t="s">
        <v>9240</v>
      </c>
    </row>
    <row r="1661" spans="1:5" x14ac:dyDescent="0.2">
      <c r="A1661" t="s">
        <v>3278</v>
      </c>
      <c r="B1661" t="s">
        <v>3279</v>
      </c>
      <c r="C1661" t="s">
        <v>131</v>
      </c>
      <c r="D1661" t="s">
        <v>728</v>
      </c>
      <c r="E1661" t="s">
        <v>8879</v>
      </c>
    </row>
    <row r="1662" spans="1:5" x14ac:dyDescent="0.2">
      <c r="A1662" t="s">
        <v>3280</v>
      </c>
      <c r="B1662" t="s">
        <v>3281</v>
      </c>
      <c r="C1662" t="s">
        <v>104</v>
      </c>
      <c r="D1662" t="s">
        <v>156</v>
      </c>
      <c r="E1662" t="s">
        <v>8879</v>
      </c>
    </row>
    <row r="1663" spans="1:5" x14ac:dyDescent="0.2">
      <c r="A1663" t="s">
        <v>6068</v>
      </c>
      <c r="B1663" t="s">
        <v>9275</v>
      </c>
      <c r="C1663" t="s">
        <v>251</v>
      </c>
      <c r="D1663" t="s">
        <v>459</v>
      </c>
      <c r="E1663" t="s">
        <v>8894</v>
      </c>
    </row>
    <row r="1664" spans="1:5" x14ac:dyDescent="0.2">
      <c r="A1664" t="s">
        <v>6069</v>
      </c>
      <c r="B1664" t="s">
        <v>9276</v>
      </c>
      <c r="C1664" t="s">
        <v>251</v>
      </c>
      <c r="D1664" t="s">
        <v>459</v>
      </c>
      <c r="E1664" t="s">
        <v>8894</v>
      </c>
    </row>
    <row r="1665" spans="1:5" x14ac:dyDescent="0.2">
      <c r="A1665" t="s">
        <v>6070</v>
      </c>
      <c r="B1665" t="s">
        <v>9277</v>
      </c>
      <c r="C1665" t="s">
        <v>251</v>
      </c>
      <c r="D1665" t="s">
        <v>456</v>
      </c>
      <c r="E1665" t="s">
        <v>8894</v>
      </c>
    </row>
    <row r="1666" spans="1:5" x14ac:dyDescent="0.2">
      <c r="A1666" t="s">
        <v>6071</v>
      </c>
      <c r="B1666" t="s">
        <v>9278</v>
      </c>
      <c r="C1666" t="s">
        <v>251</v>
      </c>
      <c r="D1666" t="s">
        <v>456</v>
      </c>
      <c r="E1666" t="s">
        <v>8894</v>
      </c>
    </row>
    <row r="1667" spans="1:5" x14ac:dyDescent="0.2">
      <c r="A1667" t="s">
        <v>3282</v>
      </c>
      <c r="B1667" t="s">
        <v>3283</v>
      </c>
      <c r="C1667" t="s">
        <v>131</v>
      </c>
      <c r="D1667" t="s">
        <v>394</v>
      </c>
      <c r="E1667" t="s">
        <v>8894</v>
      </c>
    </row>
    <row r="1668" spans="1:5" x14ac:dyDescent="0.2">
      <c r="A1668" t="s">
        <v>3284</v>
      </c>
      <c r="B1668" t="s">
        <v>3285</v>
      </c>
      <c r="C1668" t="s">
        <v>131</v>
      </c>
      <c r="D1668" t="s">
        <v>394</v>
      </c>
      <c r="E1668" t="s">
        <v>8894</v>
      </c>
    </row>
    <row r="1669" spans="1:5" x14ac:dyDescent="0.2">
      <c r="A1669" t="s">
        <v>3286</v>
      </c>
      <c r="B1669" t="s">
        <v>3287</v>
      </c>
      <c r="C1669" t="s">
        <v>104</v>
      </c>
      <c r="D1669" t="s">
        <v>422</v>
      </c>
      <c r="E1669" t="s">
        <v>8894</v>
      </c>
    </row>
    <row r="1670" spans="1:5" x14ac:dyDescent="0.2">
      <c r="A1670" t="s">
        <v>3288</v>
      </c>
      <c r="B1670" t="s">
        <v>3289</v>
      </c>
      <c r="C1670" t="s">
        <v>104</v>
      </c>
      <c r="D1670" t="s">
        <v>422</v>
      </c>
      <c r="E1670" t="s">
        <v>8894</v>
      </c>
    </row>
    <row r="1671" spans="1:5" x14ac:dyDescent="0.2">
      <c r="A1671" t="s">
        <v>3290</v>
      </c>
      <c r="B1671" t="s">
        <v>3291</v>
      </c>
      <c r="C1671" t="s">
        <v>104</v>
      </c>
      <c r="D1671" t="s">
        <v>394</v>
      </c>
      <c r="E1671" t="s">
        <v>8894</v>
      </c>
    </row>
    <row r="1672" spans="1:5" x14ac:dyDescent="0.2">
      <c r="A1672" t="s">
        <v>3292</v>
      </c>
      <c r="B1672" t="s">
        <v>3293</v>
      </c>
      <c r="C1672" t="s">
        <v>104</v>
      </c>
      <c r="D1672" t="s">
        <v>394</v>
      </c>
      <c r="E1672" t="s">
        <v>8894</v>
      </c>
    </row>
    <row r="1673" spans="1:5" x14ac:dyDescent="0.2">
      <c r="A1673" t="s">
        <v>3294</v>
      </c>
      <c r="B1673" t="s">
        <v>3295</v>
      </c>
      <c r="C1673" t="s">
        <v>92</v>
      </c>
      <c r="D1673" t="s">
        <v>422</v>
      </c>
      <c r="E1673" t="s">
        <v>8894</v>
      </c>
    </row>
    <row r="1674" spans="1:5" x14ac:dyDescent="0.2">
      <c r="A1674" t="s">
        <v>3296</v>
      </c>
      <c r="B1674" t="s">
        <v>3297</v>
      </c>
      <c r="C1674" t="s">
        <v>92</v>
      </c>
      <c r="D1674" t="s">
        <v>422</v>
      </c>
      <c r="E1674" t="s">
        <v>8894</v>
      </c>
    </row>
    <row r="1675" spans="1:5" x14ac:dyDescent="0.2">
      <c r="A1675" t="s">
        <v>3310</v>
      </c>
      <c r="B1675" t="s">
        <v>3311</v>
      </c>
      <c r="C1675" t="s">
        <v>376</v>
      </c>
      <c r="D1675" t="s">
        <v>853</v>
      </c>
      <c r="E1675" t="s">
        <v>1541</v>
      </c>
    </row>
    <row r="1676" spans="1:5" x14ac:dyDescent="0.2">
      <c r="A1676" t="s">
        <v>3312</v>
      </c>
      <c r="B1676" t="s">
        <v>3313</v>
      </c>
      <c r="C1676" t="s">
        <v>376</v>
      </c>
      <c r="D1676" t="s">
        <v>853</v>
      </c>
      <c r="E1676" t="s">
        <v>1541</v>
      </c>
    </row>
    <row r="1677" spans="1:5" x14ac:dyDescent="0.2">
      <c r="A1677" t="s">
        <v>3314</v>
      </c>
      <c r="B1677" t="s">
        <v>3315</v>
      </c>
      <c r="C1677" t="s">
        <v>376</v>
      </c>
      <c r="D1677" t="s">
        <v>535</v>
      </c>
      <c r="E1677" t="s">
        <v>1541</v>
      </c>
    </row>
    <row r="1678" spans="1:5" x14ac:dyDescent="0.2">
      <c r="A1678" t="s">
        <v>3316</v>
      </c>
      <c r="B1678" t="s">
        <v>3317</v>
      </c>
      <c r="C1678" t="s">
        <v>376</v>
      </c>
      <c r="D1678" t="s">
        <v>535</v>
      </c>
      <c r="E1678" t="s">
        <v>1541</v>
      </c>
    </row>
    <row r="1679" spans="1:5" x14ac:dyDescent="0.2">
      <c r="A1679" t="s">
        <v>3318</v>
      </c>
      <c r="B1679" t="s">
        <v>3319</v>
      </c>
      <c r="C1679" t="s">
        <v>376</v>
      </c>
      <c r="D1679" t="s">
        <v>400</v>
      </c>
      <c r="E1679" t="s">
        <v>1541</v>
      </c>
    </row>
    <row r="1680" spans="1:5" x14ac:dyDescent="0.2">
      <c r="A1680" t="s">
        <v>3320</v>
      </c>
      <c r="B1680" t="s">
        <v>3321</v>
      </c>
      <c r="C1680" t="s">
        <v>376</v>
      </c>
      <c r="D1680" t="s">
        <v>400</v>
      </c>
      <c r="E1680" t="s">
        <v>1541</v>
      </c>
    </row>
    <row r="1681" spans="1:5" x14ac:dyDescent="0.2">
      <c r="A1681" t="s">
        <v>3322</v>
      </c>
      <c r="B1681" t="s">
        <v>3323</v>
      </c>
      <c r="C1681" t="s">
        <v>357</v>
      </c>
      <c r="D1681" t="s">
        <v>254</v>
      </c>
      <c r="E1681" t="s">
        <v>1541</v>
      </c>
    </row>
    <row r="1682" spans="1:5" x14ac:dyDescent="0.2">
      <c r="A1682" t="s">
        <v>3324</v>
      </c>
      <c r="B1682" t="s">
        <v>3325</v>
      </c>
      <c r="C1682" t="s">
        <v>357</v>
      </c>
      <c r="D1682" t="s">
        <v>840</v>
      </c>
      <c r="E1682" t="s">
        <v>1541</v>
      </c>
    </row>
    <row r="1683" spans="1:5" x14ac:dyDescent="0.2">
      <c r="A1683" t="s">
        <v>3326</v>
      </c>
      <c r="B1683" t="s">
        <v>3327</v>
      </c>
      <c r="C1683" t="s">
        <v>357</v>
      </c>
      <c r="D1683" t="s">
        <v>1006</v>
      </c>
      <c r="E1683" t="s">
        <v>1541</v>
      </c>
    </row>
    <row r="1684" spans="1:5" x14ac:dyDescent="0.2">
      <c r="A1684" t="s">
        <v>3328</v>
      </c>
      <c r="B1684" t="s">
        <v>3329</v>
      </c>
      <c r="C1684" t="s">
        <v>318</v>
      </c>
      <c r="D1684" t="s">
        <v>462</v>
      </c>
      <c r="E1684" t="s">
        <v>1541</v>
      </c>
    </row>
    <row r="1685" spans="1:5" x14ac:dyDescent="0.2">
      <c r="A1685" t="s">
        <v>3330</v>
      </c>
      <c r="B1685" t="s">
        <v>3331</v>
      </c>
      <c r="C1685" t="s">
        <v>244</v>
      </c>
      <c r="D1685" t="s">
        <v>282</v>
      </c>
      <c r="E1685" t="s">
        <v>1541</v>
      </c>
    </row>
    <row r="1686" spans="1:5" x14ac:dyDescent="0.2">
      <c r="A1686" t="s">
        <v>3332</v>
      </c>
      <c r="B1686" t="s">
        <v>3333</v>
      </c>
      <c r="C1686" t="s">
        <v>244</v>
      </c>
      <c r="D1686" t="s">
        <v>282</v>
      </c>
      <c r="E1686" t="s">
        <v>1541</v>
      </c>
    </row>
    <row r="1687" spans="1:5" x14ac:dyDescent="0.2">
      <c r="A1687" t="s">
        <v>3334</v>
      </c>
      <c r="B1687" t="s">
        <v>9279</v>
      </c>
      <c r="C1687" t="s">
        <v>244</v>
      </c>
      <c r="D1687" t="s">
        <v>386</v>
      </c>
      <c r="E1687" t="s">
        <v>1541</v>
      </c>
    </row>
    <row r="1688" spans="1:5" x14ac:dyDescent="0.2">
      <c r="A1688" t="s">
        <v>3335</v>
      </c>
      <c r="B1688" t="s">
        <v>3336</v>
      </c>
      <c r="C1688" t="s">
        <v>244</v>
      </c>
      <c r="D1688" t="s">
        <v>386</v>
      </c>
      <c r="E1688" t="s">
        <v>1541</v>
      </c>
    </row>
    <row r="1689" spans="1:5" x14ac:dyDescent="0.2">
      <c r="A1689" t="s">
        <v>3337</v>
      </c>
      <c r="B1689" t="s">
        <v>9280</v>
      </c>
      <c r="C1689" t="s">
        <v>244</v>
      </c>
      <c r="D1689" t="s">
        <v>710</v>
      </c>
      <c r="E1689" t="s">
        <v>1541</v>
      </c>
    </row>
    <row r="1690" spans="1:5" x14ac:dyDescent="0.2">
      <c r="A1690" t="s">
        <v>3338</v>
      </c>
      <c r="B1690" t="s">
        <v>3339</v>
      </c>
      <c r="C1690" t="s">
        <v>244</v>
      </c>
      <c r="D1690" t="s">
        <v>710</v>
      </c>
      <c r="E1690" t="s">
        <v>1541</v>
      </c>
    </row>
    <row r="1691" spans="1:5" x14ac:dyDescent="0.2">
      <c r="A1691" t="s">
        <v>3340</v>
      </c>
      <c r="B1691" t="s">
        <v>3341</v>
      </c>
      <c r="C1691" t="s">
        <v>104</v>
      </c>
      <c r="D1691" t="s">
        <v>306</v>
      </c>
      <c r="E1691" t="s">
        <v>1541</v>
      </c>
    </row>
    <row r="1692" spans="1:5" x14ac:dyDescent="0.2">
      <c r="A1692" t="s">
        <v>3342</v>
      </c>
      <c r="B1692" t="s">
        <v>3343</v>
      </c>
      <c r="C1692" t="s">
        <v>104</v>
      </c>
      <c r="D1692" t="s">
        <v>306</v>
      </c>
      <c r="E1692" t="s">
        <v>1541</v>
      </c>
    </row>
    <row r="1693" spans="1:5" x14ac:dyDescent="0.2">
      <c r="A1693" t="s">
        <v>3344</v>
      </c>
      <c r="B1693" t="s">
        <v>3345</v>
      </c>
      <c r="C1693" t="s">
        <v>104</v>
      </c>
      <c r="D1693" t="s">
        <v>444</v>
      </c>
      <c r="E1693" t="s">
        <v>1541</v>
      </c>
    </row>
    <row r="1694" spans="1:5" x14ac:dyDescent="0.2">
      <c r="A1694" t="s">
        <v>3346</v>
      </c>
      <c r="B1694" t="s">
        <v>3347</v>
      </c>
      <c r="C1694" t="s">
        <v>104</v>
      </c>
      <c r="D1694" t="s">
        <v>444</v>
      </c>
      <c r="E1694" t="s">
        <v>1541</v>
      </c>
    </row>
    <row r="1695" spans="1:5" x14ac:dyDescent="0.2">
      <c r="A1695" t="s">
        <v>3348</v>
      </c>
      <c r="B1695" t="s">
        <v>9281</v>
      </c>
      <c r="C1695" t="s">
        <v>591</v>
      </c>
      <c r="D1695" t="s">
        <v>1652</v>
      </c>
      <c r="E1695" t="s">
        <v>1541</v>
      </c>
    </row>
    <row r="1696" spans="1:5" x14ac:dyDescent="0.2">
      <c r="A1696" t="s">
        <v>3349</v>
      </c>
      <c r="B1696" t="s">
        <v>3350</v>
      </c>
      <c r="C1696" t="s">
        <v>591</v>
      </c>
      <c r="D1696" t="s">
        <v>1652</v>
      </c>
      <c r="E1696" t="s">
        <v>1541</v>
      </c>
    </row>
    <row r="1697" spans="1:5" x14ac:dyDescent="0.2">
      <c r="A1697" t="s">
        <v>3351</v>
      </c>
      <c r="B1697" t="s">
        <v>3352</v>
      </c>
      <c r="C1697" t="s">
        <v>591</v>
      </c>
      <c r="D1697" t="s">
        <v>93</v>
      </c>
      <c r="E1697" t="s">
        <v>1541</v>
      </c>
    </row>
    <row r="1698" spans="1:5" x14ac:dyDescent="0.2">
      <c r="A1698" t="s">
        <v>3353</v>
      </c>
      <c r="B1698" t="s">
        <v>3354</v>
      </c>
      <c r="C1698" t="s">
        <v>591</v>
      </c>
      <c r="D1698" t="s">
        <v>93</v>
      </c>
      <c r="E1698" t="s">
        <v>1541</v>
      </c>
    </row>
    <row r="1699" spans="1:5" x14ac:dyDescent="0.2">
      <c r="A1699" t="s">
        <v>3355</v>
      </c>
      <c r="B1699" t="s">
        <v>9282</v>
      </c>
      <c r="C1699" t="s">
        <v>322</v>
      </c>
      <c r="D1699" t="s">
        <v>773</v>
      </c>
      <c r="E1699" t="s">
        <v>1541</v>
      </c>
    </row>
    <row r="1700" spans="1:5" x14ac:dyDescent="0.2">
      <c r="A1700" t="s">
        <v>3356</v>
      </c>
      <c r="B1700" t="s">
        <v>3357</v>
      </c>
      <c r="C1700" t="s">
        <v>322</v>
      </c>
      <c r="D1700" t="s">
        <v>773</v>
      </c>
      <c r="E1700" t="s">
        <v>1541</v>
      </c>
    </row>
    <row r="1701" spans="1:5" x14ac:dyDescent="0.2">
      <c r="A1701" t="s">
        <v>3358</v>
      </c>
      <c r="B1701" t="s">
        <v>3359</v>
      </c>
      <c r="C1701" t="s">
        <v>322</v>
      </c>
      <c r="D1701" t="s">
        <v>126</v>
      </c>
      <c r="E1701" t="s">
        <v>1541</v>
      </c>
    </row>
    <row r="1702" spans="1:5" x14ac:dyDescent="0.2">
      <c r="A1702" t="s">
        <v>3360</v>
      </c>
      <c r="B1702" t="s">
        <v>3361</v>
      </c>
      <c r="C1702" t="s">
        <v>322</v>
      </c>
      <c r="D1702" t="s">
        <v>126</v>
      </c>
      <c r="E1702" t="s">
        <v>1541</v>
      </c>
    </row>
    <row r="1703" spans="1:5" x14ac:dyDescent="0.2">
      <c r="A1703" t="s">
        <v>3362</v>
      </c>
      <c r="B1703" t="s">
        <v>9283</v>
      </c>
      <c r="C1703" t="s">
        <v>322</v>
      </c>
      <c r="D1703" t="s">
        <v>500</v>
      </c>
      <c r="E1703" t="s">
        <v>1541</v>
      </c>
    </row>
    <row r="1704" spans="1:5" x14ac:dyDescent="0.2">
      <c r="A1704" t="s">
        <v>3363</v>
      </c>
      <c r="B1704" t="s">
        <v>3364</v>
      </c>
      <c r="C1704" t="s">
        <v>322</v>
      </c>
      <c r="D1704" t="s">
        <v>500</v>
      </c>
      <c r="E1704" t="s">
        <v>1541</v>
      </c>
    </row>
    <row r="1705" spans="1:5" x14ac:dyDescent="0.2">
      <c r="A1705" t="s">
        <v>3365</v>
      </c>
      <c r="B1705" t="s">
        <v>3366</v>
      </c>
      <c r="C1705" t="s">
        <v>322</v>
      </c>
      <c r="D1705" t="s">
        <v>462</v>
      </c>
      <c r="E1705" t="s">
        <v>1541</v>
      </c>
    </row>
    <row r="1706" spans="1:5" x14ac:dyDescent="0.2">
      <c r="A1706" t="s">
        <v>3367</v>
      </c>
      <c r="B1706" t="s">
        <v>3368</v>
      </c>
      <c r="C1706" t="s">
        <v>322</v>
      </c>
      <c r="D1706" t="s">
        <v>462</v>
      </c>
      <c r="E1706" t="s">
        <v>1541</v>
      </c>
    </row>
    <row r="1707" spans="1:5" x14ac:dyDescent="0.2">
      <c r="A1707" t="s">
        <v>3369</v>
      </c>
      <c r="B1707" t="s">
        <v>3370</v>
      </c>
      <c r="C1707" t="s">
        <v>322</v>
      </c>
      <c r="D1707" t="s">
        <v>1058</v>
      </c>
      <c r="E1707" t="s">
        <v>1541</v>
      </c>
    </row>
    <row r="1708" spans="1:5" x14ac:dyDescent="0.2">
      <c r="A1708" t="s">
        <v>3371</v>
      </c>
      <c r="B1708" t="s">
        <v>3372</v>
      </c>
      <c r="C1708" t="s">
        <v>322</v>
      </c>
      <c r="D1708" t="s">
        <v>1058</v>
      </c>
      <c r="E1708" t="s">
        <v>1541</v>
      </c>
    </row>
    <row r="1709" spans="1:5" x14ac:dyDescent="0.2">
      <c r="A1709" t="s">
        <v>3373</v>
      </c>
      <c r="B1709" t="s">
        <v>3374</v>
      </c>
      <c r="C1709" t="s">
        <v>322</v>
      </c>
      <c r="D1709" t="s">
        <v>400</v>
      </c>
      <c r="E1709" t="s">
        <v>1541</v>
      </c>
    </row>
    <row r="1710" spans="1:5" x14ac:dyDescent="0.2">
      <c r="A1710" t="s">
        <v>3375</v>
      </c>
      <c r="B1710" t="s">
        <v>3376</v>
      </c>
      <c r="C1710" t="s">
        <v>322</v>
      </c>
      <c r="D1710" t="s">
        <v>400</v>
      </c>
      <c r="E1710" t="s">
        <v>1541</v>
      </c>
    </row>
    <row r="1711" spans="1:5" x14ac:dyDescent="0.2">
      <c r="A1711" t="s">
        <v>3377</v>
      </c>
      <c r="B1711" t="s">
        <v>3378</v>
      </c>
      <c r="C1711" t="s">
        <v>104</v>
      </c>
      <c r="D1711" t="s">
        <v>955</v>
      </c>
      <c r="E1711" t="s">
        <v>1541</v>
      </c>
    </row>
    <row r="1712" spans="1:5" x14ac:dyDescent="0.2">
      <c r="A1712" t="s">
        <v>3379</v>
      </c>
      <c r="B1712" t="s">
        <v>3380</v>
      </c>
      <c r="C1712" t="s">
        <v>104</v>
      </c>
      <c r="D1712" t="s">
        <v>955</v>
      </c>
      <c r="E1712" t="s">
        <v>1541</v>
      </c>
    </row>
    <row r="1713" spans="1:5" x14ac:dyDescent="0.2">
      <c r="A1713" t="s">
        <v>3381</v>
      </c>
      <c r="B1713" t="s">
        <v>3382</v>
      </c>
      <c r="C1713" t="s">
        <v>104</v>
      </c>
      <c r="D1713" t="s">
        <v>422</v>
      </c>
      <c r="E1713" t="s">
        <v>1541</v>
      </c>
    </row>
    <row r="1714" spans="1:5" x14ac:dyDescent="0.2">
      <c r="A1714" t="s">
        <v>3383</v>
      </c>
      <c r="B1714" t="s">
        <v>3384</v>
      </c>
      <c r="C1714" t="s">
        <v>104</v>
      </c>
      <c r="D1714" t="s">
        <v>422</v>
      </c>
      <c r="E1714" t="s">
        <v>1541</v>
      </c>
    </row>
    <row r="1715" spans="1:5" x14ac:dyDescent="0.2">
      <c r="A1715" t="s">
        <v>3385</v>
      </c>
      <c r="B1715" t="s">
        <v>3386</v>
      </c>
      <c r="C1715" t="s">
        <v>659</v>
      </c>
      <c r="D1715" t="s">
        <v>1058</v>
      </c>
      <c r="E1715" t="s">
        <v>1541</v>
      </c>
    </row>
    <row r="1716" spans="1:5" x14ac:dyDescent="0.2">
      <c r="A1716" t="s">
        <v>3387</v>
      </c>
      <c r="B1716" t="s">
        <v>3388</v>
      </c>
      <c r="C1716" t="s">
        <v>659</v>
      </c>
      <c r="D1716" t="s">
        <v>400</v>
      </c>
      <c r="E1716" t="s">
        <v>1541</v>
      </c>
    </row>
    <row r="1717" spans="1:5" x14ac:dyDescent="0.2">
      <c r="A1717" t="s">
        <v>3389</v>
      </c>
      <c r="B1717" t="s">
        <v>3390</v>
      </c>
      <c r="C1717" t="s">
        <v>705</v>
      </c>
      <c r="D1717" t="s">
        <v>93</v>
      </c>
      <c r="E1717" t="s">
        <v>1541</v>
      </c>
    </row>
    <row r="1718" spans="1:5" x14ac:dyDescent="0.2">
      <c r="A1718" t="s">
        <v>3391</v>
      </c>
      <c r="B1718" t="s">
        <v>3392</v>
      </c>
      <c r="C1718" t="s">
        <v>705</v>
      </c>
      <c r="D1718" t="s">
        <v>93</v>
      </c>
      <c r="E1718" t="s">
        <v>1541</v>
      </c>
    </row>
    <row r="1719" spans="1:5" x14ac:dyDescent="0.2">
      <c r="A1719" t="s">
        <v>3393</v>
      </c>
      <c r="B1719" t="s">
        <v>3394</v>
      </c>
      <c r="C1719" t="s">
        <v>705</v>
      </c>
      <c r="D1719" t="s">
        <v>171</v>
      </c>
      <c r="E1719" t="s">
        <v>1541</v>
      </c>
    </row>
    <row r="1720" spans="1:5" x14ac:dyDescent="0.2">
      <c r="A1720" t="s">
        <v>3395</v>
      </c>
      <c r="B1720" t="s">
        <v>3396</v>
      </c>
      <c r="C1720" t="s">
        <v>705</v>
      </c>
      <c r="D1720" t="s">
        <v>171</v>
      </c>
      <c r="E1720" t="s">
        <v>1541</v>
      </c>
    </row>
    <row r="1721" spans="1:5" x14ac:dyDescent="0.2">
      <c r="A1721" t="s">
        <v>3397</v>
      </c>
      <c r="B1721" t="s">
        <v>3398</v>
      </c>
      <c r="C1721" t="s">
        <v>705</v>
      </c>
      <c r="D1721" t="s">
        <v>99</v>
      </c>
      <c r="E1721" t="s">
        <v>1541</v>
      </c>
    </row>
    <row r="1722" spans="1:5" x14ac:dyDescent="0.2">
      <c r="A1722" t="s">
        <v>3399</v>
      </c>
      <c r="B1722" t="s">
        <v>3400</v>
      </c>
      <c r="C1722" t="s">
        <v>705</v>
      </c>
      <c r="D1722" t="s">
        <v>99</v>
      </c>
      <c r="E1722" t="s">
        <v>1541</v>
      </c>
    </row>
    <row r="1723" spans="1:5" x14ac:dyDescent="0.2">
      <c r="A1723" t="s">
        <v>3401</v>
      </c>
      <c r="B1723" t="s">
        <v>9284</v>
      </c>
      <c r="C1723" t="s">
        <v>331</v>
      </c>
      <c r="D1723" t="s">
        <v>2514</v>
      </c>
      <c r="E1723" t="s">
        <v>1541</v>
      </c>
    </row>
    <row r="1724" spans="1:5" x14ac:dyDescent="0.2">
      <c r="A1724" t="s">
        <v>3402</v>
      </c>
      <c r="B1724" t="s">
        <v>3403</v>
      </c>
      <c r="C1724" t="s">
        <v>331</v>
      </c>
      <c r="D1724" t="s">
        <v>2514</v>
      </c>
      <c r="E1724" t="s">
        <v>1541</v>
      </c>
    </row>
    <row r="1725" spans="1:5" x14ac:dyDescent="0.2">
      <c r="A1725" t="s">
        <v>3404</v>
      </c>
      <c r="B1725" t="s">
        <v>3405</v>
      </c>
      <c r="C1725" t="s">
        <v>331</v>
      </c>
      <c r="D1725" t="s">
        <v>681</v>
      </c>
      <c r="E1725" t="s">
        <v>1541</v>
      </c>
    </row>
    <row r="1726" spans="1:5" x14ac:dyDescent="0.2">
      <c r="A1726" t="s">
        <v>3406</v>
      </c>
      <c r="B1726" t="s">
        <v>3407</v>
      </c>
      <c r="C1726" t="s">
        <v>331</v>
      </c>
      <c r="D1726" t="s">
        <v>681</v>
      </c>
      <c r="E1726" t="s">
        <v>1541</v>
      </c>
    </row>
    <row r="1727" spans="1:5" x14ac:dyDescent="0.2">
      <c r="A1727" t="s">
        <v>3408</v>
      </c>
      <c r="B1727" t="s">
        <v>3409</v>
      </c>
      <c r="C1727" t="s">
        <v>616</v>
      </c>
      <c r="D1727" t="s">
        <v>2199</v>
      </c>
      <c r="E1727" t="s">
        <v>1541</v>
      </c>
    </row>
    <row r="1728" spans="1:5" x14ac:dyDescent="0.2">
      <c r="A1728" t="s">
        <v>3410</v>
      </c>
      <c r="B1728" t="s">
        <v>3411</v>
      </c>
      <c r="C1728" t="s">
        <v>616</v>
      </c>
      <c r="D1728" t="s">
        <v>2199</v>
      </c>
      <c r="E1728" t="s">
        <v>1541</v>
      </c>
    </row>
    <row r="1729" spans="1:5" x14ac:dyDescent="0.2">
      <c r="A1729" t="s">
        <v>3412</v>
      </c>
      <c r="B1729" t="s">
        <v>3413</v>
      </c>
      <c r="C1729" t="s">
        <v>219</v>
      </c>
      <c r="D1729" t="s">
        <v>1566</v>
      </c>
      <c r="E1729" t="s">
        <v>1541</v>
      </c>
    </row>
    <row r="1730" spans="1:5" x14ac:dyDescent="0.2">
      <c r="A1730" t="s">
        <v>3414</v>
      </c>
      <c r="B1730" t="s">
        <v>3415</v>
      </c>
      <c r="C1730" t="s">
        <v>219</v>
      </c>
      <c r="D1730" t="s">
        <v>1566</v>
      </c>
      <c r="E1730" t="s">
        <v>1541</v>
      </c>
    </row>
    <row r="1731" spans="1:5" x14ac:dyDescent="0.2">
      <c r="A1731" t="s">
        <v>3416</v>
      </c>
      <c r="B1731" t="s">
        <v>3417</v>
      </c>
      <c r="C1731" t="s">
        <v>219</v>
      </c>
      <c r="D1731" t="s">
        <v>171</v>
      </c>
      <c r="E1731" t="s">
        <v>1541</v>
      </c>
    </row>
    <row r="1732" spans="1:5" x14ac:dyDescent="0.2">
      <c r="A1732" t="s">
        <v>3418</v>
      </c>
      <c r="B1732" t="s">
        <v>3419</v>
      </c>
      <c r="C1732" t="s">
        <v>219</v>
      </c>
      <c r="D1732" t="s">
        <v>171</v>
      </c>
      <c r="E1732" t="s">
        <v>1541</v>
      </c>
    </row>
    <row r="1733" spans="1:5" x14ac:dyDescent="0.2">
      <c r="A1733" t="s">
        <v>3420</v>
      </c>
      <c r="B1733" t="s">
        <v>9285</v>
      </c>
      <c r="C1733" t="s">
        <v>421</v>
      </c>
      <c r="D1733" t="s">
        <v>1566</v>
      </c>
      <c r="E1733" t="s">
        <v>1541</v>
      </c>
    </row>
    <row r="1734" spans="1:5" x14ac:dyDescent="0.2">
      <c r="A1734" t="s">
        <v>3421</v>
      </c>
      <c r="B1734" t="s">
        <v>3422</v>
      </c>
      <c r="C1734" t="s">
        <v>421</v>
      </c>
      <c r="D1734" t="s">
        <v>1566</v>
      </c>
      <c r="E1734" t="s">
        <v>1541</v>
      </c>
    </row>
    <row r="1735" spans="1:5" x14ac:dyDescent="0.2">
      <c r="A1735" t="s">
        <v>3423</v>
      </c>
      <c r="B1735" t="s">
        <v>9286</v>
      </c>
      <c r="C1735" t="s">
        <v>421</v>
      </c>
      <c r="D1735" t="s">
        <v>93</v>
      </c>
      <c r="E1735" t="s">
        <v>1541</v>
      </c>
    </row>
    <row r="1736" spans="1:5" x14ac:dyDescent="0.2">
      <c r="A1736" t="s">
        <v>3424</v>
      </c>
      <c r="B1736" t="s">
        <v>3425</v>
      </c>
      <c r="C1736" t="s">
        <v>421</v>
      </c>
      <c r="D1736" t="s">
        <v>93</v>
      </c>
      <c r="E1736" t="s">
        <v>1541</v>
      </c>
    </row>
    <row r="1737" spans="1:5" x14ac:dyDescent="0.2">
      <c r="A1737" t="s">
        <v>3426</v>
      </c>
      <c r="B1737" t="s">
        <v>3427</v>
      </c>
      <c r="C1737" t="s">
        <v>421</v>
      </c>
      <c r="D1737" t="s">
        <v>171</v>
      </c>
      <c r="E1737" t="s">
        <v>1541</v>
      </c>
    </row>
    <row r="1738" spans="1:5" x14ac:dyDescent="0.2">
      <c r="A1738" t="s">
        <v>3428</v>
      </c>
      <c r="B1738" t="s">
        <v>3429</v>
      </c>
      <c r="C1738" t="s">
        <v>421</v>
      </c>
      <c r="D1738" t="s">
        <v>171</v>
      </c>
      <c r="E1738" t="s">
        <v>1541</v>
      </c>
    </row>
    <row r="1739" spans="1:5" x14ac:dyDescent="0.2">
      <c r="A1739" t="s">
        <v>3430</v>
      </c>
      <c r="B1739" t="s">
        <v>3431</v>
      </c>
      <c r="C1739" t="s">
        <v>219</v>
      </c>
      <c r="D1739" t="s">
        <v>743</v>
      </c>
      <c r="E1739" t="s">
        <v>1541</v>
      </c>
    </row>
    <row r="1740" spans="1:5" x14ac:dyDescent="0.2">
      <c r="A1740" t="s">
        <v>3432</v>
      </c>
      <c r="B1740" t="s">
        <v>3433</v>
      </c>
      <c r="C1740" t="s">
        <v>219</v>
      </c>
      <c r="D1740" t="s">
        <v>743</v>
      </c>
      <c r="E1740" t="s">
        <v>1541</v>
      </c>
    </row>
    <row r="1741" spans="1:5" x14ac:dyDescent="0.2">
      <c r="A1741" t="s">
        <v>3434</v>
      </c>
      <c r="B1741" t="s">
        <v>9287</v>
      </c>
      <c r="C1741" t="s">
        <v>591</v>
      </c>
      <c r="D1741" t="s">
        <v>2462</v>
      </c>
      <c r="E1741" t="s">
        <v>1541</v>
      </c>
    </row>
    <row r="1742" spans="1:5" x14ac:dyDescent="0.2">
      <c r="A1742" t="s">
        <v>3435</v>
      </c>
      <c r="B1742" t="s">
        <v>9288</v>
      </c>
      <c r="C1742" t="s">
        <v>591</v>
      </c>
      <c r="D1742" t="s">
        <v>254</v>
      </c>
      <c r="E1742" t="s">
        <v>1541</v>
      </c>
    </row>
    <row r="1743" spans="1:5" x14ac:dyDescent="0.2">
      <c r="A1743" t="s">
        <v>3436</v>
      </c>
      <c r="B1743" t="s">
        <v>3437</v>
      </c>
      <c r="C1743" t="s">
        <v>591</v>
      </c>
      <c r="D1743" t="s">
        <v>254</v>
      </c>
      <c r="E1743" t="s">
        <v>1541</v>
      </c>
    </row>
    <row r="1744" spans="1:5" x14ac:dyDescent="0.2">
      <c r="A1744" t="s">
        <v>3438</v>
      </c>
      <c r="B1744" t="s">
        <v>9289</v>
      </c>
      <c r="C1744" t="s">
        <v>219</v>
      </c>
      <c r="D1744" t="s">
        <v>1070</v>
      </c>
      <c r="E1744" t="s">
        <v>1541</v>
      </c>
    </row>
    <row r="1745" spans="1:5" x14ac:dyDescent="0.2">
      <c r="A1745" t="s">
        <v>3440</v>
      </c>
      <c r="B1745" t="s">
        <v>3441</v>
      </c>
      <c r="C1745" t="s">
        <v>219</v>
      </c>
      <c r="D1745" t="s">
        <v>213</v>
      </c>
      <c r="E1745" t="s">
        <v>1541</v>
      </c>
    </row>
    <row r="1746" spans="1:5" x14ac:dyDescent="0.2">
      <c r="A1746" t="s">
        <v>3442</v>
      </c>
      <c r="B1746" t="s">
        <v>3443</v>
      </c>
      <c r="C1746" t="s">
        <v>104</v>
      </c>
      <c r="D1746" t="s">
        <v>444</v>
      </c>
      <c r="E1746" t="s">
        <v>1541</v>
      </c>
    </row>
    <row r="1747" spans="1:5" x14ac:dyDescent="0.2">
      <c r="A1747" t="s">
        <v>3444</v>
      </c>
      <c r="B1747" t="s">
        <v>3445</v>
      </c>
      <c r="C1747" t="s">
        <v>104</v>
      </c>
      <c r="D1747" t="s">
        <v>444</v>
      </c>
      <c r="E1747" t="s">
        <v>1541</v>
      </c>
    </row>
    <row r="1748" spans="1:5" x14ac:dyDescent="0.2">
      <c r="A1748" t="s">
        <v>3446</v>
      </c>
      <c r="B1748" t="s">
        <v>3447</v>
      </c>
      <c r="C1748" t="s">
        <v>219</v>
      </c>
      <c r="D1748" t="s">
        <v>853</v>
      </c>
      <c r="E1748" t="s">
        <v>1541</v>
      </c>
    </row>
    <row r="1749" spans="1:5" x14ac:dyDescent="0.2">
      <c r="A1749" t="s">
        <v>3448</v>
      </c>
      <c r="B1749" t="s">
        <v>3449</v>
      </c>
      <c r="C1749" t="s">
        <v>219</v>
      </c>
      <c r="D1749" t="s">
        <v>853</v>
      </c>
      <c r="E1749" t="s">
        <v>1541</v>
      </c>
    </row>
    <row r="1750" spans="1:5" x14ac:dyDescent="0.2">
      <c r="A1750" t="s">
        <v>3450</v>
      </c>
      <c r="B1750" t="s">
        <v>3451</v>
      </c>
      <c r="C1750" t="s">
        <v>219</v>
      </c>
      <c r="D1750" t="s">
        <v>535</v>
      </c>
      <c r="E1750" t="s">
        <v>1541</v>
      </c>
    </row>
    <row r="1751" spans="1:5" x14ac:dyDescent="0.2">
      <c r="A1751" t="s">
        <v>3452</v>
      </c>
      <c r="B1751" t="s">
        <v>3453</v>
      </c>
      <c r="C1751" t="s">
        <v>219</v>
      </c>
      <c r="D1751" t="s">
        <v>535</v>
      </c>
      <c r="E1751" t="s">
        <v>1541</v>
      </c>
    </row>
    <row r="1752" spans="1:5" x14ac:dyDescent="0.2">
      <c r="A1752" t="s">
        <v>3454</v>
      </c>
      <c r="B1752" t="s">
        <v>3455</v>
      </c>
      <c r="C1752" t="s">
        <v>199</v>
      </c>
      <c r="D1752" t="s">
        <v>456</v>
      </c>
      <c r="E1752" t="s">
        <v>1541</v>
      </c>
    </row>
    <row r="1753" spans="1:5" x14ac:dyDescent="0.2">
      <c r="A1753" t="s">
        <v>3456</v>
      </c>
      <c r="B1753" t="s">
        <v>3457</v>
      </c>
      <c r="C1753" t="s">
        <v>199</v>
      </c>
      <c r="D1753" t="s">
        <v>456</v>
      </c>
      <c r="E1753" t="s">
        <v>1541</v>
      </c>
    </row>
    <row r="1754" spans="1:5" x14ac:dyDescent="0.2">
      <c r="A1754" t="s">
        <v>3458</v>
      </c>
      <c r="B1754" t="s">
        <v>3459</v>
      </c>
      <c r="C1754" t="s">
        <v>199</v>
      </c>
      <c r="D1754" t="s">
        <v>323</v>
      </c>
      <c r="E1754" t="s">
        <v>9290</v>
      </c>
    </row>
    <row r="1755" spans="1:5" x14ac:dyDescent="0.2">
      <c r="A1755" t="s">
        <v>3460</v>
      </c>
      <c r="B1755" t="s">
        <v>9291</v>
      </c>
      <c r="C1755" t="s">
        <v>199</v>
      </c>
      <c r="D1755" t="s">
        <v>456</v>
      </c>
      <c r="E1755" t="s">
        <v>9290</v>
      </c>
    </row>
    <row r="1756" spans="1:5" x14ac:dyDescent="0.2">
      <c r="A1756" t="s">
        <v>3461</v>
      </c>
      <c r="B1756" t="s">
        <v>9292</v>
      </c>
      <c r="C1756" t="s">
        <v>261</v>
      </c>
      <c r="D1756" t="s">
        <v>238</v>
      </c>
      <c r="E1756" t="s">
        <v>1541</v>
      </c>
    </row>
    <row r="1757" spans="1:5" x14ac:dyDescent="0.2">
      <c r="A1757" t="s">
        <v>3462</v>
      </c>
      <c r="B1757" t="s">
        <v>3463</v>
      </c>
      <c r="C1757" t="s">
        <v>261</v>
      </c>
      <c r="D1757" t="s">
        <v>238</v>
      </c>
      <c r="E1757" t="s">
        <v>1541</v>
      </c>
    </row>
    <row r="1758" spans="1:5" x14ac:dyDescent="0.2">
      <c r="A1758" t="s">
        <v>3464</v>
      </c>
      <c r="B1758" t="s">
        <v>9293</v>
      </c>
      <c r="C1758" t="s">
        <v>261</v>
      </c>
      <c r="D1758" t="s">
        <v>266</v>
      </c>
      <c r="E1758" t="s">
        <v>1541</v>
      </c>
    </row>
    <row r="1759" spans="1:5" x14ac:dyDescent="0.2">
      <c r="A1759" t="s">
        <v>3465</v>
      </c>
      <c r="B1759" t="s">
        <v>3466</v>
      </c>
      <c r="C1759" t="s">
        <v>261</v>
      </c>
      <c r="D1759" t="s">
        <v>266</v>
      </c>
      <c r="E1759" t="s">
        <v>1541</v>
      </c>
    </row>
    <row r="1760" spans="1:5" x14ac:dyDescent="0.2">
      <c r="A1760" t="s">
        <v>3467</v>
      </c>
      <c r="B1760" t="s">
        <v>9294</v>
      </c>
      <c r="C1760" t="s">
        <v>212</v>
      </c>
      <c r="D1760" t="s">
        <v>1566</v>
      </c>
      <c r="E1760" t="s">
        <v>1541</v>
      </c>
    </row>
    <row r="1761" spans="1:5" x14ac:dyDescent="0.2">
      <c r="A1761" t="s">
        <v>3468</v>
      </c>
      <c r="B1761" t="s">
        <v>3469</v>
      </c>
      <c r="C1761" t="s">
        <v>212</v>
      </c>
      <c r="D1761" t="s">
        <v>1566</v>
      </c>
      <c r="E1761" t="s">
        <v>1541</v>
      </c>
    </row>
    <row r="1762" spans="1:5" x14ac:dyDescent="0.2">
      <c r="A1762" t="s">
        <v>3470</v>
      </c>
      <c r="B1762" t="s">
        <v>3471</v>
      </c>
      <c r="C1762" t="s">
        <v>212</v>
      </c>
      <c r="D1762" t="s">
        <v>171</v>
      </c>
      <c r="E1762" t="s">
        <v>1541</v>
      </c>
    </row>
    <row r="1763" spans="1:5" x14ac:dyDescent="0.2">
      <c r="A1763" t="s">
        <v>3472</v>
      </c>
      <c r="B1763" t="s">
        <v>3473</v>
      </c>
      <c r="C1763" t="s">
        <v>212</v>
      </c>
      <c r="D1763" t="s">
        <v>171</v>
      </c>
      <c r="E1763" t="s">
        <v>1541</v>
      </c>
    </row>
    <row r="1764" spans="1:5" x14ac:dyDescent="0.2">
      <c r="A1764" t="s">
        <v>3476</v>
      </c>
      <c r="B1764" t="s">
        <v>3477</v>
      </c>
      <c r="C1764" t="s">
        <v>1438</v>
      </c>
      <c r="D1764" t="s">
        <v>1058</v>
      </c>
      <c r="E1764" t="s">
        <v>1541</v>
      </c>
    </row>
    <row r="1765" spans="1:5" x14ac:dyDescent="0.2">
      <c r="A1765" t="s">
        <v>3478</v>
      </c>
      <c r="B1765" t="s">
        <v>3479</v>
      </c>
      <c r="C1765" t="s">
        <v>1438</v>
      </c>
      <c r="D1765" t="s">
        <v>400</v>
      </c>
      <c r="E1765" t="s">
        <v>1541</v>
      </c>
    </row>
    <row r="1766" spans="1:5" x14ac:dyDescent="0.2">
      <c r="A1766" t="s">
        <v>3480</v>
      </c>
      <c r="B1766" t="s">
        <v>3481</v>
      </c>
      <c r="C1766" t="s">
        <v>8980</v>
      </c>
      <c r="D1766" t="s">
        <v>2514</v>
      </c>
      <c r="E1766" t="s">
        <v>1541</v>
      </c>
    </row>
    <row r="1767" spans="1:5" x14ac:dyDescent="0.2">
      <c r="A1767" t="s">
        <v>3482</v>
      </c>
      <c r="B1767" t="s">
        <v>3483</v>
      </c>
      <c r="C1767" t="s">
        <v>8980</v>
      </c>
      <c r="D1767" t="s">
        <v>2514</v>
      </c>
      <c r="E1767" t="s">
        <v>1541</v>
      </c>
    </row>
    <row r="1768" spans="1:5" x14ac:dyDescent="0.2">
      <c r="A1768" t="s">
        <v>3484</v>
      </c>
      <c r="B1768" t="s">
        <v>9295</v>
      </c>
      <c r="C1768" t="s">
        <v>8980</v>
      </c>
      <c r="D1768" t="s">
        <v>681</v>
      </c>
      <c r="E1768" t="s">
        <v>1541</v>
      </c>
    </row>
    <row r="1769" spans="1:5" x14ac:dyDescent="0.2">
      <c r="A1769" t="s">
        <v>3485</v>
      </c>
      <c r="B1769" t="s">
        <v>3486</v>
      </c>
      <c r="C1769" t="s">
        <v>8980</v>
      </c>
      <c r="D1769" t="s">
        <v>681</v>
      </c>
      <c r="E1769" t="s">
        <v>1541</v>
      </c>
    </row>
    <row r="1770" spans="1:5" x14ac:dyDescent="0.2">
      <c r="A1770" t="s">
        <v>3487</v>
      </c>
      <c r="B1770" t="s">
        <v>9296</v>
      </c>
      <c r="C1770" t="s">
        <v>92</v>
      </c>
      <c r="D1770" t="s">
        <v>1156</v>
      </c>
      <c r="E1770" t="s">
        <v>1541</v>
      </c>
    </row>
    <row r="1771" spans="1:5" x14ac:dyDescent="0.2">
      <c r="A1771" t="s">
        <v>3488</v>
      </c>
      <c r="B1771" t="s">
        <v>3489</v>
      </c>
      <c r="C1771" t="s">
        <v>92</v>
      </c>
      <c r="D1771" t="s">
        <v>1156</v>
      </c>
      <c r="E1771" t="s">
        <v>1541</v>
      </c>
    </row>
    <row r="1772" spans="1:5" x14ac:dyDescent="0.2">
      <c r="A1772" t="s">
        <v>3490</v>
      </c>
      <c r="B1772" t="s">
        <v>9297</v>
      </c>
      <c r="C1772" t="s">
        <v>92</v>
      </c>
      <c r="D1772" t="s">
        <v>489</v>
      </c>
      <c r="E1772" t="s">
        <v>1541</v>
      </c>
    </row>
    <row r="1773" spans="1:5" x14ac:dyDescent="0.2">
      <c r="A1773" t="s">
        <v>3491</v>
      </c>
      <c r="B1773" t="s">
        <v>3492</v>
      </c>
      <c r="C1773" t="s">
        <v>92</v>
      </c>
      <c r="D1773" t="s">
        <v>489</v>
      </c>
      <c r="E1773" t="s">
        <v>1541</v>
      </c>
    </row>
    <row r="1774" spans="1:5" x14ac:dyDescent="0.2">
      <c r="A1774" t="s">
        <v>3493</v>
      </c>
      <c r="B1774" t="s">
        <v>9298</v>
      </c>
      <c r="C1774" t="s">
        <v>131</v>
      </c>
      <c r="D1774" t="s">
        <v>332</v>
      </c>
      <c r="E1774" t="s">
        <v>1541</v>
      </c>
    </row>
    <row r="1775" spans="1:5" x14ac:dyDescent="0.2">
      <c r="A1775" t="s">
        <v>3494</v>
      </c>
      <c r="B1775" t="s">
        <v>3495</v>
      </c>
      <c r="C1775" t="s">
        <v>131</v>
      </c>
      <c r="D1775" t="s">
        <v>332</v>
      </c>
      <c r="E1775" t="s">
        <v>1541</v>
      </c>
    </row>
    <row r="1776" spans="1:5" x14ac:dyDescent="0.2">
      <c r="A1776" t="s">
        <v>3496</v>
      </c>
      <c r="B1776" t="s">
        <v>3497</v>
      </c>
      <c r="C1776" t="s">
        <v>131</v>
      </c>
      <c r="D1776" t="s">
        <v>845</v>
      </c>
      <c r="E1776" t="s">
        <v>1541</v>
      </c>
    </row>
    <row r="1777" spans="1:5" x14ac:dyDescent="0.2">
      <c r="A1777" t="s">
        <v>3498</v>
      </c>
      <c r="B1777" t="s">
        <v>3499</v>
      </c>
      <c r="C1777" t="s">
        <v>131</v>
      </c>
      <c r="D1777" t="s">
        <v>845</v>
      </c>
      <c r="E1777" t="s">
        <v>1541</v>
      </c>
    </row>
    <row r="1778" spans="1:5" x14ac:dyDescent="0.2">
      <c r="A1778" t="s">
        <v>3500</v>
      </c>
      <c r="B1778" t="s">
        <v>3501</v>
      </c>
      <c r="C1778" t="s">
        <v>887</v>
      </c>
      <c r="D1778" t="s">
        <v>284</v>
      </c>
      <c r="E1778" t="s">
        <v>1541</v>
      </c>
    </row>
    <row r="1779" spans="1:5" x14ac:dyDescent="0.2">
      <c r="A1779" t="s">
        <v>3502</v>
      </c>
      <c r="B1779" t="s">
        <v>3503</v>
      </c>
      <c r="C1779" t="s">
        <v>887</v>
      </c>
      <c r="D1779" t="s">
        <v>893</v>
      </c>
      <c r="E1779" t="s">
        <v>1541</v>
      </c>
    </row>
    <row r="1780" spans="1:5" x14ac:dyDescent="0.2">
      <c r="A1780" t="s">
        <v>3504</v>
      </c>
      <c r="B1780" t="s">
        <v>3505</v>
      </c>
      <c r="C1780" t="s">
        <v>287</v>
      </c>
      <c r="D1780" t="s">
        <v>840</v>
      </c>
      <c r="E1780" t="s">
        <v>1541</v>
      </c>
    </row>
    <row r="1781" spans="1:5" x14ac:dyDescent="0.2">
      <c r="A1781" t="s">
        <v>3506</v>
      </c>
      <c r="B1781" t="s">
        <v>3507</v>
      </c>
      <c r="C1781" t="s">
        <v>287</v>
      </c>
      <c r="D1781" t="s">
        <v>840</v>
      </c>
      <c r="E1781" t="s">
        <v>1541</v>
      </c>
    </row>
    <row r="1782" spans="1:5" x14ac:dyDescent="0.2">
      <c r="A1782" t="s">
        <v>3508</v>
      </c>
      <c r="B1782" t="s">
        <v>3509</v>
      </c>
      <c r="C1782" t="s">
        <v>287</v>
      </c>
      <c r="D1782" t="s">
        <v>171</v>
      </c>
      <c r="E1782" t="s">
        <v>1541</v>
      </c>
    </row>
    <row r="1783" spans="1:5" x14ac:dyDescent="0.2">
      <c r="A1783" t="s">
        <v>3510</v>
      </c>
      <c r="B1783" t="s">
        <v>3511</v>
      </c>
      <c r="C1783" t="s">
        <v>287</v>
      </c>
      <c r="D1783" t="s">
        <v>171</v>
      </c>
      <c r="E1783" t="s">
        <v>1541</v>
      </c>
    </row>
    <row r="1784" spans="1:5" x14ac:dyDescent="0.2">
      <c r="A1784" t="s">
        <v>3512</v>
      </c>
      <c r="B1784" t="s">
        <v>3513</v>
      </c>
      <c r="C1784" t="s">
        <v>287</v>
      </c>
      <c r="D1784" t="s">
        <v>436</v>
      </c>
      <c r="E1784" t="s">
        <v>1541</v>
      </c>
    </row>
    <row r="1785" spans="1:5" x14ac:dyDescent="0.2">
      <c r="A1785" t="s">
        <v>3514</v>
      </c>
      <c r="B1785" t="s">
        <v>3515</v>
      </c>
      <c r="C1785" t="s">
        <v>287</v>
      </c>
      <c r="D1785" t="s">
        <v>436</v>
      </c>
      <c r="E1785" t="s">
        <v>1541</v>
      </c>
    </row>
    <row r="1786" spans="1:5" x14ac:dyDescent="0.2">
      <c r="A1786" t="s">
        <v>3516</v>
      </c>
      <c r="B1786" t="s">
        <v>3517</v>
      </c>
      <c r="C1786" t="s">
        <v>557</v>
      </c>
      <c r="D1786" t="s">
        <v>783</v>
      </c>
      <c r="E1786" t="s">
        <v>9299</v>
      </c>
    </row>
    <row r="1787" spans="1:5" x14ac:dyDescent="0.2">
      <c r="A1787" t="s">
        <v>3518</v>
      </c>
      <c r="B1787" t="s">
        <v>3519</v>
      </c>
      <c r="C1787" t="s">
        <v>557</v>
      </c>
      <c r="D1787" t="s">
        <v>783</v>
      </c>
      <c r="E1787" t="s">
        <v>9299</v>
      </c>
    </row>
    <row r="1788" spans="1:5" x14ac:dyDescent="0.2">
      <c r="A1788" t="s">
        <v>3520</v>
      </c>
      <c r="B1788" t="s">
        <v>3521</v>
      </c>
      <c r="C1788" t="s">
        <v>557</v>
      </c>
      <c r="D1788" t="s">
        <v>335</v>
      </c>
      <c r="E1788" t="s">
        <v>9299</v>
      </c>
    </row>
    <row r="1789" spans="1:5" x14ac:dyDescent="0.2">
      <c r="A1789" t="s">
        <v>3522</v>
      </c>
      <c r="B1789" t="s">
        <v>3523</v>
      </c>
      <c r="C1789" t="s">
        <v>557</v>
      </c>
      <c r="D1789" t="s">
        <v>335</v>
      </c>
      <c r="E1789" t="s">
        <v>9299</v>
      </c>
    </row>
    <row r="1790" spans="1:5" x14ac:dyDescent="0.2">
      <c r="A1790" t="s">
        <v>3474</v>
      </c>
      <c r="B1790" t="s">
        <v>9300</v>
      </c>
      <c r="C1790" t="s">
        <v>742</v>
      </c>
      <c r="D1790" t="s">
        <v>1490</v>
      </c>
      <c r="E1790" t="s">
        <v>9301</v>
      </c>
    </row>
    <row r="1791" spans="1:5" x14ac:dyDescent="0.2">
      <c r="A1791" t="s">
        <v>3475</v>
      </c>
      <c r="B1791" t="s">
        <v>9302</v>
      </c>
      <c r="C1791" t="s">
        <v>742</v>
      </c>
      <c r="D1791" t="s">
        <v>386</v>
      </c>
      <c r="E1791" t="s">
        <v>9301</v>
      </c>
    </row>
    <row r="1792" spans="1:5" x14ac:dyDescent="0.2">
      <c r="A1792" t="s">
        <v>3524</v>
      </c>
      <c r="B1792" t="s">
        <v>9303</v>
      </c>
      <c r="C1792" t="s">
        <v>287</v>
      </c>
      <c r="D1792" t="s">
        <v>572</v>
      </c>
      <c r="E1792" t="s">
        <v>1541</v>
      </c>
    </row>
    <row r="1793" spans="1:5" x14ac:dyDescent="0.2">
      <c r="A1793" t="s">
        <v>3525</v>
      </c>
      <c r="B1793" t="s">
        <v>3526</v>
      </c>
      <c r="C1793" t="s">
        <v>287</v>
      </c>
      <c r="D1793" t="s">
        <v>572</v>
      </c>
      <c r="E1793" t="s">
        <v>1541</v>
      </c>
    </row>
    <row r="1794" spans="1:5" x14ac:dyDescent="0.2">
      <c r="A1794" t="s">
        <v>3527</v>
      </c>
      <c r="B1794" t="s">
        <v>9304</v>
      </c>
      <c r="C1794" t="s">
        <v>287</v>
      </c>
      <c r="D1794" t="s">
        <v>213</v>
      </c>
      <c r="E1794" t="s">
        <v>1541</v>
      </c>
    </row>
    <row r="1795" spans="1:5" x14ac:dyDescent="0.2">
      <c r="A1795" t="s">
        <v>3528</v>
      </c>
      <c r="B1795" t="s">
        <v>3529</v>
      </c>
      <c r="C1795" t="s">
        <v>287</v>
      </c>
      <c r="D1795" t="s">
        <v>213</v>
      </c>
      <c r="E1795" t="s">
        <v>1541</v>
      </c>
    </row>
    <row r="1796" spans="1:5" x14ac:dyDescent="0.2">
      <c r="A1796" t="s">
        <v>3530</v>
      </c>
      <c r="B1796" t="s">
        <v>3531</v>
      </c>
      <c r="C1796" t="s">
        <v>251</v>
      </c>
      <c r="D1796" t="s">
        <v>105</v>
      </c>
      <c r="E1796" t="s">
        <v>1541</v>
      </c>
    </row>
    <row r="1797" spans="1:5" x14ac:dyDescent="0.2">
      <c r="A1797" t="s">
        <v>3532</v>
      </c>
      <c r="B1797" t="s">
        <v>9305</v>
      </c>
      <c r="C1797" t="s">
        <v>251</v>
      </c>
      <c r="D1797" t="s">
        <v>622</v>
      </c>
      <c r="E1797" t="s">
        <v>1541</v>
      </c>
    </row>
    <row r="1798" spans="1:5" x14ac:dyDescent="0.2">
      <c r="A1798" t="s">
        <v>3533</v>
      </c>
      <c r="B1798" t="s">
        <v>3534</v>
      </c>
      <c r="C1798" t="s">
        <v>251</v>
      </c>
      <c r="D1798" t="s">
        <v>743</v>
      </c>
      <c r="E1798" t="s">
        <v>1541</v>
      </c>
    </row>
    <row r="1799" spans="1:5" x14ac:dyDescent="0.2">
      <c r="A1799" t="s">
        <v>3535</v>
      </c>
      <c r="B1799" t="s">
        <v>3536</v>
      </c>
      <c r="C1799" t="s">
        <v>251</v>
      </c>
      <c r="D1799" t="s">
        <v>743</v>
      </c>
      <c r="E1799" t="s">
        <v>1541</v>
      </c>
    </row>
    <row r="1800" spans="1:5" x14ac:dyDescent="0.2">
      <c r="A1800" t="s">
        <v>3537</v>
      </c>
      <c r="B1800" t="s">
        <v>3538</v>
      </c>
      <c r="C1800" t="s">
        <v>251</v>
      </c>
      <c r="D1800" t="s">
        <v>1566</v>
      </c>
      <c r="E1800" t="s">
        <v>1541</v>
      </c>
    </row>
    <row r="1801" spans="1:5" x14ac:dyDescent="0.2">
      <c r="A1801" t="s">
        <v>3539</v>
      </c>
      <c r="B1801" t="s">
        <v>3540</v>
      </c>
      <c r="C1801" t="s">
        <v>251</v>
      </c>
      <c r="D1801" t="s">
        <v>1566</v>
      </c>
      <c r="E1801" t="s">
        <v>1541</v>
      </c>
    </row>
    <row r="1802" spans="1:5" x14ac:dyDescent="0.2">
      <c r="A1802" t="s">
        <v>3541</v>
      </c>
      <c r="B1802" t="s">
        <v>3542</v>
      </c>
      <c r="C1802" t="s">
        <v>251</v>
      </c>
      <c r="D1802" t="s">
        <v>93</v>
      </c>
      <c r="E1802" t="s">
        <v>1541</v>
      </c>
    </row>
    <row r="1803" spans="1:5" x14ac:dyDescent="0.2">
      <c r="A1803" t="s">
        <v>3543</v>
      </c>
      <c r="B1803" t="s">
        <v>3544</v>
      </c>
      <c r="C1803" t="s">
        <v>251</v>
      </c>
      <c r="D1803" t="s">
        <v>93</v>
      </c>
      <c r="E1803" t="s">
        <v>1541</v>
      </c>
    </row>
    <row r="1804" spans="1:5" x14ac:dyDescent="0.2">
      <c r="A1804" t="s">
        <v>3545</v>
      </c>
      <c r="B1804" t="s">
        <v>3546</v>
      </c>
      <c r="C1804" t="s">
        <v>251</v>
      </c>
      <c r="D1804" t="s">
        <v>171</v>
      </c>
      <c r="E1804" t="s">
        <v>1541</v>
      </c>
    </row>
    <row r="1805" spans="1:5" x14ac:dyDescent="0.2">
      <c r="A1805" t="s">
        <v>3547</v>
      </c>
      <c r="B1805" t="s">
        <v>3548</v>
      </c>
      <c r="C1805" t="s">
        <v>251</v>
      </c>
      <c r="D1805" t="s">
        <v>171</v>
      </c>
      <c r="E1805" t="s">
        <v>1541</v>
      </c>
    </row>
    <row r="1806" spans="1:5" x14ac:dyDescent="0.2">
      <c r="A1806" t="s">
        <v>3549</v>
      </c>
      <c r="B1806" t="s">
        <v>3550</v>
      </c>
      <c r="C1806" t="s">
        <v>251</v>
      </c>
      <c r="D1806" t="s">
        <v>1493</v>
      </c>
      <c r="E1806" t="s">
        <v>1541</v>
      </c>
    </row>
    <row r="1807" spans="1:5" x14ac:dyDescent="0.2">
      <c r="A1807" t="s">
        <v>3551</v>
      </c>
      <c r="B1807" t="s">
        <v>3552</v>
      </c>
      <c r="C1807" t="s">
        <v>251</v>
      </c>
      <c r="D1807" t="s">
        <v>1493</v>
      </c>
      <c r="E1807" t="s">
        <v>1541</v>
      </c>
    </row>
    <row r="1808" spans="1:5" x14ac:dyDescent="0.2">
      <c r="A1808" t="s">
        <v>3553</v>
      </c>
      <c r="B1808" t="s">
        <v>3554</v>
      </c>
      <c r="C1808" t="s">
        <v>251</v>
      </c>
      <c r="D1808" t="s">
        <v>105</v>
      </c>
      <c r="E1808" t="s">
        <v>1541</v>
      </c>
    </row>
    <row r="1809" spans="1:5" x14ac:dyDescent="0.2">
      <c r="A1809" t="s">
        <v>3555</v>
      </c>
      <c r="B1809" t="s">
        <v>3556</v>
      </c>
      <c r="C1809" t="s">
        <v>251</v>
      </c>
      <c r="D1809" t="s">
        <v>105</v>
      </c>
      <c r="E1809" t="s">
        <v>1541</v>
      </c>
    </row>
    <row r="1810" spans="1:5" x14ac:dyDescent="0.2">
      <c r="A1810" t="s">
        <v>3557</v>
      </c>
      <c r="B1810" t="s">
        <v>3558</v>
      </c>
      <c r="C1810" t="s">
        <v>251</v>
      </c>
      <c r="D1810" t="s">
        <v>622</v>
      </c>
      <c r="E1810" t="s">
        <v>1541</v>
      </c>
    </row>
    <row r="1811" spans="1:5" x14ac:dyDescent="0.2">
      <c r="A1811" t="s">
        <v>3559</v>
      </c>
      <c r="B1811" t="s">
        <v>3560</v>
      </c>
      <c r="C1811" t="s">
        <v>251</v>
      </c>
      <c r="D1811" t="s">
        <v>622</v>
      </c>
      <c r="E1811" t="s">
        <v>1541</v>
      </c>
    </row>
    <row r="1812" spans="1:5" x14ac:dyDescent="0.2">
      <c r="A1812" t="s">
        <v>3561</v>
      </c>
      <c r="B1812" t="s">
        <v>9306</v>
      </c>
      <c r="C1812" t="s">
        <v>251</v>
      </c>
      <c r="D1812" t="s">
        <v>1493</v>
      </c>
      <c r="E1812" t="s">
        <v>1541</v>
      </c>
    </row>
    <row r="1813" spans="1:5" x14ac:dyDescent="0.2">
      <c r="A1813" t="s">
        <v>3562</v>
      </c>
      <c r="B1813" t="s">
        <v>3563</v>
      </c>
      <c r="C1813" t="s">
        <v>251</v>
      </c>
      <c r="D1813" t="s">
        <v>1493</v>
      </c>
      <c r="E1813" t="s">
        <v>1541</v>
      </c>
    </row>
    <row r="1814" spans="1:5" x14ac:dyDescent="0.2">
      <c r="A1814" t="s">
        <v>3564</v>
      </c>
      <c r="B1814" t="s">
        <v>3565</v>
      </c>
      <c r="C1814" t="s">
        <v>251</v>
      </c>
      <c r="D1814" t="s">
        <v>622</v>
      </c>
      <c r="E1814" t="s">
        <v>1541</v>
      </c>
    </row>
    <row r="1815" spans="1:5" x14ac:dyDescent="0.2">
      <c r="A1815" t="s">
        <v>3566</v>
      </c>
      <c r="B1815" t="s">
        <v>3567</v>
      </c>
      <c r="C1815" t="s">
        <v>251</v>
      </c>
      <c r="D1815" t="s">
        <v>622</v>
      </c>
      <c r="E1815" t="s">
        <v>1541</v>
      </c>
    </row>
    <row r="1816" spans="1:5" x14ac:dyDescent="0.2">
      <c r="A1816" t="s">
        <v>3568</v>
      </c>
      <c r="B1816" t="s">
        <v>3569</v>
      </c>
      <c r="C1816" t="s">
        <v>227</v>
      </c>
      <c r="D1816" t="s">
        <v>1566</v>
      </c>
      <c r="E1816" t="s">
        <v>1541</v>
      </c>
    </row>
    <row r="1817" spans="1:5" x14ac:dyDescent="0.2">
      <c r="A1817" t="s">
        <v>3570</v>
      </c>
      <c r="B1817" t="s">
        <v>3571</v>
      </c>
      <c r="C1817" t="s">
        <v>227</v>
      </c>
      <c r="D1817" t="s">
        <v>1566</v>
      </c>
      <c r="E1817" t="s">
        <v>1541</v>
      </c>
    </row>
    <row r="1818" spans="1:5" x14ac:dyDescent="0.2">
      <c r="A1818" t="s">
        <v>3572</v>
      </c>
      <c r="B1818" t="s">
        <v>9307</v>
      </c>
      <c r="C1818" t="s">
        <v>227</v>
      </c>
      <c r="D1818" t="s">
        <v>171</v>
      </c>
      <c r="E1818" t="s">
        <v>1541</v>
      </c>
    </row>
    <row r="1819" spans="1:5" x14ac:dyDescent="0.2">
      <c r="A1819" t="s">
        <v>3573</v>
      </c>
      <c r="B1819" t="s">
        <v>3574</v>
      </c>
      <c r="C1819" t="s">
        <v>227</v>
      </c>
      <c r="D1819" t="s">
        <v>171</v>
      </c>
      <c r="E1819" t="s">
        <v>1541</v>
      </c>
    </row>
    <row r="1820" spans="1:5" x14ac:dyDescent="0.2">
      <c r="A1820" t="s">
        <v>3575</v>
      </c>
      <c r="B1820" t="s">
        <v>3576</v>
      </c>
      <c r="C1820" t="s">
        <v>399</v>
      </c>
      <c r="D1820" t="s">
        <v>1070</v>
      </c>
      <c r="E1820" t="s">
        <v>1541</v>
      </c>
    </row>
    <row r="1821" spans="1:5" x14ac:dyDescent="0.2">
      <c r="A1821" t="s">
        <v>3577</v>
      </c>
      <c r="B1821" t="s">
        <v>3578</v>
      </c>
      <c r="C1821" t="s">
        <v>399</v>
      </c>
      <c r="D1821" t="s">
        <v>213</v>
      </c>
      <c r="E1821" t="s">
        <v>1541</v>
      </c>
    </row>
    <row r="1822" spans="1:5" x14ac:dyDescent="0.2">
      <c r="A1822" t="s">
        <v>3579</v>
      </c>
      <c r="B1822" t="s">
        <v>3580</v>
      </c>
      <c r="C1822" t="s">
        <v>251</v>
      </c>
      <c r="D1822" t="s">
        <v>2699</v>
      </c>
      <c r="E1822" t="s">
        <v>1541</v>
      </c>
    </row>
    <row r="1823" spans="1:5" x14ac:dyDescent="0.2">
      <c r="A1823" t="s">
        <v>3581</v>
      </c>
      <c r="B1823" t="s">
        <v>3582</v>
      </c>
      <c r="C1823" t="s">
        <v>322</v>
      </c>
      <c r="D1823" t="s">
        <v>2699</v>
      </c>
      <c r="E1823" t="s">
        <v>1541</v>
      </c>
    </row>
    <row r="1824" spans="1:5" x14ac:dyDescent="0.2">
      <c r="A1824" t="s">
        <v>3583</v>
      </c>
      <c r="B1824" t="s">
        <v>3584</v>
      </c>
      <c r="C1824" t="s">
        <v>322</v>
      </c>
      <c r="D1824" t="s">
        <v>1691</v>
      </c>
      <c r="E1824" t="s">
        <v>1541</v>
      </c>
    </row>
    <row r="1825" spans="1:5" x14ac:dyDescent="0.2">
      <c r="A1825" t="s">
        <v>3585</v>
      </c>
      <c r="B1825" t="s">
        <v>3586</v>
      </c>
      <c r="C1825" t="s">
        <v>244</v>
      </c>
      <c r="D1825" t="s">
        <v>3232</v>
      </c>
      <c r="E1825" t="s">
        <v>1541</v>
      </c>
    </row>
    <row r="1826" spans="1:5" x14ac:dyDescent="0.2">
      <c r="A1826" t="s">
        <v>3587</v>
      </c>
      <c r="B1826" t="s">
        <v>3588</v>
      </c>
      <c r="C1826" t="s">
        <v>244</v>
      </c>
      <c r="D1826" t="s">
        <v>3232</v>
      </c>
      <c r="E1826" t="s">
        <v>1541</v>
      </c>
    </row>
    <row r="1827" spans="1:5" x14ac:dyDescent="0.2">
      <c r="A1827" t="s">
        <v>3589</v>
      </c>
      <c r="B1827" t="s">
        <v>3590</v>
      </c>
      <c r="C1827" t="s">
        <v>244</v>
      </c>
      <c r="D1827" t="s">
        <v>1563</v>
      </c>
      <c r="E1827" t="s">
        <v>1541</v>
      </c>
    </row>
    <row r="1828" spans="1:5" x14ac:dyDescent="0.2">
      <c r="A1828" t="s">
        <v>3591</v>
      </c>
      <c r="B1828" t="s">
        <v>3592</v>
      </c>
      <c r="C1828" t="s">
        <v>331</v>
      </c>
      <c r="D1828" t="s">
        <v>1587</v>
      </c>
      <c r="E1828" t="s">
        <v>9308</v>
      </c>
    </row>
    <row r="1829" spans="1:5" x14ac:dyDescent="0.2">
      <c r="A1829" t="s">
        <v>3593</v>
      </c>
      <c r="B1829" t="s">
        <v>3594</v>
      </c>
      <c r="C1829" t="s">
        <v>331</v>
      </c>
      <c r="D1829" t="s">
        <v>3156</v>
      </c>
      <c r="E1829" t="s">
        <v>1541</v>
      </c>
    </row>
    <row r="1830" spans="1:5" x14ac:dyDescent="0.2">
      <c r="A1830" t="s">
        <v>3595</v>
      </c>
      <c r="B1830" t="s">
        <v>3596</v>
      </c>
      <c r="C1830" t="s">
        <v>331</v>
      </c>
      <c r="D1830" t="s">
        <v>1302</v>
      </c>
      <c r="E1830" t="s">
        <v>1541</v>
      </c>
    </row>
    <row r="1831" spans="1:5" x14ac:dyDescent="0.2">
      <c r="A1831" t="s">
        <v>3597</v>
      </c>
      <c r="B1831" t="s">
        <v>3598</v>
      </c>
      <c r="C1831" t="s">
        <v>331</v>
      </c>
      <c r="D1831" t="s">
        <v>1302</v>
      </c>
      <c r="E1831" t="s">
        <v>1541</v>
      </c>
    </row>
    <row r="1832" spans="1:5" x14ac:dyDescent="0.2">
      <c r="A1832" t="s">
        <v>3599</v>
      </c>
      <c r="B1832" t="s">
        <v>3600</v>
      </c>
      <c r="C1832" t="s">
        <v>669</v>
      </c>
      <c r="D1832" t="s">
        <v>1587</v>
      </c>
      <c r="E1832" t="s">
        <v>1541</v>
      </c>
    </row>
    <row r="1833" spans="1:5" x14ac:dyDescent="0.2">
      <c r="A1833" t="s">
        <v>3601</v>
      </c>
      <c r="B1833" t="s">
        <v>3602</v>
      </c>
      <c r="C1833" t="s">
        <v>669</v>
      </c>
      <c r="D1833" t="s">
        <v>1587</v>
      </c>
      <c r="E1833" t="s">
        <v>1541</v>
      </c>
    </row>
    <row r="1834" spans="1:5" x14ac:dyDescent="0.2">
      <c r="A1834" t="s">
        <v>3603</v>
      </c>
      <c r="B1834" t="s">
        <v>3604</v>
      </c>
      <c r="C1834" t="s">
        <v>669</v>
      </c>
      <c r="D1834" t="s">
        <v>1587</v>
      </c>
      <c r="E1834" t="s">
        <v>1541</v>
      </c>
    </row>
    <row r="1835" spans="1:5" x14ac:dyDescent="0.2">
      <c r="A1835" t="s">
        <v>3605</v>
      </c>
      <c r="B1835" t="s">
        <v>3606</v>
      </c>
      <c r="C1835" t="s">
        <v>669</v>
      </c>
      <c r="D1835" t="s">
        <v>1563</v>
      </c>
      <c r="E1835" t="s">
        <v>1541</v>
      </c>
    </row>
    <row r="1836" spans="1:5" x14ac:dyDescent="0.2">
      <c r="A1836" t="s">
        <v>3607</v>
      </c>
      <c r="B1836" t="s">
        <v>9309</v>
      </c>
      <c r="C1836" t="s">
        <v>349</v>
      </c>
      <c r="D1836" t="s">
        <v>3232</v>
      </c>
      <c r="E1836" t="s">
        <v>1541</v>
      </c>
    </row>
    <row r="1837" spans="1:5" x14ac:dyDescent="0.2">
      <c r="A1837" t="s">
        <v>3608</v>
      </c>
      <c r="B1837" t="s">
        <v>3609</v>
      </c>
      <c r="C1837" t="s">
        <v>742</v>
      </c>
      <c r="D1837" t="s">
        <v>3118</v>
      </c>
      <c r="E1837" t="s">
        <v>1541</v>
      </c>
    </row>
    <row r="1838" spans="1:5" x14ac:dyDescent="0.2">
      <c r="A1838" t="s">
        <v>3610</v>
      </c>
      <c r="B1838" t="s">
        <v>3611</v>
      </c>
      <c r="C1838" t="s">
        <v>742</v>
      </c>
      <c r="D1838" t="s">
        <v>1563</v>
      </c>
      <c r="E1838" t="s">
        <v>1541</v>
      </c>
    </row>
    <row r="1839" spans="1:5" x14ac:dyDescent="0.2">
      <c r="A1839" t="s">
        <v>3612</v>
      </c>
      <c r="B1839" t="s">
        <v>3613</v>
      </c>
      <c r="C1839" t="s">
        <v>251</v>
      </c>
      <c r="D1839" t="s">
        <v>1587</v>
      </c>
      <c r="E1839" t="s">
        <v>1541</v>
      </c>
    </row>
    <row r="1840" spans="1:5" x14ac:dyDescent="0.2">
      <c r="A1840" t="s">
        <v>3614</v>
      </c>
      <c r="B1840" t="s">
        <v>3615</v>
      </c>
      <c r="C1840" t="s">
        <v>251</v>
      </c>
      <c r="D1840" t="s">
        <v>1587</v>
      </c>
      <c r="E1840" t="s">
        <v>1541</v>
      </c>
    </row>
    <row r="1841" spans="1:5" x14ac:dyDescent="0.2">
      <c r="A1841" t="s">
        <v>3616</v>
      </c>
      <c r="B1841" t="s">
        <v>3617</v>
      </c>
      <c r="C1841" t="s">
        <v>399</v>
      </c>
      <c r="D1841" t="s">
        <v>3204</v>
      </c>
      <c r="E1841" t="s">
        <v>1541</v>
      </c>
    </row>
    <row r="1842" spans="1:5" x14ac:dyDescent="0.2">
      <c r="A1842" t="s">
        <v>3618</v>
      </c>
      <c r="B1842" t="s">
        <v>3619</v>
      </c>
      <c r="C1842" t="s">
        <v>399</v>
      </c>
      <c r="D1842" t="s">
        <v>1563</v>
      </c>
      <c r="E1842" t="s">
        <v>1541</v>
      </c>
    </row>
    <row r="1843" spans="1:5" x14ac:dyDescent="0.2">
      <c r="A1843" t="s">
        <v>3620</v>
      </c>
      <c r="B1843" t="s">
        <v>3621</v>
      </c>
      <c r="C1843" t="s">
        <v>244</v>
      </c>
      <c r="D1843" t="s">
        <v>1587</v>
      </c>
      <c r="E1843" t="s">
        <v>1541</v>
      </c>
    </row>
    <row r="1844" spans="1:5" x14ac:dyDescent="0.2">
      <c r="A1844" t="s">
        <v>3622</v>
      </c>
      <c r="B1844" t="s">
        <v>3623</v>
      </c>
      <c r="C1844" t="s">
        <v>345</v>
      </c>
      <c r="D1844" t="s">
        <v>1291</v>
      </c>
      <c r="E1844" t="s">
        <v>1541</v>
      </c>
    </row>
    <row r="1845" spans="1:5" x14ac:dyDescent="0.2">
      <c r="A1845" t="s">
        <v>3624</v>
      </c>
      <c r="B1845" t="s">
        <v>3625</v>
      </c>
      <c r="C1845" t="s">
        <v>705</v>
      </c>
      <c r="D1845" t="s">
        <v>3232</v>
      </c>
      <c r="E1845" t="s">
        <v>1541</v>
      </c>
    </row>
    <row r="1846" spans="1:5" x14ac:dyDescent="0.2">
      <c r="A1846" t="s">
        <v>3626</v>
      </c>
      <c r="B1846" t="s">
        <v>3627</v>
      </c>
      <c r="C1846" t="s">
        <v>705</v>
      </c>
      <c r="D1846" t="s">
        <v>3232</v>
      </c>
      <c r="E1846" t="s">
        <v>1541</v>
      </c>
    </row>
    <row r="1847" spans="1:5" x14ac:dyDescent="0.2">
      <c r="A1847" t="s">
        <v>3628</v>
      </c>
      <c r="B1847" t="s">
        <v>3629</v>
      </c>
      <c r="C1847" t="s">
        <v>705</v>
      </c>
      <c r="D1847" t="s">
        <v>3232</v>
      </c>
      <c r="E1847" t="s">
        <v>1541</v>
      </c>
    </row>
    <row r="1848" spans="1:5" x14ac:dyDescent="0.2">
      <c r="A1848" t="s">
        <v>3630</v>
      </c>
      <c r="B1848" t="s">
        <v>3631</v>
      </c>
      <c r="C1848" t="s">
        <v>376</v>
      </c>
      <c r="D1848" t="s">
        <v>714</v>
      </c>
      <c r="E1848" t="s">
        <v>1541</v>
      </c>
    </row>
    <row r="1849" spans="1:5" x14ac:dyDescent="0.2">
      <c r="A1849" t="s">
        <v>3632</v>
      </c>
      <c r="B1849" t="s">
        <v>3633</v>
      </c>
      <c r="C1849" t="s">
        <v>376</v>
      </c>
      <c r="D1849" t="s">
        <v>888</v>
      </c>
      <c r="E1849" t="s">
        <v>1541</v>
      </c>
    </row>
    <row r="1850" spans="1:5" x14ac:dyDescent="0.2">
      <c r="A1850" t="s">
        <v>3634</v>
      </c>
      <c r="B1850" t="s">
        <v>3635</v>
      </c>
      <c r="C1850" t="s">
        <v>251</v>
      </c>
      <c r="D1850" t="s">
        <v>3636</v>
      </c>
      <c r="E1850" t="s">
        <v>1541</v>
      </c>
    </row>
    <row r="1851" spans="1:5" x14ac:dyDescent="0.2">
      <c r="A1851" t="s">
        <v>3637</v>
      </c>
      <c r="B1851" t="s">
        <v>3638</v>
      </c>
      <c r="C1851" t="s">
        <v>251</v>
      </c>
      <c r="D1851" t="s">
        <v>1563</v>
      </c>
      <c r="E1851" t="s">
        <v>1541</v>
      </c>
    </row>
    <row r="1852" spans="1:5" x14ac:dyDescent="0.2">
      <c r="A1852" t="s">
        <v>3639</v>
      </c>
      <c r="B1852" t="s">
        <v>9310</v>
      </c>
      <c r="C1852" t="s">
        <v>345</v>
      </c>
      <c r="D1852" t="s">
        <v>3232</v>
      </c>
      <c r="E1852" t="s">
        <v>1541</v>
      </c>
    </row>
    <row r="1853" spans="1:5" x14ac:dyDescent="0.2">
      <c r="A1853" t="s">
        <v>3640</v>
      </c>
      <c r="B1853" t="s">
        <v>3641</v>
      </c>
      <c r="C1853" t="s">
        <v>345</v>
      </c>
      <c r="D1853" t="s">
        <v>3232</v>
      </c>
      <c r="E1853" t="s">
        <v>1541</v>
      </c>
    </row>
    <row r="1854" spans="1:5" x14ac:dyDescent="0.2">
      <c r="A1854" t="s">
        <v>3642</v>
      </c>
      <c r="B1854" t="s">
        <v>9311</v>
      </c>
      <c r="C1854" t="s">
        <v>345</v>
      </c>
      <c r="D1854" t="s">
        <v>1563</v>
      </c>
      <c r="E1854" t="s">
        <v>1541</v>
      </c>
    </row>
    <row r="1855" spans="1:5" x14ac:dyDescent="0.2">
      <c r="A1855" t="s">
        <v>3643</v>
      </c>
      <c r="B1855" t="s">
        <v>3644</v>
      </c>
      <c r="C1855" t="s">
        <v>399</v>
      </c>
      <c r="D1855" t="s">
        <v>3636</v>
      </c>
      <c r="E1855" t="s">
        <v>1541</v>
      </c>
    </row>
    <row r="1856" spans="1:5" x14ac:dyDescent="0.2">
      <c r="A1856" t="s">
        <v>3645</v>
      </c>
      <c r="B1856" t="s">
        <v>3646</v>
      </c>
      <c r="C1856" t="s">
        <v>399</v>
      </c>
      <c r="D1856" t="s">
        <v>1563</v>
      </c>
      <c r="E1856" t="s">
        <v>1541</v>
      </c>
    </row>
    <row r="1857" spans="1:5" x14ac:dyDescent="0.2">
      <c r="A1857" t="s">
        <v>3647</v>
      </c>
      <c r="B1857" t="s">
        <v>3648</v>
      </c>
      <c r="C1857" t="s">
        <v>199</v>
      </c>
      <c r="D1857" t="s">
        <v>377</v>
      </c>
      <c r="E1857" t="s">
        <v>8982</v>
      </c>
    </row>
    <row r="1858" spans="1:5" x14ac:dyDescent="0.2">
      <c r="A1858" t="s">
        <v>3649</v>
      </c>
      <c r="B1858" t="s">
        <v>3650</v>
      </c>
      <c r="C1858" t="s">
        <v>199</v>
      </c>
      <c r="D1858" t="s">
        <v>1458</v>
      </c>
      <c r="E1858" t="s">
        <v>8982</v>
      </c>
    </row>
    <row r="1859" spans="1:5" x14ac:dyDescent="0.2">
      <c r="A1859" t="s">
        <v>3651</v>
      </c>
      <c r="B1859" t="s">
        <v>3652</v>
      </c>
      <c r="C1859" t="s">
        <v>199</v>
      </c>
      <c r="D1859" t="s">
        <v>489</v>
      </c>
      <c r="E1859" t="s">
        <v>8982</v>
      </c>
    </row>
    <row r="1860" spans="1:5" x14ac:dyDescent="0.2">
      <c r="A1860" t="s">
        <v>3653</v>
      </c>
      <c r="B1860" t="s">
        <v>3654</v>
      </c>
      <c r="C1860" t="s">
        <v>244</v>
      </c>
      <c r="D1860" t="s">
        <v>462</v>
      </c>
      <c r="E1860" t="s">
        <v>8982</v>
      </c>
    </row>
    <row r="1861" spans="1:5" x14ac:dyDescent="0.2">
      <c r="A1861" t="s">
        <v>3655</v>
      </c>
      <c r="B1861" t="s">
        <v>3656</v>
      </c>
      <c r="C1861" t="s">
        <v>244</v>
      </c>
      <c r="D1861" t="s">
        <v>462</v>
      </c>
      <c r="E1861" t="s">
        <v>8982</v>
      </c>
    </row>
    <row r="1862" spans="1:5" x14ac:dyDescent="0.2">
      <c r="A1862" t="s">
        <v>3657</v>
      </c>
      <c r="B1862" t="s">
        <v>3658</v>
      </c>
      <c r="C1862" t="s">
        <v>244</v>
      </c>
      <c r="D1862" t="s">
        <v>710</v>
      </c>
      <c r="E1862" t="s">
        <v>8982</v>
      </c>
    </row>
    <row r="1863" spans="1:5" x14ac:dyDescent="0.2">
      <c r="A1863" t="s">
        <v>3659</v>
      </c>
      <c r="B1863" t="s">
        <v>3660</v>
      </c>
      <c r="C1863" t="s">
        <v>244</v>
      </c>
      <c r="D1863" t="s">
        <v>396</v>
      </c>
      <c r="E1863" t="s">
        <v>8982</v>
      </c>
    </row>
    <row r="1864" spans="1:5" x14ac:dyDescent="0.2">
      <c r="A1864" t="s">
        <v>3661</v>
      </c>
      <c r="B1864" t="s">
        <v>3662</v>
      </c>
      <c r="C1864" t="s">
        <v>376</v>
      </c>
      <c r="D1864" t="s">
        <v>1770</v>
      </c>
      <c r="E1864" t="s">
        <v>8982</v>
      </c>
    </row>
    <row r="1865" spans="1:5" x14ac:dyDescent="0.2">
      <c r="A1865" t="s">
        <v>3663</v>
      </c>
      <c r="B1865" t="s">
        <v>3664</v>
      </c>
      <c r="C1865" t="s">
        <v>376</v>
      </c>
      <c r="D1865" t="s">
        <v>224</v>
      </c>
      <c r="E1865" t="s">
        <v>8982</v>
      </c>
    </row>
    <row r="1866" spans="1:5" x14ac:dyDescent="0.2">
      <c r="A1866" t="s">
        <v>3665</v>
      </c>
      <c r="B1866" t="s">
        <v>3666</v>
      </c>
      <c r="C1866" t="s">
        <v>376</v>
      </c>
      <c r="D1866" t="s">
        <v>299</v>
      </c>
      <c r="E1866" t="s">
        <v>8982</v>
      </c>
    </row>
    <row r="1867" spans="1:5" x14ac:dyDescent="0.2">
      <c r="A1867" t="s">
        <v>3667</v>
      </c>
      <c r="B1867" t="s">
        <v>3668</v>
      </c>
      <c r="C1867" t="s">
        <v>376</v>
      </c>
      <c r="D1867" t="s">
        <v>299</v>
      </c>
      <c r="E1867" t="s">
        <v>8982</v>
      </c>
    </row>
    <row r="1868" spans="1:5" x14ac:dyDescent="0.2">
      <c r="A1868" t="s">
        <v>3669</v>
      </c>
      <c r="B1868" t="s">
        <v>3670</v>
      </c>
      <c r="C1868" t="s">
        <v>376</v>
      </c>
      <c r="D1868" t="s">
        <v>955</v>
      </c>
      <c r="E1868" t="s">
        <v>8982</v>
      </c>
    </row>
    <row r="1869" spans="1:5" x14ac:dyDescent="0.2">
      <c r="A1869" t="s">
        <v>3671</v>
      </c>
      <c r="B1869" t="s">
        <v>3672</v>
      </c>
      <c r="C1869" t="s">
        <v>104</v>
      </c>
      <c r="D1869" t="s">
        <v>156</v>
      </c>
      <c r="E1869" t="s">
        <v>8982</v>
      </c>
    </row>
    <row r="1870" spans="1:5" x14ac:dyDescent="0.2">
      <c r="A1870" t="s">
        <v>3673</v>
      </c>
      <c r="B1870" t="s">
        <v>3674</v>
      </c>
      <c r="C1870" t="s">
        <v>104</v>
      </c>
      <c r="D1870" t="s">
        <v>156</v>
      </c>
      <c r="E1870" t="s">
        <v>8982</v>
      </c>
    </row>
    <row r="1871" spans="1:5" x14ac:dyDescent="0.2">
      <c r="A1871" t="s">
        <v>3675</v>
      </c>
      <c r="B1871" t="s">
        <v>3676</v>
      </c>
      <c r="C1871" t="s">
        <v>104</v>
      </c>
      <c r="D1871" t="s">
        <v>1006</v>
      </c>
      <c r="E1871" t="s">
        <v>8982</v>
      </c>
    </row>
    <row r="1872" spans="1:5" x14ac:dyDescent="0.2">
      <c r="A1872" t="s">
        <v>3677</v>
      </c>
      <c r="B1872" t="s">
        <v>3678</v>
      </c>
      <c r="C1872" t="s">
        <v>104</v>
      </c>
      <c r="D1872" t="s">
        <v>1006</v>
      </c>
      <c r="E1872" t="s">
        <v>8982</v>
      </c>
    </row>
    <row r="1873" spans="1:5" x14ac:dyDescent="0.2">
      <c r="A1873" t="s">
        <v>3679</v>
      </c>
      <c r="B1873" t="s">
        <v>3680</v>
      </c>
      <c r="C1873" t="s">
        <v>104</v>
      </c>
      <c r="D1873" t="s">
        <v>500</v>
      </c>
      <c r="E1873" t="s">
        <v>914</v>
      </c>
    </row>
    <row r="1874" spans="1:5" x14ac:dyDescent="0.2">
      <c r="A1874" t="s">
        <v>3681</v>
      </c>
      <c r="B1874" t="s">
        <v>3682</v>
      </c>
      <c r="C1874" t="s">
        <v>318</v>
      </c>
      <c r="D1874" t="s">
        <v>2514</v>
      </c>
      <c r="E1874" t="s">
        <v>8982</v>
      </c>
    </row>
    <row r="1875" spans="1:5" x14ac:dyDescent="0.2">
      <c r="A1875" t="s">
        <v>3683</v>
      </c>
      <c r="B1875" t="s">
        <v>3684</v>
      </c>
      <c r="C1875" t="s">
        <v>318</v>
      </c>
      <c r="D1875" t="s">
        <v>456</v>
      </c>
      <c r="E1875" t="s">
        <v>8982</v>
      </c>
    </row>
    <row r="1876" spans="1:5" x14ac:dyDescent="0.2">
      <c r="A1876" t="s">
        <v>3685</v>
      </c>
      <c r="B1876" t="s">
        <v>3686</v>
      </c>
      <c r="C1876" t="s">
        <v>357</v>
      </c>
      <c r="D1876" t="s">
        <v>193</v>
      </c>
      <c r="E1876" t="s">
        <v>8982</v>
      </c>
    </row>
    <row r="1877" spans="1:5" x14ac:dyDescent="0.2">
      <c r="A1877" t="s">
        <v>3687</v>
      </c>
      <c r="B1877" t="s">
        <v>3688</v>
      </c>
      <c r="C1877" t="s">
        <v>357</v>
      </c>
      <c r="D1877" t="s">
        <v>193</v>
      </c>
      <c r="E1877" t="s">
        <v>8982</v>
      </c>
    </row>
    <row r="1878" spans="1:5" x14ac:dyDescent="0.2">
      <c r="A1878" t="s">
        <v>3689</v>
      </c>
      <c r="B1878" t="s">
        <v>3690</v>
      </c>
      <c r="C1878" t="s">
        <v>357</v>
      </c>
      <c r="D1878" t="s">
        <v>436</v>
      </c>
      <c r="E1878" t="s">
        <v>8982</v>
      </c>
    </row>
    <row r="1879" spans="1:5" x14ac:dyDescent="0.2">
      <c r="A1879" t="s">
        <v>3691</v>
      </c>
      <c r="B1879" t="s">
        <v>3692</v>
      </c>
      <c r="C1879" t="s">
        <v>357</v>
      </c>
      <c r="D1879" t="s">
        <v>1006</v>
      </c>
      <c r="E1879" t="s">
        <v>8982</v>
      </c>
    </row>
    <row r="1880" spans="1:5" x14ac:dyDescent="0.2">
      <c r="A1880" t="s">
        <v>3693</v>
      </c>
      <c r="B1880" t="s">
        <v>3694</v>
      </c>
      <c r="C1880" t="s">
        <v>357</v>
      </c>
      <c r="D1880" t="s">
        <v>1006</v>
      </c>
      <c r="E1880" t="s">
        <v>8982</v>
      </c>
    </row>
    <row r="1881" spans="1:5" x14ac:dyDescent="0.2">
      <c r="A1881" t="s">
        <v>3695</v>
      </c>
      <c r="B1881" t="s">
        <v>3696</v>
      </c>
      <c r="C1881" t="s">
        <v>357</v>
      </c>
      <c r="D1881" t="s">
        <v>213</v>
      </c>
      <c r="E1881" t="s">
        <v>8982</v>
      </c>
    </row>
    <row r="1882" spans="1:5" x14ac:dyDescent="0.2">
      <c r="A1882" t="s">
        <v>3697</v>
      </c>
      <c r="B1882" t="s">
        <v>3698</v>
      </c>
      <c r="C1882" t="s">
        <v>331</v>
      </c>
      <c r="D1882" t="s">
        <v>3699</v>
      </c>
      <c r="E1882" t="s">
        <v>8982</v>
      </c>
    </row>
    <row r="1883" spans="1:5" x14ac:dyDescent="0.2">
      <c r="A1883" t="s">
        <v>3700</v>
      </c>
      <c r="B1883" t="s">
        <v>3701</v>
      </c>
      <c r="C1883" t="s">
        <v>331</v>
      </c>
      <c r="D1883" t="s">
        <v>622</v>
      </c>
      <c r="E1883" t="s">
        <v>8982</v>
      </c>
    </row>
    <row r="1884" spans="1:5" x14ac:dyDescent="0.2">
      <c r="A1884" t="s">
        <v>3702</v>
      </c>
      <c r="B1884" t="s">
        <v>3703</v>
      </c>
      <c r="C1884" t="s">
        <v>331</v>
      </c>
      <c r="D1884" t="s">
        <v>622</v>
      </c>
      <c r="E1884" t="s">
        <v>8982</v>
      </c>
    </row>
    <row r="1885" spans="1:5" x14ac:dyDescent="0.2">
      <c r="A1885" t="s">
        <v>3704</v>
      </c>
      <c r="B1885" t="s">
        <v>3705</v>
      </c>
      <c r="C1885" t="s">
        <v>199</v>
      </c>
      <c r="D1885" t="s">
        <v>3699</v>
      </c>
      <c r="E1885" t="s">
        <v>8982</v>
      </c>
    </row>
    <row r="1886" spans="1:5" x14ac:dyDescent="0.2">
      <c r="A1886" t="s">
        <v>3706</v>
      </c>
      <c r="B1886" t="s">
        <v>3707</v>
      </c>
      <c r="C1886" t="s">
        <v>199</v>
      </c>
      <c r="D1886" t="s">
        <v>622</v>
      </c>
      <c r="E1886" t="s">
        <v>8982</v>
      </c>
    </row>
    <row r="1887" spans="1:5" x14ac:dyDescent="0.2">
      <c r="A1887" t="s">
        <v>3708</v>
      </c>
      <c r="B1887" t="s">
        <v>3709</v>
      </c>
      <c r="C1887" t="s">
        <v>322</v>
      </c>
      <c r="D1887" t="s">
        <v>412</v>
      </c>
      <c r="E1887" t="s">
        <v>8982</v>
      </c>
    </row>
    <row r="1888" spans="1:5" x14ac:dyDescent="0.2">
      <c r="A1888" t="s">
        <v>3710</v>
      </c>
      <c r="B1888" t="s">
        <v>3711</v>
      </c>
      <c r="C1888" t="s">
        <v>322</v>
      </c>
      <c r="D1888" t="s">
        <v>766</v>
      </c>
      <c r="E1888" t="s">
        <v>8982</v>
      </c>
    </row>
    <row r="1889" spans="1:5" x14ac:dyDescent="0.2">
      <c r="A1889" t="s">
        <v>3712</v>
      </c>
      <c r="B1889" t="s">
        <v>3713</v>
      </c>
      <c r="C1889" t="s">
        <v>322</v>
      </c>
      <c r="D1889" t="s">
        <v>412</v>
      </c>
      <c r="E1889" t="s">
        <v>8982</v>
      </c>
    </row>
    <row r="1890" spans="1:5" x14ac:dyDescent="0.2">
      <c r="A1890" t="s">
        <v>3714</v>
      </c>
      <c r="B1890" t="s">
        <v>3715</v>
      </c>
      <c r="C1890" t="s">
        <v>322</v>
      </c>
      <c r="D1890" t="s">
        <v>377</v>
      </c>
      <c r="E1890" t="s">
        <v>8982</v>
      </c>
    </row>
    <row r="1891" spans="1:5" x14ac:dyDescent="0.2">
      <c r="A1891" t="s">
        <v>3716</v>
      </c>
      <c r="B1891" t="s">
        <v>9312</v>
      </c>
      <c r="C1891" t="s">
        <v>322</v>
      </c>
      <c r="D1891" t="s">
        <v>99</v>
      </c>
      <c r="E1891" t="s">
        <v>8982</v>
      </c>
    </row>
    <row r="1892" spans="1:5" x14ac:dyDescent="0.2">
      <c r="A1892" t="s">
        <v>3717</v>
      </c>
      <c r="B1892" t="s">
        <v>3718</v>
      </c>
      <c r="C1892" t="s">
        <v>322</v>
      </c>
      <c r="D1892" t="s">
        <v>400</v>
      </c>
      <c r="E1892" t="s">
        <v>8982</v>
      </c>
    </row>
    <row r="1893" spans="1:5" x14ac:dyDescent="0.2">
      <c r="A1893" t="s">
        <v>3719</v>
      </c>
      <c r="B1893" t="s">
        <v>3720</v>
      </c>
      <c r="C1893" t="s">
        <v>322</v>
      </c>
      <c r="D1893" t="s">
        <v>400</v>
      </c>
      <c r="E1893" t="s">
        <v>8982</v>
      </c>
    </row>
    <row r="1894" spans="1:5" x14ac:dyDescent="0.2">
      <c r="A1894" t="s">
        <v>3721</v>
      </c>
      <c r="B1894" t="s">
        <v>3722</v>
      </c>
      <c r="C1894" t="s">
        <v>659</v>
      </c>
      <c r="D1894" t="s">
        <v>766</v>
      </c>
      <c r="E1894" t="s">
        <v>8982</v>
      </c>
    </row>
    <row r="1895" spans="1:5" x14ac:dyDescent="0.2">
      <c r="A1895" t="s">
        <v>3723</v>
      </c>
      <c r="B1895" t="s">
        <v>3724</v>
      </c>
      <c r="C1895" t="s">
        <v>659</v>
      </c>
      <c r="D1895" t="s">
        <v>412</v>
      </c>
      <c r="E1895" t="s">
        <v>8982</v>
      </c>
    </row>
    <row r="1896" spans="1:5" x14ac:dyDescent="0.2">
      <c r="A1896" t="s">
        <v>3725</v>
      </c>
      <c r="B1896" t="s">
        <v>3726</v>
      </c>
      <c r="C1896" t="s">
        <v>287</v>
      </c>
      <c r="D1896" t="s">
        <v>180</v>
      </c>
      <c r="E1896" t="s">
        <v>9313</v>
      </c>
    </row>
    <row r="1897" spans="1:5" x14ac:dyDescent="0.2">
      <c r="A1897" t="s">
        <v>3727</v>
      </c>
      <c r="B1897" t="s">
        <v>3728</v>
      </c>
      <c r="C1897" t="s">
        <v>287</v>
      </c>
      <c r="D1897" t="s">
        <v>2199</v>
      </c>
      <c r="E1897" t="s">
        <v>8982</v>
      </c>
    </row>
    <row r="1898" spans="1:5" x14ac:dyDescent="0.2">
      <c r="A1898" t="s">
        <v>3729</v>
      </c>
      <c r="B1898" t="s">
        <v>3730</v>
      </c>
      <c r="C1898" t="s">
        <v>287</v>
      </c>
      <c r="D1898" t="s">
        <v>2199</v>
      </c>
      <c r="E1898" t="s">
        <v>8982</v>
      </c>
    </row>
    <row r="1899" spans="1:5" x14ac:dyDescent="0.2">
      <c r="A1899" t="s">
        <v>3731</v>
      </c>
      <c r="B1899" t="s">
        <v>3732</v>
      </c>
      <c r="C1899" t="s">
        <v>287</v>
      </c>
      <c r="D1899" t="s">
        <v>180</v>
      </c>
      <c r="E1899" t="s">
        <v>8982</v>
      </c>
    </row>
    <row r="1900" spans="1:5" x14ac:dyDescent="0.2">
      <c r="A1900" t="s">
        <v>3733</v>
      </c>
      <c r="B1900" t="s">
        <v>3734</v>
      </c>
      <c r="C1900" t="s">
        <v>219</v>
      </c>
      <c r="D1900" t="s">
        <v>3735</v>
      </c>
      <c r="E1900" t="s">
        <v>9313</v>
      </c>
    </row>
    <row r="1901" spans="1:5" x14ac:dyDescent="0.2">
      <c r="A1901" t="s">
        <v>3736</v>
      </c>
      <c r="B1901" t="s">
        <v>3737</v>
      </c>
      <c r="C1901" t="s">
        <v>219</v>
      </c>
      <c r="D1901" t="s">
        <v>412</v>
      </c>
      <c r="E1901" t="s">
        <v>8982</v>
      </c>
    </row>
    <row r="1902" spans="1:5" x14ac:dyDescent="0.2">
      <c r="A1902" t="s">
        <v>3738</v>
      </c>
      <c r="B1902" t="s">
        <v>3739</v>
      </c>
      <c r="C1902" t="s">
        <v>421</v>
      </c>
      <c r="D1902" t="s">
        <v>2132</v>
      </c>
      <c r="E1902" t="s">
        <v>8982</v>
      </c>
    </row>
    <row r="1903" spans="1:5" x14ac:dyDescent="0.2">
      <c r="A1903" t="s">
        <v>3740</v>
      </c>
      <c r="B1903" t="s">
        <v>3741</v>
      </c>
      <c r="C1903" t="s">
        <v>421</v>
      </c>
      <c r="D1903" t="s">
        <v>2132</v>
      </c>
      <c r="E1903" t="s">
        <v>8982</v>
      </c>
    </row>
    <row r="1904" spans="1:5" x14ac:dyDescent="0.2">
      <c r="A1904" t="s">
        <v>3742</v>
      </c>
      <c r="B1904" t="s">
        <v>3743</v>
      </c>
      <c r="C1904" t="s">
        <v>421</v>
      </c>
      <c r="D1904" t="s">
        <v>400</v>
      </c>
      <c r="E1904" t="s">
        <v>8982</v>
      </c>
    </row>
    <row r="1905" spans="1:5" x14ac:dyDescent="0.2">
      <c r="A1905" t="s">
        <v>3744</v>
      </c>
      <c r="B1905" t="s">
        <v>3745</v>
      </c>
      <c r="C1905" t="s">
        <v>421</v>
      </c>
      <c r="D1905" t="s">
        <v>400</v>
      </c>
      <c r="E1905" t="s">
        <v>8982</v>
      </c>
    </row>
    <row r="1906" spans="1:5" x14ac:dyDescent="0.2">
      <c r="A1906" t="s">
        <v>3746</v>
      </c>
      <c r="B1906" t="s">
        <v>3747</v>
      </c>
      <c r="C1906" t="s">
        <v>9092</v>
      </c>
      <c r="D1906" t="s">
        <v>766</v>
      </c>
      <c r="E1906" t="s">
        <v>8982</v>
      </c>
    </row>
    <row r="1907" spans="1:5" x14ac:dyDescent="0.2">
      <c r="A1907" t="s">
        <v>3748</v>
      </c>
      <c r="B1907" t="s">
        <v>3749</v>
      </c>
      <c r="C1907" t="s">
        <v>9092</v>
      </c>
      <c r="D1907" t="s">
        <v>422</v>
      </c>
      <c r="E1907" t="s">
        <v>8982</v>
      </c>
    </row>
    <row r="1908" spans="1:5" x14ac:dyDescent="0.2">
      <c r="A1908" t="s">
        <v>3750</v>
      </c>
      <c r="B1908" t="s">
        <v>9314</v>
      </c>
      <c r="C1908" t="s">
        <v>131</v>
      </c>
      <c r="D1908" t="s">
        <v>400</v>
      </c>
      <c r="E1908" t="s">
        <v>8982</v>
      </c>
    </row>
    <row r="1909" spans="1:5" x14ac:dyDescent="0.2">
      <c r="A1909" t="s">
        <v>3751</v>
      </c>
      <c r="B1909" t="s">
        <v>3752</v>
      </c>
      <c r="C1909" t="s">
        <v>219</v>
      </c>
      <c r="D1909" t="s">
        <v>377</v>
      </c>
      <c r="E1909" t="s">
        <v>8982</v>
      </c>
    </row>
    <row r="1910" spans="1:5" x14ac:dyDescent="0.2">
      <c r="A1910" t="s">
        <v>3753</v>
      </c>
      <c r="B1910" t="s">
        <v>3754</v>
      </c>
      <c r="C1910" t="s">
        <v>219</v>
      </c>
      <c r="D1910" t="s">
        <v>400</v>
      </c>
      <c r="E1910" t="s">
        <v>8982</v>
      </c>
    </row>
    <row r="1911" spans="1:5" x14ac:dyDescent="0.2">
      <c r="A1911" t="s">
        <v>3755</v>
      </c>
      <c r="B1911" t="s">
        <v>3756</v>
      </c>
      <c r="C1911" t="s">
        <v>219</v>
      </c>
      <c r="D1911" t="s">
        <v>400</v>
      </c>
      <c r="E1911" t="s">
        <v>8982</v>
      </c>
    </row>
    <row r="1912" spans="1:5" x14ac:dyDescent="0.2">
      <c r="A1912" t="s">
        <v>3757</v>
      </c>
      <c r="B1912" t="s">
        <v>3758</v>
      </c>
      <c r="C1912" t="s">
        <v>1183</v>
      </c>
      <c r="D1912" t="s">
        <v>3699</v>
      </c>
      <c r="E1912" t="s">
        <v>8982</v>
      </c>
    </row>
    <row r="1913" spans="1:5" x14ac:dyDescent="0.2">
      <c r="A1913" t="s">
        <v>3759</v>
      </c>
      <c r="B1913" t="s">
        <v>3760</v>
      </c>
      <c r="C1913" t="s">
        <v>1183</v>
      </c>
      <c r="D1913" t="s">
        <v>400</v>
      </c>
      <c r="E1913" t="s">
        <v>8982</v>
      </c>
    </row>
    <row r="1914" spans="1:5" x14ac:dyDescent="0.2">
      <c r="A1914" t="s">
        <v>3761</v>
      </c>
      <c r="B1914" t="s">
        <v>3762</v>
      </c>
      <c r="C1914" t="s">
        <v>349</v>
      </c>
      <c r="D1914" t="s">
        <v>394</v>
      </c>
      <c r="E1914" t="s">
        <v>8982</v>
      </c>
    </row>
    <row r="1915" spans="1:5" x14ac:dyDescent="0.2">
      <c r="A1915" t="s">
        <v>3763</v>
      </c>
      <c r="B1915" t="s">
        <v>3764</v>
      </c>
      <c r="C1915" t="s">
        <v>349</v>
      </c>
      <c r="D1915" t="s">
        <v>588</v>
      </c>
      <c r="E1915" t="s">
        <v>8982</v>
      </c>
    </row>
    <row r="1916" spans="1:5" x14ac:dyDescent="0.2">
      <c r="A1916" t="s">
        <v>3765</v>
      </c>
      <c r="B1916" t="s">
        <v>3766</v>
      </c>
      <c r="C1916" t="s">
        <v>349</v>
      </c>
      <c r="D1916" t="s">
        <v>588</v>
      </c>
      <c r="E1916" t="s">
        <v>8982</v>
      </c>
    </row>
    <row r="1917" spans="1:5" x14ac:dyDescent="0.2">
      <c r="A1917" t="s">
        <v>3794</v>
      </c>
      <c r="B1917" t="s">
        <v>3795</v>
      </c>
      <c r="C1917" t="s">
        <v>742</v>
      </c>
      <c r="D1917" t="s">
        <v>766</v>
      </c>
      <c r="E1917" t="s">
        <v>8982</v>
      </c>
    </row>
    <row r="1918" spans="1:5" x14ac:dyDescent="0.2">
      <c r="A1918" t="s">
        <v>3796</v>
      </c>
      <c r="B1918" t="s">
        <v>3797</v>
      </c>
      <c r="C1918" t="s">
        <v>742</v>
      </c>
      <c r="D1918" t="s">
        <v>412</v>
      </c>
      <c r="E1918" t="s">
        <v>8982</v>
      </c>
    </row>
    <row r="1919" spans="1:5" x14ac:dyDescent="0.2">
      <c r="A1919" t="s">
        <v>3798</v>
      </c>
      <c r="B1919" t="s">
        <v>3799</v>
      </c>
      <c r="C1919" t="s">
        <v>199</v>
      </c>
      <c r="D1919" t="s">
        <v>853</v>
      </c>
      <c r="E1919" t="s">
        <v>8982</v>
      </c>
    </row>
    <row r="1920" spans="1:5" x14ac:dyDescent="0.2">
      <c r="A1920" t="s">
        <v>3800</v>
      </c>
      <c r="B1920" t="s">
        <v>3801</v>
      </c>
      <c r="C1920" t="s">
        <v>199</v>
      </c>
      <c r="D1920" t="s">
        <v>358</v>
      </c>
      <c r="E1920" t="s">
        <v>8982</v>
      </c>
    </row>
    <row r="1921" spans="1:5" x14ac:dyDescent="0.2">
      <c r="A1921" t="s">
        <v>3802</v>
      </c>
      <c r="B1921" t="s">
        <v>3803</v>
      </c>
      <c r="C1921" t="s">
        <v>92</v>
      </c>
      <c r="D1921" t="s">
        <v>3809</v>
      </c>
      <c r="E1921" t="s">
        <v>8982</v>
      </c>
    </row>
    <row r="1922" spans="1:5" x14ac:dyDescent="0.2">
      <c r="A1922" t="s">
        <v>3805</v>
      </c>
      <c r="B1922" t="s">
        <v>3806</v>
      </c>
      <c r="C1922" t="s">
        <v>92</v>
      </c>
      <c r="D1922" t="s">
        <v>338</v>
      </c>
      <c r="E1922" t="s">
        <v>8982</v>
      </c>
    </row>
    <row r="1923" spans="1:5" x14ac:dyDescent="0.2">
      <c r="A1923" t="s">
        <v>3807</v>
      </c>
      <c r="B1923" t="s">
        <v>3808</v>
      </c>
      <c r="C1923" t="s">
        <v>104</v>
      </c>
      <c r="D1923" t="s">
        <v>6126</v>
      </c>
      <c r="E1923" t="s">
        <v>8982</v>
      </c>
    </row>
    <row r="1924" spans="1:5" x14ac:dyDescent="0.2">
      <c r="A1924" t="s">
        <v>3810</v>
      </c>
      <c r="B1924" t="s">
        <v>3811</v>
      </c>
      <c r="C1924" t="s">
        <v>104</v>
      </c>
      <c r="D1924" t="s">
        <v>547</v>
      </c>
      <c r="E1924" t="s">
        <v>8982</v>
      </c>
    </row>
    <row r="1925" spans="1:5" x14ac:dyDescent="0.2">
      <c r="A1925" t="s">
        <v>3812</v>
      </c>
      <c r="B1925" t="s">
        <v>3813</v>
      </c>
      <c r="C1925" t="s">
        <v>120</v>
      </c>
      <c r="D1925" t="s">
        <v>1944</v>
      </c>
      <c r="E1925" t="s">
        <v>8982</v>
      </c>
    </row>
    <row r="1926" spans="1:5" x14ac:dyDescent="0.2">
      <c r="A1926" t="s">
        <v>3814</v>
      </c>
      <c r="B1926" t="s">
        <v>3815</v>
      </c>
      <c r="C1926" t="s">
        <v>120</v>
      </c>
      <c r="D1926" t="s">
        <v>539</v>
      </c>
      <c r="E1926" t="s">
        <v>8982</v>
      </c>
    </row>
    <row r="1927" spans="1:5" x14ac:dyDescent="0.2">
      <c r="A1927" t="s">
        <v>3816</v>
      </c>
      <c r="B1927" t="s">
        <v>9315</v>
      </c>
      <c r="C1927" t="s">
        <v>120</v>
      </c>
      <c r="D1927" t="s">
        <v>539</v>
      </c>
      <c r="E1927" t="s">
        <v>8982</v>
      </c>
    </row>
    <row r="1928" spans="1:5" x14ac:dyDescent="0.2">
      <c r="A1928" t="s">
        <v>3817</v>
      </c>
      <c r="B1928" t="s">
        <v>3818</v>
      </c>
      <c r="C1928" t="s">
        <v>219</v>
      </c>
      <c r="D1928" t="s">
        <v>1818</v>
      </c>
      <c r="E1928" t="s">
        <v>9313</v>
      </c>
    </row>
    <row r="1929" spans="1:5" x14ac:dyDescent="0.2">
      <c r="A1929" t="s">
        <v>3819</v>
      </c>
      <c r="B1929" t="s">
        <v>3820</v>
      </c>
      <c r="C1929" t="s">
        <v>219</v>
      </c>
      <c r="D1929" t="s">
        <v>813</v>
      </c>
      <c r="E1929" t="s">
        <v>8982</v>
      </c>
    </row>
    <row r="1930" spans="1:5" x14ac:dyDescent="0.2">
      <c r="A1930" t="s">
        <v>3821</v>
      </c>
      <c r="B1930" t="s">
        <v>3822</v>
      </c>
      <c r="C1930" t="s">
        <v>104</v>
      </c>
      <c r="D1930" t="s">
        <v>4381</v>
      </c>
      <c r="E1930" t="s">
        <v>8982</v>
      </c>
    </row>
    <row r="1931" spans="1:5" x14ac:dyDescent="0.2">
      <c r="A1931" t="s">
        <v>3824</v>
      </c>
      <c r="B1931" t="s">
        <v>3825</v>
      </c>
      <c r="C1931" t="s">
        <v>104</v>
      </c>
      <c r="D1931" t="s">
        <v>4381</v>
      </c>
      <c r="E1931" t="s">
        <v>8982</v>
      </c>
    </row>
    <row r="1932" spans="1:5" x14ac:dyDescent="0.2">
      <c r="A1932" t="s">
        <v>3826</v>
      </c>
      <c r="B1932" t="s">
        <v>3827</v>
      </c>
      <c r="C1932" t="s">
        <v>104</v>
      </c>
      <c r="D1932" t="s">
        <v>654</v>
      </c>
      <c r="E1932" t="s">
        <v>8982</v>
      </c>
    </row>
    <row r="1933" spans="1:5" x14ac:dyDescent="0.2">
      <c r="A1933" t="s">
        <v>3828</v>
      </c>
      <c r="B1933" t="s">
        <v>3829</v>
      </c>
      <c r="C1933" t="s">
        <v>104</v>
      </c>
      <c r="D1933" t="s">
        <v>654</v>
      </c>
      <c r="E1933" t="s">
        <v>8982</v>
      </c>
    </row>
    <row r="1934" spans="1:5" x14ac:dyDescent="0.2">
      <c r="A1934" t="s">
        <v>3830</v>
      </c>
      <c r="B1934" t="s">
        <v>3831</v>
      </c>
      <c r="C1934" t="s">
        <v>131</v>
      </c>
      <c r="D1934" t="s">
        <v>1997</v>
      </c>
      <c r="E1934" t="s">
        <v>8982</v>
      </c>
    </row>
    <row r="1935" spans="1:5" x14ac:dyDescent="0.2">
      <c r="A1935" t="s">
        <v>3833</v>
      </c>
      <c r="B1935" t="s">
        <v>3834</v>
      </c>
      <c r="C1935" t="s">
        <v>131</v>
      </c>
      <c r="D1935" t="s">
        <v>3835</v>
      </c>
      <c r="E1935" t="s">
        <v>914</v>
      </c>
    </row>
    <row r="1936" spans="1:5" x14ac:dyDescent="0.2">
      <c r="A1936" t="s">
        <v>3836</v>
      </c>
      <c r="B1936" t="s">
        <v>3837</v>
      </c>
      <c r="C1936" t="s">
        <v>131</v>
      </c>
      <c r="D1936" t="s">
        <v>441</v>
      </c>
      <c r="E1936" t="s">
        <v>8982</v>
      </c>
    </row>
    <row r="1937" spans="1:5" x14ac:dyDescent="0.2">
      <c r="A1937" t="s">
        <v>3838</v>
      </c>
      <c r="B1937" t="s">
        <v>3839</v>
      </c>
      <c r="C1937" t="s">
        <v>244</v>
      </c>
      <c r="D1937" t="s">
        <v>238</v>
      </c>
      <c r="E1937" t="s">
        <v>9313</v>
      </c>
    </row>
    <row r="1938" spans="1:5" x14ac:dyDescent="0.2">
      <c r="A1938" t="s">
        <v>3840</v>
      </c>
      <c r="B1938" t="s">
        <v>3841</v>
      </c>
      <c r="C1938" t="s">
        <v>244</v>
      </c>
      <c r="D1938" t="s">
        <v>193</v>
      </c>
      <c r="E1938" t="s">
        <v>8982</v>
      </c>
    </row>
    <row r="1939" spans="1:5" x14ac:dyDescent="0.2">
      <c r="A1939" t="s">
        <v>3842</v>
      </c>
      <c r="B1939" t="s">
        <v>3843</v>
      </c>
      <c r="C1939" t="s">
        <v>244</v>
      </c>
      <c r="D1939" t="s">
        <v>193</v>
      </c>
      <c r="E1939" t="s">
        <v>8982</v>
      </c>
    </row>
    <row r="1940" spans="1:5" x14ac:dyDescent="0.2">
      <c r="A1940" t="s">
        <v>3844</v>
      </c>
      <c r="B1940" t="s">
        <v>3845</v>
      </c>
      <c r="C1940" t="s">
        <v>244</v>
      </c>
      <c r="D1940" t="s">
        <v>238</v>
      </c>
      <c r="E1940" t="s">
        <v>8982</v>
      </c>
    </row>
    <row r="1941" spans="1:5" x14ac:dyDescent="0.2">
      <c r="A1941" t="s">
        <v>3846</v>
      </c>
      <c r="B1941" t="s">
        <v>3847</v>
      </c>
      <c r="C1941" t="s">
        <v>287</v>
      </c>
      <c r="D1941" t="s">
        <v>180</v>
      </c>
      <c r="E1941" t="s">
        <v>8982</v>
      </c>
    </row>
    <row r="1942" spans="1:5" x14ac:dyDescent="0.2">
      <c r="A1942" t="s">
        <v>3848</v>
      </c>
      <c r="B1942" t="s">
        <v>3849</v>
      </c>
      <c r="C1942" t="s">
        <v>287</v>
      </c>
      <c r="D1942" t="s">
        <v>396</v>
      </c>
      <c r="E1942" t="s">
        <v>8982</v>
      </c>
    </row>
    <row r="1943" spans="1:5" x14ac:dyDescent="0.2">
      <c r="A1943" t="s">
        <v>3850</v>
      </c>
      <c r="B1943" t="s">
        <v>3851</v>
      </c>
      <c r="C1943" t="s">
        <v>287</v>
      </c>
      <c r="D1943" t="s">
        <v>396</v>
      </c>
      <c r="E1943" t="s">
        <v>8982</v>
      </c>
    </row>
    <row r="1944" spans="1:5" x14ac:dyDescent="0.2">
      <c r="A1944" t="s">
        <v>3852</v>
      </c>
      <c r="B1944" t="s">
        <v>3853</v>
      </c>
      <c r="C1944" t="s">
        <v>287</v>
      </c>
      <c r="D1944" t="s">
        <v>2199</v>
      </c>
      <c r="E1944" t="s">
        <v>8982</v>
      </c>
    </row>
    <row r="1945" spans="1:5" x14ac:dyDescent="0.2">
      <c r="A1945" t="s">
        <v>3854</v>
      </c>
      <c r="B1945" t="s">
        <v>3855</v>
      </c>
      <c r="C1945" t="s">
        <v>287</v>
      </c>
      <c r="D1945" t="s">
        <v>2199</v>
      </c>
      <c r="E1945" t="s">
        <v>8982</v>
      </c>
    </row>
    <row r="1946" spans="1:5" x14ac:dyDescent="0.2">
      <c r="A1946" t="s">
        <v>3856</v>
      </c>
      <c r="B1946" t="s">
        <v>3857</v>
      </c>
      <c r="C1946" t="s">
        <v>251</v>
      </c>
      <c r="D1946" t="s">
        <v>377</v>
      </c>
      <c r="E1946" t="s">
        <v>8982</v>
      </c>
    </row>
    <row r="1947" spans="1:5" x14ac:dyDescent="0.2">
      <c r="A1947" t="s">
        <v>3858</v>
      </c>
      <c r="B1947" t="s">
        <v>3859</v>
      </c>
      <c r="C1947" t="s">
        <v>251</v>
      </c>
      <c r="D1947" t="s">
        <v>400</v>
      </c>
      <c r="E1947" t="s">
        <v>8982</v>
      </c>
    </row>
    <row r="1948" spans="1:5" x14ac:dyDescent="0.2">
      <c r="A1948" t="s">
        <v>3860</v>
      </c>
      <c r="B1948" t="s">
        <v>3861</v>
      </c>
      <c r="C1948" t="s">
        <v>212</v>
      </c>
      <c r="D1948" t="s">
        <v>377</v>
      </c>
      <c r="E1948" t="s">
        <v>8982</v>
      </c>
    </row>
    <row r="1949" spans="1:5" x14ac:dyDescent="0.2">
      <c r="A1949" t="s">
        <v>3862</v>
      </c>
      <c r="B1949" t="s">
        <v>3863</v>
      </c>
      <c r="C1949" t="s">
        <v>212</v>
      </c>
      <c r="D1949" t="s">
        <v>400</v>
      </c>
      <c r="E1949" t="s">
        <v>8982</v>
      </c>
    </row>
    <row r="1950" spans="1:5" x14ac:dyDescent="0.2">
      <c r="A1950" t="s">
        <v>3864</v>
      </c>
      <c r="B1950" t="s">
        <v>3865</v>
      </c>
      <c r="C1950" t="s">
        <v>212</v>
      </c>
      <c r="D1950" t="s">
        <v>400</v>
      </c>
      <c r="E1950" t="s">
        <v>8982</v>
      </c>
    </row>
    <row r="1951" spans="1:5" x14ac:dyDescent="0.2">
      <c r="A1951" t="s">
        <v>3866</v>
      </c>
      <c r="B1951" t="s">
        <v>3867</v>
      </c>
      <c r="C1951" t="s">
        <v>222</v>
      </c>
      <c r="D1951" t="s">
        <v>773</v>
      </c>
      <c r="E1951" t="s">
        <v>8982</v>
      </c>
    </row>
    <row r="1952" spans="1:5" x14ac:dyDescent="0.2">
      <c r="A1952" t="s">
        <v>3868</v>
      </c>
      <c r="B1952" t="s">
        <v>3869</v>
      </c>
      <c r="C1952" t="s">
        <v>222</v>
      </c>
      <c r="D1952" t="s">
        <v>773</v>
      </c>
      <c r="E1952" t="s">
        <v>8982</v>
      </c>
    </row>
    <row r="1953" spans="1:5" x14ac:dyDescent="0.2">
      <c r="A1953" t="s">
        <v>3870</v>
      </c>
      <c r="B1953" t="s">
        <v>3871</v>
      </c>
      <c r="C1953" t="s">
        <v>222</v>
      </c>
      <c r="D1953" t="s">
        <v>400</v>
      </c>
      <c r="E1953" t="s">
        <v>8982</v>
      </c>
    </row>
    <row r="1954" spans="1:5" x14ac:dyDescent="0.2">
      <c r="A1954" t="s">
        <v>3872</v>
      </c>
      <c r="B1954" t="s">
        <v>3873</v>
      </c>
      <c r="C1954" t="s">
        <v>222</v>
      </c>
      <c r="D1954" t="s">
        <v>400</v>
      </c>
      <c r="E1954" t="s">
        <v>8982</v>
      </c>
    </row>
    <row r="1955" spans="1:5" x14ac:dyDescent="0.2">
      <c r="A1955" t="s">
        <v>3874</v>
      </c>
      <c r="B1955" t="s">
        <v>3875</v>
      </c>
      <c r="C1955" t="s">
        <v>222</v>
      </c>
      <c r="D1955" t="s">
        <v>110</v>
      </c>
      <c r="E1955" t="s">
        <v>914</v>
      </c>
    </row>
    <row r="1956" spans="1:5" x14ac:dyDescent="0.2">
      <c r="A1956" t="s">
        <v>3876</v>
      </c>
      <c r="B1956" t="s">
        <v>3877</v>
      </c>
      <c r="C1956" t="s">
        <v>212</v>
      </c>
      <c r="D1956" t="s">
        <v>377</v>
      </c>
      <c r="E1956" t="s">
        <v>8982</v>
      </c>
    </row>
    <row r="1957" spans="1:5" x14ac:dyDescent="0.2">
      <c r="A1957" t="s">
        <v>3878</v>
      </c>
      <c r="B1957" t="s">
        <v>3879</v>
      </c>
      <c r="C1957" t="s">
        <v>212</v>
      </c>
      <c r="D1957" t="s">
        <v>400</v>
      </c>
      <c r="E1957" t="s">
        <v>8982</v>
      </c>
    </row>
    <row r="1958" spans="1:5" x14ac:dyDescent="0.2">
      <c r="A1958" t="s">
        <v>3880</v>
      </c>
      <c r="B1958" t="s">
        <v>3881</v>
      </c>
      <c r="C1958" t="s">
        <v>227</v>
      </c>
      <c r="D1958" t="s">
        <v>377</v>
      </c>
      <c r="E1958" t="s">
        <v>8982</v>
      </c>
    </row>
    <row r="1959" spans="1:5" x14ac:dyDescent="0.2">
      <c r="A1959" t="s">
        <v>3882</v>
      </c>
      <c r="B1959" t="s">
        <v>3883</v>
      </c>
      <c r="C1959" t="s">
        <v>227</v>
      </c>
      <c r="D1959" t="s">
        <v>412</v>
      </c>
      <c r="E1959" t="s">
        <v>8982</v>
      </c>
    </row>
    <row r="1960" spans="1:5" x14ac:dyDescent="0.2">
      <c r="A1960" t="s">
        <v>3884</v>
      </c>
      <c r="B1960" t="s">
        <v>3885</v>
      </c>
      <c r="C1960" t="s">
        <v>399</v>
      </c>
      <c r="D1960" t="s">
        <v>377</v>
      </c>
      <c r="E1960" t="s">
        <v>8982</v>
      </c>
    </row>
    <row r="1961" spans="1:5" x14ac:dyDescent="0.2">
      <c r="A1961" t="s">
        <v>3886</v>
      </c>
      <c r="B1961" t="s">
        <v>3887</v>
      </c>
      <c r="C1961" t="s">
        <v>399</v>
      </c>
      <c r="D1961" t="s">
        <v>400</v>
      </c>
      <c r="E1961" t="s">
        <v>8982</v>
      </c>
    </row>
    <row r="1962" spans="1:5" x14ac:dyDescent="0.2">
      <c r="A1962" t="s">
        <v>3767</v>
      </c>
      <c r="B1962" t="s">
        <v>3768</v>
      </c>
      <c r="C1962" t="s">
        <v>742</v>
      </c>
      <c r="D1962" t="s">
        <v>213</v>
      </c>
      <c r="E1962" t="s">
        <v>8982</v>
      </c>
    </row>
    <row r="1963" spans="1:5" x14ac:dyDescent="0.2">
      <c r="A1963" t="s">
        <v>3769</v>
      </c>
      <c r="B1963" t="s">
        <v>3770</v>
      </c>
      <c r="C1963" t="s">
        <v>742</v>
      </c>
      <c r="D1963" t="s">
        <v>341</v>
      </c>
      <c r="E1963" t="s">
        <v>8982</v>
      </c>
    </row>
    <row r="1964" spans="1:5" x14ac:dyDescent="0.2">
      <c r="A1964" t="s">
        <v>3772</v>
      </c>
      <c r="B1964" t="s">
        <v>3773</v>
      </c>
      <c r="C1964" t="s">
        <v>244</v>
      </c>
      <c r="D1964" t="s">
        <v>462</v>
      </c>
      <c r="E1964" t="s">
        <v>8982</v>
      </c>
    </row>
    <row r="1965" spans="1:5" x14ac:dyDescent="0.2">
      <c r="A1965" t="s">
        <v>3774</v>
      </c>
      <c r="B1965" t="s">
        <v>9316</v>
      </c>
      <c r="C1965" t="s">
        <v>244</v>
      </c>
      <c r="D1965" t="s">
        <v>710</v>
      </c>
      <c r="E1965" t="s">
        <v>8982</v>
      </c>
    </row>
    <row r="1966" spans="1:5" x14ac:dyDescent="0.2">
      <c r="A1966" t="s">
        <v>3775</v>
      </c>
      <c r="B1966" t="s">
        <v>3776</v>
      </c>
      <c r="C1966" t="s">
        <v>244</v>
      </c>
      <c r="D1966" t="s">
        <v>710</v>
      </c>
      <c r="E1966" t="s">
        <v>8982</v>
      </c>
    </row>
    <row r="1967" spans="1:5" x14ac:dyDescent="0.2">
      <c r="A1967" t="s">
        <v>3777</v>
      </c>
      <c r="B1967" t="s">
        <v>3778</v>
      </c>
      <c r="C1967" t="s">
        <v>345</v>
      </c>
      <c r="D1967" t="s">
        <v>871</v>
      </c>
      <c r="E1967" t="s">
        <v>8982</v>
      </c>
    </row>
    <row r="1968" spans="1:5" x14ac:dyDescent="0.2">
      <c r="A1968" t="s">
        <v>3779</v>
      </c>
      <c r="B1968" t="s">
        <v>3780</v>
      </c>
      <c r="C1968" t="s">
        <v>399</v>
      </c>
      <c r="D1968" t="s">
        <v>3771</v>
      </c>
      <c r="E1968" t="s">
        <v>8982</v>
      </c>
    </row>
    <row r="1969" spans="1:5" x14ac:dyDescent="0.2">
      <c r="A1969" t="s">
        <v>3781</v>
      </c>
      <c r="B1969" t="s">
        <v>3782</v>
      </c>
      <c r="C1969" t="s">
        <v>705</v>
      </c>
      <c r="D1969" t="s">
        <v>462</v>
      </c>
      <c r="E1969" t="s">
        <v>8982</v>
      </c>
    </row>
    <row r="1970" spans="1:5" x14ac:dyDescent="0.2">
      <c r="A1970" t="s">
        <v>3783</v>
      </c>
      <c r="B1970" t="s">
        <v>3784</v>
      </c>
      <c r="C1970" t="s">
        <v>705</v>
      </c>
      <c r="D1970" t="s">
        <v>710</v>
      </c>
      <c r="E1970" t="s">
        <v>8982</v>
      </c>
    </row>
    <row r="1971" spans="1:5" x14ac:dyDescent="0.2">
      <c r="A1971" t="s">
        <v>3785</v>
      </c>
      <c r="B1971" t="s">
        <v>3786</v>
      </c>
      <c r="C1971" t="s">
        <v>345</v>
      </c>
      <c r="D1971" t="s">
        <v>394</v>
      </c>
      <c r="E1971" t="s">
        <v>8982</v>
      </c>
    </row>
    <row r="1972" spans="1:5" x14ac:dyDescent="0.2">
      <c r="A1972" t="s">
        <v>3787</v>
      </c>
      <c r="B1972" t="s">
        <v>3788</v>
      </c>
      <c r="C1972" t="s">
        <v>345</v>
      </c>
      <c r="D1972" t="s">
        <v>588</v>
      </c>
      <c r="E1972" t="s">
        <v>8982</v>
      </c>
    </row>
    <row r="1973" spans="1:5" x14ac:dyDescent="0.2">
      <c r="A1973" t="s">
        <v>3789</v>
      </c>
      <c r="B1973" t="s">
        <v>3790</v>
      </c>
      <c r="C1973" t="s">
        <v>345</v>
      </c>
      <c r="D1973" t="s">
        <v>588</v>
      </c>
      <c r="E1973" t="s">
        <v>8982</v>
      </c>
    </row>
    <row r="1974" spans="1:5" x14ac:dyDescent="0.2">
      <c r="A1974" t="s">
        <v>3791</v>
      </c>
      <c r="B1974" t="s">
        <v>3792</v>
      </c>
      <c r="C1974" t="s">
        <v>251</v>
      </c>
      <c r="D1974" t="s">
        <v>1006</v>
      </c>
      <c r="E1974" t="s">
        <v>8982</v>
      </c>
    </row>
    <row r="1975" spans="1:5" x14ac:dyDescent="0.2">
      <c r="A1975" t="s">
        <v>3793</v>
      </c>
      <c r="B1975" t="s">
        <v>9317</v>
      </c>
      <c r="C1975" t="s">
        <v>251</v>
      </c>
      <c r="D1975" t="s">
        <v>346</v>
      </c>
      <c r="E1975" t="s">
        <v>8982</v>
      </c>
    </row>
    <row r="1976" spans="1:5" x14ac:dyDescent="0.2">
      <c r="A1976" t="s">
        <v>3888</v>
      </c>
      <c r="B1976" t="s">
        <v>3889</v>
      </c>
      <c r="C1976" t="s">
        <v>219</v>
      </c>
      <c r="D1976" t="s">
        <v>213</v>
      </c>
      <c r="E1976" t="s">
        <v>2571</v>
      </c>
    </row>
    <row r="1977" spans="1:5" x14ac:dyDescent="0.2">
      <c r="A1977" t="s">
        <v>3890</v>
      </c>
      <c r="B1977" t="s">
        <v>3891</v>
      </c>
      <c r="C1977" t="s">
        <v>219</v>
      </c>
      <c r="D1977" t="s">
        <v>213</v>
      </c>
      <c r="E1977" t="s">
        <v>2571</v>
      </c>
    </row>
    <row r="1978" spans="1:5" x14ac:dyDescent="0.2">
      <c r="A1978" t="s">
        <v>3892</v>
      </c>
      <c r="B1978" t="s">
        <v>3893</v>
      </c>
      <c r="C1978" t="s">
        <v>219</v>
      </c>
      <c r="D1978" t="s">
        <v>335</v>
      </c>
      <c r="E1978" t="s">
        <v>2571</v>
      </c>
    </row>
    <row r="1979" spans="1:5" x14ac:dyDescent="0.2">
      <c r="A1979" t="s">
        <v>3894</v>
      </c>
      <c r="B1979" t="s">
        <v>3895</v>
      </c>
      <c r="C1979" t="s">
        <v>219</v>
      </c>
      <c r="D1979" t="s">
        <v>341</v>
      </c>
      <c r="E1979" t="s">
        <v>2571</v>
      </c>
    </row>
    <row r="1980" spans="1:5" x14ac:dyDescent="0.2">
      <c r="A1980" t="s">
        <v>3896</v>
      </c>
      <c r="B1980" t="s">
        <v>3897</v>
      </c>
      <c r="C1980" t="s">
        <v>251</v>
      </c>
      <c r="D1980" t="s">
        <v>386</v>
      </c>
      <c r="E1980" t="s">
        <v>2571</v>
      </c>
    </row>
    <row r="1981" spans="1:5" x14ac:dyDescent="0.2">
      <c r="A1981" t="s">
        <v>3898</v>
      </c>
      <c r="B1981" t="s">
        <v>3899</v>
      </c>
      <c r="C1981" t="s">
        <v>251</v>
      </c>
      <c r="D1981" t="s">
        <v>386</v>
      </c>
      <c r="E1981" t="s">
        <v>2571</v>
      </c>
    </row>
    <row r="1982" spans="1:5" x14ac:dyDescent="0.2">
      <c r="A1982" t="s">
        <v>3900</v>
      </c>
      <c r="B1982" t="s">
        <v>3901</v>
      </c>
      <c r="C1982" t="s">
        <v>251</v>
      </c>
      <c r="D1982" t="s">
        <v>263</v>
      </c>
      <c r="E1982" t="s">
        <v>2571</v>
      </c>
    </row>
    <row r="1983" spans="1:5" x14ac:dyDescent="0.2">
      <c r="A1983" t="s">
        <v>3902</v>
      </c>
      <c r="B1983" t="s">
        <v>3903</v>
      </c>
      <c r="C1983" t="s">
        <v>251</v>
      </c>
      <c r="D1983" t="s">
        <v>263</v>
      </c>
      <c r="E1983" t="s">
        <v>2571</v>
      </c>
    </row>
    <row r="1984" spans="1:5" x14ac:dyDescent="0.2">
      <c r="A1984" t="s">
        <v>3904</v>
      </c>
      <c r="B1984" t="s">
        <v>3905</v>
      </c>
      <c r="C1984" t="s">
        <v>251</v>
      </c>
      <c r="D1984" t="s">
        <v>220</v>
      </c>
      <c r="E1984" t="s">
        <v>2571</v>
      </c>
    </row>
    <row r="1985" spans="1:5" x14ac:dyDescent="0.2">
      <c r="A1985" t="s">
        <v>3906</v>
      </c>
      <c r="B1985" t="s">
        <v>3907</v>
      </c>
      <c r="C1985" t="s">
        <v>251</v>
      </c>
      <c r="D1985" t="s">
        <v>220</v>
      </c>
      <c r="E1985" t="s">
        <v>2571</v>
      </c>
    </row>
    <row r="1986" spans="1:5" x14ac:dyDescent="0.2">
      <c r="A1986" t="s">
        <v>3908</v>
      </c>
      <c r="B1986" t="s">
        <v>3909</v>
      </c>
      <c r="C1986" t="s">
        <v>212</v>
      </c>
      <c r="D1986" t="s">
        <v>309</v>
      </c>
      <c r="E1986" t="s">
        <v>2571</v>
      </c>
    </row>
    <row r="1987" spans="1:5" x14ac:dyDescent="0.2">
      <c r="A1987" t="s">
        <v>3910</v>
      </c>
      <c r="B1987" t="s">
        <v>3911</v>
      </c>
      <c r="C1987" t="s">
        <v>212</v>
      </c>
      <c r="D1987" t="s">
        <v>309</v>
      </c>
      <c r="E1987" t="s">
        <v>2571</v>
      </c>
    </row>
    <row r="1988" spans="1:5" x14ac:dyDescent="0.2">
      <c r="A1988" t="s">
        <v>3912</v>
      </c>
      <c r="B1988" t="s">
        <v>3913</v>
      </c>
      <c r="C1988" t="s">
        <v>212</v>
      </c>
      <c r="D1988" t="s">
        <v>238</v>
      </c>
      <c r="E1988" t="s">
        <v>2571</v>
      </c>
    </row>
    <row r="1989" spans="1:5" x14ac:dyDescent="0.2">
      <c r="A1989" t="s">
        <v>3914</v>
      </c>
      <c r="B1989" t="s">
        <v>3915</v>
      </c>
      <c r="C1989" t="s">
        <v>212</v>
      </c>
      <c r="D1989" t="s">
        <v>238</v>
      </c>
      <c r="E1989" t="s">
        <v>2571</v>
      </c>
    </row>
    <row r="1990" spans="1:5" x14ac:dyDescent="0.2">
      <c r="A1990" t="s">
        <v>3916</v>
      </c>
      <c r="B1990" t="s">
        <v>3917</v>
      </c>
      <c r="C1990" t="s">
        <v>212</v>
      </c>
      <c r="D1990" t="s">
        <v>99</v>
      </c>
      <c r="E1990" t="s">
        <v>2571</v>
      </c>
    </row>
    <row r="1991" spans="1:5" x14ac:dyDescent="0.2">
      <c r="A1991" t="s">
        <v>3918</v>
      </c>
      <c r="B1991" t="s">
        <v>3919</v>
      </c>
      <c r="C1991" t="s">
        <v>212</v>
      </c>
      <c r="D1991" t="s">
        <v>99</v>
      </c>
      <c r="E1991" t="s">
        <v>2571</v>
      </c>
    </row>
    <row r="1992" spans="1:5" x14ac:dyDescent="0.2">
      <c r="A1992" t="s">
        <v>3920</v>
      </c>
      <c r="B1992" t="s">
        <v>3921</v>
      </c>
      <c r="C1992" t="s">
        <v>251</v>
      </c>
      <c r="D1992" t="s">
        <v>299</v>
      </c>
      <c r="E1992" t="s">
        <v>2571</v>
      </c>
    </row>
    <row r="1993" spans="1:5" x14ac:dyDescent="0.2">
      <c r="A1993" t="s">
        <v>3922</v>
      </c>
      <c r="B1993" t="s">
        <v>3923</v>
      </c>
      <c r="C1993" t="s">
        <v>251</v>
      </c>
      <c r="D1993" t="s">
        <v>299</v>
      </c>
      <c r="E1993" t="s">
        <v>2571</v>
      </c>
    </row>
    <row r="1994" spans="1:5" x14ac:dyDescent="0.2">
      <c r="A1994" t="s">
        <v>3924</v>
      </c>
      <c r="B1994" t="s">
        <v>3925</v>
      </c>
      <c r="C1994" t="s">
        <v>251</v>
      </c>
      <c r="D1994" t="s">
        <v>611</v>
      </c>
      <c r="E1994" t="s">
        <v>2571</v>
      </c>
    </row>
    <row r="1995" spans="1:5" x14ac:dyDescent="0.2">
      <c r="A1995" t="s">
        <v>3926</v>
      </c>
      <c r="B1995" t="s">
        <v>3927</v>
      </c>
      <c r="C1995" t="s">
        <v>251</v>
      </c>
      <c r="D1995" t="s">
        <v>611</v>
      </c>
      <c r="E1995" t="s">
        <v>2571</v>
      </c>
    </row>
    <row r="1996" spans="1:5" x14ac:dyDescent="0.2">
      <c r="A1996" t="s">
        <v>3928</v>
      </c>
      <c r="B1996" t="s">
        <v>3929</v>
      </c>
      <c r="C1996" t="s">
        <v>251</v>
      </c>
      <c r="D1996" t="s">
        <v>734</v>
      </c>
      <c r="E1996" t="s">
        <v>2571</v>
      </c>
    </row>
    <row r="1997" spans="1:5" x14ac:dyDescent="0.2">
      <c r="A1997" t="s">
        <v>3930</v>
      </c>
      <c r="B1997" t="s">
        <v>3931</v>
      </c>
      <c r="C1997" t="s">
        <v>251</v>
      </c>
      <c r="D1997" t="s">
        <v>734</v>
      </c>
      <c r="E1997" t="s">
        <v>2571</v>
      </c>
    </row>
    <row r="1998" spans="1:5" x14ac:dyDescent="0.2">
      <c r="A1998" t="s">
        <v>3932</v>
      </c>
      <c r="B1998" t="s">
        <v>3933</v>
      </c>
      <c r="C1998" t="s">
        <v>376</v>
      </c>
      <c r="D1998" t="s">
        <v>389</v>
      </c>
      <c r="E1998" t="s">
        <v>3439</v>
      </c>
    </row>
    <row r="1999" spans="1:5" x14ac:dyDescent="0.2">
      <c r="A1999" t="s">
        <v>3934</v>
      </c>
      <c r="B1999" t="s">
        <v>3935</v>
      </c>
      <c r="C1999" t="s">
        <v>376</v>
      </c>
      <c r="D1999" t="s">
        <v>444</v>
      </c>
      <c r="E1999" t="s">
        <v>9318</v>
      </c>
    </row>
    <row r="2000" spans="1:5" x14ac:dyDescent="0.2">
      <c r="A2000" t="s">
        <v>3936</v>
      </c>
      <c r="B2000" t="s">
        <v>3937</v>
      </c>
      <c r="C2000" t="s">
        <v>376</v>
      </c>
      <c r="D2000" t="s">
        <v>224</v>
      </c>
      <c r="E2000" t="s">
        <v>3439</v>
      </c>
    </row>
    <row r="2001" spans="1:5" x14ac:dyDescent="0.2">
      <c r="A2001" t="s">
        <v>3938</v>
      </c>
      <c r="B2001" t="s">
        <v>3939</v>
      </c>
      <c r="C2001" t="s">
        <v>92</v>
      </c>
      <c r="D2001" t="s">
        <v>412</v>
      </c>
      <c r="E2001" t="s">
        <v>3439</v>
      </c>
    </row>
    <row r="2002" spans="1:5" x14ac:dyDescent="0.2">
      <c r="A2002" t="s">
        <v>3940</v>
      </c>
      <c r="B2002" t="s">
        <v>3941</v>
      </c>
      <c r="C2002" t="s">
        <v>92</v>
      </c>
      <c r="D2002" t="s">
        <v>583</v>
      </c>
      <c r="E2002" t="s">
        <v>3439</v>
      </c>
    </row>
    <row r="2003" spans="1:5" x14ac:dyDescent="0.2">
      <c r="A2003" t="s">
        <v>3942</v>
      </c>
      <c r="B2003" t="s">
        <v>3943</v>
      </c>
      <c r="C2003" t="s">
        <v>92</v>
      </c>
      <c r="D2003" t="s">
        <v>1351</v>
      </c>
      <c r="E2003" t="s">
        <v>3439</v>
      </c>
    </row>
    <row r="2004" spans="1:5" x14ac:dyDescent="0.2">
      <c r="A2004" t="s">
        <v>3944</v>
      </c>
      <c r="B2004" t="s">
        <v>3945</v>
      </c>
      <c r="C2004" t="s">
        <v>591</v>
      </c>
      <c r="D2004" t="s">
        <v>224</v>
      </c>
      <c r="E2004" t="s">
        <v>3439</v>
      </c>
    </row>
    <row r="2005" spans="1:5" x14ac:dyDescent="0.2">
      <c r="A2005" t="s">
        <v>3946</v>
      </c>
      <c r="B2005" t="s">
        <v>3947</v>
      </c>
      <c r="C2005" t="s">
        <v>591</v>
      </c>
      <c r="D2005" t="s">
        <v>224</v>
      </c>
      <c r="E2005" t="s">
        <v>3439</v>
      </c>
    </row>
    <row r="2006" spans="1:5" x14ac:dyDescent="0.2">
      <c r="A2006" t="s">
        <v>3948</v>
      </c>
      <c r="B2006" t="s">
        <v>3949</v>
      </c>
      <c r="C2006" t="s">
        <v>331</v>
      </c>
      <c r="D2006" t="s">
        <v>427</v>
      </c>
      <c r="E2006" t="s">
        <v>3439</v>
      </c>
    </row>
    <row r="2007" spans="1:5" x14ac:dyDescent="0.2">
      <c r="A2007" t="s">
        <v>3950</v>
      </c>
      <c r="B2007" t="s">
        <v>3951</v>
      </c>
      <c r="C2007" t="s">
        <v>331</v>
      </c>
      <c r="D2007" t="s">
        <v>433</v>
      </c>
      <c r="E2007" t="s">
        <v>3439</v>
      </c>
    </row>
    <row r="2008" spans="1:5" x14ac:dyDescent="0.2">
      <c r="A2008" t="s">
        <v>3952</v>
      </c>
      <c r="B2008" t="s">
        <v>3953</v>
      </c>
      <c r="C2008" t="s">
        <v>331</v>
      </c>
      <c r="D2008" t="s">
        <v>991</v>
      </c>
      <c r="E2008" t="s">
        <v>3439</v>
      </c>
    </row>
    <row r="2009" spans="1:5" x14ac:dyDescent="0.2">
      <c r="A2009" t="s">
        <v>3954</v>
      </c>
      <c r="B2009" t="s">
        <v>3955</v>
      </c>
      <c r="C2009" t="s">
        <v>331</v>
      </c>
      <c r="D2009" t="s">
        <v>842</v>
      </c>
      <c r="E2009" t="s">
        <v>3439</v>
      </c>
    </row>
    <row r="2010" spans="1:5" x14ac:dyDescent="0.2">
      <c r="A2010" t="s">
        <v>3956</v>
      </c>
      <c r="B2010" t="s">
        <v>3957</v>
      </c>
      <c r="C2010" t="s">
        <v>331</v>
      </c>
      <c r="D2010" t="s">
        <v>422</v>
      </c>
      <c r="E2010" t="s">
        <v>9318</v>
      </c>
    </row>
    <row r="2011" spans="1:5" x14ac:dyDescent="0.2">
      <c r="A2011" t="s">
        <v>3958</v>
      </c>
      <c r="B2011" t="s">
        <v>3959</v>
      </c>
      <c r="C2011" t="s">
        <v>331</v>
      </c>
      <c r="D2011" t="s">
        <v>422</v>
      </c>
      <c r="E2011" t="s">
        <v>9318</v>
      </c>
    </row>
    <row r="2012" spans="1:5" x14ac:dyDescent="0.2">
      <c r="A2012" t="s">
        <v>3960</v>
      </c>
      <c r="B2012" t="s">
        <v>3961</v>
      </c>
      <c r="C2012" t="s">
        <v>331</v>
      </c>
      <c r="D2012" t="s">
        <v>433</v>
      </c>
      <c r="E2012" t="s">
        <v>3439</v>
      </c>
    </row>
    <row r="2013" spans="1:5" x14ac:dyDescent="0.2">
      <c r="A2013" t="s">
        <v>3962</v>
      </c>
      <c r="B2013" t="s">
        <v>3963</v>
      </c>
      <c r="C2013" t="s">
        <v>331</v>
      </c>
      <c r="D2013" t="s">
        <v>433</v>
      </c>
      <c r="E2013" t="s">
        <v>3439</v>
      </c>
    </row>
    <row r="2014" spans="1:5" x14ac:dyDescent="0.2">
      <c r="A2014" t="s">
        <v>3964</v>
      </c>
      <c r="B2014" t="s">
        <v>3965</v>
      </c>
      <c r="C2014" t="s">
        <v>331</v>
      </c>
      <c r="D2014" t="s">
        <v>842</v>
      </c>
      <c r="E2014" t="s">
        <v>3439</v>
      </c>
    </row>
    <row r="2015" spans="1:5" x14ac:dyDescent="0.2">
      <c r="A2015" t="s">
        <v>3966</v>
      </c>
      <c r="B2015" t="s">
        <v>3967</v>
      </c>
      <c r="C2015" t="s">
        <v>331</v>
      </c>
      <c r="D2015" t="s">
        <v>842</v>
      </c>
      <c r="E2015" t="s">
        <v>3439</v>
      </c>
    </row>
    <row r="2016" spans="1:5" x14ac:dyDescent="0.2">
      <c r="A2016" t="s">
        <v>66</v>
      </c>
      <c r="B2016" t="s">
        <v>3968</v>
      </c>
      <c r="C2016" t="s">
        <v>331</v>
      </c>
      <c r="D2016" t="s">
        <v>224</v>
      </c>
      <c r="E2016" t="s">
        <v>3439</v>
      </c>
    </row>
    <row r="2017" spans="1:5" x14ac:dyDescent="0.2">
      <c r="A2017" t="s">
        <v>3969</v>
      </c>
      <c r="B2017" t="s">
        <v>3970</v>
      </c>
      <c r="C2017" t="s">
        <v>331</v>
      </c>
      <c r="D2017" t="s">
        <v>224</v>
      </c>
      <c r="E2017" t="s">
        <v>3439</v>
      </c>
    </row>
    <row r="2018" spans="1:5" x14ac:dyDescent="0.2">
      <c r="A2018" t="s">
        <v>3971</v>
      </c>
      <c r="B2018" t="s">
        <v>3972</v>
      </c>
      <c r="C2018" t="s">
        <v>331</v>
      </c>
      <c r="D2018" t="s">
        <v>224</v>
      </c>
      <c r="E2018" t="s">
        <v>3973</v>
      </c>
    </row>
    <row r="2019" spans="1:5" x14ac:dyDescent="0.2">
      <c r="A2019" t="s">
        <v>3974</v>
      </c>
      <c r="B2019" t="s">
        <v>3975</v>
      </c>
      <c r="C2019" t="s">
        <v>331</v>
      </c>
      <c r="D2019" t="s">
        <v>224</v>
      </c>
      <c r="E2019" t="s">
        <v>3973</v>
      </c>
    </row>
    <row r="2020" spans="1:5" x14ac:dyDescent="0.2">
      <c r="A2020" t="s">
        <v>3976</v>
      </c>
      <c r="B2020" t="s">
        <v>3977</v>
      </c>
      <c r="C2020" t="s">
        <v>331</v>
      </c>
      <c r="D2020" t="s">
        <v>260</v>
      </c>
      <c r="E2020" t="s">
        <v>3973</v>
      </c>
    </row>
    <row r="2021" spans="1:5" x14ac:dyDescent="0.2">
      <c r="A2021" t="s">
        <v>3978</v>
      </c>
      <c r="B2021" t="s">
        <v>3979</v>
      </c>
      <c r="C2021" t="s">
        <v>331</v>
      </c>
      <c r="D2021" t="s">
        <v>260</v>
      </c>
      <c r="E2021" t="s">
        <v>3973</v>
      </c>
    </row>
    <row r="2022" spans="1:5" x14ac:dyDescent="0.2">
      <c r="A2022" t="s">
        <v>3980</v>
      </c>
      <c r="B2022" t="s">
        <v>9319</v>
      </c>
      <c r="C2022" t="s">
        <v>322</v>
      </c>
      <c r="D2022" t="s">
        <v>991</v>
      </c>
      <c r="E2022" t="s">
        <v>3439</v>
      </c>
    </row>
    <row r="2023" spans="1:5" x14ac:dyDescent="0.2">
      <c r="A2023" t="s">
        <v>3981</v>
      </c>
      <c r="B2023" t="s">
        <v>9320</v>
      </c>
      <c r="C2023" t="s">
        <v>322</v>
      </c>
      <c r="D2023" t="s">
        <v>842</v>
      </c>
      <c r="E2023" t="s">
        <v>3439</v>
      </c>
    </row>
    <row r="2024" spans="1:5" x14ac:dyDescent="0.2">
      <c r="A2024" t="s">
        <v>3982</v>
      </c>
      <c r="B2024" t="s">
        <v>9321</v>
      </c>
      <c r="C2024" t="s">
        <v>322</v>
      </c>
      <c r="D2024" t="s">
        <v>368</v>
      </c>
      <c r="E2024" t="s">
        <v>9318</v>
      </c>
    </row>
    <row r="2025" spans="1:5" x14ac:dyDescent="0.2">
      <c r="A2025" t="s">
        <v>3983</v>
      </c>
      <c r="B2025" t="s">
        <v>9322</v>
      </c>
      <c r="C2025" t="s">
        <v>322</v>
      </c>
      <c r="D2025" t="s">
        <v>301</v>
      </c>
      <c r="E2025" t="s">
        <v>3439</v>
      </c>
    </row>
    <row r="2026" spans="1:5" x14ac:dyDescent="0.2">
      <c r="A2026" t="s">
        <v>3984</v>
      </c>
      <c r="B2026" t="s">
        <v>3985</v>
      </c>
      <c r="C2026" t="s">
        <v>322</v>
      </c>
      <c r="D2026" t="s">
        <v>115</v>
      </c>
      <c r="E2026" t="s">
        <v>3439</v>
      </c>
    </row>
    <row r="2027" spans="1:5" x14ac:dyDescent="0.2">
      <c r="A2027" t="s">
        <v>3986</v>
      </c>
      <c r="B2027" t="s">
        <v>3987</v>
      </c>
      <c r="C2027" t="s">
        <v>322</v>
      </c>
      <c r="D2027" t="s">
        <v>433</v>
      </c>
      <c r="E2027" t="s">
        <v>3439</v>
      </c>
    </row>
    <row r="2028" spans="1:5" x14ac:dyDescent="0.2">
      <c r="A2028" t="s">
        <v>3988</v>
      </c>
      <c r="B2028" t="s">
        <v>3989</v>
      </c>
      <c r="C2028" t="s">
        <v>322</v>
      </c>
      <c r="D2028" t="s">
        <v>444</v>
      </c>
      <c r="E2028" t="s">
        <v>3439</v>
      </c>
    </row>
    <row r="2029" spans="1:5" x14ac:dyDescent="0.2">
      <c r="A2029" t="s">
        <v>3990</v>
      </c>
      <c r="B2029" t="s">
        <v>3991</v>
      </c>
      <c r="C2029" t="s">
        <v>322</v>
      </c>
      <c r="D2029" t="s">
        <v>224</v>
      </c>
      <c r="E2029" t="s">
        <v>9318</v>
      </c>
    </row>
    <row r="2030" spans="1:5" x14ac:dyDescent="0.2">
      <c r="A2030" t="s">
        <v>3992</v>
      </c>
      <c r="B2030" t="s">
        <v>3993</v>
      </c>
      <c r="C2030" t="s">
        <v>322</v>
      </c>
      <c r="D2030" t="s">
        <v>299</v>
      </c>
      <c r="E2030" t="s">
        <v>9318</v>
      </c>
    </row>
    <row r="2031" spans="1:5" x14ac:dyDescent="0.2">
      <c r="A2031" t="s">
        <v>3994</v>
      </c>
      <c r="B2031" t="s">
        <v>3995</v>
      </c>
      <c r="C2031" t="s">
        <v>659</v>
      </c>
      <c r="D2031" t="s">
        <v>150</v>
      </c>
      <c r="E2031" t="s">
        <v>3439</v>
      </c>
    </row>
    <row r="2032" spans="1:5" x14ac:dyDescent="0.2">
      <c r="A2032" t="s">
        <v>3996</v>
      </c>
      <c r="B2032" t="s">
        <v>3997</v>
      </c>
      <c r="C2032" t="s">
        <v>659</v>
      </c>
      <c r="D2032" t="s">
        <v>433</v>
      </c>
      <c r="E2032" t="s">
        <v>3439</v>
      </c>
    </row>
    <row r="2033" spans="1:5" x14ac:dyDescent="0.2">
      <c r="A2033" t="s">
        <v>3998</v>
      </c>
      <c r="B2033" t="s">
        <v>3999</v>
      </c>
      <c r="C2033" t="s">
        <v>659</v>
      </c>
      <c r="D2033" t="s">
        <v>604</v>
      </c>
      <c r="E2033" t="s">
        <v>3439</v>
      </c>
    </row>
    <row r="2034" spans="1:5" x14ac:dyDescent="0.2">
      <c r="A2034" t="s">
        <v>4000</v>
      </c>
      <c r="B2034" t="s">
        <v>4001</v>
      </c>
      <c r="C2034" t="s">
        <v>659</v>
      </c>
      <c r="D2034" t="s">
        <v>224</v>
      </c>
      <c r="E2034" t="s">
        <v>3439</v>
      </c>
    </row>
    <row r="2035" spans="1:5" x14ac:dyDescent="0.2">
      <c r="A2035" t="s">
        <v>4002</v>
      </c>
      <c r="B2035" t="s">
        <v>4003</v>
      </c>
      <c r="C2035" t="s">
        <v>287</v>
      </c>
      <c r="D2035" t="s">
        <v>301</v>
      </c>
      <c r="E2035" t="s">
        <v>3439</v>
      </c>
    </row>
    <row r="2036" spans="1:5" x14ac:dyDescent="0.2">
      <c r="A2036" t="s">
        <v>4004</v>
      </c>
      <c r="B2036" t="s">
        <v>4005</v>
      </c>
      <c r="C2036" t="s">
        <v>287</v>
      </c>
      <c r="D2036" t="s">
        <v>301</v>
      </c>
      <c r="E2036" t="s">
        <v>3439</v>
      </c>
    </row>
    <row r="2037" spans="1:5" x14ac:dyDescent="0.2">
      <c r="A2037" t="s">
        <v>4006</v>
      </c>
      <c r="B2037" t="s">
        <v>4007</v>
      </c>
      <c r="C2037" t="s">
        <v>287</v>
      </c>
      <c r="D2037" t="s">
        <v>2699</v>
      </c>
      <c r="E2037" t="s">
        <v>3439</v>
      </c>
    </row>
    <row r="2038" spans="1:5" x14ac:dyDescent="0.2">
      <c r="A2038" t="s">
        <v>4008</v>
      </c>
      <c r="B2038" t="s">
        <v>4009</v>
      </c>
      <c r="C2038" t="s">
        <v>421</v>
      </c>
      <c r="D2038" t="s">
        <v>433</v>
      </c>
      <c r="E2038" t="s">
        <v>3439</v>
      </c>
    </row>
    <row r="2039" spans="1:5" x14ac:dyDescent="0.2">
      <c r="A2039" t="s">
        <v>4010</v>
      </c>
      <c r="B2039" t="s">
        <v>4011</v>
      </c>
      <c r="C2039" t="s">
        <v>421</v>
      </c>
      <c r="D2039" t="s">
        <v>433</v>
      </c>
      <c r="E2039" t="s">
        <v>3439</v>
      </c>
    </row>
    <row r="2040" spans="1:5" x14ac:dyDescent="0.2">
      <c r="A2040" t="s">
        <v>4012</v>
      </c>
      <c r="B2040" t="s">
        <v>4013</v>
      </c>
      <c r="C2040" t="s">
        <v>421</v>
      </c>
      <c r="D2040" t="s">
        <v>224</v>
      </c>
      <c r="E2040" t="s">
        <v>3439</v>
      </c>
    </row>
    <row r="2041" spans="1:5" x14ac:dyDescent="0.2">
      <c r="A2041" t="s">
        <v>4014</v>
      </c>
      <c r="B2041" t="s">
        <v>4015</v>
      </c>
      <c r="C2041" t="s">
        <v>421</v>
      </c>
      <c r="D2041" t="s">
        <v>224</v>
      </c>
      <c r="E2041" t="s">
        <v>3439</v>
      </c>
    </row>
    <row r="2042" spans="1:5" x14ac:dyDescent="0.2">
      <c r="A2042" t="s">
        <v>4016</v>
      </c>
      <c r="B2042" t="s">
        <v>4017</v>
      </c>
      <c r="C2042" t="s">
        <v>421</v>
      </c>
      <c r="D2042" t="s">
        <v>224</v>
      </c>
      <c r="E2042" t="s">
        <v>3439</v>
      </c>
    </row>
    <row r="2043" spans="1:5" x14ac:dyDescent="0.2">
      <c r="A2043" t="s">
        <v>4018</v>
      </c>
      <c r="B2043" t="s">
        <v>4019</v>
      </c>
      <c r="C2043" t="s">
        <v>421</v>
      </c>
      <c r="D2043" t="s">
        <v>224</v>
      </c>
      <c r="E2043" t="s">
        <v>3439</v>
      </c>
    </row>
    <row r="2044" spans="1:5" x14ac:dyDescent="0.2">
      <c r="A2044" t="s">
        <v>4020</v>
      </c>
      <c r="B2044" t="s">
        <v>4021</v>
      </c>
      <c r="C2044" t="s">
        <v>705</v>
      </c>
      <c r="D2044" t="s">
        <v>412</v>
      </c>
      <c r="E2044" t="s">
        <v>3439</v>
      </c>
    </row>
    <row r="2045" spans="1:5" x14ac:dyDescent="0.2">
      <c r="A2045" t="s">
        <v>4022</v>
      </c>
      <c r="B2045" t="s">
        <v>4023</v>
      </c>
      <c r="C2045" t="s">
        <v>705</v>
      </c>
      <c r="D2045" t="s">
        <v>710</v>
      </c>
      <c r="E2045" t="s">
        <v>3439</v>
      </c>
    </row>
    <row r="2046" spans="1:5" x14ac:dyDescent="0.2">
      <c r="A2046" t="s">
        <v>4024</v>
      </c>
      <c r="B2046" t="s">
        <v>4025</v>
      </c>
      <c r="C2046" t="s">
        <v>705</v>
      </c>
      <c r="D2046" t="s">
        <v>710</v>
      </c>
      <c r="E2046" t="s">
        <v>3439</v>
      </c>
    </row>
    <row r="2047" spans="1:5" x14ac:dyDescent="0.2">
      <c r="A2047" t="s">
        <v>4026</v>
      </c>
      <c r="B2047" t="s">
        <v>4027</v>
      </c>
      <c r="C2047" t="s">
        <v>261</v>
      </c>
      <c r="D2047" t="s">
        <v>813</v>
      </c>
      <c r="E2047" t="s">
        <v>3439</v>
      </c>
    </row>
    <row r="2048" spans="1:5" x14ac:dyDescent="0.2">
      <c r="A2048" t="s">
        <v>4028</v>
      </c>
      <c r="B2048" t="s">
        <v>4029</v>
      </c>
      <c r="C2048" t="s">
        <v>261</v>
      </c>
      <c r="D2048" t="s">
        <v>140</v>
      </c>
      <c r="E2048" t="s">
        <v>3439</v>
      </c>
    </row>
    <row r="2049" spans="1:5" x14ac:dyDescent="0.2">
      <c r="A2049" t="s">
        <v>4030</v>
      </c>
      <c r="B2049" t="s">
        <v>4031</v>
      </c>
      <c r="C2049" t="s">
        <v>261</v>
      </c>
      <c r="D2049" t="s">
        <v>224</v>
      </c>
      <c r="E2049" t="s">
        <v>3439</v>
      </c>
    </row>
    <row r="2050" spans="1:5" x14ac:dyDescent="0.2">
      <c r="A2050" t="s">
        <v>4032</v>
      </c>
      <c r="B2050" t="s">
        <v>4033</v>
      </c>
      <c r="C2050" t="s">
        <v>261</v>
      </c>
      <c r="D2050" t="s">
        <v>2199</v>
      </c>
      <c r="E2050" t="s">
        <v>3439</v>
      </c>
    </row>
    <row r="2051" spans="1:5" x14ac:dyDescent="0.2">
      <c r="A2051" t="s">
        <v>4034</v>
      </c>
      <c r="B2051" t="s">
        <v>4035</v>
      </c>
      <c r="C2051" t="s">
        <v>261</v>
      </c>
      <c r="D2051" t="s">
        <v>2199</v>
      </c>
      <c r="E2051" t="s">
        <v>3439</v>
      </c>
    </row>
    <row r="2052" spans="1:5" x14ac:dyDescent="0.2">
      <c r="A2052" t="s">
        <v>4036</v>
      </c>
      <c r="B2052" t="s">
        <v>4037</v>
      </c>
      <c r="C2052" t="s">
        <v>199</v>
      </c>
      <c r="D2052" t="s">
        <v>654</v>
      </c>
      <c r="E2052" t="s">
        <v>3439</v>
      </c>
    </row>
    <row r="2053" spans="1:5" x14ac:dyDescent="0.2">
      <c r="A2053" t="s">
        <v>4038</v>
      </c>
      <c r="B2053" t="s">
        <v>4039</v>
      </c>
      <c r="C2053" t="s">
        <v>199</v>
      </c>
      <c r="D2053" t="s">
        <v>436</v>
      </c>
      <c r="E2053" t="s">
        <v>3439</v>
      </c>
    </row>
    <row r="2054" spans="1:5" x14ac:dyDescent="0.2">
      <c r="A2054" t="s">
        <v>4040</v>
      </c>
      <c r="B2054" t="s">
        <v>4041</v>
      </c>
      <c r="C2054" t="s">
        <v>199</v>
      </c>
      <c r="D2054" t="s">
        <v>213</v>
      </c>
      <c r="E2054" t="s">
        <v>3439</v>
      </c>
    </row>
    <row r="2055" spans="1:5" x14ac:dyDescent="0.2">
      <c r="A2055" t="s">
        <v>4042</v>
      </c>
      <c r="B2055" t="s">
        <v>4043</v>
      </c>
      <c r="C2055" t="s">
        <v>199</v>
      </c>
      <c r="D2055" t="s">
        <v>110</v>
      </c>
      <c r="E2055" t="s">
        <v>3439</v>
      </c>
    </row>
    <row r="2056" spans="1:5" x14ac:dyDescent="0.2">
      <c r="A2056" t="s">
        <v>4044</v>
      </c>
      <c r="B2056" t="s">
        <v>4045</v>
      </c>
      <c r="C2056" t="s">
        <v>199</v>
      </c>
      <c r="D2056" t="s">
        <v>99</v>
      </c>
      <c r="E2056" t="s">
        <v>3439</v>
      </c>
    </row>
    <row r="2057" spans="1:5" x14ac:dyDescent="0.2">
      <c r="A2057" t="s">
        <v>4046</v>
      </c>
      <c r="B2057" t="s">
        <v>4047</v>
      </c>
      <c r="C2057" t="s">
        <v>219</v>
      </c>
      <c r="D2057" t="s">
        <v>150</v>
      </c>
      <c r="E2057" t="s">
        <v>2424</v>
      </c>
    </row>
    <row r="2058" spans="1:5" x14ac:dyDescent="0.2">
      <c r="A2058" t="s">
        <v>4048</v>
      </c>
      <c r="B2058" t="s">
        <v>4049</v>
      </c>
      <c r="C2058" t="s">
        <v>219</v>
      </c>
      <c r="D2058" t="s">
        <v>433</v>
      </c>
      <c r="E2058" t="s">
        <v>2424</v>
      </c>
    </row>
    <row r="2059" spans="1:5" x14ac:dyDescent="0.2">
      <c r="A2059" t="s">
        <v>4050</v>
      </c>
      <c r="B2059" t="s">
        <v>4051</v>
      </c>
      <c r="C2059" t="s">
        <v>219</v>
      </c>
      <c r="D2059" t="s">
        <v>394</v>
      </c>
      <c r="E2059" t="s">
        <v>2424</v>
      </c>
    </row>
    <row r="2060" spans="1:5" x14ac:dyDescent="0.2">
      <c r="A2060" t="s">
        <v>4052</v>
      </c>
      <c r="B2060" t="s">
        <v>4053</v>
      </c>
      <c r="C2060" t="s">
        <v>219</v>
      </c>
      <c r="D2060" t="s">
        <v>224</v>
      </c>
      <c r="E2060" t="s">
        <v>2424</v>
      </c>
    </row>
    <row r="2061" spans="1:5" x14ac:dyDescent="0.2">
      <c r="A2061" t="s">
        <v>4054</v>
      </c>
      <c r="B2061" t="s">
        <v>4055</v>
      </c>
      <c r="C2061" t="s">
        <v>742</v>
      </c>
      <c r="D2061" t="s">
        <v>150</v>
      </c>
      <c r="E2061" t="s">
        <v>3439</v>
      </c>
    </row>
    <row r="2062" spans="1:5" x14ac:dyDescent="0.2">
      <c r="A2062" t="s">
        <v>4056</v>
      </c>
      <c r="B2062" t="s">
        <v>4057</v>
      </c>
      <c r="C2062" t="s">
        <v>742</v>
      </c>
      <c r="D2062" t="s">
        <v>433</v>
      </c>
      <c r="E2062" t="s">
        <v>3439</v>
      </c>
    </row>
    <row r="2063" spans="1:5" x14ac:dyDescent="0.2">
      <c r="A2063" t="s">
        <v>4058</v>
      </c>
      <c r="B2063" t="s">
        <v>4059</v>
      </c>
      <c r="C2063" t="s">
        <v>742</v>
      </c>
      <c r="D2063" t="s">
        <v>444</v>
      </c>
      <c r="E2063" t="s">
        <v>3439</v>
      </c>
    </row>
    <row r="2064" spans="1:5" x14ac:dyDescent="0.2">
      <c r="A2064" t="s">
        <v>68</v>
      </c>
      <c r="B2064" t="s">
        <v>4060</v>
      </c>
      <c r="C2064" t="s">
        <v>742</v>
      </c>
      <c r="D2064" t="s">
        <v>422</v>
      </c>
      <c r="E2064" t="s">
        <v>3439</v>
      </c>
    </row>
    <row r="2065" spans="1:5" x14ac:dyDescent="0.2">
      <c r="A2065" t="s">
        <v>4061</v>
      </c>
      <c r="B2065" t="s">
        <v>4062</v>
      </c>
      <c r="C2065" t="s">
        <v>742</v>
      </c>
      <c r="D2065" t="s">
        <v>309</v>
      </c>
      <c r="E2065" t="s">
        <v>9318</v>
      </c>
    </row>
    <row r="2066" spans="1:5" x14ac:dyDescent="0.2">
      <c r="A2066" t="s">
        <v>4063</v>
      </c>
      <c r="B2066" t="s">
        <v>4064</v>
      </c>
      <c r="C2066" t="s">
        <v>104</v>
      </c>
      <c r="D2066" t="s">
        <v>1063</v>
      </c>
      <c r="E2066" t="s">
        <v>3439</v>
      </c>
    </row>
    <row r="2067" spans="1:5" x14ac:dyDescent="0.2">
      <c r="A2067" t="s">
        <v>4065</v>
      </c>
      <c r="B2067" t="s">
        <v>4066</v>
      </c>
      <c r="C2067" t="s">
        <v>104</v>
      </c>
      <c r="D2067" t="s">
        <v>1063</v>
      </c>
      <c r="E2067" t="s">
        <v>3439</v>
      </c>
    </row>
    <row r="2068" spans="1:5" x14ac:dyDescent="0.2">
      <c r="A2068" t="s">
        <v>4067</v>
      </c>
      <c r="B2068" t="s">
        <v>4068</v>
      </c>
      <c r="C2068" t="s">
        <v>104</v>
      </c>
      <c r="D2068" t="s">
        <v>805</v>
      </c>
      <c r="E2068" t="s">
        <v>3439</v>
      </c>
    </row>
    <row r="2069" spans="1:5" x14ac:dyDescent="0.2">
      <c r="A2069" t="s">
        <v>4069</v>
      </c>
      <c r="B2069" t="s">
        <v>4070</v>
      </c>
      <c r="C2069" t="s">
        <v>104</v>
      </c>
      <c r="D2069" t="s">
        <v>213</v>
      </c>
      <c r="E2069" t="s">
        <v>3439</v>
      </c>
    </row>
    <row r="2070" spans="1:5" x14ac:dyDescent="0.2">
      <c r="A2070" t="s">
        <v>4071</v>
      </c>
      <c r="B2070" t="s">
        <v>4072</v>
      </c>
      <c r="C2070" t="s">
        <v>219</v>
      </c>
      <c r="D2070" t="s">
        <v>547</v>
      </c>
      <c r="E2070" t="s">
        <v>3439</v>
      </c>
    </row>
    <row r="2071" spans="1:5" x14ac:dyDescent="0.2">
      <c r="A2071" t="s">
        <v>4073</v>
      </c>
      <c r="B2071" t="s">
        <v>4074</v>
      </c>
      <c r="C2071" t="s">
        <v>219</v>
      </c>
      <c r="D2071" t="s">
        <v>262</v>
      </c>
      <c r="E2071" t="s">
        <v>3439</v>
      </c>
    </row>
    <row r="2072" spans="1:5" x14ac:dyDescent="0.2">
      <c r="A2072" t="s">
        <v>4075</v>
      </c>
      <c r="B2072" t="s">
        <v>4076</v>
      </c>
      <c r="C2072" t="s">
        <v>219</v>
      </c>
      <c r="D2072" t="s">
        <v>254</v>
      </c>
      <c r="E2072" t="s">
        <v>3439</v>
      </c>
    </row>
    <row r="2073" spans="1:5" x14ac:dyDescent="0.2">
      <c r="A2073" t="s">
        <v>4077</v>
      </c>
      <c r="B2073" t="s">
        <v>4078</v>
      </c>
      <c r="C2073" t="s">
        <v>219</v>
      </c>
      <c r="D2073" t="s">
        <v>193</v>
      </c>
      <c r="E2073" t="s">
        <v>3439</v>
      </c>
    </row>
    <row r="2074" spans="1:5" x14ac:dyDescent="0.2">
      <c r="A2074" t="s">
        <v>4079</v>
      </c>
      <c r="B2074" t="s">
        <v>4080</v>
      </c>
      <c r="C2074" t="s">
        <v>9105</v>
      </c>
      <c r="D2074" t="s">
        <v>1490</v>
      </c>
      <c r="E2074" t="s">
        <v>3439</v>
      </c>
    </row>
    <row r="2075" spans="1:5" x14ac:dyDescent="0.2">
      <c r="A2075" t="s">
        <v>4081</v>
      </c>
      <c r="B2075" t="s">
        <v>4082</v>
      </c>
      <c r="C2075" t="s">
        <v>9105</v>
      </c>
      <c r="D2075" t="s">
        <v>433</v>
      </c>
      <c r="E2075" t="s">
        <v>3439</v>
      </c>
    </row>
    <row r="2076" spans="1:5" x14ac:dyDescent="0.2">
      <c r="A2076" t="s">
        <v>4083</v>
      </c>
      <c r="B2076" t="s">
        <v>4084</v>
      </c>
      <c r="C2076" t="s">
        <v>9105</v>
      </c>
      <c r="D2076" t="s">
        <v>444</v>
      </c>
      <c r="E2076" t="s">
        <v>3439</v>
      </c>
    </row>
    <row r="2077" spans="1:5" x14ac:dyDescent="0.2">
      <c r="A2077" t="s">
        <v>4085</v>
      </c>
      <c r="B2077" t="s">
        <v>4086</v>
      </c>
      <c r="C2077" t="s">
        <v>9105</v>
      </c>
      <c r="D2077" t="s">
        <v>224</v>
      </c>
      <c r="E2077" t="s">
        <v>3439</v>
      </c>
    </row>
    <row r="2078" spans="1:5" x14ac:dyDescent="0.2">
      <c r="A2078" t="s">
        <v>4087</v>
      </c>
      <c r="B2078" t="s">
        <v>4088</v>
      </c>
      <c r="C2078" t="s">
        <v>244</v>
      </c>
      <c r="D2078" t="s">
        <v>622</v>
      </c>
      <c r="E2078" t="s">
        <v>3439</v>
      </c>
    </row>
    <row r="2079" spans="1:5" x14ac:dyDescent="0.2">
      <c r="A2079" t="s">
        <v>4089</v>
      </c>
      <c r="B2079" t="s">
        <v>4090</v>
      </c>
      <c r="C2079" t="s">
        <v>244</v>
      </c>
      <c r="D2079" t="s">
        <v>535</v>
      </c>
      <c r="E2079" t="s">
        <v>3439</v>
      </c>
    </row>
    <row r="2080" spans="1:5" x14ac:dyDescent="0.2">
      <c r="A2080" t="s">
        <v>4091</v>
      </c>
      <c r="B2080" t="s">
        <v>4092</v>
      </c>
      <c r="C2080" t="s">
        <v>244</v>
      </c>
      <c r="D2080" t="s">
        <v>710</v>
      </c>
      <c r="E2080" t="s">
        <v>9318</v>
      </c>
    </row>
    <row r="2081" spans="1:5" x14ac:dyDescent="0.2">
      <c r="A2081" t="s">
        <v>4093</v>
      </c>
      <c r="B2081" t="s">
        <v>4094</v>
      </c>
      <c r="C2081" t="s">
        <v>244</v>
      </c>
      <c r="D2081" t="s">
        <v>260</v>
      </c>
      <c r="E2081" t="s">
        <v>3439</v>
      </c>
    </row>
    <row r="2082" spans="1:5" x14ac:dyDescent="0.2">
      <c r="A2082" t="s">
        <v>4095</v>
      </c>
      <c r="B2082" t="s">
        <v>4096</v>
      </c>
      <c r="C2082" t="s">
        <v>251</v>
      </c>
      <c r="D2082" t="s">
        <v>1490</v>
      </c>
      <c r="E2082" t="s">
        <v>3439</v>
      </c>
    </row>
    <row r="2083" spans="1:5" x14ac:dyDescent="0.2">
      <c r="A2083" t="s">
        <v>4097</v>
      </c>
      <c r="B2083" t="s">
        <v>4098</v>
      </c>
      <c r="C2083" t="s">
        <v>251</v>
      </c>
      <c r="D2083" t="s">
        <v>400</v>
      </c>
      <c r="E2083" t="s">
        <v>3439</v>
      </c>
    </row>
    <row r="2084" spans="1:5" x14ac:dyDescent="0.2">
      <c r="A2084" t="s">
        <v>4099</v>
      </c>
      <c r="B2084" t="s">
        <v>4100</v>
      </c>
      <c r="C2084" t="s">
        <v>251</v>
      </c>
      <c r="D2084" t="s">
        <v>422</v>
      </c>
      <c r="E2084" t="s">
        <v>3439</v>
      </c>
    </row>
    <row r="2085" spans="1:5" x14ac:dyDescent="0.2">
      <c r="A2085" t="s">
        <v>4101</v>
      </c>
      <c r="B2085" t="s">
        <v>4102</v>
      </c>
      <c r="C2085" t="s">
        <v>251</v>
      </c>
      <c r="D2085" t="s">
        <v>314</v>
      </c>
      <c r="E2085" t="s">
        <v>9318</v>
      </c>
    </row>
    <row r="2086" spans="1:5" x14ac:dyDescent="0.2">
      <c r="A2086" t="s">
        <v>4103</v>
      </c>
      <c r="B2086" t="s">
        <v>4104</v>
      </c>
      <c r="C2086" t="s">
        <v>251</v>
      </c>
      <c r="D2086" t="s">
        <v>314</v>
      </c>
      <c r="E2086" t="s">
        <v>9318</v>
      </c>
    </row>
    <row r="2087" spans="1:5" x14ac:dyDescent="0.2">
      <c r="A2087" t="s">
        <v>4105</v>
      </c>
      <c r="B2087" t="s">
        <v>4106</v>
      </c>
      <c r="C2087" t="s">
        <v>251</v>
      </c>
      <c r="D2087" t="s">
        <v>1420</v>
      </c>
      <c r="E2087" t="s">
        <v>9318</v>
      </c>
    </row>
    <row r="2088" spans="1:5" x14ac:dyDescent="0.2">
      <c r="A2088" t="s">
        <v>4107</v>
      </c>
      <c r="B2088" t="s">
        <v>4108</v>
      </c>
      <c r="C2088" t="s">
        <v>251</v>
      </c>
      <c r="D2088" t="s">
        <v>1994</v>
      </c>
      <c r="E2088" t="s">
        <v>3439</v>
      </c>
    </row>
    <row r="2089" spans="1:5" x14ac:dyDescent="0.2">
      <c r="A2089" t="s">
        <v>4109</v>
      </c>
      <c r="B2089" t="s">
        <v>4110</v>
      </c>
      <c r="C2089" t="s">
        <v>251</v>
      </c>
      <c r="D2089" t="s">
        <v>1490</v>
      </c>
      <c r="E2089" t="s">
        <v>3439</v>
      </c>
    </row>
    <row r="2090" spans="1:5" x14ac:dyDescent="0.2">
      <c r="A2090" t="s">
        <v>4111</v>
      </c>
      <c r="B2090" t="s">
        <v>4112</v>
      </c>
      <c r="C2090" t="s">
        <v>251</v>
      </c>
      <c r="D2090" t="s">
        <v>400</v>
      </c>
      <c r="E2090" t="s">
        <v>3439</v>
      </c>
    </row>
    <row r="2091" spans="1:5" x14ac:dyDescent="0.2">
      <c r="A2091" t="s">
        <v>4113</v>
      </c>
      <c r="B2091" t="s">
        <v>4114</v>
      </c>
      <c r="C2091" t="s">
        <v>251</v>
      </c>
      <c r="D2091" t="s">
        <v>224</v>
      </c>
      <c r="E2091" t="s">
        <v>3439</v>
      </c>
    </row>
    <row r="2092" spans="1:5" x14ac:dyDescent="0.2">
      <c r="A2092" t="s">
        <v>4115</v>
      </c>
      <c r="B2092" t="s">
        <v>4116</v>
      </c>
      <c r="C2092" t="s">
        <v>212</v>
      </c>
      <c r="D2092" t="s">
        <v>213</v>
      </c>
      <c r="E2092" t="s">
        <v>3439</v>
      </c>
    </row>
    <row r="2093" spans="1:5" x14ac:dyDescent="0.2">
      <c r="A2093" t="s">
        <v>4117</v>
      </c>
      <c r="B2093" t="s">
        <v>4118</v>
      </c>
      <c r="C2093" t="s">
        <v>212</v>
      </c>
      <c r="D2093" t="s">
        <v>213</v>
      </c>
      <c r="E2093" t="s">
        <v>3439</v>
      </c>
    </row>
    <row r="2094" spans="1:5" x14ac:dyDescent="0.2">
      <c r="A2094" t="s">
        <v>4119</v>
      </c>
      <c r="B2094" t="s">
        <v>4120</v>
      </c>
      <c r="C2094" t="s">
        <v>251</v>
      </c>
      <c r="D2094" t="s">
        <v>386</v>
      </c>
      <c r="E2094" t="s">
        <v>3439</v>
      </c>
    </row>
    <row r="2095" spans="1:5" x14ac:dyDescent="0.2">
      <c r="A2095" t="s">
        <v>4121</v>
      </c>
      <c r="B2095" t="s">
        <v>4122</v>
      </c>
      <c r="C2095" t="s">
        <v>251</v>
      </c>
      <c r="D2095" t="s">
        <v>444</v>
      </c>
      <c r="E2095" t="s">
        <v>3439</v>
      </c>
    </row>
    <row r="2096" spans="1:5" x14ac:dyDescent="0.2">
      <c r="A2096" t="s">
        <v>4123</v>
      </c>
      <c r="B2096" t="s">
        <v>4124</v>
      </c>
      <c r="C2096" t="s">
        <v>251</v>
      </c>
      <c r="D2096" t="s">
        <v>260</v>
      </c>
      <c r="E2096" t="s">
        <v>3439</v>
      </c>
    </row>
    <row r="2097" spans="1:5" x14ac:dyDescent="0.2">
      <c r="A2097" t="s">
        <v>4125</v>
      </c>
      <c r="B2097" t="s">
        <v>4126</v>
      </c>
      <c r="C2097" t="s">
        <v>251</v>
      </c>
      <c r="D2097" t="s">
        <v>822</v>
      </c>
      <c r="E2097" t="s">
        <v>3439</v>
      </c>
    </row>
    <row r="2098" spans="1:5" x14ac:dyDescent="0.2">
      <c r="A2098" t="s">
        <v>4127</v>
      </c>
      <c r="B2098" t="s">
        <v>4128</v>
      </c>
      <c r="C2098" t="s">
        <v>251</v>
      </c>
      <c r="D2098" t="s">
        <v>213</v>
      </c>
      <c r="E2098" t="s">
        <v>3439</v>
      </c>
    </row>
    <row r="2099" spans="1:5" x14ac:dyDescent="0.2">
      <c r="A2099" t="s">
        <v>4129</v>
      </c>
      <c r="B2099" t="s">
        <v>4130</v>
      </c>
      <c r="C2099" t="s">
        <v>251</v>
      </c>
      <c r="D2099" t="s">
        <v>213</v>
      </c>
      <c r="E2099" t="s">
        <v>3439</v>
      </c>
    </row>
    <row r="2100" spans="1:5" x14ac:dyDescent="0.2">
      <c r="A2100" t="s">
        <v>4131</v>
      </c>
      <c r="B2100" t="s">
        <v>4132</v>
      </c>
      <c r="C2100" t="s">
        <v>227</v>
      </c>
      <c r="D2100" t="s">
        <v>1058</v>
      </c>
      <c r="E2100" t="s">
        <v>3439</v>
      </c>
    </row>
    <row r="2101" spans="1:5" x14ac:dyDescent="0.2">
      <c r="A2101" t="s">
        <v>4133</v>
      </c>
      <c r="B2101" t="s">
        <v>4134</v>
      </c>
      <c r="C2101" t="s">
        <v>227</v>
      </c>
      <c r="D2101" t="s">
        <v>224</v>
      </c>
      <c r="E2101" t="s">
        <v>3439</v>
      </c>
    </row>
    <row r="2102" spans="1:5" x14ac:dyDescent="0.2">
      <c r="A2102" t="s">
        <v>4135</v>
      </c>
      <c r="B2102" t="s">
        <v>4136</v>
      </c>
      <c r="C2102" t="s">
        <v>227</v>
      </c>
      <c r="D2102" t="s">
        <v>224</v>
      </c>
      <c r="E2102" t="s">
        <v>3439</v>
      </c>
    </row>
    <row r="2103" spans="1:5" x14ac:dyDescent="0.2">
      <c r="A2103" t="s">
        <v>4137</v>
      </c>
      <c r="B2103" t="s">
        <v>4138</v>
      </c>
      <c r="C2103" t="s">
        <v>199</v>
      </c>
      <c r="D2103" t="s">
        <v>842</v>
      </c>
      <c r="E2103" t="s">
        <v>3439</v>
      </c>
    </row>
    <row r="2104" spans="1:5" x14ac:dyDescent="0.2">
      <c r="A2104" t="s">
        <v>4139</v>
      </c>
      <c r="B2104" t="s">
        <v>4140</v>
      </c>
      <c r="C2104" t="s">
        <v>199</v>
      </c>
      <c r="D2104" t="s">
        <v>842</v>
      </c>
      <c r="E2104" t="s">
        <v>3439</v>
      </c>
    </row>
    <row r="2105" spans="1:5" x14ac:dyDescent="0.2">
      <c r="A2105" t="s">
        <v>4141</v>
      </c>
      <c r="B2105" t="s">
        <v>4142</v>
      </c>
      <c r="C2105" t="s">
        <v>199</v>
      </c>
      <c r="D2105" t="s">
        <v>386</v>
      </c>
      <c r="E2105" t="s">
        <v>3439</v>
      </c>
    </row>
    <row r="2106" spans="1:5" x14ac:dyDescent="0.2">
      <c r="A2106" t="s">
        <v>4143</v>
      </c>
      <c r="B2106" t="s">
        <v>4144</v>
      </c>
      <c r="C2106" t="s">
        <v>199</v>
      </c>
      <c r="D2106" t="s">
        <v>583</v>
      </c>
      <c r="E2106" t="s">
        <v>9318</v>
      </c>
    </row>
    <row r="2107" spans="1:5" x14ac:dyDescent="0.2">
      <c r="A2107" t="s">
        <v>4145</v>
      </c>
      <c r="B2107" t="s">
        <v>4146</v>
      </c>
      <c r="C2107" t="s">
        <v>199</v>
      </c>
      <c r="D2107" t="s">
        <v>301</v>
      </c>
      <c r="E2107" t="s">
        <v>9318</v>
      </c>
    </row>
    <row r="2108" spans="1:5" x14ac:dyDescent="0.2">
      <c r="A2108" t="s">
        <v>4147</v>
      </c>
      <c r="B2108" t="s">
        <v>4148</v>
      </c>
      <c r="C2108" t="s">
        <v>399</v>
      </c>
      <c r="D2108" t="s">
        <v>115</v>
      </c>
      <c r="E2108" t="s">
        <v>3439</v>
      </c>
    </row>
    <row r="2109" spans="1:5" x14ac:dyDescent="0.2">
      <c r="A2109" t="s">
        <v>4149</v>
      </c>
      <c r="B2109" t="s">
        <v>4150</v>
      </c>
      <c r="C2109" t="s">
        <v>399</v>
      </c>
      <c r="D2109" t="s">
        <v>433</v>
      </c>
      <c r="E2109" t="s">
        <v>3439</v>
      </c>
    </row>
    <row r="2110" spans="1:5" x14ac:dyDescent="0.2">
      <c r="A2110" t="s">
        <v>4151</v>
      </c>
      <c r="B2110" t="s">
        <v>4152</v>
      </c>
      <c r="C2110" t="s">
        <v>399</v>
      </c>
      <c r="D2110" t="s">
        <v>150</v>
      </c>
      <c r="E2110" t="s">
        <v>3439</v>
      </c>
    </row>
    <row r="2111" spans="1:5" x14ac:dyDescent="0.2">
      <c r="A2111" t="s">
        <v>4153</v>
      </c>
      <c r="B2111" t="s">
        <v>4154</v>
      </c>
      <c r="C2111" t="s">
        <v>399</v>
      </c>
      <c r="D2111" t="s">
        <v>842</v>
      </c>
      <c r="E2111" t="s">
        <v>3439</v>
      </c>
    </row>
    <row r="2112" spans="1:5" x14ac:dyDescent="0.2">
      <c r="A2112" t="s">
        <v>4155</v>
      </c>
      <c r="B2112" t="s">
        <v>4156</v>
      </c>
      <c r="C2112" t="s">
        <v>399</v>
      </c>
      <c r="D2112" t="s">
        <v>560</v>
      </c>
      <c r="E2112" t="s">
        <v>3439</v>
      </c>
    </row>
    <row r="2113" spans="1:5" x14ac:dyDescent="0.2">
      <c r="A2113" t="s">
        <v>4157</v>
      </c>
      <c r="B2113" t="s">
        <v>4158</v>
      </c>
      <c r="C2113" t="s">
        <v>399</v>
      </c>
      <c r="D2113" t="s">
        <v>309</v>
      </c>
      <c r="E2113" t="s">
        <v>3439</v>
      </c>
    </row>
    <row r="2114" spans="1:5" x14ac:dyDescent="0.2">
      <c r="A2114" t="s">
        <v>4159</v>
      </c>
      <c r="B2114" t="s">
        <v>4160</v>
      </c>
      <c r="C2114" t="s">
        <v>399</v>
      </c>
      <c r="D2114" t="s">
        <v>444</v>
      </c>
      <c r="E2114" t="s">
        <v>3439</v>
      </c>
    </row>
    <row r="2115" spans="1:5" x14ac:dyDescent="0.2">
      <c r="A2115" t="s">
        <v>4161</v>
      </c>
      <c r="B2115" t="s">
        <v>4162</v>
      </c>
      <c r="C2115" t="s">
        <v>399</v>
      </c>
      <c r="D2115" t="s">
        <v>241</v>
      </c>
      <c r="E2115" t="s">
        <v>3439</v>
      </c>
    </row>
    <row r="2116" spans="1:5" x14ac:dyDescent="0.2">
      <c r="A2116" t="s">
        <v>4163</v>
      </c>
      <c r="B2116" t="s">
        <v>4164</v>
      </c>
      <c r="C2116" t="s">
        <v>399</v>
      </c>
      <c r="D2116" t="s">
        <v>380</v>
      </c>
      <c r="E2116" t="s">
        <v>3439</v>
      </c>
    </row>
    <row r="2117" spans="1:5" x14ac:dyDescent="0.2">
      <c r="A2117" t="s">
        <v>4165</v>
      </c>
      <c r="B2117" t="s">
        <v>4166</v>
      </c>
      <c r="C2117" t="s">
        <v>399</v>
      </c>
      <c r="D2117" t="s">
        <v>842</v>
      </c>
      <c r="E2117" t="s">
        <v>3439</v>
      </c>
    </row>
    <row r="2118" spans="1:5" x14ac:dyDescent="0.2">
      <c r="A2118" t="s">
        <v>4167</v>
      </c>
      <c r="B2118" t="s">
        <v>4168</v>
      </c>
      <c r="C2118" t="s">
        <v>399</v>
      </c>
      <c r="D2118" t="s">
        <v>1458</v>
      </c>
      <c r="E2118" t="s">
        <v>3439</v>
      </c>
    </row>
    <row r="2119" spans="1:5" x14ac:dyDescent="0.2">
      <c r="A2119" t="s">
        <v>4169</v>
      </c>
      <c r="B2119" t="s">
        <v>4170</v>
      </c>
      <c r="C2119" t="s">
        <v>399</v>
      </c>
      <c r="D2119" t="s">
        <v>1025</v>
      </c>
      <c r="E2119" t="s">
        <v>3439</v>
      </c>
    </row>
    <row r="2120" spans="1:5" x14ac:dyDescent="0.2">
      <c r="A2120" t="s">
        <v>4171</v>
      </c>
      <c r="B2120" t="s">
        <v>4172</v>
      </c>
      <c r="C2120" t="s">
        <v>522</v>
      </c>
      <c r="D2120" t="s">
        <v>180</v>
      </c>
      <c r="E2120" t="s">
        <v>3439</v>
      </c>
    </row>
    <row r="2121" spans="1:5" x14ac:dyDescent="0.2">
      <c r="A2121" t="s">
        <v>4173</v>
      </c>
      <c r="B2121" t="s">
        <v>4174</v>
      </c>
      <c r="C2121" t="s">
        <v>522</v>
      </c>
      <c r="D2121" t="s">
        <v>213</v>
      </c>
      <c r="E2121" t="s">
        <v>3439</v>
      </c>
    </row>
    <row r="2122" spans="1:5" x14ac:dyDescent="0.2">
      <c r="A2122" t="s">
        <v>4175</v>
      </c>
      <c r="B2122" t="s">
        <v>4176</v>
      </c>
      <c r="C2122" t="s">
        <v>522</v>
      </c>
      <c r="D2122" t="s">
        <v>386</v>
      </c>
      <c r="E2122" t="s">
        <v>3439</v>
      </c>
    </row>
    <row r="2123" spans="1:5" x14ac:dyDescent="0.2">
      <c r="A2123" t="s">
        <v>4179</v>
      </c>
      <c r="B2123" t="s">
        <v>4180</v>
      </c>
      <c r="C2123" t="s">
        <v>376</v>
      </c>
      <c r="D2123" t="s">
        <v>358</v>
      </c>
      <c r="E2123" t="s">
        <v>234</v>
      </c>
    </row>
    <row r="2124" spans="1:5" x14ac:dyDescent="0.2">
      <c r="A2124" t="s">
        <v>4181</v>
      </c>
      <c r="B2124" t="s">
        <v>4182</v>
      </c>
      <c r="C2124" t="s">
        <v>376</v>
      </c>
      <c r="D2124" t="s">
        <v>358</v>
      </c>
      <c r="E2124" t="s">
        <v>234</v>
      </c>
    </row>
    <row r="2125" spans="1:5" x14ac:dyDescent="0.2">
      <c r="A2125" t="s">
        <v>4183</v>
      </c>
      <c r="B2125" t="s">
        <v>4184</v>
      </c>
      <c r="C2125" t="s">
        <v>376</v>
      </c>
      <c r="D2125" t="s">
        <v>363</v>
      </c>
      <c r="E2125" t="s">
        <v>234</v>
      </c>
    </row>
    <row r="2126" spans="1:5" x14ac:dyDescent="0.2">
      <c r="A2126" t="s">
        <v>4185</v>
      </c>
      <c r="B2126" t="s">
        <v>4186</v>
      </c>
      <c r="C2126" t="s">
        <v>376</v>
      </c>
      <c r="D2126" t="s">
        <v>363</v>
      </c>
      <c r="E2126" t="s">
        <v>234</v>
      </c>
    </row>
    <row r="2127" spans="1:5" x14ac:dyDescent="0.2">
      <c r="A2127" t="s">
        <v>4187</v>
      </c>
      <c r="B2127" t="s">
        <v>4188</v>
      </c>
      <c r="C2127" t="s">
        <v>376</v>
      </c>
      <c r="D2127" t="s">
        <v>766</v>
      </c>
      <c r="E2127" t="s">
        <v>234</v>
      </c>
    </row>
    <row r="2128" spans="1:5" x14ac:dyDescent="0.2">
      <c r="A2128" t="s">
        <v>4189</v>
      </c>
      <c r="B2128" t="s">
        <v>4190</v>
      </c>
      <c r="C2128" t="s">
        <v>318</v>
      </c>
      <c r="D2128" t="s">
        <v>358</v>
      </c>
      <c r="E2128" t="s">
        <v>234</v>
      </c>
    </row>
    <row r="2129" spans="1:5" x14ac:dyDescent="0.2">
      <c r="A2129" t="s">
        <v>4191</v>
      </c>
      <c r="B2129" t="s">
        <v>4192</v>
      </c>
      <c r="C2129" t="s">
        <v>318</v>
      </c>
      <c r="D2129" t="s">
        <v>358</v>
      </c>
      <c r="E2129" t="s">
        <v>234</v>
      </c>
    </row>
    <row r="2130" spans="1:5" x14ac:dyDescent="0.2">
      <c r="A2130" t="s">
        <v>4193</v>
      </c>
      <c r="B2130" t="s">
        <v>4194</v>
      </c>
      <c r="C2130" t="s">
        <v>318</v>
      </c>
      <c r="D2130" t="s">
        <v>766</v>
      </c>
      <c r="E2130" t="s">
        <v>234</v>
      </c>
    </row>
    <row r="2131" spans="1:5" x14ac:dyDescent="0.2">
      <c r="A2131" t="s">
        <v>4195</v>
      </c>
      <c r="B2131" t="s">
        <v>4196</v>
      </c>
      <c r="C2131" t="s">
        <v>318</v>
      </c>
      <c r="D2131" t="s">
        <v>766</v>
      </c>
      <c r="E2131" t="s">
        <v>234</v>
      </c>
    </row>
    <row r="2132" spans="1:5" x14ac:dyDescent="0.2">
      <c r="A2132" t="s">
        <v>4197</v>
      </c>
      <c r="B2132" t="s">
        <v>4198</v>
      </c>
      <c r="C2132" t="s">
        <v>244</v>
      </c>
      <c r="D2132" t="s">
        <v>295</v>
      </c>
      <c r="E2132" t="s">
        <v>9148</v>
      </c>
    </row>
    <row r="2133" spans="1:5" x14ac:dyDescent="0.2">
      <c r="A2133" t="s">
        <v>4199</v>
      </c>
      <c r="B2133" t="s">
        <v>4200</v>
      </c>
      <c r="C2133" t="s">
        <v>244</v>
      </c>
      <c r="D2133" t="s">
        <v>295</v>
      </c>
      <c r="E2133" t="s">
        <v>9148</v>
      </c>
    </row>
    <row r="2134" spans="1:5" x14ac:dyDescent="0.2">
      <c r="A2134" t="s">
        <v>4201</v>
      </c>
      <c r="B2134" t="s">
        <v>4202</v>
      </c>
      <c r="C2134" t="s">
        <v>244</v>
      </c>
      <c r="D2134" t="s">
        <v>991</v>
      </c>
      <c r="E2134" t="s">
        <v>9148</v>
      </c>
    </row>
    <row r="2135" spans="1:5" x14ac:dyDescent="0.2">
      <c r="A2135" t="s">
        <v>4209</v>
      </c>
      <c r="B2135" t="s">
        <v>4210</v>
      </c>
      <c r="C2135" t="s">
        <v>219</v>
      </c>
      <c r="D2135" t="s">
        <v>241</v>
      </c>
      <c r="E2135" t="s">
        <v>234</v>
      </c>
    </row>
    <row r="2136" spans="1:5" x14ac:dyDescent="0.2">
      <c r="A2136" t="s">
        <v>4211</v>
      </c>
      <c r="B2136" t="s">
        <v>4212</v>
      </c>
      <c r="C2136" t="s">
        <v>219</v>
      </c>
      <c r="D2136" t="s">
        <v>241</v>
      </c>
      <c r="E2136" t="s">
        <v>234</v>
      </c>
    </row>
    <row r="2137" spans="1:5" x14ac:dyDescent="0.2">
      <c r="A2137" t="s">
        <v>4213</v>
      </c>
      <c r="B2137" t="s">
        <v>4214</v>
      </c>
      <c r="C2137" t="s">
        <v>219</v>
      </c>
      <c r="D2137" t="s">
        <v>773</v>
      </c>
      <c r="E2137" t="s">
        <v>234</v>
      </c>
    </row>
    <row r="2138" spans="1:5" x14ac:dyDescent="0.2">
      <c r="A2138" t="s">
        <v>4215</v>
      </c>
      <c r="B2138" t="s">
        <v>4216</v>
      </c>
      <c r="C2138" t="s">
        <v>591</v>
      </c>
      <c r="D2138" t="s">
        <v>358</v>
      </c>
      <c r="E2138" t="s">
        <v>234</v>
      </c>
    </row>
    <row r="2139" spans="1:5" x14ac:dyDescent="0.2">
      <c r="A2139" t="s">
        <v>4217</v>
      </c>
      <c r="B2139" t="s">
        <v>4218</v>
      </c>
      <c r="C2139" t="s">
        <v>591</v>
      </c>
      <c r="D2139" t="s">
        <v>766</v>
      </c>
      <c r="E2139" t="s">
        <v>234</v>
      </c>
    </row>
    <row r="2140" spans="1:5" x14ac:dyDescent="0.2">
      <c r="A2140" t="s">
        <v>4219</v>
      </c>
      <c r="B2140" t="s">
        <v>4220</v>
      </c>
      <c r="C2140" t="s">
        <v>322</v>
      </c>
      <c r="D2140" t="s">
        <v>358</v>
      </c>
      <c r="E2140" t="s">
        <v>234</v>
      </c>
    </row>
    <row r="2141" spans="1:5" x14ac:dyDescent="0.2">
      <c r="A2141" t="s">
        <v>4221</v>
      </c>
      <c r="B2141" t="s">
        <v>4222</v>
      </c>
      <c r="C2141" t="s">
        <v>322</v>
      </c>
      <c r="D2141" t="s">
        <v>358</v>
      </c>
      <c r="E2141" t="s">
        <v>234</v>
      </c>
    </row>
    <row r="2142" spans="1:5" x14ac:dyDescent="0.2">
      <c r="A2142" t="s">
        <v>4223</v>
      </c>
      <c r="B2142" t="s">
        <v>4224</v>
      </c>
      <c r="C2142" t="s">
        <v>322</v>
      </c>
      <c r="D2142" t="s">
        <v>358</v>
      </c>
      <c r="E2142" t="s">
        <v>234</v>
      </c>
    </row>
    <row r="2143" spans="1:5" x14ac:dyDescent="0.2">
      <c r="A2143" t="s">
        <v>4225</v>
      </c>
      <c r="B2143" t="s">
        <v>4226</v>
      </c>
      <c r="C2143" t="s">
        <v>322</v>
      </c>
      <c r="D2143" t="s">
        <v>358</v>
      </c>
      <c r="E2143" t="s">
        <v>234</v>
      </c>
    </row>
    <row r="2144" spans="1:5" x14ac:dyDescent="0.2">
      <c r="A2144" t="s">
        <v>4227</v>
      </c>
      <c r="B2144" t="s">
        <v>4228</v>
      </c>
      <c r="C2144" t="s">
        <v>322</v>
      </c>
      <c r="D2144" t="s">
        <v>766</v>
      </c>
      <c r="E2144" t="s">
        <v>234</v>
      </c>
    </row>
    <row r="2145" spans="1:5" x14ac:dyDescent="0.2">
      <c r="A2145" t="s">
        <v>4229</v>
      </c>
      <c r="B2145" t="s">
        <v>4230</v>
      </c>
      <c r="C2145" t="s">
        <v>322</v>
      </c>
      <c r="D2145" t="s">
        <v>766</v>
      </c>
      <c r="E2145" t="s">
        <v>234</v>
      </c>
    </row>
    <row r="2146" spans="1:5" x14ac:dyDescent="0.2">
      <c r="A2146" t="s">
        <v>4231</v>
      </c>
      <c r="B2146" t="s">
        <v>4232</v>
      </c>
      <c r="C2146" t="s">
        <v>322</v>
      </c>
      <c r="D2146" t="s">
        <v>766</v>
      </c>
      <c r="E2146" t="s">
        <v>234</v>
      </c>
    </row>
    <row r="2147" spans="1:5" x14ac:dyDescent="0.2">
      <c r="A2147" t="s">
        <v>4233</v>
      </c>
      <c r="B2147" t="s">
        <v>4234</v>
      </c>
      <c r="C2147" t="s">
        <v>322</v>
      </c>
      <c r="D2147" t="s">
        <v>358</v>
      </c>
      <c r="E2147" t="s">
        <v>234</v>
      </c>
    </row>
    <row r="2148" spans="1:5" x14ac:dyDescent="0.2">
      <c r="A2148" t="s">
        <v>4235</v>
      </c>
      <c r="B2148" t="s">
        <v>4236</v>
      </c>
      <c r="C2148" t="s">
        <v>322</v>
      </c>
      <c r="D2148" t="s">
        <v>766</v>
      </c>
      <c r="E2148" t="s">
        <v>234</v>
      </c>
    </row>
    <row r="2149" spans="1:5" x14ac:dyDescent="0.2">
      <c r="A2149" t="s">
        <v>4237</v>
      </c>
      <c r="B2149" t="s">
        <v>4238</v>
      </c>
      <c r="C2149" t="s">
        <v>9092</v>
      </c>
      <c r="D2149" t="s">
        <v>363</v>
      </c>
      <c r="E2149" t="s">
        <v>234</v>
      </c>
    </row>
    <row r="2150" spans="1:5" x14ac:dyDescent="0.2">
      <c r="A2150" t="s">
        <v>4239</v>
      </c>
      <c r="B2150" t="s">
        <v>4240</v>
      </c>
      <c r="C2150" t="s">
        <v>9092</v>
      </c>
      <c r="D2150" t="s">
        <v>363</v>
      </c>
      <c r="E2150" t="s">
        <v>234</v>
      </c>
    </row>
    <row r="2151" spans="1:5" x14ac:dyDescent="0.2">
      <c r="A2151" t="s">
        <v>4241</v>
      </c>
      <c r="B2151" t="s">
        <v>4242</v>
      </c>
      <c r="C2151" t="s">
        <v>9092</v>
      </c>
      <c r="D2151" t="s">
        <v>377</v>
      </c>
      <c r="E2151" t="s">
        <v>234</v>
      </c>
    </row>
    <row r="2152" spans="1:5" x14ac:dyDescent="0.2">
      <c r="A2152" t="s">
        <v>4177</v>
      </c>
      <c r="B2152" t="s">
        <v>9323</v>
      </c>
      <c r="C2152" t="s">
        <v>199</v>
      </c>
      <c r="D2152" t="s">
        <v>400</v>
      </c>
      <c r="E2152" t="s">
        <v>234</v>
      </c>
    </row>
    <row r="2153" spans="1:5" x14ac:dyDescent="0.2">
      <c r="A2153" t="s">
        <v>4178</v>
      </c>
      <c r="B2153" t="s">
        <v>9324</v>
      </c>
      <c r="C2153" t="s">
        <v>199</v>
      </c>
      <c r="D2153" t="s">
        <v>728</v>
      </c>
      <c r="E2153" t="s">
        <v>234</v>
      </c>
    </row>
    <row r="2154" spans="1:5" x14ac:dyDescent="0.2">
      <c r="A2154" t="s">
        <v>4243</v>
      </c>
      <c r="B2154" t="s">
        <v>4244</v>
      </c>
      <c r="C2154" t="s">
        <v>219</v>
      </c>
      <c r="D2154" t="s">
        <v>358</v>
      </c>
      <c r="E2154" t="s">
        <v>234</v>
      </c>
    </row>
    <row r="2155" spans="1:5" x14ac:dyDescent="0.2">
      <c r="A2155" t="s">
        <v>4245</v>
      </c>
      <c r="B2155" t="s">
        <v>4246</v>
      </c>
      <c r="C2155" t="s">
        <v>219</v>
      </c>
      <c r="D2155" t="s">
        <v>358</v>
      </c>
      <c r="E2155" t="s">
        <v>234</v>
      </c>
    </row>
    <row r="2156" spans="1:5" x14ac:dyDescent="0.2">
      <c r="A2156" t="s">
        <v>4247</v>
      </c>
      <c r="B2156" t="s">
        <v>4248</v>
      </c>
      <c r="C2156" t="s">
        <v>219</v>
      </c>
      <c r="D2156" t="s">
        <v>766</v>
      </c>
      <c r="E2156" t="s">
        <v>234</v>
      </c>
    </row>
    <row r="2157" spans="1:5" x14ac:dyDescent="0.2">
      <c r="A2157" t="s">
        <v>4249</v>
      </c>
      <c r="B2157" t="s">
        <v>4250</v>
      </c>
      <c r="C2157" t="s">
        <v>331</v>
      </c>
      <c r="D2157" t="s">
        <v>358</v>
      </c>
      <c r="E2157" t="s">
        <v>234</v>
      </c>
    </row>
    <row r="2158" spans="1:5" x14ac:dyDescent="0.2">
      <c r="A2158" t="s">
        <v>4251</v>
      </c>
      <c r="B2158" t="s">
        <v>4252</v>
      </c>
      <c r="C2158" t="s">
        <v>331</v>
      </c>
      <c r="D2158" t="s">
        <v>358</v>
      </c>
      <c r="E2158" t="s">
        <v>234</v>
      </c>
    </row>
    <row r="2159" spans="1:5" x14ac:dyDescent="0.2">
      <c r="A2159" t="s">
        <v>4253</v>
      </c>
      <c r="B2159" t="s">
        <v>4254</v>
      </c>
      <c r="C2159" t="s">
        <v>331</v>
      </c>
      <c r="D2159" t="s">
        <v>766</v>
      </c>
      <c r="E2159" t="s">
        <v>234</v>
      </c>
    </row>
    <row r="2160" spans="1:5" x14ac:dyDescent="0.2">
      <c r="A2160" t="s">
        <v>4255</v>
      </c>
      <c r="B2160" t="s">
        <v>4256</v>
      </c>
      <c r="C2160" t="s">
        <v>421</v>
      </c>
      <c r="D2160" t="s">
        <v>358</v>
      </c>
      <c r="E2160" t="s">
        <v>234</v>
      </c>
    </row>
    <row r="2161" spans="1:5" x14ac:dyDescent="0.2">
      <c r="A2161" t="s">
        <v>4257</v>
      </c>
      <c r="B2161" t="s">
        <v>4258</v>
      </c>
      <c r="C2161" t="s">
        <v>421</v>
      </c>
      <c r="D2161" t="s">
        <v>358</v>
      </c>
      <c r="E2161" t="s">
        <v>234</v>
      </c>
    </row>
    <row r="2162" spans="1:5" x14ac:dyDescent="0.2">
      <c r="A2162" t="s">
        <v>4259</v>
      </c>
      <c r="B2162" t="s">
        <v>4260</v>
      </c>
      <c r="C2162" t="s">
        <v>9092</v>
      </c>
      <c r="D2162" t="s">
        <v>358</v>
      </c>
      <c r="E2162" t="s">
        <v>234</v>
      </c>
    </row>
    <row r="2163" spans="1:5" x14ac:dyDescent="0.2">
      <c r="A2163" t="s">
        <v>4261</v>
      </c>
      <c r="B2163" t="s">
        <v>4262</v>
      </c>
      <c r="C2163" t="s">
        <v>9092</v>
      </c>
      <c r="D2163" t="s">
        <v>2559</v>
      </c>
      <c r="E2163" t="s">
        <v>234</v>
      </c>
    </row>
    <row r="2164" spans="1:5" x14ac:dyDescent="0.2">
      <c r="A2164" t="s">
        <v>4263</v>
      </c>
      <c r="B2164" t="s">
        <v>4264</v>
      </c>
      <c r="C2164" t="s">
        <v>219</v>
      </c>
      <c r="D2164" t="s">
        <v>1831</v>
      </c>
      <c r="E2164" t="s">
        <v>234</v>
      </c>
    </row>
    <row r="2165" spans="1:5" x14ac:dyDescent="0.2">
      <c r="A2165" t="s">
        <v>4265</v>
      </c>
      <c r="B2165" t="s">
        <v>4266</v>
      </c>
      <c r="C2165" t="s">
        <v>219</v>
      </c>
      <c r="D2165" t="s">
        <v>1831</v>
      </c>
      <c r="E2165" t="s">
        <v>234</v>
      </c>
    </row>
    <row r="2166" spans="1:5" x14ac:dyDescent="0.2">
      <c r="A2166" t="s">
        <v>4267</v>
      </c>
      <c r="B2166" t="s">
        <v>4268</v>
      </c>
      <c r="C2166" t="s">
        <v>219</v>
      </c>
      <c r="D2166" t="s">
        <v>1534</v>
      </c>
      <c r="E2166" t="s">
        <v>234</v>
      </c>
    </row>
    <row r="2167" spans="1:5" x14ac:dyDescent="0.2">
      <c r="A2167" t="s">
        <v>4269</v>
      </c>
      <c r="B2167" t="s">
        <v>4270</v>
      </c>
      <c r="C2167" t="s">
        <v>219</v>
      </c>
      <c r="D2167" t="s">
        <v>1534</v>
      </c>
      <c r="E2167" t="s">
        <v>234</v>
      </c>
    </row>
    <row r="2168" spans="1:5" x14ac:dyDescent="0.2">
      <c r="A2168" t="s">
        <v>4271</v>
      </c>
      <c r="B2168" t="s">
        <v>4272</v>
      </c>
      <c r="C2168" t="s">
        <v>219</v>
      </c>
      <c r="D2168" t="s">
        <v>126</v>
      </c>
      <c r="E2168" t="s">
        <v>234</v>
      </c>
    </row>
    <row r="2169" spans="1:5" x14ac:dyDescent="0.2">
      <c r="A2169" t="s">
        <v>4273</v>
      </c>
      <c r="B2169" t="s">
        <v>4274</v>
      </c>
      <c r="C2169" t="s">
        <v>219</v>
      </c>
      <c r="D2169" t="s">
        <v>126</v>
      </c>
      <c r="E2169" t="s">
        <v>234</v>
      </c>
    </row>
    <row r="2170" spans="1:5" x14ac:dyDescent="0.2">
      <c r="A2170" t="s">
        <v>4275</v>
      </c>
      <c r="B2170" t="s">
        <v>4276</v>
      </c>
      <c r="C2170" t="s">
        <v>251</v>
      </c>
      <c r="D2170" t="s">
        <v>358</v>
      </c>
      <c r="E2170" t="s">
        <v>234</v>
      </c>
    </row>
    <row r="2171" spans="1:5" x14ac:dyDescent="0.2">
      <c r="A2171" t="s">
        <v>4277</v>
      </c>
      <c r="B2171" t="s">
        <v>4278</v>
      </c>
      <c r="C2171" t="s">
        <v>251</v>
      </c>
      <c r="D2171" t="s">
        <v>358</v>
      </c>
      <c r="E2171" t="s">
        <v>234</v>
      </c>
    </row>
    <row r="2172" spans="1:5" x14ac:dyDescent="0.2">
      <c r="A2172" t="s">
        <v>4279</v>
      </c>
      <c r="B2172" t="s">
        <v>4280</v>
      </c>
      <c r="C2172" t="s">
        <v>251</v>
      </c>
      <c r="D2172" t="s">
        <v>766</v>
      </c>
      <c r="E2172" t="s">
        <v>234</v>
      </c>
    </row>
    <row r="2173" spans="1:5" x14ac:dyDescent="0.2">
      <c r="A2173" t="s">
        <v>4281</v>
      </c>
      <c r="B2173" t="s">
        <v>4282</v>
      </c>
      <c r="C2173" t="s">
        <v>212</v>
      </c>
      <c r="D2173" t="s">
        <v>462</v>
      </c>
      <c r="E2173" t="s">
        <v>234</v>
      </c>
    </row>
    <row r="2174" spans="1:5" x14ac:dyDescent="0.2">
      <c r="A2174" t="s">
        <v>4283</v>
      </c>
      <c r="B2174" t="s">
        <v>4284</v>
      </c>
      <c r="C2174" t="s">
        <v>212</v>
      </c>
      <c r="D2174" t="s">
        <v>462</v>
      </c>
      <c r="E2174" t="s">
        <v>234</v>
      </c>
    </row>
    <row r="2175" spans="1:5" x14ac:dyDescent="0.2">
      <c r="A2175" t="s">
        <v>4285</v>
      </c>
      <c r="B2175" t="s">
        <v>4286</v>
      </c>
      <c r="C2175" t="s">
        <v>212</v>
      </c>
      <c r="D2175" t="s">
        <v>500</v>
      </c>
      <c r="E2175" t="s">
        <v>234</v>
      </c>
    </row>
    <row r="2176" spans="1:5" x14ac:dyDescent="0.2">
      <c r="A2176" t="s">
        <v>4287</v>
      </c>
      <c r="B2176" t="s">
        <v>4288</v>
      </c>
      <c r="C2176" t="s">
        <v>212</v>
      </c>
      <c r="D2176" t="s">
        <v>500</v>
      </c>
      <c r="E2176" t="s">
        <v>234</v>
      </c>
    </row>
    <row r="2177" spans="1:5" x14ac:dyDescent="0.2">
      <c r="A2177" t="s">
        <v>4289</v>
      </c>
      <c r="B2177" t="s">
        <v>4290</v>
      </c>
      <c r="C2177" t="s">
        <v>9325</v>
      </c>
      <c r="D2177" t="s">
        <v>358</v>
      </c>
      <c r="E2177" t="s">
        <v>234</v>
      </c>
    </row>
    <row r="2178" spans="1:5" x14ac:dyDescent="0.2">
      <c r="A2178" t="s">
        <v>4291</v>
      </c>
      <c r="B2178" t="s">
        <v>4292</v>
      </c>
      <c r="C2178" t="s">
        <v>9325</v>
      </c>
      <c r="D2178" t="s">
        <v>766</v>
      </c>
      <c r="E2178" t="s">
        <v>234</v>
      </c>
    </row>
    <row r="2179" spans="1:5" x14ac:dyDescent="0.2">
      <c r="A2179" t="s">
        <v>4293</v>
      </c>
      <c r="B2179" t="s">
        <v>4294</v>
      </c>
      <c r="C2179" t="s">
        <v>244</v>
      </c>
      <c r="D2179" t="s">
        <v>301</v>
      </c>
      <c r="E2179" t="s">
        <v>1348</v>
      </c>
    </row>
    <row r="2180" spans="1:5" x14ac:dyDescent="0.2">
      <c r="A2180" t="s">
        <v>4295</v>
      </c>
      <c r="B2180" t="s">
        <v>4296</v>
      </c>
      <c r="C2180" t="s">
        <v>244</v>
      </c>
      <c r="D2180" t="s">
        <v>301</v>
      </c>
      <c r="E2180" t="s">
        <v>1348</v>
      </c>
    </row>
    <row r="2181" spans="1:5" x14ac:dyDescent="0.2">
      <c r="A2181" t="s">
        <v>4297</v>
      </c>
      <c r="B2181" t="s">
        <v>4298</v>
      </c>
      <c r="C2181" t="s">
        <v>244</v>
      </c>
      <c r="D2181" t="s">
        <v>842</v>
      </c>
      <c r="E2181" t="s">
        <v>1348</v>
      </c>
    </row>
    <row r="2182" spans="1:5" x14ac:dyDescent="0.2">
      <c r="A2182" t="s">
        <v>4299</v>
      </c>
      <c r="B2182" t="s">
        <v>4300</v>
      </c>
      <c r="C2182" t="s">
        <v>244</v>
      </c>
      <c r="D2182" t="s">
        <v>842</v>
      </c>
      <c r="E2182" t="s">
        <v>1348</v>
      </c>
    </row>
    <row r="2183" spans="1:5" x14ac:dyDescent="0.2">
      <c r="A2183" t="s">
        <v>4301</v>
      </c>
      <c r="B2183" t="s">
        <v>4302</v>
      </c>
      <c r="C2183" t="s">
        <v>244</v>
      </c>
      <c r="D2183" t="s">
        <v>386</v>
      </c>
      <c r="E2183" t="s">
        <v>1348</v>
      </c>
    </row>
    <row r="2184" spans="1:5" x14ac:dyDescent="0.2">
      <c r="A2184" t="s">
        <v>4303</v>
      </c>
      <c r="B2184" t="s">
        <v>4304</v>
      </c>
      <c r="C2184" t="s">
        <v>244</v>
      </c>
      <c r="D2184" t="s">
        <v>386</v>
      </c>
      <c r="E2184" t="s">
        <v>1348</v>
      </c>
    </row>
    <row r="2185" spans="1:5" x14ac:dyDescent="0.2">
      <c r="A2185" t="s">
        <v>4305</v>
      </c>
      <c r="B2185" t="s">
        <v>4306</v>
      </c>
      <c r="C2185" t="s">
        <v>244</v>
      </c>
      <c r="D2185" t="s">
        <v>341</v>
      </c>
      <c r="E2185" t="s">
        <v>4307</v>
      </c>
    </row>
    <row r="2186" spans="1:5" x14ac:dyDescent="0.2">
      <c r="A2186" t="s">
        <v>4308</v>
      </c>
      <c r="B2186" t="s">
        <v>4309</v>
      </c>
      <c r="C2186" t="s">
        <v>244</v>
      </c>
      <c r="D2186" t="s">
        <v>341</v>
      </c>
      <c r="E2186" t="s">
        <v>4307</v>
      </c>
    </row>
    <row r="2187" spans="1:5" x14ac:dyDescent="0.2">
      <c r="A2187" t="s">
        <v>4310</v>
      </c>
      <c r="B2187" t="s">
        <v>4311</v>
      </c>
      <c r="C2187" t="s">
        <v>742</v>
      </c>
      <c r="D2187" t="s">
        <v>363</v>
      </c>
      <c r="E2187" t="s">
        <v>234</v>
      </c>
    </row>
    <row r="2188" spans="1:5" x14ac:dyDescent="0.2">
      <c r="A2188" t="s">
        <v>4312</v>
      </c>
      <c r="B2188" t="s">
        <v>4313</v>
      </c>
      <c r="C2188" t="s">
        <v>742</v>
      </c>
      <c r="D2188" t="s">
        <v>363</v>
      </c>
      <c r="E2188" t="s">
        <v>234</v>
      </c>
    </row>
    <row r="2189" spans="1:5" x14ac:dyDescent="0.2">
      <c r="A2189" t="s">
        <v>4314</v>
      </c>
      <c r="B2189" t="s">
        <v>4315</v>
      </c>
      <c r="C2189" t="s">
        <v>742</v>
      </c>
      <c r="D2189" t="s">
        <v>701</v>
      </c>
      <c r="E2189" t="s">
        <v>234</v>
      </c>
    </row>
    <row r="2190" spans="1:5" x14ac:dyDescent="0.2">
      <c r="A2190" t="s">
        <v>4316</v>
      </c>
      <c r="B2190" t="s">
        <v>4317</v>
      </c>
      <c r="C2190" t="s">
        <v>742</v>
      </c>
      <c r="D2190" t="s">
        <v>377</v>
      </c>
      <c r="E2190" t="s">
        <v>234</v>
      </c>
    </row>
    <row r="2191" spans="1:5" x14ac:dyDescent="0.2">
      <c r="A2191" t="s">
        <v>4318</v>
      </c>
      <c r="B2191" t="s">
        <v>4319</v>
      </c>
      <c r="C2191" t="s">
        <v>742</v>
      </c>
      <c r="D2191" t="s">
        <v>377</v>
      </c>
      <c r="E2191" t="s">
        <v>234</v>
      </c>
    </row>
    <row r="2192" spans="1:5" x14ac:dyDescent="0.2">
      <c r="A2192" t="s">
        <v>4320</v>
      </c>
      <c r="B2192" t="s">
        <v>4321</v>
      </c>
      <c r="C2192" t="s">
        <v>742</v>
      </c>
      <c r="D2192" t="s">
        <v>386</v>
      </c>
      <c r="E2192" t="s">
        <v>234</v>
      </c>
    </row>
    <row r="2193" spans="1:5" x14ac:dyDescent="0.2">
      <c r="A2193" t="s">
        <v>4322</v>
      </c>
      <c r="B2193" t="s">
        <v>4323</v>
      </c>
      <c r="C2193" t="s">
        <v>376</v>
      </c>
      <c r="D2193" t="s">
        <v>681</v>
      </c>
      <c r="E2193" t="s">
        <v>1348</v>
      </c>
    </row>
    <row r="2194" spans="1:5" x14ac:dyDescent="0.2">
      <c r="A2194" t="s">
        <v>4324</v>
      </c>
      <c r="B2194" t="s">
        <v>4325</v>
      </c>
      <c r="C2194" t="s">
        <v>376</v>
      </c>
      <c r="D2194" t="s">
        <v>2514</v>
      </c>
      <c r="E2194" t="s">
        <v>1348</v>
      </c>
    </row>
    <row r="2195" spans="1:5" x14ac:dyDescent="0.2">
      <c r="A2195" t="s">
        <v>4326</v>
      </c>
      <c r="B2195" t="s">
        <v>4327</v>
      </c>
      <c r="C2195" t="s">
        <v>322</v>
      </c>
      <c r="D2195" t="s">
        <v>224</v>
      </c>
      <c r="E2195" t="s">
        <v>1348</v>
      </c>
    </row>
    <row r="2196" spans="1:5" x14ac:dyDescent="0.2">
      <c r="A2196" t="s">
        <v>4328</v>
      </c>
      <c r="B2196" t="s">
        <v>4329</v>
      </c>
      <c r="C2196" t="s">
        <v>322</v>
      </c>
      <c r="D2196" t="s">
        <v>433</v>
      </c>
      <c r="E2196" t="s">
        <v>1348</v>
      </c>
    </row>
    <row r="2197" spans="1:5" x14ac:dyDescent="0.2">
      <c r="A2197" t="s">
        <v>4330</v>
      </c>
      <c r="B2197" t="s">
        <v>4331</v>
      </c>
      <c r="C2197" t="s">
        <v>219</v>
      </c>
      <c r="D2197" t="s">
        <v>681</v>
      </c>
      <c r="E2197" t="s">
        <v>1348</v>
      </c>
    </row>
    <row r="2198" spans="1:5" x14ac:dyDescent="0.2">
      <c r="A2198" t="s">
        <v>4332</v>
      </c>
      <c r="B2198" t="s">
        <v>4333</v>
      </c>
      <c r="C2198" t="s">
        <v>219</v>
      </c>
      <c r="D2198" t="s">
        <v>2514</v>
      </c>
      <c r="E2198" t="s">
        <v>1348</v>
      </c>
    </row>
    <row r="2199" spans="1:5" x14ac:dyDescent="0.2">
      <c r="A2199" t="s">
        <v>4334</v>
      </c>
      <c r="B2199" t="s">
        <v>4335</v>
      </c>
      <c r="C2199" t="s">
        <v>219</v>
      </c>
      <c r="D2199" t="s">
        <v>126</v>
      </c>
      <c r="E2199" t="s">
        <v>1348</v>
      </c>
    </row>
    <row r="2200" spans="1:5" x14ac:dyDescent="0.2">
      <c r="A2200" t="s">
        <v>4336</v>
      </c>
      <c r="B2200" t="s">
        <v>4337</v>
      </c>
      <c r="C2200" t="s">
        <v>287</v>
      </c>
      <c r="D2200" t="s">
        <v>301</v>
      </c>
      <c r="E2200" t="s">
        <v>1348</v>
      </c>
    </row>
    <row r="2201" spans="1:5" x14ac:dyDescent="0.2">
      <c r="A2201" t="s">
        <v>4338</v>
      </c>
      <c r="B2201" t="s">
        <v>4339</v>
      </c>
      <c r="C2201" t="s">
        <v>287</v>
      </c>
      <c r="D2201" t="s">
        <v>301</v>
      </c>
      <c r="E2201" t="s">
        <v>1348</v>
      </c>
    </row>
    <row r="2202" spans="1:5" x14ac:dyDescent="0.2">
      <c r="A2202" t="s">
        <v>4340</v>
      </c>
      <c r="B2202" t="s">
        <v>4341</v>
      </c>
      <c r="C2202" t="s">
        <v>287</v>
      </c>
      <c r="D2202" t="s">
        <v>842</v>
      </c>
      <c r="E2202" t="s">
        <v>1348</v>
      </c>
    </row>
    <row r="2203" spans="1:5" x14ac:dyDescent="0.2">
      <c r="A2203" t="s">
        <v>4342</v>
      </c>
      <c r="B2203" t="s">
        <v>4343</v>
      </c>
      <c r="C2203" t="s">
        <v>287</v>
      </c>
      <c r="D2203" t="s">
        <v>842</v>
      </c>
      <c r="E2203" t="s">
        <v>1348</v>
      </c>
    </row>
    <row r="2204" spans="1:5" x14ac:dyDescent="0.2">
      <c r="A2204" t="s">
        <v>4344</v>
      </c>
      <c r="B2204" t="s">
        <v>4345</v>
      </c>
      <c r="C2204" t="s">
        <v>399</v>
      </c>
      <c r="D2204" t="s">
        <v>535</v>
      </c>
      <c r="E2204" t="s">
        <v>1348</v>
      </c>
    </row>
    <row r="2205" spans="1:5" x14ac:dyDescent="0.2">
      <c r="A2205" t="s">
        <v>4346</v>
      </c>
      <c r="B2205" t="s">
        <v>4347</v>
      </c>
      <c r="C2205" t="s">
        <v>399</v>
      </c>
      <c r="D2205" t="s">
        <v>853</v>
      </c>
      <c r="E2205" t="s">
        <v>1348</v>
      </c>
    </row>
    <row r="2206" spans="1:5" x14ac:dyDescent="0.2">
      <c r="A2206" t="s">
        <v>4348</v>
      </c>
      <c r="B2206" t="s">
        <v>4349</v>
      </c>
      <c r="C2206" t="s">
        <v>399</v>
      </c>
      <c r="D2206" t="s">
        <v>604</v>
      </c>
      <c r="E2206" t="s">
        <v>1348</v>
      </c>
    </row>
    <row r="2207" spans="1:5" x14ac:dyDescent="0.2">
      <c r="A2207" t="s">
        <v>4350</v>
      </c>
      <c r="B2207" t="s">
        <v>4351</v>
      </c>
      <c r="C2207" t="s">
        <v>399</v>
      </c>
      <c r="D2207" t="s">
        <v>386</v>
      </c>
      <c r="E2207" t="s">
        <v>1348</v>
      </c>
    </row>
    <row r="2208" spans="1:5" x14ac:dyDescent="0.2">
      <c r="A2208" t="s">
        <v>4352</v>
      </c>
      <c r="B2208" t="s">
        <v>4353</v>
      </c>
      <c r="C2208" t="s">
        <v>131</v>
      </c>
      <c r="D2208" t="s">
        <v>427</v>
      </c>
      <c r="E2208" t="s">
        <v>234</v>
      </c>
    </row>
    <row r="2209" spans="1:5" x14ac:dyDescent="0.2">
      <c r="A2209" t="s">
        <v>4354</v>
      </c>
      <c r="B2209" t="s">
        <v>4355</v>
      </c>
      <c r="C2209" t="s">
        <v>131</v>
      </c>
      <c r="D2209" t="s">
        <v>427</v>
      </c>
      <c r="E2209" t="s">
        <v>234</v>
      </c>
    </row>
    <row r="2210" spans="1:5" x14ac:dyDescent="0.2">
      <c r="A2210" t="s">
        <v>4356</v>
      </c>
      <c r="B2210" t="s">
        <v>4357</v>
      </c>
      <c r="C2210" t="s">
        <v>131</v>
      </c>
      <c r="D2210" t="s">
        <v>3804</v>
      </c>
      <c r="E2210" t="s">
        <v>234</v>
      </c>
    </row>
    <row r="2211" spans="1:5" x14ac:dyDescent="0.2">
      <c r="A2211" t="s">
        <v>4358</v>
      </c>
      <c r="B2211" t="s">
        <v>4359</v>
      </c>
      <c r="C2211" t="s">
        <v>131</v>
      </c>
      <c r="D2211" t="s">
        <v>3804</v>
      </c>
      <c r="E2211" t="s">
        <v>234</v>
      </c>
    </row>
    <row r="2212" spans="1:5" x14ac:dyDescent="0.2">
      <c r="A2212" t="s">
        <v>4360</v>
      </c>
      <c r="B2212" t="s">
        <v>4361</v>
      </c>
      <c r="C2212" t="s">
        <v>120</v>
      </c>
      <c r="D2212" t="s">
        <v>126</v>
      </c>
      <c r="E2212" t="s">
        <v>234</v>
      </c>
    </row>
    <row r="2213" spans="1:5" x14ac:dyDescent="0.2">
      <c r="A2213" t="s">
        <v>4362</v>
      </c>
      <c r="B2213" t="s">
        <v>4363</v>
      </c>
      <c r="C2213" t="s">
        <v>120</v>
      </c>
      <c r="D2213" t="s">
        <v>126</v>
      </c>
      <c r="E2213" t="s">
        <v>234</v>
      </c>
    </row>
    <row r="2214" spans="1:5" x14ac:dyDescent="0.2">
      <c r="A2214" t="s">
        <v>4364</v>
      </c>
      <c r="B2214" t="s">
        <v>4365</v>
      </c>
      <c r="C2214" t="s">
        <v>120</v>
      </c>
      <c r="D2214" t="s">
        <v>773</v>
      </c>
      <c r="E2214" t="s">
        <v>234</v>
      </c>
    </row>
    <row r="2215" spans="1:5" x14ac:dyDescent="0.2">
      <c r="A2215" t="s">
        <v>4366</v>
      </c>
      <c r="B2215" t="s">
        <v>4367</v>
      </c>
      <c r="C2215" t="s">
        <v>92</v>
      </c>
      <c r="D2215" t="s">
        <v>1534</v>
      </c>
      <c r="E2215" t="s">
        <v>234</v>
      </c>
    </row>
    <row r="2216" spans="1:5" x14ac:dyDescent="0.2">
      <c r="A2216" t="s">
        <v>4368</v>
      </c>
      <c r="B2216" t="s">
        <v>4369</v>
      </c>
      <c r="C2216" t="s">
        <v>92</v>
      </c>
      <c r="D2216" t="s">
        <v>1534</v>
      </c>
      <c r="E2216" t="s">
        <v>234</v>
      </c>
    </row>
    <row r="2217" spans="1:5" x14ac:dyDescent="0.2">
      <c r="A2217" t="s">
        <v>4370</v>
      </c>
      <c r="B2217" t="s">
        <v>4371</v>
      </c>
      <c r="C2217" t="s">
        <v>92</v>
      </c>
      <c r="D2217" t="s">
        <v>4372</v>
      </c>
      <c r="E2217" t="s">
        <v>234</v>
      </c>
    </row>
    <row r="2218" spans="1:5" x14ac:dyDescent="0.2">
      <c r="A2218" t="s">
        <v>4373</v>
      </c>
      <c r="B2218" t="s">
        <v>4374</v>
      </c>
      <c r="C2218" t="s">
        <v>92</v>
      </c>
      <c r="D2218" t="s">
        <v>4372</v>
      </c>
      <c r="E2218" t="s">
        <v>234</v>
      </c>
    </row>
    <row r="2219" spans="1:5" x14ac:dyDescent="0.2">
      <c r="A2219" t="s">
        <v>4375</v>
      </c>
      <c r="B2219" t="s">
        <v>4376</v>
      </c>
      <c r="C2219" t="s">
        <v>104</v>
      </c>
      <c r="D2219" t="s">
        <v>166</v>
      </c>
      <c r="E2219" t="s">
        <v>234</v>
      </c>
    </row>
    <row r="2220" spans="1:5" x14ac:dyDescent="0.2">
      <c r="A2220" t="s">
        <v>4377</v>
      </c>
      <c r="B2220" t="s">
        <v>4378</v>
      </c>
      <c r="C2220" t="s">
        <v>104</v>
      </c>
      <c r="D2220" t="s">
        <v>166</v>
      </c>
      <c r="E2220" t="s">
        <v>234</v>
      </c>
    </row>
    <row r="2221" spans="1:5" x14ac:dyDescent="0.2">
      <c r="A2221" t="s">
        <v>4379</v>
      </c>
      <c r="B2221" t="s">
        <v>4380</v>
      </c>
      <c r="C2221" t="s">
        <v>104</v>
      </c>
      <c r="D2221" t="s">
        <v>4381</v>
      </c>
      <c r="E2221" t="s">
        <v>234</v>
      </c>
    </row>
    <row r="2222" spans="1:5" x14ac:dyDescent="0.2">
      <c r="A2222" t="s">
        <v>4382</v>
      </c>
      <c r="B2222" t="s">
        <v>4383</v>
      </c>
      <c r="C2222" t="s">
        <v>104</v>
      </c>
      <c r="D2222" t="s">
        <v>4381</v>
      </c>
      <c r="E2222" t="s">
        <v>234</v>
      </c>
    </row>
    <row r="2223" spans="1:5" x14ac:dyDescent="0.2">
      <c r="A2223" t="s">
        <v>4384</v>
      </c>
      <c r="B2223" t="s">
        <v>4385</v>
      </c>
      <c r="C2223" t="s">
        <v>219</v>
      </c>
      <c r="D2223" t="s">
        <v>2132</v>
      </c>
      <c r="E2223" t="s">
        <v>234</v>
      </c>
    </row>
    <row r="2224" spans="1:5" x14ac:dyDescent="0.2">
      <c r="A2224" t="s">
        <v>4386</v>
      </c>
      <c r="B2224" t="s">
        <v>4387</v>
      </c>
      <c r="C2224" t="s">
        <v>219</v>
      </c>
      <c r="D2224" t="s">
        <v>2132</v>
      </c>
      <c r="E2224" t="s">
        <v>234</v>
      </c>
    </row>
    <row r="2225" spans="1:5" x14ac:dyDescent="0.2">
      <c r="A2225" t="s">
        <v>4388</v>
      </c>
      <c r="B2225" t="s">
        <v>4389</v>
      </c>
      <c r="C2225" t="s">
        <v>219</v>
      </c>
      <c r="D2225" t="s">
        <v>4390</v>
      </c>
      <c r="E2225" t="s">
        <v>234</v>
      </c>
    </row>
    <row r="2226" spans="1:5" x14ac:dyDescent="0.2">
      <c r="A2226" t="s">
        <v>4391</v>
      </c>
      <c r="B2226" t="s">
        <v>4392</v>
      </c>
      <c r="C2226" t="s">
        <v>219</v>
      </c>
      <c r="D2226" t="s">
        <v>4390</v>
      </c>
      <c r="E2226" t="s">
        <v>234</v>
      </c>
    </row>
    <row r="2227" spans="1:5" x14ac:dyDescent="0.2">
      <c r="A2227" t="s">
        <v>4393</v>
      </c>
      <c r="B2227" t="s">
        <v>4394</v>
      </c>
      <c r="C2227" t="s">
        <v>591</v>
      </c>
      <c r="D2227" t="s">
        <v>462</v>
      </c>
      <c r="E2227" t="s">
        <v>234</v>
      </c>
    </row>
    <row r="2228" spans="1:5" x14ac:dyDescent="0.2">
      <c r="A2228" t="s">
        <v>4395</v>
      </c>
      <c r="B2228" t="s">
        <v>4396</v>
      </c>
      <c r="C2228" t="s">
        <v>591</v>
      </c>
      <c r="D2228" t="s">
        <v>462</v>
      </c>
      <c r="E2228" t="s">
        <v>234</v>
      </c>
    </row>
    <row r="2229" spans="1:5" x14ac:dyDescent="0.2">
      <c r="A2229" t="s">
        <v>4397</v>
      </c>
      <c r="B2229" t="s">
        <v>4398</v>
      </c>
      <c r="C2229" t="s">
        <v>591</v>
      </c>
      <c r="D2229" t="s">
        <v>500</v>
      </c>
      <c r="E2229" t="s">
        <v>234</v>
      </c>
    </row>
    <row r="2230" spans="1:5" x14ac:dyDescent="0.2">
      <c r="A2230" t="s">
        <v>4399</v>
      </c>
      <c r="B2230" t="s">
        <v>4400</v>
      </c>
      <c r="C2230" t="s">
        <v>591</v>
      </c>
      <c r="D2230" t="s">
        <v>500</v>
      </c>
      <c r="E2230" t="s">
        <v>234</v>
      </c>
    </row>
    <row r="2231" spans="1:5" x14ac:dyDescent="0.2">
      <c r="A2231" t="s">
        <v>4401</v>
      </c>
      <c r="B2231" t="s">
        <v>4402</v>
      </c>
      <c r="C2231" t="s">
        <v>287</v>
      </c>
      <c r="D2231" t="s">
        <v>301</v>
      </c>
      <c r="E2231" t="s">
        <v>4307</v>
      </c>
    </row>
    <row r="2232" spans="1:5" x14ac:dyDescent="0.2">
      <c r="A2232" t="s">
        <v>4403</v>
      </c>
      <c r="B2232" t="s">
        <v>4404</v>
      </c>
      <c r="C2232" t="s">
        <v>287</v>
      </c>
      <c r="D2232" t="s">
        <v>301</v>
      </c>
      <c r="E2232" t="s">
        <v>4307</v>
      </c>
    </row>
    <row r="2233" spans="1:5" x14ac:dyDescent="0.2">
      <c r="A2233" t="s">
        <v>4405</v>
      </c>
      <c r="B2233" t="s">
        <v>4406</v>
      </c>
      <c r="C2233" t="s">
        <v>287</v>
      </c>
      <c r="D2233" t="s">
        <v>842</v>
      </c>
      <c r="E2233" t="s">
        <v>4307</v>
      </c>
    </row>
    <row r="2234" spans="1:5" x14ac:dyDescent="0.2">
      <c r="A2234" t="s">
        <v>4407</v>
      </c>
      <c r="B2234" t="s">
        <v>4408</v>
      </c>
      <c r="C2234" t="s">
        <v>287</v>
      </c>
      <c r="D2234" t="s">
        <v>842</v>
      </c>
      <c r="E2234" t="s">
        <v>4307</v>
      </c>
    </row>
    <row r="2235" spans="1:5" x14ac:dyDescent="0.2">
      <c r="A2235" t="s">
        <v>4203</v>
      </c>
      <c r="B2235" t="s">
        <v>9326</v>
      </c>
      <c r="C2235" t="s">
        <v>131</v>
      </c>
      <c r="D2235" t="s">
        <v>299</v>
      </c>
      <c r="E2235" t="s">
        <v>9327</v>
      </c>
    </row>
    <row r="2236" spans="1:5" x14ac:dyDescent="0.2">
      <c r="A2236" t="s">
        <v>4204</v>
      </c>
      <c r="B2236" t="s">
        <v>9328</v>
      </c>
      <c r="C2236" t="s">
        <v>131</v>
      </c>
      <c r="D2236" t="s">
        <v>296</v>
      </c>
      <c r="E2236" t="s">
        <v>9327</v>
      </c>
    </row>
    <row r="2237" spans="1:5" x14ac:dyDescent="0.2">
      <c r="A2237" t="s">
        <v>4205</v>
      </c>
      <c r="B2237" t="s">
        <v>9329</v>
      </c>
      <c r="C2237" t="s">
        <v>120</v>
      </c>
      <c r="D2237" t="s">
        <v>635</v>
      </c>
      <c r="E2237" t="s">
        <v>234</v>
      </c>
    </row>
    <row r="2238" spans="1:5" x14ac:dyDescent="0.2">
      <c r="A2238" t="s">
        <v>4206</v>
      </c>
      <c r="B2238" t="s">
        <v>9330</v>
      </c>
      <c r="C2238" t="s">
        <v>120</v>
      </c>
      <c r="D2238" t="s">
        <v>635</v>
      </c>
      <c r="E2238" t="s">
        <v>234</v>
      </c>
    </row>
    <row r="2239" spans="1:5" x14ac:dyDescent="0.2">
      <c r="A2239" t="s">
        <v>4207</v>
      </c>
      <c r="B2239" t="s">
        <v>9331</v>
      </c>
      <c r="C2239" t="s">
        <v>120</v>
      </c>
      <c r="D2239" t="s">
        <v>617</v>
      </c>
      <c r="E2239" t="s">
        <v>234</v>
      </c>
    </row>
    <row r="2240" spans="1:5" x14ac:dyDescent="0.2">
      <c r="A2240" t="s">
        <v>4208</v>
      </c>
      <c r="B2240" t="s">
        <v>9332</v>
      </c>
      <c r="C2240" t="s">
        <v>120</v>
      </c>
      <c r="D2240" t="s">
        <v>617</v>
      </c>
      <c r="E2240" t="s">
        <v>234</v>
      </c>
    </row>
    <row r="2241" spans="1:5" x14ac:dyDescent="0.2">
      <c r="A2241" t="s">
        <v>4409</v>
      </c>
      <c r="B2241" t="s">
        <v>4410</v>
      </c>
      <c r="C2241" t="s">
        <v>399</v>
      </c>
      <c r="D2241" t="s">
        <v>358</v>
      </c>
      <c r="E2241" t="s">
        <v>234</v>
      </c>
    </row>
    <row r="2242" spans="1:5" x14ac:dyDescent="0.2">
      <c r="A2242" t="s">
        <v>4411</v>
      </c>
      <c r="B2242" t="s">
        <v>4412</v>
      </c>
      <c r="C2242" t="s">
        <v>399</v>
      </c>
      <c r="D2242" t="s">
        <v>358</v>
      </c>
      <c r="E2242" t="s">
        <v>234</v>
      </c>
    </row>
    <row r="2243" spans="1:5" x14ac:dyDescent="0.2">
      <c r="A2243" t="s">
        <v>4413</v>
      </c>
      <c r="B2243" t="s">
        <v>4414</v>
      </c>
      <c r="C2243" t="s">
        <v>399</v>
      </c>
      <c r="D2243" t="s">
        <v>766</v>
      </c>
      <c r="E2243" t="s">
        <v>234</v>
      </c>
    </row>
    <row r="2244" spans="1:5" x14ac:dyDescent="0.2">
      <c r="A2244" t="s">
        <v>4415</v>
      </c>
      <c r="B2244" t="s">
        <v>4416</v>
      </c>
      <c r="C2244" t="s">
        <v>399</v>
      </c>
      <c r="D2244" t="s">
        <v>766</v>
      </c>
      <c r="E2244" t="s">
        <v>234</v>
      </c>
    </row>
    <row r="2245" spans="1:5" x14ac:dyDescent="0.2">
      <c r="A2245" t="s">
        <v>4417</v>
      </c>
      <c r="B2245" t="s">
        <v>4418</v>
      </c>
      <c r="C2245" t="s">
        <v>251</v>
      </c>
      <c r="D2245" t="s">
        <v>126</v>
      </c>
      <c r="E2245" t="s">
        <v>234</v>
      </c>
    </row>
    <row r="2246" spans="1:5" x14ac:dyDescent="0.2">
      <c r="A2246" t="s">
        <v>4419</v>
      </c>
      <c r="B2246" t="s">
        <v>4420</v>
      </c>
      <c r="C2246" t="s">
        <v>251</v>
      </c>
      <c r="D2246" t="s">
        <v>126</v>
      </c>
      <c r="E2246" t="s">
        <v>234</v>
      </c>
    </row>
    <row r="2247" spans="1:5" x14ac:dyDescent="0.2">
      <c r="A2247" t="s">
        <v>4421</v>
      </c>
      <c r="B2247" t="s">
        <v>4422</v>
      </c>
      <c r="C2247" t="s">
        <v>251</v>
      </c>
      <c r="D2247" t="s">
        <v>773</v>
      </c>
      <c r="E2247" t="s">
        <v>234</v>
      </c>
    </row>
    <row r="2248" spans="1:5" x14ac:dyDescent="0.2">
      <c r="A2248" t="s">
        <v>4423</v>
      </c>
      <c r="B2248" t="s">
        <v>4424</v>
      </c>
      <c r="C2248" t="s">
        <v>251</v>
      </c>
      <c r="D2248" t="s">
        <v>773</v>
      </c>
      <c r="E2248" t="s">
        <v>234</v>
      </c>
    </row>
    <row r="2249" spans="1:5" x14ac:dyDescent="0.2">
      <c r="A2249" t="s">
        <v>4425</v>
      </c>
      <c r="B2249" t="s">
        <v>4426</v>
      </c>
      <c r="C2249" t="s">
        <v>287</v>
      </c>
      <c r="D2249" t="s">
        <v>1006</v>
      </c>
      <c r="E2249" t="s">
        <v>234</v>
      </c>
    </row>
    <row r="2250" spans="1:5" x14ac:dyDescent="0.2">
      <c r="A2250" t="s">
        <v>4427</v>
      </c>
      <c r="B2250" t="s">
        <v>4428</v>
      </c>
      <c r="C2250" t="s">
        <v>287</v>
      </c>
      <c r="D2250" t="s">
        <v>1006</v>
      </c>
      <c r="E2250" t="s">
        <v>234</v>
      </c>
    </row>
    <row r="2251" spans="1:5" x14ac:dyDescent="0.2">
      <c r="A2251" t="s">
        <v>4429</v>
      </c>
      <c r="B2251" t="s">
        <v>4430</v>
      </c>
      <c r="C2251" t="s">
        <v>287</v>
      </c>
      <c r="D2251" t="s">
        <v>156</v>
      </c>
      <c r="E2251" t="s">
        <v>234</v>
      </c>
    </row>
    <row r="2252" spans="1:5" x14ac:dyDescent="0.2">
      <c r="A2252" t="s">
        <v>4431</v>
      </c>
      <c r="B2252" t="s">
        <v>4432</v>
      </c>
      <c r="C2252" t="s">
        <v>287</v>
      </c>
      <c r="D2252" t="s">
        <v>156</v>
      </c>
      <c r="E2252" t="s">
        <v>234</v>
      </c>
    </row>
    <row r="2253" spans="1:5" x14ac:dyDescent="0.2">
      <c r="A2253" t="s">
        <v>4433</v>
      </c>
      <c r="B2253" t="s">
        <v>9333</v>
      </c>
      <c r="C2253" t="s">
        <v>287</v>
      </c>
      <c r="D2253" t="s">
        <v>266</v>
      </c>
      <c r="E2253" t="s">
        <v>234</v>
      </c>
    </row>
    <row r="2254" spans="1:5" x14ac:dyDescent="0.2">
      <c r="A2254" t="s">
        <v>4434</v>
      </c>
      <c r="B2254" t="s">
        <v>9334</v>
      </c>
      <c r="C2254" t="s">
        <v>287</v>
      </c>
      <c r="D2254" t="s">
        <v>266</v>
      </c>
      <c r="E2254" t="s">
        <v>234</v>
      </c>
    </row>
    <row r="2255" spans="1:5" x14ac:dyDescent="0.2">
      <c r="A2255" t="s">
        <v>4435</v>
      </c>
      <c r="B2255" t="s">
        <v>4436</v>
      </c>
      <c r="C2255" t="s">
        <v>287</v>
      </c>
      <c r="D2255" t="s">
        <v>193</v>
      </c>
      <c r="E2255" t="s">
        <v>234</v>
      </c>
    </row>
    <row r="2256" spans="1:5" x14ac:dyDescent="0.2">
      <c r="A2256" t="s">
        <v>4437</v>
      </c>
      <c r="B2256" t="s">
        <v>4438</v>
      </c>
      <c r="C2256" t="s">
        <v>287</v>
      </c>
      <c r="D2256" t="s">
        <v>193</v>
      </c>
      <c r="E2256" t="s">
        <v>234</v>
      </c>
    </row>
    <row r="2257" spans="1:5" x14ac:dyDescent="0.2">
      <c r="A2257" t="s">
        <v>4439</v>
      </c>
      <c r="B2257" t="s">
        <v>4440</v>
      </c>
      <c r="C2257" t="s">
        <v>251</v>
      </c>
      <c r="D2257" t="s">
        <v>400</v>
      </c>
      <c r="E2257" t="s">
        <v>1348</v>
      </c>
    </row>
    <row r="2258" spans="1:5" x14ac:dyDescent="0.2">
      <c r="A2258" t="s">
        <v>4441</v>
      </c>
      <c r="B2258" t="s">
        <v>4442</v>
      </c>
      <c r="C2258" t="s">
        <v>251</v>
      </c>
      <c r="D2258" t="s">
        <v>400</v>
      </c>
      <c r="E2258" t="s">
        <v>1348</v>
      </c>
    </row>
    <row r="2259" spans="1:5" x14ac:dyDescent="0.2">
      <c r="A2259" t="s">
        <v>4443</v>
      </c>
      <c r="B2259" t="s">
        <v>4444</v>
      </c>
      <c r="C2259" t="s">
        <v>251</v>
      </c>
      <c r="D2259" t="s">
        <v>358</v>
      </c>
      <c r="E2259" t="s">
        <v>234</v>
      </c>
    </row>
    <row r="2260" spans="1:5" x14ac:dyDescent="0.2">
      <c r="A2260" t="s">
        <v>4445</v>
      </c>
      <c r="B2260" t="s">
        <v>4446</v>
      </c>
      <c r="C2260" t="s">
        <v>251</v>
      </c>
      <c r="D2260" t="s">
        <v>358</v>
      </c>
      <c r="E2260" t="s">
        <v>234</v>
      </c>
    </row>
    <row r="2261" spans="1:5" x14ac:dyDescent="0.2">
      <c r="A2261" t="s">
        <v>4447</v>
      </c>
      <c r="B2261" t="s">
        <v>4448</v>
      </c>
      <c r="C2261" t="s">
        <v>251</v>
      </c>
      <c r="D2261" t="s">
        <v>766</v>
      </c>
      <c r="E2261" t="s">
        <v>234</v>
      </c>
    </row>
    <row r="2262" spans="1:5" x14ac:dyDescent="0.2">
      <c r="A2262" t="s">
        <v>4449</v>
      </c>
      <c r="B2262" t="s">
        <v>4450</v>
      </c>
      <c r="C2262" t="s">
        <v>251</v>
      </c>
      <c r="D2262" t="s">
        <v>766</v>
      </c>
      <c r="E2262" t="s">
        <v>234</v>
      </c>
    </row>
    <row r="2263" spans="1:5" x14ac:dyDescent="0.2">
      <c r="A2263" t="s">
        <v>4451</v>
      </c>
      <c r="B2263" t="s">
        <v>4452</v>
      </c>
      <c r="C2263" t="s">
        <v>251</v>
      </c>
      <c r="D2263" t="s">
        <v>400</v>
      </c>
      <c r="E2263" t="s">
        <v>1348</v>
      </c>
    </row>
    <row r="2264" spans="1:5" x14ac:dyDescent="0.2">
      <c r="A2264" t="s">
        <v>4453</v>
      </c>
      <c r="B2264" t="s">
        <v>4454</v>
      </c>
      <c r="C2264" t="s">
        <v>251</v>
      </c>
      <c r="D2264" t="s">
        <v>400</v>
      </c>
      <c r="E2264" t="s">
        <v>1348</v>
      </c>
    </row>
    <row r="2265" spans="1:5" x14ac:dyDescent="0.2">
      <c r="A2265" t="s">
        <v>4455</v>
      </c>
      <c r="B2265" t="s">
        <v>4456</v>
      </c>
      <c r="C2265" t="s">
        <v>251</v>
      </c>
      <c r="D2265" t="s">
        <v>1058</v>
      </c>
      <c r="E2265" t="s">
        <v>1348</v>
      </c>
    </row>
    <row r="2266" spans="1:5" x14ac:dyDescent="0.2">
      <c r="A2266" t="s">
        <v>4457</v>
      </c>
      <c r="B2266" t="s">
        <v>4458</v>
      </c>
      <c r="C2266" t="s">
        <v>251</v>
      </c>
      <c r="D2266" t="s">
        <v>1058</v>
      </c>
      <c r="E2266" t="s">
        <v>1348</v>
      </c>
    </row>
    <row r="2267" spans="1:5" x14ac:dyDescent="0.2">
      <c r="A2267" t="s">
        <v>4459</v>
      </c>
      <c r="B2267" t="s">
        <v>4460</v>
      </c>
      <c r="C2267" t="s">
        <v>251</v>
      </c>
      <c r="D2267" t="s">
        <v>539</v>
      </c>
      <c r="E2267" t="s">
        <v>1348</v>
      </c>
    </row>
    <row r="2268" spans="1:5" x14ac:dyDescent="0.2">
      <c r="A2268" t="s">
        <v>4461</v>
      </c>
      <c r="B2268" t="s">
        <v>4462</v>
      </c>
      <c r="C2268" t="s">
        <v>251</v>
      </c>
      <c r="D2268" t="s">
        <v>241</v>
      </c>
      <c r="E2268" t="s">
        <v>1348</v>
      </c>
    </row>
    <row r="2269" spans="1:5" x14ac:dyDescent="0.2">
      <c r="A2269" t="s">
        <v>4463</v>
      </c>
      <c r="B2269" t="s">
        <v>4464</v>
      </c>
      <c r="C2269" t="s">
        <v>251</v>
      </c>
      <c r="D2269" t="s">
        <v>241</v>
      </c>
      <c r="E2269" t="s">
        <v>1348</v>
      </c>
    </row>
    <row r="2270" spans="1:5" x14ac:dyDescent="0.2">
      <c r="A2270" t="s">
        <v>4465</v>
      </c>
      <c r="B2270" t="s">
        <v>4466</v>
      </c>
      <c r="C2270" t="s">
        <v>199</v>
      </c>
      <c r="D2270" t="s">
        <v>224</v>
      </c>
      <c r="E2270" t="s">
        <v>1348</v>
      </c>
    </row>
    <row r="2271" spans="1:5" x14ac:dyDescent="0.2">
      <c r="A2271" t="s">
        <v>4467</v>
      </c>
      <c r="B2271" t="s">
        <v>4468</v>
      </c>
      <c r="C2271" t="s">
        <v>227</v>
      </c>
      <c r="D2271" t="s">
        <v>358</v>
      </c>
      <c r="E2271" t="s">
        <v>234</v>
      </c>
    </row>
    <row r="2272" spans="1:5" x14ac:dyDescent="0.2">
      <c r="A2272" t="s">
        <v>4469</v>
      </c>
      <c r="B2272" t="s">
        <v>4470</v>
      </c>
      <c r="C2272" t="s">
        <v>227</v>
      </c>
      <c r="D2272" t="s">
        <v>245</v>
      </c>
      <c r="E2272" t="s">
        <v>324</v>
      </c>
    </row>
    <row r="2273" spans="1:5" x14ac:dyDescent="0.2">
      <c r="A2273" t="s">
        <v>4471</v>
      </c>
      <c r="B2273" t="s">
        <v>4472</v>
      </c>
      <c r="C2273" t="s">
        <v>227</v>
      </c>
      <c r="D2273" t="s">
        <v>245</v>
      </c>
      <c r="E2273" t="s">
        <v>1348</v>
      </c>
    </row>
    <row r="2274" spans="1:5" x14ac:dyDescent="0.2">
      <c r="A2274" t="s">
        <v>4473</v>
      </c>
      <c r="B2274" t="s">
        <v>4474</v>
      </c>
      <c r="C2274" t="s">
        <v>227</v>
      </c>
      <c r="D2274" t="s">
        <v>2856</v>
      </c>
      <c r="E2274" t="s">
        <v>1348</v>
      </c>
    </row>
    <row r="2275" spans="1:5" x14ac:dyDescent="0.2">
      <c r="A2275" t="s">
        <v>4475</v>
      </c>
      <c r="B2275" t="s">
        <v>4476</v>
      </c>
      <c r="C2275" t="s">
        <v>227</v>
      </c>
      <c r="D2275" t="s">
        <v>2856</v>
      </c>
      <c r="E2275" t="s">
        <v>1348</v>
      </c>
    </row>
    <row r="2276" spans="1:5" x14ac:dyDescent="0.2">
      <c r="A2276" t="s">
        <v>4477</v>
      </c>
      <c r="B2276" t="s">
        <v>4478</v>
      </c>
      <c r="C2276" t="s">
        <v>227</v>
      </c>
      <c r="D2276" t="s">
        <v>1063</v>
      </c>
      <c r="E2276" t="s">
        <v>1348</v>
      </c>
    </row>
    <row r="2277" spans="1:5" x14ac:dyDescent="0.2">
      <c r="A2277" t="s">
        <v>4479</v>
      </c>
      <c r="B2277" t="s">
        <v>4480</v>
      </c>
      <c r="C2277" t="s">
        <v>227</v>
      </c>
      <c r="D2277" t="s">
        <v>462</v>
      </c>
      <c r="E2277" t="s">
        <v>1348</v>
      </c>
    </row>
    <row r="2278" spans="1:5" x14ac:dyDescent="0.2">
      <c r="A2278" t="s">
        <v>4481</v>
      </c>
      <c r="B2278" t="s">
        <v>4482</v>
      </c>
      <c r="C2278" t="s">
        <v>251</v>
      </c>
      <c r="D2278" t="s">
        <v>734</v>
      </c>
      <c r="E2278" t="s">
        <v>234</v>
      </c>
    </row>
    <row r="2279" spans="1:5" x14ac:dyDescent="0.2">
      <c r="A2279" t="s">
        <v>4483</v>
      </c>
      <c r="B2279" t="s">
        <v>4484</v>
      </c>
      <c r="C2279" t="s">
        <v>251</v>
      </c>
      <c r="D2279" t="s">
        <v>734</v>
      </c>
      <c r="E2279" t="s">
        <v>234</v>
      </c>
    </row>
    <row r="2280" spans="1:5" x14ac:dyDescent="0.2">
      <c r="A2280" t="s">
        <v>4485</v>
      </c>
      <c r="B2280" t="s">
        <v>4486</v>
      </c>
      <c r="C2280" t="s">
        <v>251</v>
      </c>
      <c r="D2280" t="s">
        <v>766</v>
      </c>
      <c r="E2280" t="s">
        <v>234</v>
      </c>
    </row>
    <row r="2281" spans="1:5" x14ac:dyDescent="0.2">
      <c r="A2281" t="s">
        <v>4487</v>
      </c>
      <c r="B2281" t="s">
        <v>4488</v>
      </c>
      <c r="C2281" t="s">
        <v>219</v>
      </c>
      <c r="D2281" t="s">
        <v>93</v>
      </c>
      <c r="E2281" t="s">
        <v>4489</v>
      </c>
    </row>
    <row r="2282" spans="1:5" x14ac:dyDescent="0.2">
      <c r="A2282" t="s">
        <v>4490</v>
      </c>
      <c r="B2282" t="s">
        <v>4491</v>
      </c>
      <c r="C2282" t="s">
        <v>219</v>
      </c>
      <c r="D2282" t="s">
        <v>93</v>
      </c>
      <c r="E2282" t="s">
        <v>4489</v>
      </c>
    </row>
    <row r="2283" spans="1:5" x14ac:dyDescent="0.2">
      <c r="A2283" t="s">
        <v>4492</v>
      </c>
      <c r="B2283" t="s">
        <v>4493</v>
      </c>
      <c r="C2283" t="s">
        <v>251</v>
      </c>
      <c r="D2283" t="s">
        <v>400</v>
      </c>
      <c r="E2283" t="s">
        <v>9135</v>
      </c>
    </row>
    <row r="2284" spans="1:5" x14ac:dyDescent="0.2">
      <c r="A2284" t="s">
        <v>4494</v>
      </c>
      <c r="B2284" t="s">
        <v>4495</v>
      </c>
      <c r="C2284" t="s">
        <v>251</v>
      </c>
      <c r="D2284" t="s">
        <v>2682</v>
      </c>
      <c r="E2284" t="s">
        <v>9135</v>
      </c>
    </row>
    <row r="2285" spans="1:5" x14ac:dyDescent="0.2">
      <c r="A2285" t="s">
        <v>4496</v>
      </c>
      <c r="B2285" t="s">
        <v>4497</v>
      </c>
      <c r="C2285" t="s">
        <v>251</v>
      </c>
      <c r="D2285" t="s">
        <v>2682</v>
      </c>
      <c r="E2285" t="s">
        <v>9135</v>
      </c>
    </row>
    <row r="2286" spans="1:5" x14ac:dyDescent="0.2">
      <c r="A2286" t="s">
        <v>4682</v>
      </c>
      <c r="B2286" t="s">
        <v>9335</v>
      </c>
      <c r="C2286" t="s">
        <v>261</v>
      </c>
      <c r="D2286" t="s">
        <v>1081</v>
      </c>
      <c r="E2286" t="s">
        <v>9135</v>
      </c>
    </row>
    <row r="2287" spans="1:5" x14ac:dyDescent="0.2">
      <c r="A2287" t="s">
        <v>4683</v>
      </c>
      <c r="B2287" t="s">
        <v>9336</v>
      </c>
      <c r="C2287" t="s">
        <v>261</v>
      </c>
      <c r="D2287" t="s">
        <v>1081</v>
      </c>
      <c r="E2287" t="s">
        <v>9135</v>
      </c>
    </row>
    <row r="2288" spans="1:5" x14ac:dyDescent="0.2">
      <c r="A2288" t="s">
        <v>4684</v>
      </c>
      <c r="B2288" t="s">
        <v>9337</v>
      </c>
      <c r="C2288" t="s">
        <v>261</v>
      </c>
      <c r="D2288" t="s">
        <v>842</v>
      </c>
      <c r="E2288" t="s">
        <v>9135</v>
      </c>
    </row>
    <row r="2289" spans="1:5" x14ac:dyDescent="0.2">
      <c r="A2289" t="s">
        <v>4685</v>
      </c>
      <c r="B2289" t="s">
        <v>9338</v>
      </c>
      <c r="C2289" t="s">
        <v>261</v>
      </c>
      <c r="D2289" t="s">
        <v>842</v>
      </c>
      <c r="E2289" t="s">
        <v>9135</v>
      </c>
    </row>
    <row r="2290" spans="1:5" x14ac:dyDescent="0.2">
      <c r="A2290" t="s">
        <v>4498</v>
      </c>
      <c r="B2290" t="s">
        <v>4499</v>
      </c>
      <c r="C2290" t="s">
        <v>345</v>
      </c>
      <c r="D2290" t="s">
        <v>2682</v>
      </c>
      <c r="E2290" t="s">
        <v>9135</v>
      </c>
    </row>
    <row r="2291" spans="1:5" x14ac:dyDescent="0.2">
      <c r="A2291" t="s">
        <v>4500</v>
      </c>
      <c r="B2291" t="s">
        <v>4501</v>
      </c>
      <c r="C2291" t="s">
        <v>345</v>
      </c>
      <c r="D2291" t="s">
        <v>2682</v>
      </c>
      <c r="E2291" t="s">
        <v>9135</v>
      </c>
    </row>
    <row r="2292" spans="1:5" x14ac:dyDescent="0.2">
      <c r="A2292" t="s">
        <v>4502</v>
      </c>
      <c r="B2292" t="s">
        <v>4503</v>
      </c>
      <c r="C2292" t="s">
        <v>345</v>
      </c>
      <c r="D2292" t="s">
        <v>893</v>
      </c>
      <c r="E2292" t="s">
        <v>9135</v>
      </c>
    </row>
    <row r="2293" spans="1:5" x14ac:dyDescent="0.2">
      <c r="A2293" t="s">
        <v>4504</v>
      </c>
      <c r="B2293" t="s">
        <v>4505</v>
      </c>
      <c r="C2293" t="s">
        <v>345</v>
      </c>
      <c r="D2293" t="s">
        <v>893</v>
      </c>
      <c r="E2293" t="s">
        <v>9135</v>
      </c>
    </row>
    <row r="2294" spans="1:5" x14ac:dyDescent="0.2">
      <c r="A2294" t="s">
        <v>4506</v>
      </c>
      <c r="B2294" t="s">
        <v>4507</v>
      </c>
      <c r="C2294" t="s">
        <v>349</v>
      </c>
      <c r="D2294" t="s">
        <v>2682</v>
      </c>
      <c r="E2294" t="s">
        <v>9135</v>
      </c>
    </row>
    <row r="2295" spans="1:5" x14ac:dyDescent="0.2">
      <c r="A2295" t="s">
        <v>4508</v>
      </c>
      <c r="B2295" t="s">
        <v>4509</v>
      </c>
      <c r="C2295" t="s">
        <v>349</v>
      </c>
      <c r="D2295" t="s">
        <v>2682</v>
      </c>
      <c r="E2295" t="s">
        <v>9135</v>
      </c>
    </row>
    <row r="2296" spans="1:5" x14ac:dyDescent="0.2">
      <c r="A2296" t="s">
        <v>4510</v>
      </c>
      <c r="B2296" t="s">
        <v>4511</v>
      </c>
      <c r="C2296" t="s">
        <v>349</v>
      </c>
      <c r="D2296" t="s">
        <v>893</v>
      </c>
      <c r="E2296" t="s">
        <v>9135</v>
      </c>
    </row>
    <row r="2297" spans="1:5" x14ac:dyDescent="0.2">
      <c r="A2297" t="s">
        <v>4512</v>
      </c>
      <c r="B2297" t="s">
        <v>4513</v>
      </c>
      <c r="C2297" t="s">
        <v>349</v>
      </c>
      <c r="D2297" t="s">
        <v>893</v>
      </c>
      <c r="E2297" t="s">
        <v>9135</v>
      </c>
    </row>
    <row r="2298" spans="1:5" x14ac:dyDescent="0.2">
      <c r="A2298" t="s">
        <v>4514</v>
      </c>
      <c r="B2298" t="s">
        <v>4515</v>
      </c>
      <c r="C2298" t="s">
        <v>376</v>
      </c>
      <c r="D2298" t="s">
        <v>422</v>
      </c>
      <c r="E2298" t="s">
        <v>9135</v>
      </c>
    </row>
    <row r="2299" spans="1:5" x14ac:dyDescent="0.2">
      <c r="A2299" t="s">
        <v>4516</v>
      </c>
      <c r="B2299" t="s">
        <v>4517</v>
      </c>
      <c r="C2299" t="s">
        <v>376</v>
      </c>
      <c r="D2299" t="s">
        <v>422</v>
      </c>
      <c r="E2299" t="s">
        <v>9135</v>
      </c>
    </row>
    <row r="2300" spans="1:5" x14ac:dyDescent="0.2">
      <c r="A2300" t="s">
        <v>4518</v>
      </c>
      <c r="B2300" t="s">
        <v>4519</v>
      </c>
      <c r="C2300" t="s">
        <v>376</v>
      </c>
      <c r="D2300" t="s">
        <v>156</v>
      </c>
      <c r="E2300" t="s">
        <v>9135</v>
      </c>
    </row>
    <row r="2301" spans="1:5" x14ac:dyDescent="0.2">
      <c r="A2301" t="s">
        <v>4520</v>
      </c>
      <c r="B2301" t="s">
        <v>4521</v>
      </c>
      <c r="C2301" t="s">
        <v>376</v>
      </c>
      <c r="D2301" t="s">
        <v>156</v>
      </c>
      <c r="E2301" t="s">
        <v>9135</v>
      </c>
    </row>
    <row r="2302" spans="1:5" x14ac:dyDescent="0.2">
      <c r="A2302" t="s">
        <v>4522</v>
      </c>
      <c r="B2302" t="s">
        <v>4523</v>
      </c>
      <c r="C2302" t="s">
        <v>1555</v>
      </c>
      <c r="D2302" t="s">
        <v>893</v>
      </c>
      <c r="E2302" t="s">
        <v>9135</v>
      </c>
    </row>
    <row r="2303" spans="1:5" x14ac:dyDescent="0.2">
      <c r="A2303" t="s">
        <v>4524</v>
      </c>
      <c r="B2303" t="s">
        <v>4525</v>
      </c>
      <c r="C2303" t="s">
        <v>1555</v>
      </c>
      <c r="D2303" t="s">
        <v>893</v>
      </c>
      <c r="E2303" t="s">
        <v>9135</v>
      </c>
    </row>
    <row r="2304" spans="1:5" x14ac:dyDescent="0.2">
      <c r="A2304" t="s">
        <v>4526</v>
      </c>
      <c r="B2304" t="s">
        <v>4527</v>
      </c>
      <c r="C2304" t="s">
        <v>1555</v>
      </c>
      <c r="D2304" t="s">
        <v>888</v>
      </c>
      <c r="E2304" t="s">
        <v>9135</v>
      </c>
    </row>
    <row r="2305" spans="1:5" x14ac:dyDescent="0.2">
      <c r="A2305" t="s">
        <v>4528</v>
      </c>
      <c r="B2305" t="s">
        <v>4529</v>
      </c>
      <c r="C2305" t="s">
        <v>104</v>
      </c>
      <c r="D2305" t="s">
        <v>622</v>
      </c>
      <c r="E2305" t="s">
        <v>9135</v>
      </c>
    </row>
    <row r="2306" spans="1:5" x14ac:dyDescent="0.2">
      <c r="A2306" t="s">
        <v>4530</v>
      </c>
      <c r="B2306" t="s">
        <v>4531</v>
      </c>
      <c r="C2306" t="s">
        <v>104</v>
      </c>
      <c r="D2306" t="s">
        <v>622</v>
      </c>
      <c r="E2306" t="s">
        <v>9135</v>
      </c>
    </row>
    <row r="2307" spans="1:5" x14ac:dyDescent="0.2">
      <c r="A2307" t="s">
        <v>4532</v>
      </c>
      <c r="B2307" t="s">
        <v>4533</v>
      </c>
      <c r="C2307" t="s">
        <v>104</v>
      </c>
      <c r="D2307" t="s">
        <v>110</v>
      </c>
      <c r="E2307" t="s">
        <v>9135</v>
      </c>
    </row>
    <row r="2308" spans="1:5" x14ac:dyDescent="0.2">
      <c r="A2308" t="s">
        <v>4534</v>
      </c>
      <c r="B2308" t="s">
        <v>4535</v>
      </c>
      <c r="C2308" t="s">
        <v>104</v>
      </c>
      <c r="D2308" t="s">
        <v>110</v>
      </c>
      <c r="E2308" t="s">
        <v>9135</v>
      </c>
    </row>
    <row r="2309" spans="1:5" x14ac:dyDescent="0.2">
      <c r="A2309" t="s">
        <v>4536</v>
      </c>
      <c r="B2309" t="s">
        <v>4537</v>
      </c>
      <c r="C2309" t="s">
        <v>104</v>
      </c>
      <c r="D2309" t="s">
        <v>166</v>
      </c>
      <c r="E2309" t="s">
        <v>9135</v>
      </c>
    </row>
    <row r="2310" spans="1:5" x14ac:dyDescent="0.2">
      <c r="A2310" t="s">
        <v>4538</v>
      </c>
      <c r="B2310" t="s">
        <v>4539</v>
      </c>
      <c r="C2310" t="s">
        <v>104</v>
      </c>
      <c r="D2310" t="s">
        <v>166</v>
      </c>
      <c r="E2310" t="s">
        <v>9135</v>
      </c>
    </row>
    <row r="2311" spans="1:5" x14ac:dyDescent="0.2">
      <c r="A2311" t="s">
        <v>4540</v>
      </c>
      <c r="B2311" t="s">
        <v>4541</v>
      </c>
      <c r="C2311" t="s">
        <v>287</v>
      </c>
      <c r="D2311" t="s">
        <v>368</v>
      </c>
      <c r="E2311" t="s">
        <v>9135</v>
      </c>
    </row>
    <row r="2312" spans="1:5" x14ac:dyDescent="0.2">
      <c r="A2312" t="s">
        <v>4542</v>
      </c>
      <c r="B2312" t="s">
        <v>4543</v>
      </c>
      <c r="C2312" t="s">
        <v>287</v>
      </c>
      <c r="D2312" t="s">
        <v>368</v>
      </c>
      <c r="E2312" t="s">
        <v>9135</v>
      </c>
    </row>
    <row r="2313" spans="1:5" x14ac:dyDescent="0.2">
      <c r="A2313" t="s">
        <v>4544</v>
      </c>
      <c r="B2313" t="s">
        <v>4545</v>
      </c>
      <c r="C2313" t="s">
        <v>287</v>
      </c>
      <c r="D2313" t="s">
        <v>596</v>
      </c>
      <c r="E2313" t="s">
        <v>9135</v>
      </c>
    </row>
    <row r="2314" spans="1:5" x14ac:dyDescent="0.2">
      <c r="A2314" t="s">
        <v>4546</v>
      </c>
      <c r="B2314" t="s">
        <v>4547</v>
      </c>
      <c r="C2314" t="s">
        <v>287</v>
      </c>
      <c r="D2314" t="s">
        <v>596</v>
      </c>
      <c r="E2314" t="s">
        <v>9135</v>
      </c>
    </row>
    <row r="2315" spans="1:5" x14ac:dyDescent="0.2">
      <c r="A2315" t="s">
        <v>4548</v>
      </c>
      <c r="B2315" t="s">
        <v>4549</v>
      </c>
      <c r="C2315" t="s">
        <v>2833</v>
      </c>
      <c r="D2315" t="s">
        <v>3156</v>
      </c>
      <c r="E2315" t="s">
        <v>9135</v>
      </c>
    </row>
    <row r="2316" spans="1:5" x14ac:dyDescent="0.2">
      <c r="A2316" t="s">
        <v>4550</v>
      </c>
      <c r="B2316" t="s">
        <v>4551</v>
      </c>
      <c r="C2316" t="s">
        <v>2833</v>
      </c>
      <c r="D2316" t="s">
        <v>3156</v>
      </c>
      <c r="E2316" t="s">
        <v>9135</v>
      </c>
    </row>
    <row r="2317" spans="1:5" x14ac:dyDescent="0.2">
      <c r="A2317" t="s">
        <v>4552</v>
      </c>
      <c r="B2317" t="s">
        <v>4553</v>
      </c>
      <c r="C2317" t="s">
        <v>2833</v>
      </c>
      <c r="D2317" t="s">
        <v>566</v>
      </c>
      <c r="E2317" t="s">
        <v>9135</v>
      </c>
    </row>
    <row r="2318" spans="1:5" x14ac:dyDescent="0.2">
      <c r="A2318" t="s">
        <v>4554</v>
      </c>
      <c r="B2318" t="s">
        <v>4555</v>
      </c>
      <c r="C2318" t="s">
        <v>2833</v>
      </c>
      <c r="D2318" t="s">
        <v>566</v>
      </c>
      <c r="E2318" t="s">
        <v>9135</v>
      </c>
    </row>
    <row r="2319" spans="1:5" x14ac:dyDescent="0.2">
      <c r="A2319" t="s">
        <v>4556</v>
      </c>
      <c r="B2319" t="s">
        <v>4557</v>
      </c>
      <c r="C2319" t="s">
        <v>1347</v>
      </c>
      <c r="D2319" t="s">
        <v>888</v>
      </c>
      <c r="E2319" t="s">
        <v>9135</v>
      </c>
    </row>
    <row r="2320" spans="1:5" x14ac:dyDescent="0.2">
      <c r="A2320" t="s">
        <v>4558</v>
      </c>
      <c r="B2320" t="s">
        <v>4559</v>
      </c>
      <c r="C2320" t="s">
        <v>1347</v>
      </c>
      <c r="D2320" t="s">
        <v>888</v>
      </c>
      <c r="E2320" t="s">
        <v>9135</v>
      </c>
    </row>
    <row r="2321" spans="1:5" x14ac:dyDescent="0.2">
      <c r="A2321" t="s">
        <v>4560</v>
      </c>
      <c r="B2321" t="s">
        <v>4561</v>
      </c>
      <c r="C2321" t="s">
        <v>1347</v>
      </c>
      <c r="D2321" t="s">
        <v>341</v>
      </c>
      <c r="E2321" t="s">
        <v>9135</v>
      </c>
    </row>
    <row r="2322" spans="1:5" x14ac:dyDescent="0.2">
      <c r="A2322" t="s">
        <v>4562</v>
      </c>
      <c r="B2322" t="s">
        <v>4563</v>
      </c>
      <c r="C2322" t="s">
        <v>1347</v>
      </c>
      <c r="D2322" t="s">
        <v>341</v>
      </c>
      <c r="E2322" t="s">
        <v>9135</v>
      </c>
    </row>
    <row r="2323" spans="1:5" x14ac:dyDescent="0.2">
      <c r="A2323" t="s">
        <v>4564</v>
      </c>
      <c r="B2323" t="s">
        <v>4565</v>
      </c>
      <c r="C2323" t="s">
        <v>322</v>
      </c>
      <c r="D2323" t="s">
        <v>3100</v>
      </c>
      <c r="E2323" t="s">
        <v>9135</v>
      </c>
    </row>
    <row r="2324" spans="1:5" x14ac:dyDescent="0.2">
      <c r="A2324" t="s">
        <v>4566</v>
      </c>
      <c r="B2324" t="s">
        <v>4567</v>
      </c>
      <c r="C2324" t="s">
        <v>322</v>
      </c>
      <c r="D2324" t="s">
        <v>2712</v>
      </c>
      <c r="E2324" t="s">
        <v>9135</v>
      </c>
    </row>
    <row r="2325" spans="1:5" x14ac:dyDescent="0.2">
      <c r="A2325" t="s">
        <v>4568</v>
      </c>
      <c r="B2325" t="s">
        <v>4569</v>
      </c>
      <c r="C2325" t="s">
        <v>322</v>
      </c>
      <c r="D2325" t="s">
        <v>2712</v>
      </c>
      <c r="E2325" t="s">
        <v>9135</v>
      </c>
    </row>
    <row r="2326" spans="1:5" x14ac:dyDescent="0.2">
      <c r="A2326" t="s">
        <v>4570</v>
      </c>
      <c r="B2326" t="s">
        <v>4571</v>
      </c>
      <c r="C2326" t="s">
        <v>322</v>
      </c>
      <c r="D2326" t="s">
        <v>525</v>
      </c>
      <c r="E2326" t="s">
        <v>9135</v>
      </c>
    </row>
    <row r="2327" spans="1:5" x14ac:dyDescent="0.2">
      <c r="A2327" t="s">
        <v>4572</v>
      </c>
      <c r="B2327" t="s">
        <v>4573</v>
      </c>
      <c r="C2327" t="s">
        <v>322</v>
      </c>
      <c r="D2327" t="s">
        <v>525</v>
      </c>
      <c r="E2327" t="s">
        <v>9135</v>
      </c>
    </row>
    <row r="2328" spans="1:5" x14ac:dyDescent="0.2">
      <c r="A2328" t="s">
        <v>4574</v>
      </c>
      <c r="B2328" t="s">
        <v>4575</v>
      </c>
      <c r="C2328" t="s">
        <v>322</v>
      </c>
      <c r="D2328" t="s">
        <v>258</v>
      </c>
      <c r="E2328" t="s">
        <v>9135</v>
      </c>
    </row>
    <row r="2329" spans="1:5" x14ac:dyDescent="0.2">
      <c r="A2329" t="s">
        <v>4576</v>
      </c>
      <c r="B2329" t="s">
        <v>4577</v>
      </c>
      <c r="C2329" t="s">
        <v>322</v>
      </c>
      <c r="D2329" t="s">
        <v>258</v>
      </c>
      <c r="E2329" t="s">
        <v>9135</v>
      </c>
    </row>
    <row r="2330" spans="1:5" x14ac:dyDescent="0.2">
      <c r="A2330" t="s">
        <v>4578</v>
      </c>
      <c r="B2330" t="s">
        <v>4579</v>
      </c>
      <c r="C2330" t="s">
        <v>322</v>
      </c>
      <c r="D2330" t="s">
        <v>2462</v>
      </c>
      <c r="E2330" t="s">
        <v>9135</v>
      </c>
    </row>
    <row r="2331" spans="1:5" x14ac:dyDescent="0.2">
      <c r="A2331" t="s">
        <v>4580</v>
      </c>
      <c r="B2331" t="s">
        <v>4581</v>
      </c>
      <c r="C2331" t="s">
        <v>244</v>
      </c>
      <c r="D2331" t="s">
        <v>825</v>
      </c>
      <c r="E2331" t="s">
        <v>2558</v>
      </c>
    </row>
    <row r="2332" spans="1:5" x14ac:dyDescent="0.2">
      <c r="A2332" t="s">
        <v>4582</v>
      </c>
      <c r="B2332" t="s">
        <v>4583</v>
      </c>
      <c r="C2332" t="s">
        <v>244</v>
      </c>
      <c r="D2332" t="s">
        <v>825</v>
      </c>
      <c r="E2332" t="s">
        <v>2558</v>
      </c>
    </row>
    <row r="2333" spans="1:5" x14ac:dyDescent="0.2">
      <c r="A2333" t="s">
        <v>4584</v>
      </c>
      <c r="B2333" t="s">
        <v>9339</v>
      </c>
      <c r="C2333" t="s">
        <v>244</v>
      </c>
      <c r="D2333" t="s">
        <v>171</v>
      </c>
      <c r="E2333" t="s">
        <v>9135</v>
      </c>
    </row>
    <row r="2334" spans="1:5" x14ac:dyDescent="0.2">
      <c r="A2334" t="s">
        <v>4585</v>
      </c>
      <c r="B2334" t="s">
        <v>4586</v>
      </c>
      <c r="C2334" t="s">
        <v>244</v>
      </c>
      <c r="D2334" t="s">
        <v>171</v>
      </c>
      <c r="E2334" t="s">
        <v>2558</v>
      </c>
    </row>
    <row r="2335" spans="1:5" x14ac:dyDescent="0.2">
      <c r="A2335" t="s">
        <v>4587</v>
      </c>
      <c r="B2335" t="s">
        <v>4588</v>
      </c>
      <c r="C2335" t="s">
        <v>219</v>
      </c>
      <c r="D2335" t="s">
        <v>314</v>
      </c>
      <c r="E2335" t="s">
        <v>9135</v>
      </c>
    </row>
    <row r="2336" spans="1:5" x14ac:dyDescent="0.2">
      <c r="A2336" t="s">
        <v>4589</v>
      </c>
      <c r="B2336" t="s">
        <v>4590</v>
      </c>
      <c r="C2336" t="s">
        <v>219</v>
      </c>
      <c r="D2336" t="s">
        <v>888</v>
      </c>
      <c r="E2336" t="s">
        <v>9135</v>
      </c>
    </row>
    <row r="2337" spans="1:5" x14ac:dyDescent="0.2">
      <c r="A2337" t="s">
        <v>4591</v>
      </c>
      <c r="B2337" t="s">
        <v>4592</v>
      </c>
      <c r="C2337" t="s">
        <v>251</v>
      </c>
      <c r="D2337" t="s">
        <v>893</v>
      </c>
      <c r="E2337" t="s">
        <v>9135</v>
      </c>
    </row>
    <row r="2338" spans="1:5" x14ac:dyDescent="0.2">
      <c r="A2338" t="s">
        <v>4593</v>
      </c>
      <c r="B2338" t="s">
        <v>4594</v>
      </c>
      <c r="C2338" t="s">
        <v>251</v>
      </c>
      <c r="D2338" t="s">
        <v>893</v>
      </c>
      <c r="E2338" t="s">
        <v>9135</v>
      </c>
    </row>
    <row r="2339" spans="1:5" x14ac:dyDescent="0.2">
      <c r="A2339" t="s">
        <v>4595</v>
      </c>
      <c r="B2339" t="s">
        <v>4596</v>
      </c>
      <c r="C2339" t="s">
        <v>251</v>
      </c>
      <c r="D2339" t="s">
        <v>1691</v>
      </c>
      <c r="E2339" t="s">
        <v>9135</v>
      </c>
    </row>
    <row r="2340" spans="1:5" x14ac:dyDescent="0.2">
      <c r="A2340" t="s">
        <v>4597</v>
      </c>
      <c r="B2340" t="s">
        <v>4598</v>
      </c>
      <c r="C2340" t="s">
        <v>357</v>
      </c>
      <c r="D2340" t="s">
        <v>1994</v>
      </c>
      <c r="E2340" t="s">
        <v>9135</v>
      </c>
    </row>
    <row r="2341" spans="1:5" x14ac:dyDescent="0.2">
      <c r="A2341" t="s">
        <v>4599</v>
      </c>
      <c r="B2341" t="s">
        <v>4600</v>
      </c>
      <c r="C2341" t="s">
        <v>591</v>
      </c>
      <c r="D2341" t="s">
        <v>213</v>
      </c>
      <c r="E2341" t="s">
        <v>9135</v>
      </c>
    </row>
    <row r="2342" spans="1:5" x14ac:dyDescent="0.2">
      <c r="A2342" t="s">
        <v>4601</v>
      </c>
      <c r="B2342" t="s">
        <v>4602</v>
      </c>
      <c r="C2342" t="s">
        <v>219</v>
      </c>
      <c r="D2342" t="s">
        <v>3100</v>
      </c>
      <c r="E2342" t="s">
        <v>9135</v>
      </c>
    </row>
    <row r="2343" spans="1:5" x14ac:dyDescent="0.2">
      <c r="A2343" t="s">
        <v>4603</v>
      </c>
      <c r="B2343" t="s">
        <v>4604</v>
      </c>
      <c r="C2343" t="s">
        <v>219</v>
      </c>
      <c r="D2343" t="s">
        <v>3237</v>
      </c>
      <c r="E2343" t="s">
        <v>9135</v>
      </c>
    </row>
    <row r="2344" spans="1:5" x14ac:dyDescent="0.2">
      <c r="A2344" t="s">
        <v>4605</v>
      </c>
      <c r="B2344" t="s">
        <v>4606</v>
      </c>
      <c r="C2344" t="s">
        <v>219</v>
      </c>
      <c r="D2344" t="s">
        <v>3237</v>
      </c>
      <c r="E2344" t="s">
        <v>9135</v>
      </c>
    </row>
    <row r="2345" spans="1:5" x14ac:dyDescent="0.2">
      <c r="A2345" t="s">
        <v>4607</v>
      </c>
      <c r="B2345" t="s">
        <v>4608</v>
      </c>
      <c r="C2345" t="s">
        <v>219</v>
      </c>
      <c r="D2345" t="s">
        <v>1351</v>
      </c>
      <c r="E2345" t="s">
        <v>9135</v>
      </c>
    </row>
    <row r="2346" spans="1:5" x14ac:dyDescent="0.2">
      <c r="A2346" t="s">
        <v>4609</v>
      </c>
      <c r="B2346" t="s">
        <v>4610</v>
      </c>
      <c r="C2346" t="s">
        <v>331</v>
      </c>
      <c r="D2346" t="s">
        <v>3156</v>
      </c>
      <c r="E2346" t="s">
        <v>9135</v>
      </c>
    </row>
    <row r="2347" spans="1:5" x14ac:dyDescent="0.2">
      <c r="A2347" t="s">
        <v>4611</v>
      </c>
      <c r="B2347" t="s">
        <v>4612</v>
      </c>
      <c r="C2347" t="s">
        <v>331</v>
      </c>
      <c r="D2347" t="s">
        <v>3156</v>
      </c>
      <c r="E2347" t="s">
        <v>9135</v>
      </c>
    </row>
    <row r="2348" spans="1:5" x14ac:dyDescent="0.2">
      <c r="A2348" t="s">
        <v>4613</v>
      </c>
      <c r="B2348" t="s">
        <v>4614</v>
      </c>
      <c r="C2348" t="s">
        <v>331</v>
      </c>
      <c r="D2348" t="s">
        <v>888</v>
      </c>
      <c r="E2348" t="s">
        <v>9135</v>
      </c>
    </row>
    <row r="2349" spans="1:5" x14ac:dyDescent="0.2">
      <c r="A2349" t="s">
        <v>4615</v>
      </c>
      <c r="B2349" t="s">
        <v>4616</v>
      </c>
      <c r="C2349" t="s">
        <v>331</v>
      </c>
      <c r="D2349" t="s">
        <v>888</v>
      </c>
      <c r="E2349" t="s">
        <v>9135</v>
      </c>
    </row>
    <row r="2350" spans="1:5" x14ac:dyDescent="0.2">
      <c r="A2350" t="s">
        <v>4617</v>
      </c>
      <c r="B2350" t="s">
        <v>4618</v>
      </c>
      <c r="C2350" t="s">
        <v>331</v>
      </c>
      <c r="D2350" t="s">
        <v>368</v>
      </c>
      <c r="E2350" t="s">
        <v>9135</v>
      </c>
    </row>
    <row r="2351" spans="1:5" x14ac:dyDescent="0.2">
      <c r="A2351" t="s">
        <v>4619</v>
      </c>
      <c r="B2351" t="s">
        <v>4620</v>
      </c>
      <c r="C2351" t="s">
        <v>331</v>
      </c>
      <c r="D2351" t="s">
        <v>368</v>
      </c>
      <c r="E2351" t="s">
        <v>9135</v>
      </c>
    </row>
    <row r="2352" spans="1:5" x14ac:dyDescent="0.2">
      <c r="A2352" t="s">
        <v>4621</v>
      </c>
      <c r="B2352" t="s">
        <v>4622</v>
      </c>
      <c r="C2352" t="s">
        <v>219</v>
      </c>
      <c r="D2352" t="s">
        <v>1563</v>
      </c>
      <c r="E2352" t="s">
        <v>9135</v>
      </c>
    </row>
    <row r="2353" spans="1:5" x14ac:dyDescent="0.2">
      <c r="A2353" t="s">
        <v>4623</v>
      </c>
      <c r="B2353" t="s">
        <v>4624</v>
      </c>
      <c r="C2353" t="s">
        <v>219</v>
      </c>
      <c r="D2353" t="s">
        <v>1563</v>
      </c>
      <c r="E2353" t="s">
        <v>9135</v>
      </c>
    </row>
    <row r="2354" spans="1:5" x14ac:dyDescent="0.2">
      <c r="A2354" t="s">
        <v>4625</v>
      </c>
      <c r="B2354" t="s">
        <v>4626</v>
      </c>
      <c r="C2354" t="s">
        <v>9093</v>
      </c>
      <c r="D2354" t="s">
        <v>350</v>
      </c>
      <c r="E2354" t="s">
        <v>9135</v>
      </c>
    </row>
    <row r="2355" spans="1:5" x14ac:dyDescent="0.2">
      <c r="A2355" t="s">
        <v>4627</v>
      </c>
      <c r="B2355" t="s">
        <v>4628</v>
      </c>
      <c r="C2355" t="s">
        <v>9093</v>
      </c>
      <c r="D2355" t="s">
        <v>350</v>
      </c>
      <c r="E2355" t="s">
        <v>9135</v>
      </c>
    </row>
    <row r="2356" spans="1:5" x14ac:dyDescent="0.2">
      <c r="A2356" t="s">
        <v>4629</v>
      </c>
      <c r="B2356" t="s">
        <v>4630</v>
      </c>
      <c r="C2356" t="s">
        <v>9093</v>
      </c>
      <c r="D2356" t="s">
        <v>588</v>
      </c>
      <c r="E2356" t="s">
        <v>9135</v>
      </c>
    </row>
    <row r="2357" spans="1:5" x14ac:dyDescent="0.2">
      <c r="A2357" t="s">
        <v>4631</v>
      </c>
      <c r="B2357" t="s">
        <v>4632</v>
      </c>
      <c r="C2357" t="s">
        <v>9093</v>
      </c>
      <c r="D2357" t="s">
        <v>588</v>
      </c>
      <c r="E2357" t="s">
        <v>9135</v>
      </c>
    </row>
    <row r="2358" spans="1:5" x14ac:dyDescent="0.2">
      <c r="A2358" t="s">
        <v>4633</v>
      </c>
      <c r="B2358" t="s">
        <v>4634</v>
      </c>
      <c r="C2358" t="s">
        <v>9093</v>
      </c>
      <c r="D2358" t="s">
        <v>868</v>
      </c>
      <c r="E2358" t="s">
        <v>9135</v>
      </c>
    </row>
    <row r="2359" spans="1:5" x14ac:dyDescent="0.2">
      <c r="A2359" t="s">
        <v>4635</v>
      </c>
      <c r="B2359" t="s">
        <v>4636</v>
      </c>
      <c r="C2359" t="s">
        <v>9093</v>
      </c>
      <c r="D2359" t="s">
        <v>868</v>
      </c>
      <c r="E2359" t="s">
        <v>9135</v>
      </c>
    </row>
    <row r="2360" spans="1:5" x14ac:dyDescent="0.2">
      <c r="A2360" t="s">
        <v>4637</v>
      </c>
      <c r="B2360" t="s">
        <v>4638</v>
      </c>
      <c r="C2360" t="s">
        <v>9093</v>
      </c>
      <c r="D2360" t="s">
        <v>145</v>
      </c>
      <c r="E2360" t="s">
        <v>9135</v>
      </c>
    </row>
    <row r="2361" spans="1:5" x14ac:dyDescent="0.2">
      <c r="A2361" t="s">
        <v>4639</v>
      </c>
      <c r="B2361" t="s">
        <v>4640</v>
      </c>
      <c r="C2361" t="s">
        <v>705</v>
      </c>
      <c r="D2361" t="s">
        <v>714</v>
      </c>
      <c r="E2361" t="s">
        <v>9135</v>
      </c>
    </row>
    <row r="2362" spans="1:5" x14ac:dyDescent="0.2">
      <c r="A2362" t="s">
        <v>4641</v>
      </c>
      <c r="B2362" t="s">
        <v>4642</v>
      </c>
      <c r="C2362" t="s">
        <v>705</v>
      </c>
      <c r="D2362" t="s">
        <v>714</v>
      </c>
      <c r="E2362" t="s">
        <v>9135</v>
      </c>
    </row>
    <row r="2363" spans="1:5" x14ac:dyDescent="0.2">
      <c r="A2363" t="s">
        <v>4643</v>
      </c>
      <c r="B2363" t="s">
        <v>4644</v>
      </c>
      <c r="C2363" t="s">
        <v>705</v>
      </c>
      <c r="D2363" t="s">
        <v>550</v>
      </c>
      <c r="E2363" t="s">
        <v>9135</v>
      </c>
    </row>
    <row r="2364" spans="1:5" x14ac:dyDescent="0.2">
      <c r="A2364" t="s">
        <v>4645</v>
      </c>
      <c r="B2364" t="s">
        <v>4646</v>
      </c>
      <c r="C2364" t="s">
        <v>705</v>
      </c>
      <c r="D2364" t="s">
        <v>550</v>
      </c>
      <c r="E2364" t="s">
        <v>9135</v>
      </c>
    </row>
    <row r="2365" spans="1:5" x14ac:dyDescent="0.2">
      <c r="A2365" t="s">
        <v>4647</v>
      </c>
      <c r="B2365" t="s">
        <v>4648</v>
      </c>
      <c r="C2365" t="s">
        <v>9124</v>
      </c>
      <c r="D2365" t="s">
        <v>350</v>
      </c>
      <c r="E2365" t="s">
        <v>9135</v>
      </c>
    </row>
    <row r="2366" spans="1:5" x14ac:dyDescent="0.2">
      <c r="A2366" t="s">
        <v>4649</v>
      </c>
      <c r="B2366" t="s">
        <v>4650</v>
      </c>
      <c r="C2366" t="s">
        <v>9124</v>
      </c>
      <c r="D2366" t="s">
        <v>350</v>
      </c>
      <c r="E2366" t="s">
        <v>9135</v>
      </c>
    </row>
    <row r="2367" spans="1:5" x14ac:dyDescent="0.2">
      <c r="A2367" t="s">
        <v>4651</v>
      </c>
      <c r="B2367" t="s">
        <v>4652</v>
      </c>
      <c r="C2367" t="s">
        <v>9124</v>
      </c>
      <c r="D2367" t="s">
        <v>314</v>
      </c>
      <c r="E2367" t="s">
        <v>9135</v>
      </c>
    </row>
    <row r="2368" spans="1:5" x14ac:dyDescent="0.2">
      <c r="A2368" t="s">
        <v>4653</v>
      </c>
      <c r="B2368" t="s">
        <v>4654</v>
      </c>
      <c r="C2368" t="s">
        <v>9124</v>
      </c>
      <c r="D2368" t="s">
        <v>314</v>
      </c>
      <c r="E2368" t="s">
        <v>9135</v>
      </c>
    </row>
    <row r="2369" spans="1:5" x14ac:dyDescent="0.2">
      <c r="A2369" t="s">
        <v>4655</v>
      </c>
      <c r="B2369" t="s">
        <v>4656</v>
      </c>
      <c r="C2369" t="s">
        <v>669</v>
      </c>
      <c r="D2369" t="s">
        <v>893</v>
      </c>
      <c r="E2369" t="s">
        <v>9135</v>
      </c>
    </row>
    <row r="2370" spans="1:5" x14ac:dyDescent="0.2">
      <c r="A2370" t="s">
        <v>4657</v>
      </c>
      <c r="B2370" t="s">
        <v>4658</v>
      </c>
      <c r="C2370" t="s">
        <v>669</v>
      </c>
      <c r="D2370" t="s">
        <v>893</v>
      </c>
      <c r="E2370" t="s">
        <v>9135</v>
      </c>
    </row>
    <row r="2371" spans="1:5" x14ac:dyDescent="0.2">
      <c r="A2371" t="s">
        <v>4659</v>
      </c>
      <c r="B2371" t="s">
        <v>4660</v>
      </c>
      <c r="C2371" t="s">
        <v>669</v>
      </c>
      <c r="D2371" t="s">
        <v>350</v>
      </c>
      <c r="E2371" t="s">
        <v>9135</v>
      </c>
    </row>
    <row r="2372" spans="1:5" x14ac:dyDescent="0.2">
      <c r="A2372" t="s">
        <v>4661</v>
      </c>
      <c r="B2372" t="s">
        <v>4662</v>
      </c>
      <c r="C2372" t="s">
        <v>669</v>
      </c>
      <c r="D2372" t="s">
        <v>350</v>
      </c>
      <c r="E2372" t="s">
        <v>9135</v>
      </c>
    </row>
    <row r="2373" spans="1:5" x14ac:dyDescent="0.2">
      <c r="A2373" t="s">
        <v>4663</v>
      </c>
      <c r="B2373" t="s">
        <v>4664</v>
      </c>
      <c r="C2373" t="s">
        <v>219</v>
      </c>
      <c r="D2373" t="s">
        <v>295</v>
      </c>
      <c r="E2373" t="s">
        <v>9135</v>
      </c>
    </row>
    <row r="2374" spans="1:5" x14ac:dyDescent="0.2">
      <c r="A2374" t="s">
        <v>4665</v>
      </c>
      <c r="B2374" t="s">
        <v>4666</v>
      </c>
      <c r="C2374" t="s">
        <v>219</v>
      </c>
      <c r="D2374" t="s">
        <v>295</v>
      </c>
      <c r="E2374" t="s">
        <v>9135</v>
      </c>
    </row>
    <row r="2375" spans="1:5" x14ac:dyDescent="0.2">
      <c r="A2375" t="s">
        <v>4667</v>
      </c>
      <c r="B2375" t="s">
        <v>4668</v>
      </c>
      <c r="C2375" t="s">
        <v>1183</v>
      </c>
      <c r="D2375" t="s">
        <v>350</v>
      </c>
      <c r="E2375" t="s">
        <v>9135</v>
      </c>
    </row>
    <row r="2376" spans="1:5" x14ac:dyDescent="0.2">
      <c r="A2376" t="s">
        <v>4670</v>
      </c>
      <c r="B2376" t="s">
        <v>4671</v>
      </c>
      <c r="C2376" t="s">
        <v>1183</v>
      </c>
      <c r="D2376" t="s">
        <v>350</v>
      </c>
      <c r="E2376" t="s">
        <v>9135</v>
      </c>
    </row>
    <row r="2377" spans="1:5" x14ac:dyDescent="0.2">
      <c r="A2377" t="s">
        <v>4672</v>
      </c>
      <c r="B2377" t="s">
        <v>4673</v>
      </c>
      <c r="C2377" t="s">
        <v>1183</v>
      </c>
      <c r="D2377" t="s">
        <v>346</v>
      </c>
      <c r="E2377" t="s">
        <v>9135</v>
      </c>
    </row>
    <row r="2378" spans="1:5" x14ac:dyDescent="0.2">
      <c r="A2378" t="s">
        <v>4674</v>
      </c>
      <c r="B2378" t="s">
        <v>4675</v>
      </c>
      <c r="C2378" t="s">
        <v>1183</v>
      </c>
      <c r="D2378" t="s">
        <v>2199</v>
      </c>
      <c r="E2378" t="s">
        <v>9135</v>
      </c>
    </row>
    <row r="2379" spans="1:5" x14ac:dyDescent="0.2">
      <c r="A2379" t="s">
        <v>4676</v>
      </c>
      <c r="B2379" t="s">
        <v>4677</v>
      </c>
      <c r="C2379" t="s">
        <v>251</v>
      </c>
      <c r="D2379" t="s">
        <v>241</v>
      </c>
      <c r="E2379" t="s">
        <v>9135</v>
      </c>
    </row>
    <row r="2380" spans="1:5" x14ac:dyDescent="0.2">
      <c r="A2380" t="s">
        <v>4678</v>
      </c>
      <c r="B2380" t="s">
        <v>4679</v>
      </c>
      <c r="C2380" t="s">
        <v>251</v>
      </c>
      <c r="D2380" t="s">
        <v>241</v>
      </c>
      <c r="E2380" t="s">
        <v>9135</v>
      </c>
    </row>
    <row r="2381" spans="1:5" x14ac:dyDescent="0.2">
      <c r="A2381" t="s">
        <v>4680</v>
      </c>
      <c r="B2381" t="s">
        <v>4681</v>
      </c>
      <c r="C2381" t="s">
        <v>251</v>
      </c>
      <c r="D2381" t="s">
        <v>180</v>
      </c>
      <c r="E2381" t="s">
        <v>9135</v>
      </c>
    </row>
    <row r="2382" spans="1:5" x14ac:dyDescent="0.2">
      <c r="A2382" t="s">
        <v>4686</v>
      </c>
      <c r="B2382" t="s">
        <v>4687</v>
      </c>
      <c r="C2382" t="s">
        <v>219</v>
      </c>
      <c r="D2382" t="s">
        <v>3118</v>
      </c>
      <c r="E2382" t="s">
        <v>9135</v>
      </c>
    </row>
    <row r="2383" spans="1:5" x14ac:dyDescent="0.2">
      <c r="A2383" t="s">
        <v>4688</v>
      </c>
      <c r="B2383" t="s">
        <v>4689</v>
      </c>
      <c r="C2383" t="s">
        <v>219</v>
      </c>
      <c r="D2383" t="s">
        <v>714</v>
      </c>
      <c r="E2383" t="s">
        <v>9135</v>
      </c>
    </row>
    <row r="2384" spans="1:5" x14ac:dyDescent="0.2">
      <c r="A2384" t="s">
        <v>4690</v>
      </c>
      <c r="B2384" t="s">
        <v>4691</v>
      </c>
      <c r="C2384" t="s">
        <v>219</v>
      </c>
      <c r="D2384" t="s">
        <v>714</v>
      </c>
      <c r="E2384" t="s">
        <v>9135</v>
      </c>
    </row>
    <row r="2385" spans="1:5" x14ac:dyDescent="0.2">
      <c r="A2385" t="s">
        <v>4692</v>
      </c>
      <c r="B2385" t="s">
        <v>4693</v>
      </c>
      <c r="C2385" t="s">
        <v>219</v>
      </c>
      <c r="D2385" t="s">
        <v>1322</v>
      </c>
      <c r="E2385" t="s">
        <v>9135</v>
      </c>
    </row>
    <row r="2386" spans="1:5" x14ac:dyDescent="0.2">
      <c r="A2386" t="s">
        <v>4694</v>
      </c>
      <c r="B2386" t="s">
        <v>4695</v>
      </c>
      <c r="C2386" t="s">
        <v>742</v>
      </c>
      <c r="D2386" t="s">
        <v>2682</v>
      </c>
      <c r="E2386" t="s">
        <v>9135</v>
      </c>
    </row>
    <row r="2387" spans="1:5" x14ac:dyDescent="0.2">
      <c r="A2387" t="s">
        <v>4696</v>
      </c>
      <c r="B2387" t="s">
        <v>4697</v>
      </c>
      <c r="C2387" t="s">
        <v>742</v>
      </c>
      <c r="D2387" t="s">
        <v>2682</v>
      </c>
      <c r="E2387" t="s">
        <v>9135</v>
      </c>
    </row>
    <row r="2388" spans="1:5" x14ac:dyDescent="0.2">
      <c r="A2388" t="s">
        <v>4698</v>
      </c>
      <c r="B2388" t="s">
        <v>4699</v>
      </c>
      <c r="C2388" t="s">
        <v>742</v>
      </c>
      <c r="D2388" t="s">
        <v>893</v>
      </c>
      <c r="E2388" t="s">
        <v>9135</v>
      </c>
    </row>
    <row r="2389" spans="1:5" x14ac:dyDescent="0.2">
      <c r="A2389" t="s">
        <v>4700</v>
      </c>
      <c r="B2389" t="s">
        <v>4701</v>
      </c>
      <c r="C2389" t="s">
        <v>742</v>
      </c>
      <c r="D2389" t="s">
        <v>893</v>
      </c>
      <c r="E2389" t="s">
        <v>9135</v>
      </c>
    </row>
    <row r="2390" spans="1:5" x14ac:dyDescent="0.2">
      <c r="A2390" t="s">
        <v>4702</v>
      </c>
      <c r="B2390" t="s">
        <v>4703</v>
      </c>
      <c r="C2390" t="s">
        <v>742</v>
      </c>
      <c r="D2390" t="s">
        <v>260</v>
      </c>
      <c r="E2390" t="s">
        <v>9135</v>
      </c>
    </row>
    <row r="2391" spans="1:5" x14ac:dyDescent="0.2">
      <c r="A2391" t="s">
        <v>4704</v>
      </c>
      <c r="B2391" t="s">
        <v>4705</v>
      </c>
      <c r="C2391" t="s">
        <v>742</v>
      </c>
      <c r="D2391" t="s">
        <v>260</v>
      </c>
      <c r="E2391" t="s">
        <v>9135</v>
      </c>
    </row>
    <row r="2392" spans="1:5" x14ac:dyDescent="0.2">
      <c r="A2392" t="s">
        <v>4706</v>
      </c>
      <c r="B2392" t="s">
        <v>4707</v>
      </c>
      <c r="C2392" t="s">
        <v>244</v>
      </c>
      <c r="D2392" t="s">
        <v>1664</v>
      </c>
      <c r="E2392" t="s">
        <v>9135</v>
      </c>
    </row>
    <row r="2393" spans="1:5" x14ac:dyDescent="0.2">
      <c r="A2393" t="s">
        <v>4708</v>
      </c>
      <c r="B2393" t="s">
        <v>4709</v>
      </c>
      <c r="C2393" t="s">
        <v>244</v>
      </c>
      <c r="D2393" t="s">
        <v>1664</v>
      </c>
      <c r="E2393" t="s">
        <v>9135</v>
      </c>
    </row>
    <row r="2394" spans="1:5" x14ac:dyDescent="0.2">
      <c r="A2394" t="s">
        <v>4710</v>
      </c>
      <c r="B2394" t="s">
        <v>4711</v>
      </c>
      <c r="C2394" t="s">
        <v>244</v>
      </c>
      <c r="D2394" t="s">
        <v>245</v>
      </c>
      <c r="E2394" t="s">
        <v>9135</v>
      </c>
    </row>
    <row r="2395" spans="1:5" x14ac:dyDescent="0.2">
      <c r="A2395" t="s">
        <v>4712</v>
      </c>
      <c r="B2395" t="s">
        <v>4713</v>
      </c>
      <c r="C2395" t="s">
        <v>244</v>
      </c>
      <c r="D2395" t="s">
        <v>245</v>
      </c>
      <c r="E2395" t="s">
        <v>9135</v>
      </c>
    </row>
    <row r="2396" spans="1:5" x14ac:dyDescent="0.2">
      <c r="A2396" t="s">
        <v>4714</v>
      </c>
      <c r="B2396" t="s">
        <v>4715</v>
      </c>
      <c r="C2396" t="s">
        <v>120</v>
      </c>
      <c r="D2396" t="s">
        <v>1664</v>
      </c>
      <c r="E2396" t="s">
        <v>9135</v>
      </c>
    </row>
    <row r="2397" spans="1:5" x14ac:dyDescent="0.2">
      <c r="A2397" t="s">
        <v>4716</v>
      </c>
      <c r="B2397" t="s">
        <v>4717</v>
      </c>
      <c r="C2397" t="s">
        <v>120</v>
      </c>
      <c r="D2397" t="s">
        <v>1664</v>
      </c>
      <c r="E2397" t="s">
        <v>9135</v>
      </c>
    </row>
    <row r="2398" spans="1:5" x14ac:dyDescent="0.2">
      <c r="A2398" t="s">
        <v>4718</v>
      </c>
      <c r="B2398" t="s">
        <v>4719</v>
      </c>
      <c r="C2398" t="s">
        <v>120</v>
      </c>
      <c r="D2398" t="s">
        <v>568</v>
      </c>
      <c r="E2398" t="s">
        <v>9135</v>
      </c>
    </row>
    <row r="2399" spans="1:5" x14ac:dyDescent="0.2">
      <c r="A2399" t="s">
        <v>4720</v>
      </c>
      <c r="B2399" t="s">
        <v>4721</v>
      </c>
      <c r="C2399" t="s">
        <v>104</v>
      </c>
      <c r="D2399" t="s">
        <v>871</v>
      </c>
      <c r="E2399" t="s">
        <v>9135</v>
      </c>
    </row>
    <row r="2400" spans="1:5" x14ac:dyDescent="0.2">
      <c r="A2400" t="s">
        <v>4722</v>
      </c>
      <c r="B2400" t="s">
        <v>4723</v>
      </c>
      <c r="C2400" t="s">
        <v>104</v>
      </c>
      <c r="D2400" t="s">
        <v>871</v>
      </c>
      <c r="E2400" t="s">
        <v>9135</v>
      </c>
    </row>
    <row r="2401" spans="1:5" x14ac:dyDescent="0.2">
      <c r="A2401" t="s">
        <v>4724</v>
      </c>
      <c r="B2401" t="s">
        <v>4725</v>
      </c>
      <c r="C2401" t="s">
        <v>131</v>
      </c>
      <c r="D2401" t="s">
        <v>871</v>
      </c>
      <c r="E2401" t="s">
        <v>9135</v>
      </c>
    </row>
    <row r="2402" spans="1:5" x14ac:dyDescent="0.2">
      <c r="A2402" t="s">
        <v>4726</v>
      </c>
      <c r="B2402" t="s">
        <v>4727</v>
      </c>
      <c r="C2402" t="s">
        <v>131</v>
      </c>
      <c r="D2402" t="s">
        <v>871</v>
      </c>
      <c r="E2402" t="s">
        <v>9135</v>
      </c>
    </row>
    <row r="2403" spans="1:5" x14ac:dyDescent="0.2">
      <c r="A2403" t="s">
        <v>4728</v>
      </c>
      <c r="B2403" t="s">
        <v>4729</v>
      </c>
      <c r="C2403" t="s">
        <v>131</v>
      </c>
      <c r="D2403" t="s">
        <v>813</v>
      </c>
      <c r="E2403" t="s">
        <v>9135</v>
      </c>
    </row>
    <row r="2404" spans="1:5" x14ac:dyDescent="0.2">
      <c r="A2404" t="s">
        <v>4730</v>
      </c>
      <c r="B2404" t="s">
        <v>4731</v>
      </c>
      <c r="C2404" t="s">
        <v>219</v>
      </c>
      <c r="D2404" t="s">
        <v>888</v>
      </c>
      <c r="E2404" t="s">
        <v>9135</v>
      </c>
    </row>
    <row r="2405" spans="1:5" x14ac:dyDescent="0.2">
      <c r="A2405" t="s">
        <v>4732</v>
      </c>
      <c r="B2405" t="s">
        <v>4733</v>
      </c>
      <c r="C2405" t="s">
        <v>219</v>
      </c>
      <c r="D2405" t="s">
        <v>888</v>
      </c>
      <c r="E2405" t="s">
        <v>9135</v>
      </c>
    </row>
    <row r="2406" spans="1:5" x14ac:dyDescent="0.2">
      <c r="A2406" t="s">
        <v>4734</v>
      </c>
      <c r="B2406" t="s">
        <v>4735</v>
      </c>
      <c r="C2406" t="s">
        <v>219</v>
      </c>
      <c r="D2406" t="s">
        <v>710</v>
      </c>
      <c r="E2406" t="s">
        <v>9135</v>
      </c>
    </row>
    <row r="2407" spans="1:5" x14ac:dyDescent="0.2">
      <c r="A2407" t="s">
        <v>4736</v>
      </c>
      <c r="B2407" t="s">
        <v>4737</v>
      </c>
      <c r="C2407" t="s">
        <v>219</v>
      </c>
      <c r="D2407" t="s">
        <v>710</v>
      </c>
      <c r="E2407" t="s">
        <v>9135</v>
      </c>
    </row>
    <row r="2408" spans="1:5" x14ac:dyDescent="0.2">
      <c r="A2408" t="s">
        <v>4738</v>
      </c>
      <c r="B2408" t="s">
        <v>4739</v>
      </c>
      <c r="C2408" t="s">
        <v>131</v>
      </c>
      <c r="D2408" t="s">
        <v>547</v>
      </c>
      <c r="E2408" t="s">
        <v>9135</v>
      </c>
    </row>
    <row r="2409" spans="1:5" x14ac:dyDescent="0.2">
      <c r="A2409" t="s">
        <v>4740</v>
      </c>
      <c r="B2409" t="s">
        <v>4741</v>
      </c>
      <c r="C2409" t="s">
        <v>131</v>
      </c>
      <c r="D2409" t="s">
        <v>547</v>
      </c>
      <c r="E2409" t="s">
        <v>9135</v>
      </c>
    </row>
    <row r="2410" spans="1:5" x14ac:dyDescent="0.2">
      <c r="A2410" t="s">
        <v>4742</v>
      </c>
      <c r="B2410" t="s">
        <v>4743</v>
      </c>
      <c r="C2410" t="s">
        <v>131</v>
      </c>
      <c r="D2410" t="s">
        <v>783</v>
      </c>
      <c r="E2410" t="s">
        <v>9135</v>
      </c>
    </row>
    <row r="2411" spans="1:5" x14ac:dyDescent="0.2">
      <c r="A2411" t="s">
        <v>4744</v>
      </c>
      <c r="B2411" t="s">
        <v>4745</v>
      </c>
      <c r="C2411" t="s">
        <v>131</v>
      </c>
      <c r="D2411" t="s">
        <v>783</v>
      </c>
      <c r="E2411" t="s">
        <v>9135</v>
      </c>
    </row>
    <row r="2412" spans="1:5" x14ac:dyDescent="0.2">
      <c r="A2412" t="s">
        <v>4746</v>
      </c>
      <c r="B2412" t="s">
        <v>4747</v>
      </c>
      <c r="C2412" t="s">
        <v>92</v>
      </c>
      <c r="D2412" t="s">
        <v>207</v>
      </c>
      <c r="E2412" t="s">
        <v>9135</v>
      </c>
    </row>
    <row r="2413" spans="1:5" x14ac:dyDescent="0.2">
      <c r="A2413" t="s">
        <v>4748</v>
      </c>
      <c r="B2413" t="s">
        <v>4749</v>
      </c>
      <c r="C2413" t="s">
        <v>92</v>
      </c>
      <c r="D2413" t="s">
        <v>207</v>
      </c>
      <c r="E2413" t="s">
        <v>9135</v>
      </c>
    </row>
    <row r="2414" spans="1:5" x14ac:dyDescent="0.2">
      <c r="A2414" t="s">
        <v>4750</v>
      </c>
      <c r="B2414" t="s">
        <v>4751</v>
      </c>
      <c r="C2414" t="s">
        <v>92</v>
      </c>
      <c r="D2414" t="s">
        <v>1493</v>
      </c>
      <c r="E2414" t="s">
        <v>9135</v>
      </c>
    </row>
    <row r="2415" spans="1:5" x14ac:dyDescent="0.2">
      <c r="A2415" t="s">
        <v>4752</v>
      </c>
      <c r="B2415" t="s">
        <v>4753</v>
      </c>
      <c r="C2415" t="s">
        <v>92</v>
      </c>
      <c r="D2415" t="s">
        <v>1493</v>
      </c>
      <c r="E2415" t="s">
        <v>9135</v>
      </c>
    </row>
    <row r="2416" spans="1:5" x14ac:dyDescent="0.2">
      <c r="A2416" t="s">
        <v>4754</v>
      </c>
      <c r="B2416" t="s">
        <v>4755</v>
      </c>
      <c r="C2416" t="s">
        <v>104</v>
      </c>
      <c r="D2416" t="s">
        <v>93</v>
      </c>
      <c r="E2416" t="s">
        <v>9135</v>
      </c>
    </row>
    <row r="2417" spans="1:5" x14ac:dyDescent="0.2">
      <c r="A2417" t="s">
        <v>4756</v>
      </c>
      <c r="B2417" t="s">
        <v>4757</v>
      </c>
      <c r="C2417" t="s">
        <v>104</v>
      </c>
      <c r="D2417" t="s">
        <v>93</v>
      </c>
      <c r="E2417" t="s">
        <v>9135</v>
      </c>
    </row>
    <row r="2418" spans="1:5" x14ac:dyDescent="0.2">
      <c r="A2418" t="s">
        <v>4758</v>
      </c>
      <c r="B2418" t="s">
        <v>4759</v>
      </c>
      <c r="C2418" t="s">
        <v>104</v>
      </c>
      <c r="D2418" t="s">
        <v>115</v>
      </c>
      <c r="E2418" t="s">
        <v>9135</v>
      </c>
    </row>
    <row r="2419" spans="1:5" x14ac:dyDescent="0.2">
      <c r="A2419" t="s">
        <v>4760</v>
      </c>
      <c r="B2419" t="s">
        <v>4761</v>
      </c>
      <c r="C2419" t="s">
        <v>104</v>
      </c>
      <c r="D2419" t="s">
        <v>115</v>
      </c>
      <c r="E2419" t="s">
        <v>9135</v>
      </c>
    </row>
    <row r="2420" spans="1:5" x14ac:dyDescent="0.2">
      <c r="A2420" t="s">
        <v>4762</v>
      </c>
      <c r="B2420" t="s">
        <v>4763</v>
      </c>
      <c r="C2420" t="s">
        <v>199</v>
      </c>
      <c r="D2420" t="s">
        <v>301</v>
      </c>
      <c r="E2420" t="s">
        <v>9135</v>
      </c>
    </row>
    <row r="2421" spans="1:5" x14ac:dyDescent="0.2">
      <c r="A2421" t="s">
        <v>4764</v>
      </c>
      <c r="B2421" t="s">
        <v>4765</v>
      </c>
      <c r="C2421" t="s">
        <v>357</v>
      </c>
      <c r="D2421" t="s">
        <v>868</v>
      </c>
      <c r="E2421" t="s">
        <v>9135</v>
      </c>
    </row>
    <row r="2422" spans="1:5" x14ac:dyDescent="0.2">
      <c r="A2422" t="s">
        <v>4766</v>
      </c>
      <c r="B2422" t="s">
        <v>4767</v>
      </c>
      <c r="C2422" t="s">
        <v>357</v>
      </c>
      <c r="D2422" t="s">
        <v>868</v>
      </c>
      <c r="E2422" t="s">
        <v>9135</v>
      </c>
    </row>
    <row r="2423" spans="1:5" x14ac:dyDescent="0.2">
      <c r="A2423" t="s">
        <v>4768</v>
      </c>
      <c r="B2423" t="s">
        <v>4769</v>
      </c>
      <c r="C2423" t="s">
        <v>357</v>
      </c>
      <c r="D2423" t="s">
        <v>868</v>
      </c>
      <c r="E2423" t="s">
        <v>9135</v>
      </c>
    </row>
    <row r="2424" spans="1:5" x14ac:dyDescent="0.2">
      <c r="A2424" t="s">
        <v>4770</v>
      </c>
      <c r="B2424" t="s">
        <v>4771</v>
      </c>
      <c r="C2424" t="s">
        <v>357</v>
      </c>
      <c r="D2424" t="s">
        <v>868</v>
      </c>
      <c r="E2424" t="s">
        <v>9135</v>
      </c>
    </row>
    <row r="2425" spans="1:5" x14ac:dyDescent="0.2">
      <c r="A2425" t="s">
        <v>4772</v>
      </c>
      <c r="B2425" t="s">
        <v>4773</v>
      </c>
      <c r="C2425" t="s">
        <v>357</v>
      </c>
      <c r="D2425" t="s">
        <v>868</v>
      </c>
      <c r="E2425" t="s">
        <v>9135</v>
      </c>
    </row>
    <row r="2426" spans="1:5" x14ac:dyDescent="0.2">
      <c r="A2426" t="s">
        <v>4774</v>
      </c>
      <c r="B2426" t="s">
        <v>4775</v>
      </c>
      <c r="C2426" t="s">
        <v>357</v>
      </c>
      <c r="D2426" t="s">
        <v>868</v>
      </c>
      <c r="E2426" t="s">
        <v>9135</v>
      </c>
    </row>
    <row r="2427" spans="1:5" x14ac:dyDescent="0.2">
      <c r="A2427" t="s">
        <v>4776</v>
      </c>
      <c r="B2427" t="s">
        <v>4777</v>
      </c>
      <c r="C2427" t="s">
        <v>357</v>
      </c>
      <c r="D2427" t="s">
        <v>868</v>
      </c>
      <c r="E2427" t="s">
        <v>9135</v>
      </c>
    </row>
    <row r="2428" spans="1:5" x14ac:dyDescent="0.2">
      <c r="A2428" t="s">
        <v>4778</v>
      </c>
      <c r="B2428" t="s">
        <v>4779</v>
      </c>
      <c r="C2428" t="s">
        <v>357</v>
      </c>
      <c r="D2428" t="s">
        <v>868</v>
      </c>
      <c r="E2428" t="s">
        <v>9135</v>
      </c>
    </row>
    <row r="2429" spans="1:5" x14ac:dyDescent="0.2">
      <c r="A2429" t="s">
        <v>4780</v>
      </c>
      <c r="B2429" t="s">
        <v>4781</v>
      </c>
      <c r="C2429" t="s">
        <v>357</v>
      </c>
      <c r="D2429" t="s">
        <v>868</v>
      </c>
      <c r="E2429" t="s">
        <v>9135</v>
      </c>
    </row>
    <row r="2430" spans="1:5" x14ac:dyDescent="0.2">
      <c r="A2430" t="s">
        <v>4782</v>
      </c>
      <c r="B2430" t="s">
        <v>4783</v>
      </c>
      <c r="C2430" t="s">
        <v>357</v>
      </c>
      <c r="D2430" t="s">
        <v>868</v>
      </c>
      <c r="E2430" t="s">
        <v>9135</v>
      </c>
    </row>
    <row r="2431" spans="1:5" x14ac:dyDescent="0.2">
      <c r="A2431" t="s">
        <v>4784</v>
      </c>
      <c r="B2431" t="s">
        <v>4785</v>
      </c>
      <c r="C2431" t="s">
        <v>357</v>
      </c>
      <c r="D2431" t="s">
        <v>341</v>
      </c>
      <c r="E2431" t="s">
        <v>9135</v>
      </c>
    </row>
    <row r="2432" spans="1:5" x14ac:dyDescent="0.2">
      <c r="A2432" t="s">
        <v>4786</v>
      </c>
      <c r="B2432" t="s">
        <v>4787</v>
      </c>
      <c r="C2432" t="s">
        <v>357</v>
      </c>
      <c r="D2432" t="s">
        <v>341</v>
      </c>
      <c r="E2432" t="s">
        <v>9135</v>
      </c>
    </row>
    <row r="2433" spans="1:5" x14ac:dyDescent="0.2">
      <c r="A2433" t="s">
        <v>4788</v>
      </c>
      <c r="B2433" t="s">
        <v>4789</v>
      </c>
      <c r="C2433" t="s">
        <v>357</v>
      </c>
      <c r="D2433" t="s">
        <v>830</v>
      </c>
      <c r="E2433" t="s">
        <v>9135</v>
      </c>
    </row>
    <row r="2434" spans="1:5" x14ac:dyDescent="0.2">
      <c r="A2434" t="s">
        <v>4790</v>
      </c>
      <c r="B2434" t="s">
        <v>4791</v>
      </c>
      <c r="C2434" t="s">
        <v>357</v>
      </c>
      <c r="D2434" t="s">
        <v>830</v>
      </c>
      <c r="E2434" t="s">
        <v>9135</v>
      </c>
    </row>
    <row r="2435" spans="1:5" x14ac:dyDescent="0.2">
      <c r="A2435" t="s">
        <v>4792</v>
      </c>
      <c r="B2435" t="s">
        <v>4793</v>
      </c>
      <c r="C2435" t="s">
        <v>357</v>
      </c>
      <c r="D2435" t="s">
        <v>1971</v>
      </c>
      <c r="E2435" t="s">
        <v>9135</v>
      </c>
    </row>
    <row r="2436" spans="1:5" x14ac:dyDescent="0.2">
      <c r="A2436" t="s">
        <v>4794</v>
      </c>
      <c r="B2436" t="s">
        <v>4795</v>
      </c>
      <c r="C2436" t="s">
        <v>357</v>
      </c>
      <c r="D2436" t="s">
        <v>1971</v>
      </c>
      <c r="E2436" t="s">
        <v>9135</v>
      </c>
    </row>
    <row r="2437" spans="1:5" x14ac:dyDescent="0.2">
      <c r="A2437" t="s">
        <v>4796</v>
      </c>
      <c r="B2437" t="s">
        <v>4797</v>
      </c>
      <c r="C2437" t="s">
        <v>376</v>
      </c>
      <c r="D2437" t="s">
        <v>3237</v>
      </c>
      <c r="E2437" t="s">
        <v>9135</v>
      </c>
    </row>
    <row r="2438" spans="1:5" x14ac:dyDescent="0.2">
      <c r="A2438" t="s">
        <v>4798</v>
      </c>
      <c r="B2438" t="s">
        <v>4799</v>
      </c>
      <c r="C2438" t="s">
        <v>376</v>
      </c>
      <c r="D2438" t="s">
        <v>3237</v>
      </c>
      <c r="E2438" t="s">
        <v>9135</v>
      </c>
    </row>
    <row r="2439" spans="1:5" x14ac:dyDescent="0.2">
      <c r="A2439" t="s">
        <v>4800</v>
      </c>
      <c r="B2439" t="s">
        <v>4801</v>
      </c>
      <c r="C2439" t="s">
        <v>376</v>
      </c>
      <c r="D2439" t="s">
        <v>3156</v>
      </c>
      <c r="E2439" t="s">
        <v>9135</v>
      </c>
    </row>
    <row r="2440" spans="1:5" x14ac:dyDescent="0.2">
      <c r="A2440" t="s">
        <v>4802</v>
      </c>
      <c r="B2440" t="s">
        <v>4803</v>
      </c>
      <c r="C2440" t="s">
        <v>376</v>
      </c>
      <c r="D2440" t="s">
        <v>3156</v>
      </c>
      <c r="E2440" t="s">
        <v>9135</v>
      </c>
    </row>
    <row r="2441" spans="1:5" x14ac:dyDescent="0.2">
      <c r="A2441" t="s">
        <v>4804</v>
      </c>
      <c r="B2441" t="s">
        <v>4805</v>
      </c>
      <c r="C2441" t="s">
        <v>376</v>
      </c>
      <c r="D2441" t="s">
        <v>480</v>
      </c>
      <c r="E2441" t="s">
        <v>9135</v>
      </c>
    </row>
    <row r="2442" spans="1:5" x14ac:dyDescent="0.2">
      <c r="A2442" t="s">
        <v>4806</v>
      </c>
      <c r="B2442" t="s">
        <v>4807</v>
      </c>
      <c r="C2442" t="s">
        <v>376</v>
      </c>
      <c r="D2442" t="s">
        <v>480</v>
      </c>
      <c r="E2442" t="s">
        <v>9135</v>
      </c>
    </row>
    <row r="2443" spans="1:5" x14ac:dyDescent="0.2">
      <c r="A2443" t="s">
        <v>4808</v>
      </c>
      <c r="B2443" t="s">
        <v>4809</v>
      </c>
      <c r="C2443" t="s">
        <v>244</v>
      </c>
      <c r="D2443" t="s">
        <v>3100</v>
      </c>
      <c r="E2443" t="s">
        <v>9135</v>
      </c>
    </row>
    <row r="2444" spans="1:5" x14ac:dyDescent="0.2">
      <c r="A2444" t="s">
        <v>4810</v>
      </c>
      <c r="B2444" t="s">
        <v>4811</v>
      </c>
      <c r="C2444" t="s">
        <v>244</v>
      </c>
      <c r="D2444" t="s">
        <v>3100</v>
      </c>
      <c r="E2444" t="s">
        <v>9135</v>
      </c>
    </row>
    <row r="2445" spans="1:5" x14ac:dyDescent="0.2">
      <c r="A2445" t="s">
        <v>15</v>
      </c>
      <c r="B2445" t="s">
        <v>4812</v>
      </c>
      <c r="C2445" t="s">
        <v>244</v>
      </c>
      <c r="D2445" t="s">
        <v>3237</v>
      </c>
      <c r="E2445" t="s">
        <v>9135</v>
      </c>
    </row>
    <row r="2446" spans="1:5" x14ac:dyDescent="0.2">
      <c r="A2446" t="s">
        <v>4813</v>
      </c>
      <c r="B2446" t="s">
        <v>4814</v>
      </c>
      <c r="C2446" t="s">
        <v>244</v>
      </c>
      <c r="D2446" t="s">
        <v>3237</v>
      </c>
      <c r="E2446" t="s">
        <v>9135</v>
      </c>
    </row>
    <row r="2447" spans="1:5" x14ac:dyDescent="0.2">
      <c r="A2447" t="s">
        <v>4815</v>
      </c>
      <c r="B2447" t="s">
        <v>4816</v>
      </c>
      <c r="C2447" t="s">
        <v>244</v>
      </c>
      <c r="D2447" t="s">
        <v>3100</v>
      </c>
      <c r="E2447" t="s">
        <v>9135</v>
      </c>
    </row>
    <row r="2448" spans="1:5" x14ac:dyDescent="0.2">
      <c r="A2448" t="s">
        <v>4817</v>
      </c>
      <c r="B2448" t="s">
        <v>4818</v>
      </c>
      <c r="C2448" t="s">
        <v>244</v>
      </c>
      <c r="D2448" t="s">
        <v>3100</v>
      </c>
      <c r="E2448" t="s">
        <v>9135</v>
      </c>
    </row>
    <row r="2449" spans="1:5" x14ac:dyDescent="0.2">
      <c r="A2449" t="s">
        <v>4819</v>
      </c>
      <c r="B2449" t="s">
        <v>4820</v>
      </c>
      <c r="C2449" t="s">
        <v>244</v>
      </c>
      <c r="D2449" t="s">
        <v>3237</v>
      </c>
      <c r="E2449" t="s">
        <v>9135</v>
      </c>
    </row>
    <row r="2450" spans="1:5" x14ac:dyDescent="0.2">
      <c r="A2450" t="s">
        <v>4821</v>
      </c>
      <c r="B2450" t="s">
        <v>4822</v>
      </c>
      <c r="C2450" t="s">
        <v>244</v>
      </c>
      <c r="D2450" t="s">
        <v>3237</v>
      </c>
      <c r="E2450" t="s">
        <v>9135</v>
      </c>
    </row>
    <row r="2451" spans="1:5" x14ac:dyDescent="0.2">
      <c r="A2451" t="s">
        <v>4823</v>
      </c>
      <c r="B2451" t="s">
        <v>4824</v>
      </c>
      <c r="C2451" t="s">
        <v>244</v>
      </c>
      <c r="D2451" t="s">
        <v>371</v>
      </c>
      <c r="E2451" t="s">
        <v>9135</v>
      </c>
    </row>
    <row r="2452" spans="1:5" x14ac:dyDescent="0.2">
      <c r="A2452" t="s">
        <v>4825</v>
      </c>
      <c r="B2452" t="s">
        <v>4826</v>
      </c>
      <c r="C2452" t="s">
        <v>244</v>
      </c>
      <c r="D2452" t="s">
        <v>371</v>
      </c>
      <c r="E2452" t="s">
        <v>9135</v>
      </c>
    </row>
    <row r="2453" spans="1:5" x14ac:dyDescent="0.2">
      <c r="A2453" t="s">
        <v>4827</v>
      </c>
      <c r="B2453" t="s">
        <v>4828</v>
      </c>
      <c r="C2453" t="s">
        <v>244</v>
      </c>
      <c r="D2453" t="s">
        <v>105</v>
      </c>
      <c r="E2453" t="s">
        <v>9135</v>
      </c>
    </row>
    <row r="2454" spans="1:5" x14ac:dyDescent="0.2">
      <c r="A2454" t="s">
        <v>4829</v>
      </c>
      <c r="B2454" t="s">
        <v>4830</v>
      </c>
      <c r="C2454" t="s">
        <v>244</v>
      </c>
      <c r="D2454" t="s">
        <v>105</v>
      </c>
      <c r="E2454" t="s">
        <v>9135</v>
      </c>
    </row>
    <row r="2455" spans="1:5" x14ac:dyDescent="0.2">
      <c r="A2455" t="s">
        <v>4831</v>
      </c>
      <c r="B2455" t="s">
        <v>4832</v>
      </c>
      <c r="C2455" t="s">
        <v>251</v>
      </c>
      <c r="D2455" t="s">
        <v>2699</v>
      </c>
      <c r="E2455" t="s">
        <v>9135</v>
      </c>
    </row>
    <row r="2456" spans="1:5" x14ac:dyDescent="0.2">
      <c r="A2456" t="s">
        <v>4833</v>
      </c>
      <c r="B2456" t="s">
        <v>4834</v>
      </c>
      <c r="C2456" t="s">
        <v>251</v>
      </c>
      <c r="D2456" t="s">
        <v>2699</v>
      </c>
      <c r="E2456" t="s">
        <v>9135</v>
      </c>
    </row>
    <row r="2457" spans="1:5" x14ac:dyDescent="0.2">
      <c r="A2457" t="s">
        <v>4835</v>
      </c>
      <c r="B2457" t="s">
        <v>4836</v>
      </c>
      <c r="C2457" t="s">
        <v>251</v>
      </c>
      <c r="D2457" t="s">
        <v>2682</v>
      </c>
      <c r="E2457" t="s">
        <v>9135</v>
      </c>
    </row>
    <row r="2458" spans="1:5" x14ac:dyDescent="0.2">
      <c r="A2458" t="s">
        <v>4837</v>
      </c>
      <c r="B2458" t="s">
        <v>4838</v>
      </c>
      <c r="C2458" t="s">
        <v>251</v>
      </c>
      <c r="D2458" t="s">
        <v>2682</v>
      </c>
      <c r="E2458" t="s">
        <v>9135</v>
      </c>
    </row>
    <row r="2459" spans="1:5" x14ac:dyDescent="0.2">
      <c r="A2459" t="s">
        <v>4839</v>
      </c>
      <c r="B2459" t="s">
        <v>4840</v>
      </c>
      <c r="C2459" t="s">
        <v>251</v>
      </c>
      <c r="D2459" t="s">
        <v>248</v>
      </c>
      <c r="E2459" t="s">
        <v>9135</v>
      </c>
    </row>
    <row r="2460" spans="1:5" x14ac:dyDescent="0.2">
      <c r="A2460" t="s">
        <v>4841</v>
      </c>
      <c r="B2460" t="s">
        <v>4842</v>
      </c>
      <c r="C2460" t="s">
        <v>251</v>
      </c>
      <c r="D2460" t="s">
        <v>1351</v>
      </c>
      <c r="E2460" t="s">
        <v>9135</v>
      </c>
    </row>
    <row r="2461" spans="1:5" x14ac:dyDescent="0.2">
      <c r="A2461" t="s">
        <v>4843</v>
      </c>
      <c r="B2461" t="s">
        <v>4844</v>
      </c>
      <c r="C2461" t="s">
        <v>212</v>
      </c>
      <c r="D2461" t="s">
        <v>241</v>
      </c>
      <c r="E2461" t="s">
        <v>9135</v>
      </c>
    </row>
    <row r="2462" spans="1:5" x14ac:dyDescent="0.2">
      <c r="A2462" t="s">
        <v>4846</v>
      </c>
      <c r="B2462" t="s">
        <v>4847</v>
      </c>
      <c r="C2462" t="s">
        <v>212</v>
      </c>
      <c r="D2462" t="s">
        <v>241</v>
      </c>
      <c r="E2462" t="s">
        <v>9135</v>
      </c>
    </row>
    <row r="2463" spans="1:5" x14ac:dyDescent="0.2">
      <c r="A2463" t="s">
        <v>4848</v>
      </c>
      <c r="B2463" t="s">
        <v>4849</v>
      </c>
      <c r="C2463" t="s">
        <v>251</v>
      </c>
      <c r="D2463" t="s">
        <v>2699</v>
      </c>
      <c r="E2463" t="s">
        <v>9135</v>
      </c>
    </row>
    <row r="2464" spans="1:5" x14ac:dyDescent="0.2">
      <c r="A2464" t="s">
        <v>4850</v>
      </c>
      <c r="B2464" t="s">
        <v>4851</v>
      </c>
      <c r="C2464" t="s">
        <v>251</v>
      </c>
      <c r="D2464" t="s">
        <v>2699</v>
      </c>
      <c r="E2464" t="s">
        <v>9135</v>
      </c>
    </row>
    <row r="2465" spans="1:5" x14ac:dyDescent="0.2">
      <c r="A2465" t="s">
        <v>4852</v>
      </c>
      <c r="B2465" t="s">
        <v>4853</v>
      </c>
      <c r="C2465" t="s">
        <v>251</v>
      </c>
      <c r="D2465" t="s">
        <v>2682</v>
      </c>
      <c r="E2465" t="s">
        <v>9135</v>
      </c>
    </row>
    <row r="2466" spans="1:5" x14ac:dyDescent="0.2">
      <c r="A2466" t="s">
        <v>4854</v>
      </c>
      <c r="B2466" t="s">
        <v>4855</v>
      </c>
      <c r="C2466" t="s">
        <v>251</v>
      </c>
      <c r="D2466" t="s">
        <v>2682</v>
      </c>
      <c r="E2466" t="s">
        <v>9135</v>
      </c>
    </row>
    <row r="2467" spans="1:5" x14ac:dyDescent="0.2">
      <c r="A2467" t="s">
        <v>4856</v>
      </c>
      <c r="B2467" t="s">
        <v>4857</v>
      </c>
      <c r="C2467" t="s">
        <v>251</v>
      </c>
      <c r="D2467" t="s">
        <v>248</v>
      </c>
      <c r="E2467" t="s">
        <v>9135</v>
      </c>
    </row>
    <row r="2468" spans="1:5" x14ac:dyDescent="0.2">
      <c r="A2468" t="s">
        <v>4858</v>
      </c>
      <c r="B2468" t="s">
        <v>4859</v>
      </c>
      <c r="C2468" t="s">
        <v>251</v>
      </c>
      <c r="D2468" t="s">
        <v>248</v>
      </c>
      <c r="E2468" t="s">
        <v>9135</v>
      </c>
    </row>
    <row r="2469" spans="1:5" x14ac:dyDescent="0.2">
      <c r="A2469" t="s">
        <v>69</v>
      </c>
      <c r="B2469" t="s">
        <v>4860</v>
      </c>
      <c r="C2469" t="s">
        <v>251</v>
      </c>
      <c r="D2469" t="s">
        <v>3118</v>
      </c>
      <c r="E2469" t="s">
        <v>9135</v>
      </c>
    </row>
    <row r="2470" spans="1:5" x14ac:dyDescent="0.2">
      <c r="A2470" t="s">
        <v>4861</v>
      </c>
      <c r="B2470" t="s">
        <v>4862</v>
      </c>
      <c r="C2470" t="s">
        <v>251</v>
      </c>
      <c r="D2470" t="s">
        <v>3118</v>
      </c>
      <c r="E2470" t="s">
        <v>9135</v>
      </c>
    </row>
    <row r="2471" spans="1:5" x14ac:dyDescent="0.2">
      <c r="A2471" t="s">
        <v>4863</v>
      </c>
      <c r="B2471" t="s">
        <v>4864</v>
      </c>
      <c r="C2471" t="s">
        <v>251</v>
      </c>
      <c r="D2471" t="s">
        <v>3237</v>
      </c>
      <c r="E2471" t="s">
        <v>9135</v>
      </c>
    </row>
    <row r="2472" spans="1:5" x14ac:dyDescent="0.2">
      <c r="A2472" t="s">
        <v>4865</v>
      </c>
      <c r="B2472" t="s">
        <v>4866</v>
      </c>
      <c r="C2472" t="s">
        <v>251</v>
      </c>
      <c r="D2472" t="s">
        <v>3237</v>
      </c>
      <c r="E2472" t="s">
        <v>9135</v>
      </c>
    </row>
    <row r="2473" spans="1:5" x14ac:dyDescent="0.2">
      <c r="A2473" t="s">
        <v>4867</v>
      </c>
      <c r="B2473" t="s">
        <v>4868</v>
      </c>
      <c r="C2473" t="s">
        <v>222</v>
      </c>
      <c r="D2473" t="s">
        <v>213</v>
      </c>
      <c r="E2473" t="s">
        <v>9135</v>
      </c>
    </row>
    <row r="2474" spans="1:5" x14ac:dyDescent="0.2">
      <c r="A2474" t="s">
        <v>4869</v>
      </c>
      <c r="B2474" t="s">
        <v>4870</v>
      </c>
      <c r="C2474" t="s">
        <v>222</v>
      </c>
      <c r="D2474" t="s">
        <v>213</v>
      </c>
      <c r="E2474" t="s">
        <v>9135</v>
      </c>
    </row>
    <row r="2475" spans="1:5" x14ac:dyDescent="0.2">
      <c r="A2475" t="s">
        <v>4871</v>
      </c>
      <c r="B2475" t="s">
        <v>4872</v>
      </c>
      <c r="C2475" t="s">
        <v>222</v>
      </c>
      <c r="D2475" t="s">
        <v>1070</v>
      </c>
      <c r="E2475" t="s">
        <v>9135</v>
      </c>
    </row>
    <row r="2476" spans="1:5" x14ac:dyDescent="0.2">
      <c r="A2476" t="s">
        <v>4873</v>
      </c>
      <c r="B2476" t="s">
        <v>4874</v>
      </c>
      <c r="C2476" t="s">
        <v>222</v>
      </c>
      <c r="D2476" t="s">
        <v>1070</v>
      </c>
      <c r="E2476" t="s">
        <v>9135</v>
      </c>
    </row>
    <row r="2477" spans="1:5" x14ac:dyDescent="0.2">
      <c r="A2477" t="s">
        <v>4875</v>
      </c>
      <c r="B2477" t="s">
        <v>4876</v>
      </c>
      <c r="C2477" t="s">
        <v>251</v>
      </c>
      <c r="D2477" t="s">
        <v>338</v>
      </c>
      <c r="E2477" t="s">
        <v>9135</v>
      </c>
    </row>
    <row r="2478" spans="1:5" x14ac:dyDescent="0.2">
      <c r="A2478" t="s">
        <v>4877</v>
      </c>
      <c r="B2478" t="s">
        <v>4878</v>
      </c>
      <c r="C2478" t="s">
        <v>251</v>
      </c>
      <c r="D2478" t="s">
        <v>241</v>
      </c>
      <c r="E2478" t="s">
        <v>9135</v>
      </c>
    </row>
    <row r="2479" spans="1:5" x14ac:dyDescent="0.2">
      <c r="A2479" t="s">
        <v>4879</v>
      </c>
      <c r="B2479" t="s">
        <v>4880</v>
      </c>
      <c r="C2479" t="s">
        <v>251</v>
      </c>
      <c r="D2479" t="s">
        <v>241</v>
      </c>
      <c r="E2479" t="s">
        <v>9135</v>
      </c>
    </row>
    <row r="2480" spans="1:5" x14ac:dyDescent="0.2">
      <c r="A2480" t="s">
        <v>4881</v>
      </c>
      <c r="B2480" t="s">
        <v>4882</v>
      </c>
      <c r="C2480" t="s">
        <v>227</v>
      </c>
      <c r="D2480" t="s">
        <v>241</v>
      </c>
      <c r="E2480" t="s">
        <v>9135</v>
      </c>
    </row>
    <row r="2481" spans="1:5" x14ac:dyDescent="0.2">
      <c r="A2481" t="s">
        <v>4883</v>
      </c>
      <c r="B2481" t="s">
        <v>4884</v>
      </c>
      <c r="C2481" t="s">
        <v>227</v>
      </c>
      <c r="D2481" t="s">
        <v>241</v>
      </c>
      <c r="E2481" t="s">
        <v>9135</v>
      </c>
    </row>
    <row r="2482" spans="1:5" x14ac:dyDescent="0.2">
      <c r="A2482" t="s">
        <v>4885</v>
      </c>
      <c r="B2482" t="s">
        <v>4886</v>
      </c>
      <c r="C2482" t="s">
        <v>227</v>
      </c>
      <c r="D2482" t="s">
        <v>180</v>
      </c>
      <c r="E2482" t="s">
        <v>9135</v>
      </c>
    </row>
    <row r="2483" spans="1:5" x14ac:dyDescent="0.2">
      <c r="A2483" t="s">
        <v>4887</v>
      </c>
      <c r="B2483" t="s">
        <v>4888</v>
      </c>
      <c r="C2483" t="s">
        <v>227</v>
      </c>
      <c r="D2483" t="s">
        <v>180</v>
      </c>
      <c r="E2483" t="s">
        <v>9135</v>
      </c>
    </row>
    <row r="2484" spans="1:5" x14ac:dyDescent="0.2">
      <c r="A2484" t="s">
        <v>4889</v>
      </c>
      <c r="B2484" t="s">
        <v>4890</v>
      </c>
      <c r="C2484" t="s">
        <v>251</v>
      </c>
      <c r="D2484" t="s">
        <v>309</v>
      </c>
      <c r="E2484" t="s">
        <v>9135</v>
      </c>
    </row>
    <row r="2485" spans="1:5" x14ac:dyDescent="0.2">
      <c r="A2485" t="s">
        <v>4891</v>
      </c>
      <c r="B2485" t="s">
        <v>4892</v>
      </c>
      <c r="C2485" t="s">
        <v>251</v>
      </c>
      <c r="D2485" t="s">
        <v>309</v>
      </c>
      <c r="E2485" t="s">
        <v>9135</v>
      </c>
    </row>
    <row r="2486" spans="1:5" x14ac:dyDescent="0.2">
      <c r="A2486" t="s">
        <v>4893</v>
      </c>
      <c r="B2486" t="s">
        <v>4894</v>
      </c>
      <c r="C2486" t="s">
        <v>399</v>
      </c>
      <c r="D2486" t="s">
        <v>2699</v>
      </c>
      <c r="E2486" t="s">
        <v>9135</v>
      </c>
    </row>
    <row r="2487" spans="1:5" x14ac:dyDescent="0.2">
      <c r="A2487" t="s">
        <v>4895</v>
      </c>
      <c r="B2487" t="s">
        <v>4896</v>
      </c>
      <c r="C2487" t="s">
        <v>399</v>
      </c>
      <c r="D2487" t="s">
        <v>2699</v>
      </c>
      <c r="E2487" t="s">
        <v>9135</v>
      </c>
    </row>
    <row r="2488" spans="1:5" x14ac:dyDescent="0.2">
      <c r="A2488" t="s">
        <v>4897</v>
      </c>
      <c r="B2488" t="s">
        <v>4898</v>
      </c>
      <c r="C2488" t="s">
        <v>399</v>
      </c>
      <c r="D2488" t="s">
        <v>2682</v>
      </c>
      <c r="E2488" t="s">
        <v>9135</v>
      </c>
    </row>
    <row r="2489" spans="1:5" x14ac:dyDescent="0.2">
      <c r="A2489" t="s">
        <v>4899</v>
      </c>
      <c r="B2489" t="s">
        <v>4900</v>
      </c>
      <c r="C2489" t="s">
        <v>399</v>
      </c>
      <c r="D2489" t="s">
        <v>2682</v>
      </c>
      <c r="E2489" t="s">
        <v>9135</v>
      </c>
    </row>
    <row r="2490" spans="1:5" x14ac:dyDescent="0.2">
      <c r="A2490" t="s">
        <v>4901</v>
      </c>
      <c r="B2490" t="s">
        <v>4902</v>
      </c>
      <c r="C2490" t="s">
        <v>399</v>
      </c>
      <c r="D2490" t="s">
        <v>248</v>
      </c>
      <c r="E2490" t="s">
        <v>9135</v>
      </c>
    </row>
    <row r="2491" spans="1:5" x14ac:dyDescent="0.2">
      <c r="A2491" t="s">
        <v>4903</v>
      </c>
      <c r="B2491" t="s">
        <v>4904</v>
      </c>
      <c r="C2491" t="s">
        <v>399</v>
      </c>
      <c r="D2491" t="s">
        <v>248</v>
      </c>
      <c r="E2491" t="s">
        <v>9135</v>
      </c>
    </row>
    <row r="2492" spans="1:5" x14ac:dyDescent="0.2">
      <c r="A2492" t="s">
        <v>4905</v>
      </c>
      <c r="B2492" t="s">
        <v>4906</v>
      </c>
      <c r="C2492" t="s">
        <v>92</v>
      </c>
      <c r="D2492" t="s">
        <v>444</v>
      </c>
      <c r="E2492" t="s">
        <v>9135</v>
      </c>
    </row>
    <row r="2493" spans="1:5" x14ac:dyDescent="0.2">
      <c r="A2493" t="s">
        <v>4907</v>
      </c>
      <c r="B2493" t="s">
        <v>4908</v>
      </c>
      <c r="C2493" t="s">
        <v>92</v>
      </c>
      <c r="D2493" t="s">
        <v>444</v>
      </c>
      <c r="E2493" t="s">
        <v>9135</v>
      </c>
    </row>
    <row r="2494" spans="1:5" x14ac:dyDescent="0.2">
      <c r="A2494" t="s">
        <v>4909</v>
      </c>
      <c r="B2494" t="s">
        <v>4910</v>
      </c>
      <c r="C2494" t="s">
        <v>331</v>
      </c>
      <c r="D2494" t="s">
        <v>690</v>
      </c>
      <c r="E2494" t="s">
        <v>1541</v>
      </c>
    </row>
    <row r="2495" spans="1:5" x14ac:dyDescent="0.2">
      <c r="A2495" t="s">
        <v>4911</v>
      </c>
      <c r="B2495" t="s">
        <v>4912</v>
      </c>
      <c r="C2495" t="s">
        <v>331</v>
      </c>
      <c r="D2495" t="s">
        <v>560</v>
      </c>
      <c r="E2495" t="s">
        <v>1541</v>
      </c>
    </row>
    <row r="2496" spans="1:5" x14ac:dyDescent="0.2">
      <c r="A2496" t="s">
        <v>4913</v>
      </c>
      <c r="B2496" t="s">
        <v>4914</v>
      </c>
      <c r="C2496" t="s">
        <v>331</v>
      </c>
      <c r="D2496" t="s">
        <v>690</v>
      </c>
      <c r="E2496" t="s">
        <v>1541</v>
      </c>
    </row>
    <row r="2497" spans="1:5" x14ac:dyDescent="0.2">
      <c r="A2497" t="s">
        <v>4915</v>
      </c>
      <c r="B2497" t="s">
        <v>4916</v>
      </c>
      <c r="C2497" t="s">
        <v>331</v>
      </c>
      <c r="D2497" t="s">
        <v>690</v>
      </c>
      <c r="E2497" t="s">
        <v>1541</v>
      </c>
    </row>
    <row r="2498" spans="1:5" x14ac:dyDescent="0.2">
      <c r="A2498" t="s">
        <v>4917</v>
      </c>
      <c r="B2498" t="s">
        <v>4918</v>
      </c>
      <c r="C2498" t="s">
        <v>331</v>
      </c>
      <c r="D2498" t="s">
        <v>459</v>
      </c>
      <c r="E2498" t="s">
        <v>1541</v>
      </c>
    </row>
    <row r="2499" spans="1:5" x14ac:dyDescent="0.2">
      <c r="A2499" t="s">
        <v>4919</v>
      </c>
      <c r="B2499" t="s">
        <v>4920</v>
      </c>
      <c r="C2499" t="s">
        <v>331</v>
      </c>
      <c r="D2499" t="s">
        <v>459</v>
      </c>
      <c r="E2499" t="s">
        <v>1541</v>
      </c>
    </row>
    <row r="2500" spans="1:5" x14ac:dyDescent="0.2">
      <c r="A2500" t="s">
        <v>4921</v>
      </c>
      <c r="B2500" t="s">
        <v>4922</v>
      </c>
      <c r="C2500" t="s">
        <v>322</v>
      </c>
      <c r="D2500" t="s">
        <v>427</v>
      </c>
      <c r="E2500" t="s">
        <v>1541</v>
      </c>
    </row>
    <row r="2501" spans="1:5" x14ac:dyDescent="0.2">
      <c r="A2501" t="s">
        <v>4923</v>
      </c>
      <c r="B2501" t="s">
        <v>4924</v>
      </c>
      <c r="C2501" t="s">
        <v>322</v>
      </c>
      <c r="D2501" t="s">
        <v>422</v>
      </c>
      <c r="E2501" t="s">
        <v>1541</v>
      </c>
    </row>
    <row r="2502" spans="1:5" x14ac:dyDescent="0.2">
      <c r="A2502" t="s">
        <v>4925</v>
      </c>
      <c r="B2502" t="s">
        <v>4926</v>
      </c>
      <c r="C2502" t="s">
        <v>322</v>
      </c>
      <c r="D2502" t="s">
        <v>422</v>
      </c>
      <c r="E2502" t="s">
        <v>1541</v>
      </c>
    </row>
    <row r="2503" spans="1:5" x14ac:dyDescent="0.2">
      <c r="A2503" t="s">
        <v>4927</v>
      </c>
      <c r="B2503" t="s">
        <v>4928</v>
      </c>
      <c r="C2503" t="s">
        <v>659</v>
      </c>
      <c r="D2503" t="s">
        <v>323</v>
      </c>
      <c r="E2503" t="s">
        <v>1541</v>
      </c>
    </row>
    <row r="2504" spans="1:5" x14ac:dyDescent="0.2">
      <c r="A2504" t="s">
        <v>4929</v>
      </c>
      <c r="B2504" t="s">
        <v>4930</v>
      </c>
      <c r="C2504" t="s">
        <v>659</v>
      </c>
      <c r="D2504" t="s">
        <v>444</v>
      </c>
      <c r="E2504" t="s">
        <v>1541</v>
      </c>
    </row>
    <row r="2505" spans="1:5" x14ac:dyDescent="0.2">
      <c r="A2505" t="s">
        <v>4931</v>
      </c>
      <c r="B2505" t="s">
        <v>4932</v>
      </c>
      <c r="C2505" t="s">
        <v>421</v>
      </c>
      <c r="D2505" t="s">
        <v>105</v>
      </c>
      <c r="E2505" t="s">
        <v>1541</v>
      </c>
    </row>
    <row r="2506" spans="1:5" x14ac:dyDescent="0.2">
      <c r="A2506" t="s">
        <v>4933</v>
      </c>
      <c r="B2506" t="s">
        <v>4934</v>
      </c>
      <c r="C2506" t="s">
        <v>421</v>
      </c>
      <c r="D2506" t="s">
        <v>433</v>
      </c>
      <c r="E2506" t="s">
        <v>1541</v>
      </c>
    </row>
    <row r="2507" spans="1:5" x14ac:dyDescent="0.2">
      <c r="A2507" t="s">
        <v>4935</v>
      </c>
      <c r="B2507" t="s">
        <v>4936</v>
      </c>
      <c r="C2507" t="s">
        <v>421</v>
      </c>
      <c r="D2507" t="s">
        <v>1493</v>
      </c>
      <c r="E2507" t="s">
        <v>1541</v>
      </c>
    </row>
    <row r="2508" spans="1:5" x14ac:dyDescent="0.2">
      <c r="A2508" t="s">
        <v>4937</v>
      </c>
      <c r="B2508" t="s">
        <v>4938</v>
      </c>
      <c r="C2508" t="s">
        <v>421</v>
      </c>
      <c r="D2508" t="s">
        <v>622</v>
      </c>
      <c r="E2508" t="s">
        <v>1541</v>
      </c>
    </row>
    <row r="2509" spans="1:5" x14ac:dyDescent="0.2">
      <c r="A2509" t="s">
        <v>4939</v>
      </c>
      <c r="B2509" t="s">
        <v>4940</v>
      </c>
      <c r="C2509" t="s">
        <v>421</v>
      </c>
      <c r="D2509" t="s">
        <v>224</v>
      </c>
      <c r="E2509" t="s">
        <v>1541</v>
      </c>
    </row>
    <row r="2510" spans="1:5" x14ac:dyDescent="0.2">
      <c r="A2510" t="s">
        <v>4941</v>
      </c>
      <c r="B2510" t="s">
        <v>4942</v>
      </c>
      <c r="C2510" t="s">
        <v>212</v>
      </c>
      <c r="D2510" t="s">
        <v>400</v>
      </c>
      <c r="E2510" t="s">
        <v>1541</v>
      </c>
    </row>
    <row r="2511" spans="1:5" x14ac:dyDescent="0.2">
      <c r="A2511" t="s">
        <v>4943</v>
      </c>
      <c r="B2511" t="s">
        <v>4944</v>
      </c>
      <c r="C2511" t="s">
        <v>212</v>
      </c>
      <c r="D2511" t="s">
        <v>223</v>
      </c>
      <c r="E2511" t="s">
        <v>1541</v>
      </c>
    </row>
    <row r="2512" spans="1:5" x14ac:dyDescent="0.2">
      <c r="A2512" t="s">
        <v>4945</v>
      </c>
      <c r="B2512" t="s">
        <v>4946</v>
      </c>
      <c r="C2512" t="s">
        <v>251</v>
      </c>
      <c r="D2512" t="s">
        <v>1490</v>
      </c>
      <c r="E2512" t="s">
        <v>1541</v>
      </c>
    </row>
    <row r="2513" spans="1:5" x14ac:dyDescent="0.2">
      <c r="A2513" t="s">
        <v>4947</v>
      </c>
      <c r="B2513" t="s">
        <v>4948</v>
      </c>
      <c r="C2513" t="s">
        <v>251</v>
      </c>
      <c r="D2513" t="s">
        <v>1490</v>
      </c>
      <c r="E2513" t="s">
        <v>1541</v>
      </c>
    </row>
    <row r="2514" spans="1:5" x14ac:dyDescent="0.2">
      <c r="A2514" t="s">
        <v>4949</v>
      </c>
      <c r="B2514" t="s">
        <v>4950</v>
      </c>
      <c r="C2514" t="s">
        <v>251</v>
      </c>
      <c r="D2514" t="s">
        <v>386</v>
      </c>
      <c r="E2514" t="s">
        <v>1541</v>
      </c>
    </row>
    <row r="2515" spans="1:5" x14ac:dyDescent="0.2">
      <c r="A2515" t="s">
        <v>4951</v>
      </c>
      <c r="B2515" t="s">
        <v>4952</v>
      </c>
      <c r="C2515" t="s">
        <v>251</v>
      </c>
      <c r="D2515" t="s">
        <v>386</v>
      </c>
      <c r="E2515" t="s">
        <v>1541</v>
      </c>
    </row>
    <row r="2516" spans="1:5" x14ac:dyDescent="0.2">
      <c r="A2516" t="s">
        <v>4953</v>
      </c>
      <c r="B2516" t="s">
        <v>4954</v>
      </c>
      <c r="C2516" t="s">
        <v>251</v>
      </c>
      <c r="D2516" t="s">
        <v>710</v>
      </c>
      <c r="E2516" t="s">
        <v>1541</v>
      </c>
    </row>
    <row r="2517" spans="1:5" x14ac:dyDescent="0.2">
      <c r="A2517" t="s">
        <v>4955</v>
      </c>
      <c r="B2517" t="s">
        <v>4956</v>
      </c>
      <c r="C2517" t="s">
        <v>251</v>
      </c>
      <c r="D2517" t="s">
        <v>710</v>
      </c>
      <c r="E2517" t="s">
        <v>1541</v>
      </c>
    </row>
    <row r="2518" spans="1:5" x14ac:dyDescent="0.2">
      <c r="A2518" t="s">
        <v>4957</v>
      </c>
      <c r="B2518" t="s">
        <v>4958</v>
      </c>
      <c r="C2518" t="s">
        <v>227</v>
      </c>
      <c r="D2518" t="s">
        <v>1868</v>
      </c>
      <c r="E2518" t="s">
        <v>1541</v>
      </c>
    </row>
    <row r="2519" spans="1:5" x14ac:dyDescent="0.2">
      <c r="A2519" t="s">
        <v>4959</v>
      </c>
      <c r="B2519" t="s">
        <v>4960</v>
      </c>
      <c r="C2519" t="s">
        <v>227</v>
      </c>
      <c r="D2519" t="s">
        <v>1793</v>
      </c>
      <c r="E2519" t="s">
        <v>1541</v>
      </c>
    </row>
    <row r="2520" spans="1:5" x14ac:dyDescent="0.2">
      <c r="A2520" t="s">
        <v>19</v>
      </c>
      <c r="B2520" t="s">
        <v>4988</v>
      </c>
      <c r="C2520" t="s">
        <v>219</v>
      </c>
      <c r="D2520" t="s">
        <v>456</v>
      </c>
      <c r="E2520" t="s">
        <v>9340</v>
      </c>
    </row>
    <row r="2521" spans="1:5" x14ac:dyDescent="0.2">
      <c r="A2521" t="s">
        <v>4989</v>
      </c>
      <c r="B2521" t="s">
        <v>4990</v>
      </c>
      <c r="C2521" t="s">
        <v>219</v>
      </c>
      <c r="D2521" t="s">
        <v>456</v>
      </c>
      <c r="E2521" t="s">
        <v>9340</v>
      </c>
    </row>
    <row r="2522" spans="1:5" x14ac:dyDescent="0.2">
      <c r="A2522" t="s">
        <v>4991</v>
      </c>
      <c r="B2522" t="s">
        <v>4992</v>
      </c>
      <c r="C2522" t="s">
        <v>219</v>
      </c>
      <c r="D2522" t="s">
        <v>690</v>
      </c>
      <c r="E2522" t="s">
        <v>9340</v>
      </c>
    </row>
    <row r="2523" spans="1:5" x14ac:dyDescent="0.2">
      <c r="A2523" t="s">
        <v>4993</v>
      </c>
      <c r="B2523" t="s">
        <v>4994</v>
      </c>
      <c r="C2523" t="s">
        <v>219</v>
      </c>
      <c r="D2523" t="s">
        <v>690</v>
      </c>
      <c r="E2523" t="s">
        <v>9340</v>
      </c>
    </row>
    <row r="2524" spans="1:5" x14ac:dyDescent="0.2">
      <c r="A2524" t="s">
        <v>5030</v>
      </c>
      <c r="B2524" t="s">
        <v>5031</v>
      </c>
      <c r="C2524" t="s">
        <v>212</v>
      </c>
      <c r="D2524" t="s">
        <v>213</v>
      </c>
      <c r="E2524" t="s">
        <v>214</v>
      </c>
    </row>
    <row r="2525" spans="1:5" x14ac:dyDescent="0.2">
      <c r="A2525" t="s">
        <v>5032</v>
      </c>
      <c r="B2525" t="s">
        <v>5033</v>
      </c>
      <c r="C2525" t="s">
        <v>212</v>
      </c>
      <c r="D2525" t="s">
        <v>213</v>
      </c>
      <c r="E2525" t="s">
        <v>214</v>
      </c>
    </row>
    <row r="2526" spans="1:5" x14ac:dyDescent="0.2">
      <c r="A2526" t="s">
        <v>5034</v>
      </c>
      <c r="B2526" t="s">
        <v>5035</v>
      </c>
      <c r="C2526" t="s">
        <v>212</v>
      </c>
      <c r="D2526" t="s">
        <v>1070</v>
      </c>
      <c r="E2526" t="s">
        <v>214</v>
      </c>
    </row>
    <row r="2527" spans="1:5" x14ac:dyDescent="0.2">
      <c r="A2527" t="s">
        <v>5036</v>
      </c>
      <c r="B2527" t="s">
        <v>5037</v>
      </c>
      <c r="C2527" t="s">
        <v>212</v>
      </c>
      <c r="D2527" t="s">
        <v>1070</v>
      </c>
      <c r="E2527" t="s">
        <v>214</v>
      </c>
    </row>
    <row r="2528" spans="1:5" x14ac:dyDescent="0.2">
      <c r="A2528" t="s">
        <v>5038</v>
      </c>
      <c r="B2528" t="s">
        <v>5039</v>
      </c>
      <c r="C2528" t="s">
        <v>212</v>
      </c>
      <c r="D2528" t="s">
        <v>301</v>
      </c>
      <c r="E2528" t="s">
        <v>214</v>
      </c>
    </row>
    <row r="2529" spans="1:5" x14ac:dyDescent="0.2">
      <c r="A2529" t="s">
        <v>5040</v>
      </c>
      <c r="B2529" t="s">
        <v>5041</v>
      </c>
      <c r="C2529" t="s">
        <v>227</v>
      </c>
      <c r="D2529" t="s">
        <v>363</v>
      </c>
      <c r="E2529" t="s">
        <v>5042</v>
      </c>
    </row>
    <row r="2530" spans="1:5" x14ac:dyDescent="0.2">
      <c r="A2530" t="s">
        <v>5043</v>
      </c>
      <c r="B2530" t="s">
        <v>5044</v>
      </c>
      <c r="C2530" t="s">
        <v>227</v>
      </c>
      <c r="D2530" t="s">
        <v>363</v>
      </c>
      <c r="E2530" t="s">
        <v>5042</v>
      </c>
    </row>
    <row r="2531" spans="1:5" x14ac:dyDescent="0.2">
      <c r="A2531" t="s">
        <v>5045</v>
      </c>
      <c r="B2531" t="s">
        <v>5046</v>
      </c>
      <c r="C2531" t="s">
        <v>212</v>
      </c>
      <c r="D2531" t="s">
        <v>412</v>
      </c>
      <c r="E2531" t="s">
        <v>5042</v>
      </c>
    </row>
    <row r="2532" spans="1:5" x14ac:dyDescent="0.2">
      <c r="A2532" t="s">
        <v>5047</v>
      </c>
      <c r="B2532" t="s">
        <v>5048</v>
      </c>
      <c r="C2532" t="s">
        <v>212</v>
      </c>
      <c r="D2532" t="s">
        <v>412</v>
      </c>
      <c r="E2532" t="s">
        <v>5042</v>
      </c>
    </row>
    <row r="2533" spans="1:5" x14ac:dyDescent="0.2">
      <c r="A2533" t="s">
        <v>5066</v>
      </c>
      <c r="B2533" t="s">
        <v>5067</v>
      </c>
      <c r="C2533" t="s">
        <v>92</v>
      </c>
      <c r="D2533" t="s">
        <v>126</v>
      </c>
      <c r="E2533" t="s">
        <v>2424</v>
      </c>
    </row>
    <row r="2534" spans="1:5" x14ac:dyDescent="0.2">
      <c r="A2534" t="s">
        <v>5068</v>
      </c>
      <c r="B2534" t="s">
        <v>5069</v>
      </c>
      <c r="C2534" t="s">
        <v>322</v>
      </c>
      <c r="D2534" t="s">
        <v>266</v>
      </c>
      <c r="E2534" t="s">
        <v>5070</v>
      </c>
    </row>
    <row r="2535" spans="1:5" x14ac:dyDescent="0.2">
      <c r="A2535" t="s">
        <v>5071</v>
      </c>
      <c r="B2535" t="s">
        <v>5072</v>
      </c>
      <c r="C2535" t="s">
        <v>322</v>
      </c>
      <c r="D2535" t="s">
        <v>386</v>
      </c>
      <c r="E2535" t="s">
        <v>5070</v>
      </c>
    </row>
    <row r="2536" spans="1:5" x14ac:dyDescent="0.2">
      <c r="A2536" t="s">
        <v>5101</v>
      </c>
      <c r="B2536" t="s">
        <v>5102</v>
      </c>
      <c r="C2536" t="s">
        <v>742</v>
      </c>
      <c r="D2536" t="s">
        <v>568</v>
      </c>
      <c r="E2536" t="s">
        <v>5103</v>
      </c>
    </row>
    <row r="2537" spans="1:5" x14ac:dyDescent="0.2">
      <c r="A2537" t="s">
        <v>5118</v>
      </c>
      <c r="B2537" t="s">
        <v>5119</v>
      </c>
      <c r="C2537" t="s">
        <v>357</v>
      </c>
      <c r="D2537" t="s">
        <v>386</v>
      </c>
      <c r="E2537" t="s">
        <v>5120</v>
      </c>
    </row>
    <row r="2538" spans="1:5" x14ac:dyDescent="0.2">
      <c r="A2538" t="s">
        <v>5121</v>
      </c>
      <c r="B2538" t="s">
        <v>5122</v>
      </c>
      <c r="C2538" t="s">
        <v>357</v>
      </c>
      <c r="D2538" t="s">
        <v>386</v>
      </c>
      <c r="E2538" t="s">
        <v>5120</v>
      </c>
    </row>
    <row r="2539" spans="1:5" x14ac:dyDescent="0.2">
      <c r="A2539" t="s">
        <v>5123</v>
      </c>
      <c r="B2539" t="s">
        <v>5124</v>
      </c>
      <c r="C2539" t="s">
        <v>357</v>
      </c>
      <c r="D2539" t="s">
        <v>710</v>
      </c>
      <c r="E2539" t="s">
        <v>5120</v>
      </c>
    </row>
    <row r="2540" spans="1:5" x14ac:dyDescent="0.2">
      <c r="A2540" t="s">
        <v>5125</v>
      </c>
      <c r="B2540" t="s">
        <v>5126</v>
      </c>
      <c r="C2540" t="s">
        <v>357</v>
      </c>
      <c r="D2540" t="s">
        <v>710</v>
      </c>
      <c r="E2540" t="s">
        <v>5120</v>
      </c>
    </row>
    <row r="2541" spans="1:5" x14ac:dyDescent="0.2">
      <c r="A2541" t="s">
        <v>5127</v>
      </c>
      <c r="B2541" t="s">
        <v>5128</v>
      </c>
      <c r="C2541" t="s">
        <v>357</v>
      </c>
      <c r="D2541" t="s">
        <v>258</v>
      </c>
      <c r="E2541" t="s">
        <v>5120</v>
      </c>
    </row>
    <row r="2542" spans="1:5" x14ac:dyDescent="0.2">
      <c r="A2542" t="s">
        <v>5129</v>
      </c>
      <c r="B2542" t="s">
        <v>5130</v>
      </c>
      <c r="C2542" t="s">
        <v>357</v>
      </c>
      <c r="D2542" t="s">
        <v>258</v>
      </c>
      <c r="E2542" t="s">
        <v>5120</v>
      </c>
    </row>
    <row r="2543" spans="1:5" x14ac:dyDescent="0.2">
      <c r="A2543" t="s">
        <v>5131</v>
      </c>
      <c r="B2543" t="s">
        <v>5132</v>
      </c>
      <c r="C2543" t="s">
        <v>357</v>
      </c>
      <c r="D2543" t="s">
        <v>1458</v>
      </c>
      <c r="E2543" t="s">
        <v>5120</v>
      </c>
    </row>
    <row r="2544" spans="1:5" x14ac:dyDescent="0.2">
      <c r="A2544" t="s">
        <v>5133</v>
      </c>
      <c r="B2544" t="s">
        <v>5134</v>
      </c>
      <c r="C2544" t="s">
        <v>357</v>
      </c>
      <c r="D2544" t="s">
        <v>1458</v>
      </c>
      <c r="E2544" t="s">
        <v>5120</v>
      </c>
    </row>
    <row r="2545" spans="1:5" x14ac:dyDescent="0.2">
      <c r="A2545" t="s">
        <v>5135</v>
      </c>
      <c r="B2545" t="s">
        <v>5136</v>
      </c>
      <c r="C2545" t="s">
        <v>357</v>
      </c>
      <c r="D2545" t="s">
        <v>258</v>
      </c>
      <c r="E2545" t="s">
        <v>5120</v>
      </c>
    </row>
    <row r="2546" spans="1:5" x14ac:dyDescent="0.2">
      <c r="A2546" t="s">
        <v>5137</v>
      </c>
      <c r="B2546" t="s">
        <v>5138</v>
      </c>
      <c r="C2546" t="s">
        <v>357</v>
      </c>
      <c r="D2546" t="s">
        <v>258</v>
      </c>
      <c r="E2546" t="s">
        <v>5120</v>
      </c>
    </row>
    <row r="2547" spans="1:5" x14ac:dyDescent="0.2">
      <c r="A2547" t="s">
        <v>5139</v>
      </c>
      <c r="B2547" t="s">
        <v>5140</v>
      </c>
      <c r="C2547" t="s">
        <v>357</v>
      </c>
      <c r="D2547" t="s">
        <v>1458</v>
      </c>
      <c r="E2547" t="s">
        <v>5120</v>
      </c>
    </row>
    <row r="2548" spans="1:5" x14ac:dyDescent="0.2">
      <c r="A2548" t="s">
        <v>5141</v>
      </c>
      <c r="B2548" t="s">
        <v>5142</v>
      </c>
      <c r="C2548" t="s">
        <v>357</v>
      </c>
      <c r="D2548" t="s">
        <v>1458</v>
      </c>
      <c r="E2548" t="s">
        <v>5120</v>
      </c>
    </row>
    <row r="2549" spans="1:5" x14ac:dyDescent="0.2">
      <c r="A2549" t="s">
        <v>5143</v>
      </c>
      <c r="B2549" t="s">
        <v>5144</v>
      </c>
      <c r="C2549" t="s">
        <v>357</v>
      </c>
      <c r="D2549" t="s">
        <v>258</v>
      </c>
      <c r="E2549" t="s">
        <v>5120</v>
      </c>
    </row>
    <row r="2550" spans="1:5" x14ac:dyDescent="0.2">
      <c r="A2550" t="s">
        <v>5145</v>
      </c>
      <c r="B2550" t="s">
        <v>5146</v>
      </c>
      <c r="C2550" t="s">
        <v>357</v>
      </c>
      <c r="D2550" t="s">
        <v>258</v>
      </c>
      <c r="E2550" t="s">
        <v>5120</v>
      </c>
    </row>
    <row r="2551" spans="1:5" x14ac:dyDescent="0.2">
      <c r="A2551" t="s">
        <v>5147</v>
      </c>
      <c r="B2551" t="s">
        <v>5148</v>
      </c>
      <c r="C2551" t="s">
        <v>357</v>
      </c>
      <c r="D2551" t="s">
        <v>1458</v>
      </c>
      <c r="E2551" t="s">
        <v>5120</v>
      </c>
    </row>
    <row r="2552" spans="1:5" x14ac:dyDescent="0.2">
      <c r="A2552" t="s">
        <v>5149</v>
      </c>
      <c r="B2552" t="s">
        <v>5150</v>
      </c>
      <c r="C2552" t="s">
        <v>357</v>
      </c>
      <c r="D2552" t="s">
        <v>1458</v>
      </c>
      <c r="E2552" t="s">
        <v>5120</v>
      </c>
    </row>
    <row r="2553" spans="1:5" x14ac:dyDescent="0.2">
      <c r="A2553" t="s">
        <v>5151</v>
      </c>
      <c r="B2553" t="s">
        <v>5152</v>
      </c>
      <c r="C2553" t="s">
        <v>357</v>
      </c>
      <c r="D2553" t="s">
        <v>258</v>
      </c>
      <c r="E2553" t="s">
        <v>5120</v>
      </c>
    </row>
    <row r="2554" spans="1:5" x14ac:dyDescent="0.2">
      <c r="A2554" t="s">
        <v>5153</v>
      </c>
      <c r="B2554" t="s">
        <v>5154</v>
      </c>
      <c r="C2554" t="s">
        <v>357</v>
      </c>
      <c r="D2554" t="s">
        <v>444</v>
      </c>
      <c r="E2554" t="s">
        <v>5120</v>
      </c>
    </row>
    <row r="2555" spans="1:5" x14ac:dyDescent="0.2">
      <c r="A2555" t="s">
        <v>5155</v>
      </c>
      <c r="B2555" t="s">
        <v>5156</v>
      </c>
      <c r="C2555" t="s">
        <v>357</v>
      </c>
      <c r="D2555" t="s">
        <v>444</v>
      </c>
      <c r="E2555" t="s">
        <v>5120</v>
      </c>
    </row>
    <row r="2556" spans="1:5" x14ac:dyDescent="0.2">
      <c r="A2556" t="s">
        <v>5157</v>
      </c>
      <c r="B2556" t="s">
        <v>5158</v>
      </c>
      <c r="C2556" t="s">
        <v>357</v>
      </c>
      <c r="D2556" t="s">
        <v>480</v>
      </c>
      <c r="E2556" t="s">
        <v>5120</v>
      </c>
    </row>
    <row r="2557" spans="1:5" x14ac:dyDescent="0.2">
      <c r="A2557" t="s">
        <v>5159</v>
      </c>
      <c r="B2557" t="s">
        <v>5160</v>
      </c>
      <c r="C2557" t="s">
        <v>357</v>
      </c>
      <c r="D2557" t="s">
        <v>480</v>
      </c>
      <c r="E2557" t="s">
        <v>5120</v>
      </c>
    </row>
    <row r="2558" spans="1:5" x14ac:dyDescent="0.2">
      <c r="A2558" t="s">
        <v>5161</v>
      </c>
      <c r="B2558" t="s">
        <v>5162</v>
      </c>
      <c r="C2558" t="s">
        <v>357</v>
      </c>
      <c r="D2558" t="s">
        <v>1322</v>
      </c>
      <c r="E2558" t="s">
        <v>5120</v>
      </c>
    </row>
    <row r="2559" spans="1:5" x14ac:dyDescent="0.2">
      <c r="A2559" t="s">
        <v>5163</v>
      </c>
      <c r="B2559" t="s">
        <v>5164</v>
      </c>
      <c r="C2559" t="s">
        <v>357</v>
      </c>
      <c r="D2559" t="s">
        <v>1322</v>
      </c>
      <c r="E2559" t="s">
        <v>5120</v>
      </c>
    </row>
    <row r="2560" spans="1:5" x14ac:dyDescent="0.2">
      <c r="A2560" t="s">
        <v>5165</v>
      </c>
      <c r="B2560" t="s">
        <v>5166</v>
      </c>
      <c r="C2560" t="s">
        <v>357</v>
      </c>
      <c r="D2560" t="s">
        <v>662</v>
      </c>
      <c r="E2560" t="s">
        <v>5120</v>
      </c>
    </row>
    <row r="2561" spans="1:5" x14ac:dyDescent="0.2">
      <c r="A2561" t="s">
        <v>5167</v>
      </c>
      <c r="B2561" t="s">
        <v>5168</v>
      </c>
      <c r="C2561" t="s">
        <v>357</v>
      </c>
      <c r="D2561" t="s">
        <v>662</v>
      </c>
      <c r="E2561" t="s">
        <v>5120</v>
      </c>
    </row>
    <row r="2562" spans="1:5" x14ac:dyDescent="0.2">
      <c r="A2562" t="s">
        <v>5169</v>
      </c>
      <c r="B2562" t="s">
        <v>5170</v>
      </c>
      <c r="C2562" t="s">
        <v>357</v>
      </c>
      <c r="D2562" t="s">
        <v>1322</v>
      </c>
      <c r="E2562" t="s">
        <v>5120</v>
      </c>
    </row>
    <row r="2563" spans="1:5" x14ac:dyDescent="0.2">
      <c r="A2563" t="s">
        <v>5171</v>
      </c>
      <c r="B2563" t="s">
        <v>5172</v>
      </c>
      <c r="C2563" t="s">
        <v>357</v>
      </c>
      <c r="D2563" t="s">
        <v>662</v>
      </c>
      <c r="E2563" t="s">
        <v>5120</v>
      </c>
    </row>
    <row r="2564" spans="1:5" x14ac:dyDescent="0.2">
      <c r="A2564" t="s">
        <v>5173</v>
      </c>
      <c r="B2564" t="s">
        <v>5174</v>
      </c>
      <c r="C2564" t="s">
        <v>357</v>
      </c>
      <c r="D2564" t="s">
        <v>662</v>
      </c>
      <c r="E2564" t="s">
        <v>5120</v>
      </c>
    </row>
    <row r="2565" spans="1:5" x14ac:dyDescent="0.2">
      <c r="A2565" t="s">
        <v>5175</v>
      </c>
      <c r="B2565" t="s">
        <v>5176</v>
      </c>
      <c r="C2565" t="s">
        <v>357</v>
      </c>
      <c r="D2565" t="s">
        <v>525</v>
      </c>
      <c r="E2565" t="s">
        <v>5120</v>
      </c>
    </row>
    <row r="2566" spans="1:5" x14ac:dyDescent="0.2">
      <c r="A2566" t="s">
        <v>5177</v>
      </c>
      <c r="B2566" t="s">
        <v>5178</v>
      </c>
      <c r="C2566" t="s">
        <v>357</v>
      </c>
      <c r="D2566" t="s">
        <v>525</v>
      </c>
      <c r="E2566" t="s">
        <v>5120</v>
      </c>
    </row>
    <row r="2567" spans="1:5" x14ac:dyDescent="0.2">
      <c r="A2567" t="s">
        <v>5179</v>
      </c>
      <c r="B2567" t="s">
        <v>5180</v>
      </c>
      <c r="C2567" t="s">
        <v>357</v>
      </c>
      <c r="D2567" t="s">
        <v>888</v>
      </c>
      <c r="E2567" t="s">
        <v>5120</v>
      </c>
    </row>
    <row r="2568" spans="1:5" x14ac:dyDescent="0.2">
      <c r="A2568" t="s">
        <v>5181</v>
      </c>
      <c r="B2568" t="s">
        <v>5182</v>
      </c>
      <c r="C2568" t="s">
        <v>357</v>
      </c>
      <c r="D2568" t="s">
        <v>888</v>
      </c>
      <c r="E2568" t="s">
        <v>5120</v>
      </c>
    </row>
    <row r="2569" spans="1:5" x14ac:dyDescent="0.2">
      <c r="A2569" t="s">
        <v>5183</v>
      </c>
      <c r="B2569" t="s">
        <v>5184</v>
      </c>
      <c r="C2569" t="s">
        <v>357</v>
      </c>
      <c r="D2569" t="s">
        <v>662</v>
      </c>
      <c r="E2569" t="s">
        <v>5120</v>
      </c>
    </row>
    <row r="2570" spans="1:5" x14ac:dyDescent="0.2">
      <c r="A2570" t="s">
        <v>5185</v>
      </c>
      <c r="B2570" t="s">
        <v>5186</v>
      </c>
      <c r="C2570" t="s">
        <v>357</v>
      </c>
      <c r="D2570" t="s">
        <v>662</v>
      </c>
      <c r="E2570" t="s">
        <v>5120</v>
      </c>
    </row>
    <row r="2571" spans="1:5" x14ac:dyDescent="0.2">
      <c r="A2571" t="s">
        <v>5187</v>
      </c>
      <c r="B2571" t="s">
        <v>5188</v>
      </c>
      <c r="C2571" t="s">
        <v>357</v>
      </c>
      <c r="D2571" t="s">
        <v>888</v>
      </c>
      <c r="E2571" t="s">
        <v>5120</v>
      </c>
    </row>
    <row r="2572" spans="1:5" x14ac:dyDescent="0.2">
      <c r="A2572" t="s">
        <v>5189</v>
      </c>
      <c r="B2572" t="s">
        <v>5190</v>
      </c>
      <c r="C2572" t="s">
        <v>357</v>
      </c>
      <c r="D2572" t="s">
        <v>888</v>
      </c>
      <c r="E2572" t="s">
        <v>5120</v>
      </c>
    </row>
    <row r="2573" spans="1:5" x14ac:dyDescent="0.2">
      <c r="A2573" t="s">
        <v>4995</v>
      </c>
      <c r="B2573" t="s">
        <v>4996</v>
      </c>
      <c r="C2573" t="s">
        <v>199</v>
      </c>
      <c r="D2573" t="s">
        <v>380</v>
      </c>
      <c r="E2573" t="s">
        <v>1489</v>
      </c>
    </row>
    <row r="2574" spans="1:5" x14ac:dyDescent="0.2">
      <c r="A2574" t="s">
        <v>4997</v>
      </c>
      <c r="B2574" t="s">
        <v>4998</v>
      </c>
      <c r="C2574" t="s">
        <v>199</v>
      </c>
      <c r="D2574" t="s">
        <v>115</v>
      </c>
      <c r="E2574" t="s">
        <v>1489</v>
      </c>
    </row>
    <row r="2575" spans="1:5" x14ac:dyDescent="0.2">
      <c r="A2575" t="s">
        <v>4999</v>
      </c>
      <c r="B2575" t="s">
        <v>5000</v>
      </c>
      <c r="C2575" t="s">
        <v>92</v>
      </c>
      <c r="D2575" t="s">
        <v>207</v>
      </c>
      <c r="E2575" t="s">
        <v>1489</v>
      </c>
    </row>
    <row r="2576" spans="1:5" x14ac:dyDescent="0.2">
      <c r="A2576" t="s">
        <v>5001</v>
      </c>
      <c r="B2576" t="s">
        <v>5002</v>
      </c>
      <c r="C2576" t="s">
        <v>92</v>
      </c>
      <c r="D2576" t="s">
        <v>207</v>
      </c>
      <c r="E2576" t="s">
        <v>1489</v>
      </c>
    </row>
    <row r="2577" spans="1:5" x14ac:dyDescent="0.2">
      <c r="A2577" t="s">
        <v>5003</v>
      </c>
      <c r="B2577" t="s">
        <v>5004</v>
      </c>
      <c r="C2577" t="s">
        <v>92</v>
      </c>
      <c r="D2577" t="s">
        <v>845</v>
      </c>
      <c r="E2577" t="s">
        <v>1489</v>
      </c>
    </row>
    <row r="2578" spans="1:5" x14ac:dyDescent="0.2">
      <c r="A2578" t="s">
        <v>5005</v>
      </c>
      <c r="B2578" t="s">
        <v>5006</v>
      </c>
      <c r="C2578" t="s">
        <v>92</v>
      </c>
      <c r="D2578" t="s">
        <v>2132</v>
      </c>
      <c r="E2578" t="s">
        <v>1489</v>
      </c>
    </row>
    <row r="2579" spans="1:5" x14ac:dyDescent="0.2">
      <c r="A2579" t="s">
        <v>5007</v>
      </c>
      <c r="B2579" t="s">
        <v>5008</v>
      </c>
      <c r="C2579" t="s">
        <v>104</v>
      </c>
      <c r="D2579" t="s">
        <v>110</v>
      </c>
      <c r="E2579" t="s">
        <v>9341</v>
      </c>
    </row>
    <row r="2580" spans="1:5" x14ac:dyDescent="0.2">
      <c r="A2580" t="s">
        <v>5010</v>
      </c>
      <c r="B2580" t="s">
        <v>5011</v>
      </c>
      <c r="C2580" t="s">
        <v>9124</v>
      </c>
      <c r="D2580" t="s">
        <v>363</v>
      </c>
      <c r="E2580" t="s">
        <v>8888</v>
      </c>
    </row>
    <row r="2581" spans="1:5" x14ac:dyDescent="0.2">
      <c r="A2581" t="s">
        <v>5012</v>
      </c>
      <c r="B2581" t="s">
        <v>5013</v>
      </c>
      <c r="C2581" t="s">
        <v>120</v>
      </c>
      <c r="D2581" t="s">
        <v>991</v>
      </c>
      <c r="E2581" t="s">
        <v>9341</v>
      </c>
    </row>
    <row r="2582" spans="1:5" x14ac:dyDescent="0.2">
      <c r="A2582" t="s">
        <v>5014</v>
      </c>
      <c r="B2582" t="s">
        <v>5015</v>
      </c>
      <c r="C2582" t="s">
        <v>104</v>
      </c>
      <c r="D2582" t="s">
        <v>462</v>
      </c>
      <c r="E2582" t="s">
        <v>9341</v>
      </c>
    </row>
    <row r="2583" spans="1:5" x14ac:dyDescent="0.2">
      <c r="A2583" t="s">
        <v>5016</v>
      </c>
      <c r="B2583" t="s">
        <v>5017</v>
      </c>
      <c r="C2583" t="s">
        <v>120</v>
      </c>
      <c r="D2583" t="s">
        <v>241</v>
      </c>
      <c r="E2583" t="s">
        <v>9341</v>
      </c>
    </row>
    <row r="2584" spans="1:5" x14ac:dyDescent="0.2">
      <c r="A2584" t="s">
        <v>5018</v>
      </c>
      <c r="B2584" t="s">
        <v>5019</v>
      </c>
      <c r="C2584" t="s">
        <v>104</v>
      </c>
      <c r="D2584" t="s">
        <v>734</v>
      </c>
      <c r="E2584" t="s">
        <v>9341</v>
      </c>
    </row>
    <row r="2585" spans="1:5" x14ac:dyDescent="0.2">
      <c r="A2585" t="s">
        <v>5020</v>
      </c>
      <c r="B2585" t="s">
        <v>5021</v>
      </c>
      <c r="C2585" t="s">
        <v>131</v>
      </c>
      <c r="D2585" t="s">
        <v>254</v>
      </c>
      <c r="E2585" t="s">
        <v>9341</v>
      </c>
    </row>
    <row r="2586" spans="1:5" x14ac:dyDescent="0.2">
      <c r="A2586" t="s">
        <v>5022</v>
      </c>
      <c r="B2586" t="s">
        <v>5023</v>
      </c>
      <c r="C2586" t="s">
        <v>131</v>
      </c>
      <c r="D2586" t="s">
        <v>386</v>
      </c>
      <c r="E2586" t="s">
        <v>9341</v>
      </c>
    </row>
    <row r="2587" spans="1:5" x14ac:dyDescent="0.2">
      <c r="A2587" t="s">
        <v>5024</v>
      </c>
      <c r="B2587" t="s">
        <v>5025</v>
      </c>
      <c r="C2587" t="s">
        <v>92</v>
      </c>
      <c r="D2587" t="s">
        <v>412</v>
      </c>
      <c r="E2587" t="s">
        <v>9341</v>
      </c>
    </row>
    <row r="2588" spans="1:5" x14ac:dyDescent="0.2">
      <c r="A2588" t="s">
        <v>5026</v>
      </c>
      <c r="B2588" t="s">
        <v>5027</v>
      </c>
      <c r="C2588" t="s">
        <v>887</v>
      </c>
      <c r="D2588" t="s">
        <v>893</v>
      </c>
      <c r="E2588" t="s">
        <v>8888</v>
      </c>
    </row>
    <row r="2589" spans="1:5" x14ac:dyDescent="0.2">
      <c r="A2589" t="s">
        <v>5028</v>
      </c>
      <c r="B2589" t="s">
        <v>5029</v>
      </c>
      <c r="C2589" t="s">
        <v>887</v>
      </c>
      <c r="D2589" t="s">
        <v>893</v>
      </c>
      <c r="E2589" t="s">
        <v>8888</v>
      </c>
    </row>
    <row r="2590" spans="1:5" x14ac:dyDescent="0.2">
      <c r="A2590" t="s">
        <v>5064</v>
      </c>
      <c r="B2590" t="s">
        <v>5065</v>
      </c>
      <c r="C2590" t="s">
        <v>92</v>
      </c>
      <c r="D2590" t="s">
        <v>358</v>
      </c>
      <c r="E2590" t="s">
        <v>2424</v>
      </c>
    </row>
    <row r="2591" spans="1:5" x14ac:dyDescent="0.2">
      <c r="A2591" t="s">
        <v>5073</v>
      </c>
      <c r="B2591" t="s">
        <v>5074</v>
      </c>
      <c r="C2591" t="s">
        <v>219</v>
      </c>
      <c r="D2591" t="s">
        <v>301</v>
      </c>
      <c r="E2591" t="s">
        <v>234</v>
      </c>
    </row>
    <row r="2592" spans="1:5" x14ac:dyDescent="0.2">
      <c r="A2592" t="s">
        <v>5075</v>
      </c>
      <c r="B2592" t="s">
        <v>5076</v>
      </c>
      <c r="C2592" t="s">
        <v>219</v>
      </c>
      <c r="D2592" t="s">
        <v>400</v>
      </c>
      <c r="E2592" t="s">
        <v>234</v>
      </c>
    </row>
    <row r="2593" spans="1:5" x14ac:dyDescent="0.2">
      <c r="A2593" t="s">
        <v>5077</v>
      </c>
      <c r="B2593" t="s">
        <v>5078</v>
      </c>
      <c r="C2593" t="s">
        <v>251</v>
      </c>
      <c r="D2593" t="s">
        <v>301</v>
      </c>
      <c r="E2593" t="s">
        <v>234</v>
      </c>
    </row>
    <row r="2594" spans="1:5" x14ac:dyDescent="0.2">
      <c r="A2594" t="s">
        <v>5079</v>
      </c>
      <c r="B2594" t="s">
        <v>5080</v>
      </c>
      <c r="C2594" t="s">
        <v>251</v>
      </c>
      <c r="D2594" t="s">
        <v>301</v>
      </c>
      <c r="E2594" t="s">
        <v>234</v>
      </c>
    </row>
    <row r="2595" spans="1:5" x14ac:dyDescent="0.2">
      <c r="A2595" t="s">
        <v>5081</v>
      </c>
      <c r="B2595" t="s">
        <v>5082</v>
      </c>
      <c r="C2595" t="s">
        <v>251</v>
      </c>
      <c r="D2595" t="s">
        <v>400</v>
      </c>
      <c r="E2595" t="s">
        <v>234</v>
      </c>
    </row>
    <row r="2596" spans="1:5" x14ac:dyDescent="0.2">
      <c r="A2596" t="s">
        <v>5083</v>
      </c>
      <c r="B2596" t="s">
        <v>5084</v>
      </c>
      <c r="C2596" t="s">
        <v>251</v>
      </c>
      <c r="D2596" t="s">
        <v>400</v>
      </c>
      <c r="E2596" t="s">
        <v>234</v>
      </c>
    </row>
    <row r="2597" spans="1:5" x14ac:dyDescent="0.2">
      <c r="A2597" t="s">
        <v>5085</v>
      </c>
      <c r="B2597" t="s">
        <v>5086</v>
      </c>
      <c r="C2597" t="s">
        <v>212</v>
      </c>
      <c r="D2597" t="s">
        <v>301</v>
      </c>
      <c r="E2597" t="s">
        <v>234</v>
      </c>
    </row>
    <row r="2598" spans="1:5" x14ac:dyDescent="0.2">
      <c r="A2598" t="s">
        <v>5087</v>
      </c>
      <c r="B2598" t="s">
        <v>5088</v>
      </c>
      <c r="C2598" t="s">
        <v>212</v>
      </c>
      <c r="D2598" t="s">
        <v>301</v>
      </c>
      <c r="E2598" t="s">
        <v>234</v>
      </c>
    </row>
    <row r="2599" spans="1:5" x14ac:dyDescent="0.2">
      <c r="A2599" t="s">
        <v>5089</v>
      </c>
      <c r="B2599" t="s">
        <v>5090</v>
      </c>
      <c r="C2599" t="s">
        <v>219</v>
      </c>
      <c r="D2599" t="s">
        <v>681</v>
      </c>
      <c r="E2599" t="s">
        <v>9299</v>
      </c>
    </row>
    <row r="2600" spans="1:5" x14ac:dyDescent="0.2">
      <c r="A2600" t="s">
        <v>5091</v>
      </c>
      <c r="B2600" t="s">
        <v>5092</v>
      </c>
      <c r="C2600" t="s">
        <v>322</v>
      </c>
      <c r="D2600" t="s">
        <v>386</v>
      </c>
      <c r="E2600" t="s">
        <v>9299</v>
      </c>
    </row>
    <row r="2601" spans="1:5" x14ac:dyDescent="0.2">
      <c r="A2601" t="s">
        <v>5093</v>
      </c>
      <c r="B2601" t="s">
        <v>5094</v>
      </c>
      <c r="C2601" t="s">
        <v>322</v>
      </c>
      <c r="D2601" t="s">
        <v>386</v>
      </c>
      <c r="E2601" t="s">
        <v>9299</v>
      </c>
    </row>
    <row r="2602" spans="1:5" x14ac:dyDescent="0.2">
      <c r="A2602" t="s">
        <v>5095</v>
      </c>
      <c r="B2602" t="s">
        <v>5096</v>
      </c>
      <c r="C2602" t="s">
        <v>219</v>
      </c>
      <c r="D2602" t="s">
        <v>224</v>
      </c>
      <c r="E2602" t="s">
        <v>9299</v>
      </c>
    </row>
    <row r="2603" spans="1:5" x14ac:dyDescent="0.2">
      <c r="A2603" t="s">
        <v>5097</v>
      </c>
      <c r="B2603" t="s">
        <v>5098</v>
      </c>
      <c r="C2603" t="s">
        <v>212</v>
      </c>
      <c r="D2603" t="s">
        <v>386</v>
      </c>
      <c r="E2603" t="s">
        <v>9299</v>
      </c>
    </row>
    <row r="2604" spans="1:5" x14ac:dyDescent="0.2">
      <c r="A2604" t="s">
        <v>5099</v>
      </c>
      <c r="B2604" t="s">
        <v>5100</v>
      </c>
      <c r="C2604" t="s">
        <v>212</v>
      </c>
      <c r="D2604" t="s">
        <v>386</v>
      </c>
      <c r="E2604" t="s">
        <v>9299</v>
      </c>
    </row>
    <row r="2605" spans="1:5" x14ac:dyDescent="0.2">
      <c r="A2605" t="s">
        <v>5104</v>
      </c>
      <c r="B2605" t="s">
        <v>5105</v>
      </c>
      <c r="C2605" t="s">
        <v>92</v>
      </c>
      <c r="D2605" t="s">
        <v>1524</v>
      </c>
      <c r="E2605" t="s">
        <v>1489</v>
      </c>
    </row>
    <row r="2606" spans="1:5" x14ac:dyDescent="0.2">
      <c r="A2606" t="s">
        <v>5106</v>
      </c>
      <c r="B2606" t="s">
        <v>5107</v>
      </c>
      <c r="C2606" t="s">
        <v>92</v>
      </c>
      <c r="D2606" t="s">
        <v>596</v>
      </c>
      <c r="E2606" t="s">
        <v>1489</v>
      </c>
    </row>
    <row r="2607" spans="1:5" x14ac:dyDescent="0.2">
      <c r="A2607" t="s">
        <v>5108</v>
      </c>
      <c r="B2607" t="s">
        <v>5109</v>
      </c>
      <c r="C2607" t="s">
        <v>92</v>
      </c>
      <c r="D2607" t="s">
        <v>596</v>
      </c>
      <c r="E2607" t="s">
        <v>1489</v>
      </c>
    </row>
    <row r="2608" spans="1:5" x14ac:dyDescent="0.2">
      <c r="A2608" t="s">
        <v>5110</v>
      </c>
      <c r="B2608" t="s">
        <v>5111</v>
      </c>
      <c r="C2608" t="s">
        <v>92</v>
      </c>
      <c r="D2608" t="s">
        <v>1534</v>
      </c>
      <c r="E2608" t="s">
        <v>1489</v>
      </c>
    </row>
    <row r="2609" spans="1:5" x14ac:dyDescent="0.2">
      <c r="A2609" t="s">
        <v>5112</v>
      </c>
      <c r="B2609" t="s">
        <v>5113</v>
      </c>
      <c r="C2609" t="s">
        <v>131</v>
      </c>
      <c r="D2609" t="s">
        <v>489</v>
      </c>
      <c r="E2609" t="s">
        <v>1489</v>
      </c>
    </row>
    <row r="2610" spans="1:5" x14ac:dyDescent="0.2">
      <c r="A2610" t="s">
        <v>5114</v>
      </c>
      <c r="B2610" t="s">
        <v>5115</v>
      </c>
      <c r="C2610" t="s">
        <v>131</v>
      </c>
      <c r="D2610" t="s">
        <v>323</v>
      </c>
      <c r="E2610" t="s">
        <v>1489</v>
      </c>
    </row>
    <row r="2611" spans="1:5" x14ac:dyDescent="0.2">
      <c r="A2611" t="s">
        <v>5116</v>
      </c>
      <c r="B2611" t="s">
        <v>5117</v>
      </c>
      <c r="C2611" t="s">
        <v>131</v>
      </c>
      <c r="D2611" t="s">
        <v>547</v>
      </c>
      <c r="E2611" t="s">
        <v>1489</v>
      </c>
    </row>
    <row r="2612" spans="1:5" x14ac:dyDescent="0.2">
      <c r="A2612" t="s">
        <v>5191</v>
      </c>
      <c r="B2612" t="s">
        <v>5192</v>
      </c>
      <c r="C2612" t="s">
        <v>92</v>
      </c>
      <c r="D2612" t="s">
        <v>237</v>
      </c>
      <c r="E2612" t="s">
        <v>5193</v>
      </c>
    </row>
    <row r="2613" spans="1:5" x14ac:dyDescent="0.2">
      <c r="A2613" t="s">
        <v>5194</v>
      </c>
      <c r="B2613" t="s">
        <v>5195</v>
      </c>
      <c r="C2613" t="s">
        <v>92</v>
      </c>
      <c r="D2613" t="s">
        <v>237</v>
      </c>
      <c r="E2613" t="s">
        <v>5193</v>
      </c>
    </row>
    <row r="2614" spans="1:5" x14ac:dyDescent="0.2">
      <c r="A2614" t="s">
        <v>5196</v>
      </c>
      <c r="B2614" t="s">
        <v>5197</v>
      </c>
      <c r="C2614" t="s">
        <v>92</v>
      </c>
      <c r="D2614" t="s">
        <v>427</v>
      </c>
      <c r="E2614" t="s">
        <v>5193</v>
      </c>
    </row>
    <row r="2615" spans="1:5" x14ac:dyDescent="0.2">
      <c r="A2615" t="s">
        <v>5198</v>
      </c>
      <c r="B2615" t="s">
        <v>5199</v>
      </c>
      <c r="C2615" t="s">
        <v>92</v>
      </c>
      <c r="D2615" t="s">
        <v>427</v>
      </c>
      <c r="E2615" t="s">
        <v>5193</v>
      </c>
    </row>
    <row r="2616" spans="1:5" x14ac:dyDescent="0.2">
      <c r="A2616" t="s">
        <v>5200</v>
      </c>
      <c r="B2616" t="s">
        <v>5201</v>
      </c>
      <c r="C2616" t="s">
        <v>131</v>
      </c>
      <c r="D2616" t="s">
        <v>207</v>
      </c>
      <c r="E2616" t="s">
        <v>5193</v>
      </c>
    </row>
    <row r="2617" spans="1:5" x14ac:dyDescent="0.2">
      <c r="A2617" t="s">
        <v>5202</v>
      </c>
      <c r="B2617" t="s">
        <v>5203</v>
      </c>
      <c r="C2617" t="s">
        <v>131</v>
      </c>
      <c r="D2617" t="s">
        <v>323</v>
      </c>
      <c r="E2617" t="s">
        <v>5193</v>
      </c>
    </row>
    <row r="2618" spans="1:5" x14ac:dyDescent="0.2">
      <c r="A2618" t="s">
        <v>5204</v>
      </c>
      <c r="B2618" t="s">
        <v>5205</v>
      </c>
      <c r="C2618" t="s">
        <v>591</v>
      </c>
      <c r="D2618" t="s">
        <v>718</v>
      </c>
      <c r="E2618" t="s">
        <v>5193</v>
      </c>
    </row>
    <row r="2619" spans="1:5" x14ac:dyDescent="0.2">
      <c r="A2619" t="s">
        <v>5206</v>
      </c>
      <c r="B2619" t="s">
        <v>5207</v>
      </c>
      <c r="C2619" t="s">
        <v>591</v>
      </c>
      <c r="D2619" t="s">
        <v>718</v>
      </c>
      <c r="E2619" t="s">
        <v>5193</v>
      </c>
    </row>
    <row r="2620" spans="1:5" x14ac:dyDescent="0.2">
      <c r="A2620" t="s">
        <v>5208</v>
      </c>
      <c r="B2620" t="s">
        <v>5209</v>
      </c>
      <c r="C2620" t="s">
        <v>591</v>
      </c>
      <c r="D2620" t="s">
        <v>252</v>
      </c>
      <c r="E2620" t="s">
        <v>5193</v>
      </c>
    </row>
    <row r="2621" spans="1:5" x14ac:dyDescent="0.2">
      <c r="A2621" t="s">
        <v>5210</v>
      </c>
      <c r="B2621" t="s">
        <v>5211</v>
      </c>
      <c r="C2621" t="s">
        <v>92</v>
      </c>
      <c r="D2621" t="s">
        <v>818</v>
      </c>
      <c r="E2621" t="s">
        <v>5193</v>
      </c>
    </row>
    <row r="2622" spans="1:5" x14ac:dyDescent="0.2">
      <c r="A2622" t="s">
        <v>5212</v>
      </c>
      <c r="B2622" t="s">
        <v>5213</v>
      </c>
      <c r="C2622" t="s">
        <v>104</v>
      </c>
      <c r="D2622" t="s">
        <v>596</v>
      </c>
      <c r="E2622" t="s">
        <v>1541</v>
      </c>
    </row>
    <row r="2623" spans="1:5" x14ac:dyDescent="0.2">
      <c r="A2623" t="s">
        <v>5214</v>
      </c>
      <c r="B2623" t="s">
        <v>5215</v>
      </c>
      <c r="C2623" t="s">
        <v>104</v>
      </c>
      <c r="D2623" t="s">
        <v>596</v>
      </c>
      <c r="E2623" t="s">
        <v>1541</v>
      </c>
    </row>
    <row r="2624" spans="1:5" x14ac:dyDescent="0.2">
      <c r="A2624" t="s">
        <v>5216</v>
      </c>
      <c r="B2624" t="s">
        <v>5217</v>
      </c>
      <c r="C2624" t="s">
        <v>104</v>
      </c>
      <c r="D2624" t="s">
        <v>200</v>
      </c>
      <c r="E2624" t="s">
        <v>1541</v>
      </c>
    </row>
    <row r="2625" spans="1:5" x14ac:dyDescent="0.2">
      <c r="A2625" t="s">
        <v>5218</v>
      </c>
      <c r="B2625" t="s">
        <v>5219</v>
      </c>
      <c r="C2625" t="s">
        <v>104</v>
      </c>
      <c r="D2625" t="s">
        <v>200</v>
      </c>
      <c r="E2625" t="s">
        <v>1541</v>
      </c>
    </row>
    <row r="2626" spans="1:5" x14ac:dyDescent="0.2">
      <c r="A2626" t="s">
        <v>5220</v>
      </c>
      <c r="B2626" t="s">
        <v>5221</v>
      </c>
      <c r="C2626" t="s">
        <v>104</v>
      </c>
      <c r="D2626" t="s">
        <v>955</v>
      </c>
      <c r="E2626" t="s">
        <v>1541</v>
      </c>
    </row>
    <row r="2627" spans="1:5" x14ac:dyDescent="0.2">
      <c r="A2627" t="s">
        <v>5222</v>
      </c>
      <c r="B2627" t="s">
        <v>5223</v>
      </c>
      <c r="C2627" t="s">
        <v>104</v>
      </c>
      <c r="D2627" t="s">
        <v>955</v>
      </c>
      <c r="E2627" t="s">
        <v>1541</v>
      </c>
    </row>
    <row r="2628" spans="1:5" x14ac:dyDescent="0.2">
      <c r="A2628" t="s">
        <v>5224</v>
      </c>
      <c r="B2628" t="s">
        <v>5225</v>
      </c>
      <c r="C2628" t="s">
        <v>251</v>
      </c>
      <c r="D2628" t="s">
        <v>301</v>
      </c>
      <c r="E2628" t="s">
        <v>234</v>
      </c>
    </row>
    <row r="2629" spans="1:5" x14ac:dyDescent="0.2">
      <c r="A2629" t="s">
        <v>5226</v>
      </c>
      <c r="B2629" t="s">
        <v>5227</v>
      </c>
      <c r="C2629" t="s">
        <v>251</v>
      </c>
      <c r="D2629" t="s">
        <v>301</v>
      </c>
      <c r="E2629" t="s">
        <v>234</v>
      </c>
    </row>
    <row r="2630" spans="1:5" x14ac:dyDescent="0.2">
      <c r="A2630" t="s">
        <v>5230</v>
      </c>
      <c r="B2630" t="s">
        <v>5231</v>
      </c>
      <c r="C2630" t="s">
        <v>131</v>
      </c>
      <c r="D2630" t="s">
        <v>296</v>
      </c>
      <c r="E2630" t="s">
        <v>9210</v>
      </c>
    </row>
    <row r="2631" spans="1:5" x14ac:dyDescent="0.2">
      <c r="A2631" t="s">
        <v>5232</v>
      </c>
      <c r="B2631" t="s">
        <v>5233</v>
      </c>
      <c r="C2631" t="s">
        <v>131</v>
      </c>
      <c r="D2631" t="s">
        <v>296</v>
      </c>
      <c r="E2631" t="s">
        <v>9210</v>
      </c>
    </row>
    <row r="2632" spans="1:5" x14ac:dyDescent="0.2">
      <c r="A2632" t="s">
        <v>5234</v>
      </c>
      <c r="B2632" t="s">
        <v>5235</v>
      </c>
      <c r="C2632" t="s">
        <v>131</v>
      </c>
      <c r="D2632" t="s">
        <v>400</v>
      </c>
      <c r="E2632" t="s">
        <v>9210</v>
      </c>
    </row>
    <row r="2633" spans="1:5" x14ac:dyDescent="0.2">
      <c r="A2633" t="s">
        <v>5236</v>
      </c>
      <c r="B2633" t="s">
        <v>5237</v>
      </c>
      <c r="C2633" t="s">
        <v>131</v>
      </c>
      <c r="D2633" t="s">
        <v>400</v>
      </c>
      <c r="E2633" t="s">
        <v>9210</v>
      </c>
    </row>
    <row r="2634" spans="1:5" x14ac:dyDescent="0.2">
      <c r="A2634" t="s">
        <v>5238</v>
      </c>
      <c r="B2634" t="s">
        <v>5239</v>
      </c>
      <c r="C2634" t="s">
        <v>318</v>
      </c>
      <c r="D2634" t="s">
        <v>2856</v>
      </c>
      <c r="E2634" t="s">
        <v>9210</v>
      </c>
    </row>
    <row r="2635" spans="1:5" x14ac:dyDescent="0.2">
      <c r="A2635" t="s">
        <v>5240</v>
      </c>
      <c r="B2635" t="s">
        <v>5241</v>
      </c>
      <c r="C2635" t="s">
        <v>318</v>
      </c>
      <c r="D2635" t="s">
        <v>224</v>
      </c>
      <c r="E2635" t="s">
        <v>9210</v>
      </c>
    </row>
    <row r="2636" spans="1:5" x14ac:dyDescent="0.2">
      <c r="A2636" t="s">
        <v>5242</v>
      </c>
      <c r="B2636" t="s">
        <v>5243</v>
      </c>
      <c r="C2636" t="s">
        <v>331</v>
      </c>
      <c r="D2636" t="s">
        <v>224</v>
      </c>
      <c r="E2636" t="s">
        <v>9210</v>
      </c>
    </row>
    <row r="2637" spans="1:5" x14ac:dyDescent="0.2">
      <c r="A2637" t="s">
        <v>5244</v>
      </c>
      <c r="B2637" t="s">
        <v>5245</v>
      </c>
      <c r="C2637" t="s">
        <v>322</v>
      </c>
      <c r="D2637" t="s">
        <v>604</v>
      </c>
      <c r="E2637" t="s">
        <v>9210</v>
      </c>
    </row>
    <row r="2638" spans="1:5" x14ac:dyDescent="0.2">
      <c r="A2638" t="s">
        <v>5246</v>
      </c>
      <c r="B2638" t="s">
        <v>5247</v>
      </c>
      <c r="C2638" t="s">
        <v>322</v>
      </c>
      <c r="D2638" t="s">
        <v>389</v>
      </c>
      <c r="E2638" t="s">
        <v>9210</v>
      </c>
    </row>
    <row r="2639" spans="1:5" x14ac:dyDescent="0.2">
      <c r="A2639" t="s">
        <v>5248</v>
      </c>
      <c r="B2639" t="s">
        <v>5249</v>
      </c>
      <c r="C2639" t="s">
        <v>92</v>
      </c>
      <c r="D2639" t="s">
        <v>5250</v>
      </c>
      <c r="E2639" t="s">
        <v>9210</v>
      </c>
    </row>
    <row r="2640" spans="1:5" x14ac:dyDescent="0.2">
      <c r="A2640" t="s">
        <v>5251</v>
      </c>
      <c r="B2640" t="s">
        <v>5252</v>
      </c>
      <c r="C2640" t="s">
        <v>92</v>
      </c>
      <c r="D2640" t="s">
        <v>604</v>
      </c>
      <c r="E2640" t="s">
        <v>9210</v>
      </c>
    </row>
    <row r="2641" spans="1:5" x14ac:dyDescent="0.2">
      <c r="A2641" t="s">
        <v>5253</v>
      </c>
      <c r="B2641" t="s">
        <v>5254</v>
      </c>
      <c r="C2641" t="s">
        <v>421</v>
      </c>
      <c r="D2641" t="s">
        <v>604</v>
      </c>
      <c r="E2641" t="s">
        <v>9210</v>
      </c>
    </row>
    <row r="2642" spans="1:5" x14ac:dyDescent="0.2">
      <c r="A2642" t="s">
        <v>5255</v>
      </c>
      <c r="B2642" t="s">
        <v>5256</v>
      </c>
      <c r="C2642" t="s">
        <v>421</v>
      </c>
      <c r="D2642" t="s">
        <v>604</v>
      </c>
      <c r="E2642" t="s">
        <v>9210</v>
      </c>
    </row>
    <row r="2643" spans="1:5" x14ac:dyDescent="0.2">
      <c r="A2643" t="s">
        <v>5257</v>
      </c>
      <c r="B2643" t="s">
        <v>9342</v>
      </c>
      <c r="C2643" t="s">
        <v>219</v>
      </c>
      <c r="D2643" t="s">
        <v>1909</v>
      </c>
      <c r="E2643" t="s">
        <v>9210</v>
      </c>
    </row>
    <row r="2644" spans="1:5" x14ac:dyDescent="0.2">
      <c r="A2644" t="s">
        <v>5258</v>
      </c>
      <c r="B2644" t="s">
        <v>9343</v>
      </c>
      <c r="C2644" t="s">
        <v>219</v>
      </c>
      <c r="D2644" t="s">
        <v>1909</v>
      </c>
      <c r="E2644" t="s">
        <v>9210</v>
      </c>
    </row>
    <row r="2645" spans="1:5" x14ac:dyDescent="0.2">
      <c r="A2645" t="s">
        <v>5259</v>
      </c>
      <c r="B2645" t="s">
        <v>9344</v>
      </c>
      <c r="C2645" t="s">
        <v>219</v>
      </c>
      <c r="D2645" t="s">
        <v>560</v>
      </c>
      <c r="E2645" t="s">
        <v>9210</v>
      </c>
    </row>
    <row r="2646" spans="1:5" x14ac:dyDescent="0.2">
      <c r="A2646" t="s">
        <v>5260</v>
      </c>
      <c r="B2646" t="s">
        <v>9345</v>
      </c>
      <c r="C2646" t="s">
        <v>219</v>
      </c>
      <c r="D2646" t="s">
        <v>604</v>
      </c>
      <c r="E2646" t="s">
        <v>9210</v>
      </c>
    </row>
    <row r="2647" spans="1:5" x14ac:dyDescent="0.2">
      <c r="A2647" t="s">
        <v>5261</v>
      </c>
      <c r="B2647" t="s">
        <v>9346</v>
      </c>
      <c r="C2647" t="s">
        <v>219</v>
      </c>
      <c r="D2647" t="s">
        <v>604</v>
      </c>
      <c r="E2647" t="s">
        <v>9210</v>
      </c>
    </row>
    <row r="2648" spans="1:5" x14ac:dyDescent="0.2">
      <c r="A2648" t="s">
        <v>5262</v>
      </c>
      <c r="B2648" t="s">
        <v>5263</v>
      </c>
      <c r="C2648" t="s">
        <v>1183</v>
      </c>
      <c r="D2648" t="s">
        <v>604</v>
      </c>
      <c r="E2648" t="s">
        <v>9210</v>
      </c>
    </row>
    <row r="2649" spans="1:5" x14ac:dyDescent="0.2">
      <c r="A2649" t="s">
        <v>5264</v>
      </c>
      <c r="B2649" t="s">
        <v>5265</v>
      </c>
      <c r="C2649" t="s">
        <v>212</v>
      </c>
      <c r="D2649" t="s">
        <v>853</v>
      </c>
      <c r="E2649" t="s">
        <v>9210</v>
      </c>
    </row>
    <row r="2650" spans="1:5" x14ac:dyDescent="0.2">
      <c r="A2650" t="s">
        <v>5266</v>
      </c>
      <c r="B2650" t="s">
        <v>5267</v>
      </c>
      <c r="C2650" t="s">
        <v>212</v>
      </c>
      <c r="D2650" t="s">
        <v>853</v>
      </c>
      <c r="E2650" t="s">
        <v>9210</v>
      </c>
    </row>
    <row r="2651" spans="1:5" x14ac:dyDescent="0.2">
      <c r="A2651" t="s">
        <v>5268</v>
      </c>
      <c r="B2651" t="s">
        <v>5269</v>
      </c>
      <c r="C2651" t="s">
        <v>212</v>
      </c>
      <c r="D2651" t="s">
        <v>539</v>
      </c>
      <c r="E2651" t="s">
        <v>9210</v>
      </c>
    </row>
    <row r="2652" spans="1:5" x14ac:dyDescent="0.2">
      <c r="A2652" t="s">
        <v>5270</v>
      </c>
      <c r="B2652" t="s">
        <v>5271</v>
      </c>
      <c r="C2652" t="s">
        <v>212</v>
      </c>
      <c r="D2652" t="s">
        <v>400</v>
      </c>
      <c r="E2652" t="s">
        <v>9210</v>
      </c>
    </row>
    <row r="2653" spans="1:5" x14ac:dyDescent="0.2">
      <c r="A2653" t="s">
        <v>5272</v>
      </c>
      <c r="B2653" t="s">
        <v>5273</v>
      </c>
      <c r="C2653" t="s">
        <v>212</v>
      </c>
      <c r="D2653" t="s">
        <v>400</v>
      </c>
      <c r="E2653" t="s">
        <v>9210</v>
      </c>
    </row>
    <row r="2654" spans="1:5" x14ac:dyDescent="0.2">
      <c r="A2654" t="s">
        <v>5274</v>
      </c>
      <c r="B2654" t="s">
        <v>5275</v>
      </c>
      <c r="C2654" t="s">
        <v>9325</v>
      </c>
      <c r="D2654" t="s">
        <v>224</v>
      </c>
      <c r="E2654" t="s">
        <v>9210</v>
      </c>
    </row>
    <row r="2655" spans="1:5" x14ac:dyDescent="0.2">
      <c r="A2655" t="s">
        <v>5276</v>
      </c>
      <c r="B2655" t="s">
        <v>5277</v>
      </c>
      <c r="C2655" t="s">
        <v>742</v>
      </c>
      <c r="D2655" t="s">
        <v>604</v>
      </c>
      <c r="E2655" t="s">
        <v>9210</v>
      </c>
    </row>
    <row r="2656" spans="1:5" x14ac:dyDescent="0.2">
      <c r="A2656" t="s">
        <v>5278</v>
      </c>
      <c r="B2656" t="s">
        <v>5279</v>
      </c>
      <c r="C2656" t="s">
        <v>742</v>
      </c>
      <c r="D2656" t="s">
        <v>604</v>
      </c>
      <c r="E2656" t="s">
        <v>9210</v>
      </c>
    </row>
    <row r="2657" spans="1:5" x14ac:dyDescent="0.2">
      <c r="A2657" t="s">
        <v>5280</v>
      </c>
      <c r="B2657" t="s">
        <v>5281</v>
      </c>
      <c r="C2657" t="s">
        <v>8980</v>
      </c>
      <c r="D2657" t="s">
        <v>224</v>
      </c>
      <c r="E2657" t="s">
        <v>9210</v>
      </c>
    </row>
    <row r="2658" spans="1:5" x14ac:dyDescent="0.2">
      <c r="A2658" t="s">
        <v>5497</v>
      </c>
      <c r="B2658" t="s">
        <v>5498</v>
      </c>
      <c r="C2658" t="s">
        <v>244</v>
      </c>
      <c r="D2658" t="s">
        <v>480</v>
      </c>
      <c r="E2658" t="s">
        <v>9210</v>
      </c>
    </row>
    <row r="2659" spans="1:5" x14ac:dyDescent="0.2">
      <c r="A2659" t="s">
        <v>5499</v>
      </c>
      <c r="B2659" t="s">
        <v>5500</v>
      </c>
      <c r="C2659" t="s">
        <v>244</v>
      </c>
      <c r="D2659" t="s">
        <v>480</v>
      </c>
      <c r="E2659" t="s">
        <v>9210</v>
      </c>
    </row>
    <row r="2660" spans="1:5" x14ac:dyDescent="0.2">
      <c r="A2660" t="s">
        <v>5501</v>
      </c>
      <c r="B2660" t="s">
        <v>5502</v>
      </c>
      <c r="C2660" t="s">
        <v>244</v>
      </c>
      <c r="D2660" t="s">
        <v>1302</v>
      </c>
      <c r="E2660" t="s">
        <v>9210</v>
      </c>
    </row>
    <row r="2661" spans="1:5" x14ac:dyDescent="0.2">
      <c r="A2661" t="s">
        <v>5503</v>
      </c>
      <c r="B2661" t="s">
        <v>5504</v>
      </c>
      <c r="C2661" t="s">
        <v>244</v>
      </c>
      <c r="D2661" t="s">
        <v>1302</v>
      </c>
      <c r="E2661" t="s">
        <v>9210</v>
      </c>
    </row>
    <row r="2662" spans="1:5" x14ac:dyDescent="0.2">
      <c r="A2662" t="s">
        <v>5505</v>
      </c>
      <c r="B2662" t="s">
        <v>5506</v>
      </c>
      <c r="C2662" t="s">
        <v>591</v>
      </c>
      <c r="D2662" t="s">
        <v>2856</v>
      </c>
      <c r="E2662" t="s">
        <v>9210</v>
      </c>
    </row>
    <row r="2663" spans="1:5" x14ac:dyDescent="0.2">
      <c r="A2663" t="s">
        <v>5507</v>
      </c>
      <c r="B2663" t="s">
        <v>5508</v>
      </c>
      <c r="C2663" t="s">
        <v>591</v>
      </c>
      <c r="D2663" t="s">
        <v>535</v>
      </c>
      <c r="E2663" t="s">
        <v>9210</v>
      </c>
    </row>
    <row r="2664" spans="1:5" x14ac:dyDescent="0.2">
      <c r="A2664" t="s">
        <v>5509</v>
      </c>
      <c r="B2664" t="s">
        <v>5510</v>
      </c>
      <c r="C2664" t="s">
        <v>251</v>
      </c>
      <c r="D2664" t="s">
        <v>380</v>
      </c>
      <c r="E2664" t="s">
        <v>9210</v>
      </c>
    </row>
    <row r="2665" spans="1:5" x14ac:dyDescent="0.2">
      <c r="A2665" t="s">
        <v>5511</v>
      </c>
      <c r="B2665" t="s">
        <v>5512</v>
      </c>
      <c r="C2665" t="s">
        <v>251</v>
      </c>
      <c r="D2665" t="s">
        <v>258</v>
      </c>
      <c r="E2665" t="s">
        <v>9210</v>
      </c>
    </row>
    <row r="2666" spans="1:5" x14ac:dyDescent="0.2">
      <c r="A2666" t="s">
        <v>5513</v>
      </c>
      <c r="B2666" t="s">
        <v>5514</v>
      </c>
      <c r="C2666" t="s">
        <v>251</v>
      </c>
      <c r="D2666" t="s">
        <v>258</v>
      </c>
      <c r="E2666" t="s">
        <v>9210</v>
      </c>
    </row>
    <row r="2667" spans="1:5" x14ac:dyDescent="0.2">
      <c r="A2667" t="s">
        <v>5515</v>
      </c>
      <c r="B2667" t="s">
        <v>5516</v>
      </c>
      <c r="C2667" t="s">
        <v>251</v>
      </c>
      <c r="D2667" t="s">
        <v>7689</v>
      </c>
      <c r="E2667" t="s">
        <v>9210</v>
      </c>
    </row>
    <row r="2668" spans="1:5" x14ac:dyDescent="0.2">
      <c r="A2668" t="s">
        <v>5517</v>
      </c>
      <c r="B2668" t="s">
        <v>5518</v>
      </c>
      <c r="C2668" t="s">
        <v>131</v>
      </c>
      <c r="D2668" t="s">
        <v>412</v>
      </c>
      <c r="E2668" t="s">
        <v>9210</v>
      </c>
    </row>
    <row r="2669" spans="1:5" x14ac:dyDescent="0.2">
      <c r="A2669" t="s">
        <v>5519</v>
      </c>
      <c r="B2669" t="s">
        <v>5520</v>
      </c>
      <c r="C2669" t="s">
        <v>244</v>
      </c>
      <c r="D2669" t="s">
        <v>480</v>
      </c>
      <c r="E2669" t="s">
        <v>9210</v>
      </c>
    </row>
    <row r="2670" spans="1:5" x14ac:dyDescent="0.2">
      <c r="A2670" t="s">
        <v>5521</v>
      </c>
      <c r="B2670" t="s">
        <v>5522</v>
      </c>
      <c r="C2670" t="s">
        <v>244</v>
      </c>
      <c r="D2670" t="s">
        <v>480</v>
      </c>
      <c r="E2670" t="s">
        <v>9210</v>
      </c>
    </row>
    <row r="2671" spans="1:5" x14ac:dyDescent="0.2">
      <c r="A2671" t="s">
        <v>5523</v>
      </c>
      <c r="B2671" t="s">
        <v>5524</v>
      </c>
      <c r="C2671" t="s">
        <v>104</v>
      </c>
      <c r="D2671" t="s">
        <v>412</v>
      </c>
      <c r="E2671" t="s">
        <v>9210</v>
      </c>
    </row>
    <row r="2672" spans="1:5" x14ac:dyDescent="0.2">
      <c r="A2672" t="s">
        <v>5525</v>
      </c>
      <c r="B2672" t="s">
        <v>5526</v>
      </c>
      <c r="C2672" t="s">
        <v>322</v>
      </c>
      <c r="D2672" t="s">
        <v>456</v>
      </c>
      <c r="E2672" t="s">
        <v>9210</v>
      </c>
    </row>
    <row r="2673" spans="1:5" x14ac:dyDescent="0.2">
      <c r="A2673" t="s">
        <v>5527</v>
      </c>
      <c r="B2673" t="s">
        <v>5528</v>
      </c>
      <c r="C2673" t="s">
        <v>219</v>
      </c>
      <c r="D2673" t="s">
        <v>412</v>
      </c>
      <c r="E2673" t="s">
        <v>9210</v>
      </c>
    </row>
    <row r="2674" spans="1:5" x14ac:dyDescent="0.2">
      <c r="A2674" t="s">
        <v>5529</v>
      </c>
      <c r="B2674" t="s">
        <v>5530</v>
      </c>
      <c r="C2674" t="s">
        <v>131</v>
      </c>
      <c r="D2674" t="s">
        <v>394</v>
      </c>
      <c r="E2674" t="s">
        <v>9210</v>
      </c>
    </row>
    <row r="2675" spans="1:5" x14ac:dyDescent="0.2">
      <c r="A2675" t="s">
        <v>5531</v>
      </c>
      <c r="B2675" t="s">
        <v>5532</v>
      </c>
      <c r="C2675" t="s">
        <v>131</v>
      </c>
      <c r="D2675" t="s">
        <v>394</v>
      </c>
      <c r="E2675" t="s">
        <v>9210</v>
      </c>
    </row>
    <row r="2676" spans="1:5" x14ac:dyDescent="0.2">
      <c r="A2676" t="s">
        <v>5533</v>
      </c>
      <c r="B2676" t="s">
        <v>5534</v>
      </c>
      <c r="C2676" t="s">
        <v>92</v>
      </c>
      <c r="D2676" t="s">
        <v>456</v>
      </c>
      <c r="E2676" t="s">
        <v>9210</v>
      </c>
    </row>
    <row r="2677" spans="1:5" x14ac:dyDescent="0.2">
      <c r="A2677" t="s">
        <v>5535</v>
      </c>
      <c r="B2677" t="s">
        <v>5536</v>
      </c>
      <c r="C2677" t="s">
        <v>251</v>
      </c>
      <c r="D2677" t="s">
        <v>422</v>
      </c>
      <c r="E2677" t="s">
        <v>9210</v>
      </c>
    </row>
    <row r="2678" spans="1:5" x14ac:dyDescent="0.2">
      <c r="A2678" t="s">
        <v>5537</v>
      </c>
      <c r="B2678" t="s">
        <v>5538</v>
      </c>
      <c r="C2678" t="s">
        <v>251</v>
      </c>
      <c r="D2678" t="s">
        <v>309</v>
      </c>
      <c r="E2678" t="s">
        <v>9210</v>
      </c>
    </row>
    <row r="2679" spans="1:5" x14ac:dyDescent="0.2">
      <c r="A2679" t="s">
        <v>5539</v>
      </c>
      <c r="B2679" t="s">
        <v>5540</v>
      </c>
      <c r="C2679" t="s">
        <v>251</v>
      </c>
      <c r="D2679" t="s">
        <v>394</v>
      </c>
      <c r="E2679" t="s">
        <v>9210</v>
      </c>
    </row>
    <row r="2680" spans="1:5" x14ac:dyDescent="0.2">
      <c r="A2680" t="s">
        <v>5541</v>
      </c>
      <c r="B2680" t="s">
        <v>5542</v>
      </c>
      <c r="C2680" t="s">
        <v>251</v>
      </c>
      <c r="D2680" t="s">
        <v>1025</v>
      </c>
      <c r="E2680" t="s">
        <v>9210</v>
      </c>
    </row>
    <row r="2681" spans="1:5" x14ac:dyDescent="0.2">
      <c r="A2681" t="s">
        <v>5543</v>
      </c>
      <c r="B2681" t="s">
        <v>5544</v>
      </c>
      <c r="C2681" t="s">
        <v>251</v>
      </c>
      <c r="D2681" t="s">
        <v>1025</v>
      </c>
      <c r="E2681" t="s">
        <v>9210</v>
      </c>
    </row>
    <row r="2682" spans="1:5" x14ac:dyDescent="0.2">
      <c r="A2682" t="s">
        <v>5545</v>
      </c>
      <c r="B2682" t="s">
        <v>5546</v>
      </c>
      <c r="C2682" t="s">
        <v>251</v>
      </c>
      <c r="D2682" t="s">
        <v>150</v>
      </c>
      <c r="E2682" t="s">
        <v>9210</v>
      </c>
    </row>
    <row r="2683" spans="1:5" x14ac:dyDescent="0.2">
      <c r="A2683" t="s">
        <v>5547</v>
      </c>
      <c r="B2683" t="s">
        <v>5548</v>
      </c>
      <c r="C2683" t="s">
        <v>227</v>
      </c>
      <c r="D2683" t="s">
        <v>223</v>
      </c>
      <c r="E2683" t="s">
        <v>9210</v>
      </c>
    </row>
    <row r="2684" spans="1:5" x14ac:dyDescent="0.2">
      <c r="A2684" t="s">
        <v>5549</v>
      </c>
      <c r="B2684" t="s">
        <v>5550</v>
      </c>
      <c r="C2684" t="s">
        <v>227</v>
      </c>
      <c r="D2684" t="s">
        <v>654</v>
      </c>
      <c r="E2684" t="s">
        <v>9210</v>
      </c>
    </row>
    <row r="2685" spans="1:5" x14ac:dyDescent="0.2">
      <c r="A2685" t="s">
        <v>5551</v>
      </c>
      <c r="B2685" t="s">
        <v>5552</v>
      </c>
      <c r="C2685" t="s">
        <v>227</v>
      </c>
      <c r="D2685" t="s">
        <v>654</v>
      </c>
      <c r="E2685" t="s">
        <v>9210</v>
      </c>
    </row>
    <row r="2686" spans="1:5" x14ac:dyDescent="0.2">
      <c r="A2686" t="s">
        <v>5553</v>
      </c>
      <c r="B2686" t="s">
        <v>5554</v>
      </c>
      <c r="C2686" t="s">
        <v>227</v>
      </c>
      <c r="D2686" t="s">
        <v>427</v>
      </c>
      <c r="E2686" t="s">
        <v>9210</v>
      </c>
    </row>
    <row r="2687" spans="1:5" x14ac:dyDescent="0.2">
      <c r="A2687" t="s">
        <v>5555</v>
      </c>
      <c r="B2687" t="s">
        <v>5556</v>
      </c>
      <c r="C2687" t="s">
        <v>399</v>
      </c>
      <c r="D2687" t="s">
        <v>377</v>
      </c>
      <c r="E2687" t="s">
        <v>9210</v>
      </c>
    </row>
    <row r="2688" spans="1:5" x14ac:dyDescent="0.2">
      <c r="A2688" t="s">
        <v>5557</v>
      </c>
      <c r="B2688" t="s">
        <v>5558</v>
      </c>
      <c r="C2688" t="s">
        <v>399</v>
      </c>
      <c r="D2688" t="s">
        <v>560</v>
      </c>
      <c r="E2688" t="s">
        <v>9210</v>
      </c>
    </row>
    <row r="2689" spans="1:5" x14ac:dyDescent="0.2">
      <c r="A2689" t="s">
        <v>5559</v>
      </c>
      <c r="B2689" t="s">
        <v>5560</v>
      </c>
      <c r="C2689" t="s">
        <v>399</v>
      </c>
      <c r="D2689" t="s">
        <v>604</v>
      </c>
      <c r="E2689" t="s">
        <v>9210</v>
      </c>
    </row>
    <row r="2690" spans="1:5" x14ac:dyDescent="0.2">
      <c r="A2690" t="s">
        <v>5282</v>
      </c>
      <c r="B2690" t="s">
        <v>5283</v>
      </c>
      <c r="C2690" t="s">
        <v>92</v>
      </c>
      <c r="D2690" t="s">
        <v>2559</v>
      </c>
      <c r="E2690" t="s">
        <v>9210</v>
      </c>
    </row>
    <row r="2691" spans="1:5" x14ac:dyDescent="0.2">
      <c r="A2691" t="s">
        <v>5284</v>
      </c>
      <c r="B2691" t="s">
        <v>5285</v>
      </c>
      <c r="C2691" t="s">
        <v>92</v>
      </c>
      <c r="D2691" t="s">
        <v>5296</v>
      </c>
      <c r="E2691" t="s">
        <v>9210</v>
      </c>
    </row>
    <row r="2692" spans="1:5" x14ac:dyDescent="0.2">
      <c r="A2692" t="s">
        <v>5286</v>
      </c>
      <c r="B2692" t="s">
        <v>5287</v>
      </c>
      <c r="C2692" t="s">
        <v>92</v>
      </c>
      <c r="D2692" t="s">
        <v>238</v>
      </c>
      <c r="E2692" t="s">
        <v>9210</v>
      </c>
    </row>
    <row r="2693" spans="1:5" x14ac:dyDescent="0.2">
      <c r="A2693" t="s">
        <v>5288</v>
      </c>
      <c r="B2693" t="s">
        <v>5289</v>
      </c>
      <c r="C2693" t="s">
        <v>92</v>
      </c>
      <c r="D2693" t="s">
        <v>2462</v>
      </c>
      <c r="E2693" t="s">
        <v>9210</v>
      </c>
    </row>
    <row r="2694" spans="1:5" x14ac:dyDescent="0.2">
      <c r="A2694" t="s">
        <v>5290</v>
      </c>
      <c r="B2694" t="s">
        <v>5291</v>
      </c>
      <c r="C2694" t="s">
        <v>92</v>
      </c>
      <c r="D2694" t="s">
        <v>2462</v>
      </c>
      <c r="E2694" t="s">
        <v>9210</v>
      </c>
    </row>
    <row r="2695" spans="1:5" x14ac:dyDescent="0.2">
      <c r="A2695" t="s">
        <v>5292</v>
      </c>
      <c r="B2695" t="s">
        <v>5293</v>
      </c>
      <c r="C2695" t="s">
        <v>92</v>
      </c>
      <c r="D2695" t="s">
        <v>3823</v>
      </c>
      <c r="E2695" t="s">
        <v>9210</v>
      </c>
    </row>
    <row r="2696" spans="1:5" x14ac:dyDescent="0.2">
      <c r="A2696" t="s">
        <v>5294</v>
      </c>
      <c r="B2696" t="s">
        <v>5295</v>
      </c>
      <c r="C2696" t="s">
        <v>92</v>
      </c>
      <c r="D2696" t="s">
        <v>3823</v>
      </c>
      <c r="E2696" t="s">
        <v>9210</v>
      </c>
    </row>
    <row r="2697" spans="1:5" x14ac:dyDescent="0.2">
      <c r="A2697" t="s">
        <v>5297</v>
      </c>
      <c r="B2697" t="s">
        <v>5298</v>
      </c>
      <c r="C2697" t="s">
        <v>92</v>
      </c>
      <c r="D2697" t="s">
        <v>778</v>
      </c>
      <c r="E2697" t="s">
        <v>9210</v>
      </c>
    </row>
    <row r="2698" spans="1:5" x14ac:dyDescent="0.2">
      <c r="A2698" t="s">
        <v>5299</v>
      </c>
      <c r="B2698" t="s">
        <v>5300</v>
      </c>
      <c r="C2698" t="s">
        <v>92</v>
      </c>
      <c r="D2698" t="s">
        <v>778</v>
      </c>
      <c r="E2698" t="s">
        <v>9210</v>
      </c>
    </row>
    <row r="2699" spans="1:5" x14ac:dyDescent="0.2">
      <c r="A2699" t="s">
        <v>5301</v>
      </c>
      <c r="B2699" t="s">
        <v>5302</v>
      </c>
      <c r="C2699" t="s">
        <v>104</v>
      </c>
      <c r="D2699" t="s">
        <v>262</v>
      </c>
      <c r="E2699" t="s">
        <v>9210</v>
      </c>
    </row>
    <row r="2700" spans="1:5" x14ac:dyDescent="0.2">
      <c r="A2700" t="s">
        <v>5303</v>
      </c>
      <c r="B2700" t="s">
        <v>5304</v>
      </c>
      <c r="C2700" t="s">
        <v>104</v>
      </c>
      <c r="D2700" t="s">
        <v>262</v>
      </c>
      <c r="E2700" t="s">
        <v>9210</v>
      </c>
    </row>
    <row r="2701" spans="1:5" x14ac:dyDescent="0.2">
      <c r="A2701" t="s">
        <v>5305</v>
      </c>
      <c r="B2701" t="s">
        <v>5306</v>
      </c>
      <c r="C2701" t="s">
        <v>104</v>
      </c>
      <c r="D2701" t="s">
        <v>2478</v>
      </c>
      <c r="E2701" t="s">
        <v>9210</v>
      </c>
    </row>
    <row r="2702" spans="1:5" x14ac:dyDescent="0.2">
      <c r="A2702" t="s">
        <v>5307</v>
      </c>
      <c r="B2702" t="s">
        <v>5308</v>
      </c>
      <c r="C2702" t="s">
        <v>104</v>
      </c>
      <c r="D2702" t="s">
        <v>2478</v>
      </c>
      <c r="E2702" t="s">
        <v>9210</v>
      </c>
    </row>
    <row r="2703" spans="1:5" x14ac:dyDescent="0.2">
      <c r="A2703" t="s">
        <v>5309</v>
      </c>
      <c r="B2703" t="s">
        <v>5310</v>
      </c>
      <c r="C2703" t="s">
        <v>104</v>
      </c>
      <c r="D2703" t="s">
        <v>539</v>
      </c>
      <c r="E2703" t="s">
        <v>9210</v>
      </c>
    </row>
    <row r="2704" spans="1:5" x14ac:dyDescent="0.2">
      <c r="A2704" t="s">
        <v>5311</v>
      </c>
      <c r="B2704" t="s">
        <v>5312</v>
      </c>
      <c r="C2704" t="s">
        <v>104</v>
      </c>
      <c r="D2704" t="s">
        <v>539</v>
      </c>
      <c r="E2704" t="s">
        <v>9210</v>
      </c>
    </row>
    <row r="2705" spans="1:5" x14ac:dyDescent="0.2">
      <c r="A2705" t="s">
        <v>5313</v>
      </c>
      <c r="B2705" t="s">
        <v>5314</v>
      </c>
      <c r="C2705" t="s">
        <v>120</v>
      </c>
      <c r="D2705" t="s">
        <v>1772</v>
      </c>
      <c r="E2705" t="s">
        <v>9210</v>
      </c>
    </row>
    <row r="2706" spans="1:5" x14ac:dyDescent="0.2">
      <c r="A2706" t="s">
        <v>5315</v>
      </c>
      <c r="B2706" t="s">
        <v>5316</v>
      </c>
      <c r="C2706" t="s">
        <v>120</v>
      </c>
      <c r="D2706" t="s">
        <v>1772</v>
      </c>
      <c r="E2706" t="s">
        <v>9210</v>
      </c>
    </row>
    <row r="2707" spans="1:5" x14ac:dyDescent="0.2">
      <c r="A2707" t="s">
        <v>5317</v>
      </c>
      <c r="B2707" t="s">
        <v>5318</v>
      </c>
      <c r="C2707" t="s">
        <v>120</v>
      </c>
      <c r="D2707" t="s">
        <v>1818</v>
      </c>
      <c r="E2707" t="s">
        <v>9210</v>
      </c>
    </row>
    <row r="2708" spans="1:5" x14ac:dyDescent="0.2">
      <c r="A2708" t="s">
        <v>5319</v>
      </c>
      <c r="B2708" t="s">
        <v>5320</v>
      </c>
      <c r="C2708" t="s">
        <v>120</v>
      </c>
      <c r="D2708" t="s">
        <v>1818</v>
      </c>
      <c r="E2708" t="s">
        <v>9210</v>
      </c>
    </row>
    <row r="2709" spans="1:5" x14ac:dyDescent="0.2">
      <c r="A2709" t="s">
        <v>5321</v>
      </c>
      <c r="B2709" t="s">
        <v>5322</v>
      </c>
      <c r="C2709" t="s">
        <v>120</v>
      </c>
      <c r="D2709" t="s">
        <v>383</v>
      </c>
      <c r="E2709" t="s">
        <v>9210</v>
      </c>
    </row>
    <row r="2710" spans="1:5" x14ac:dyDescent="0.2">
      <c r="A2710" t="s">
        <v>5323</v>
      </c>
      <c r="B2710" t="s">
        <v>5324</v>
      </c>
      <c r="C2710" t="s">
        <v>120</v>
      </c>
      <c r="D2710" t="s">
        <v>383</v>
      </c>
      <c r="E2710" t="s">
        <v>9210</v>
      </c>
    </row>
    <row r="2711" spans="1:5" x14ac:dyDescent="0.2">
      <c r="A2711" t="s">
        <v>5325</v>
      </c>
      <c r="B2711" t="s">
        <v>5326</v>
      </c>
      <c r="C2711" t="s">
        <v>131</v>
      </c>
      <c r="D2711" t="s">
        <v>223</v>
      </c>
      <c r="E2711" t="s">
        <v>9210</v>
      </c>
    </row>
    <row r="2712" spans="1:5" x14ac:dyDescent="0.2">
      <c r="A2712" t="s">
        <v>5327</v>
      </c>
      <c r="B2712" t="s">
        <v>5328</v>
      </c>
      <c r="C2712" t="s">
        <v>131</v>
      </c>
      <c r="D2712" t="s">
        <v>223</v>
      </c>
      <c r="E2712" t="s">
        <v>9210</v>
      </c>
    </row>
    <row r="2713" spans="1:5" x14ac:dyDescent="0.2">
      <c r="A2713" t="s">
        <v>5329</v>
      </c>
      <c r="B2713" t="s">
        <v>5330</v>
      </c>
      <c r="C2713" t="s">
        <v>131</v>
      </c>
      <c r="D2713" t="s">
        <v>2523</v>
      </c>
      <c r="E2713" t="s">
        <v>9210</v>
      </c>
    </row>
    <row r="2714" spans="1:5" x14ac:dyDescent="0.2">
      <c r="A2714" t="s">
        <v>5331</v>
      </c>
      <c r="B2714" t="s">
        <v>5332</v>
      </c>
      <c r="C2714" t="s">
        <v>131</v>
      </c>
      <c r="D2714" t="s">
        <v>2523</v>
      </c>
      <c r="E2714" t="s">
        <v>9210</v>
      </c>
    </row>
    <row r="2715" spans="1:5" x14ac:dyDescent="0.2">
      <c r="A2715" t="s">
        <v>5333</v>
      </c>
      <c r="B2715" t="s">
        <v>5334</v>
      </c>
      <c r="C2715" t="s">
        <v>131</v>
      </c>
      <c r="D2715" t="s">
        <v>842</v>
      </c>
      <c r="E2715" t="s">
        <v>9210</v>
      </c>
    </row>
    <row r="2716" spans="1:5" x14ac:dyDescent="0.2">
      <c r="A2716" t="s">
        <v>5335</v>
      </c>
      <c r="B2716" t="s">
        <v>5336</v>
      </c>
      <c r="C2716" t="s">
        <v>131</v>
      </c>
      <c r="D2716" t="s">
        <v>842</v>
      </c>
      <c r="E2716" t="s">
        <v>9210</v>
      </c>
    </row>
    <row r="2717" spans="1:5" x14ac:dyDescent="0.2">
      <c r="A2717" t="s">
        <v>5337</v>
      </c>
      <c r="B2717" t="s">
        <v>5338</v>
      </c>
      <c r="C2717" t="s">
        <v>357</v>
      </c>
      <c r="D2717" t="s">
        <v>400</v>
      </c>
      <c r="E2717" t="s">
        <v>9210</v>
      </c>
    </row>
    <row r="2718" spans="1:5" x14ac:dyDescent="0.2">
      <c r="A2718" t="s">
        <v>5339</v>
      </c>
      <c r="B2718" t="s">
        <v>5340</v>
      </c>
      <c r="C2718" t="s">
        <v>357</v>
      </c>
      <c r="D2718" t="s">
        <v>400</v>
      </c>
      <c r="E2718" t="s">
        <v>9210</v>
      </c>
    </row>
    <row r="2719" spans="1:5" x14ac:dyDescent="0.2">
      <c r="A2719" t="s">
        <v>5341</v>
      </c>
      <c r="B2719" t="s">
        <v>5342</v>
      </c>
      <c r="C2719" t="s">
        <v>357</v>
      </c>
      <c r="D2719" t="s">
        <v>822</v>
      </c>
      <c r="E2719" t="s">
        <v>9210</v>
      </c>
    </row>
    <row r="2720" spans="1:5" x14ac:dyDescent="0.2">
      <c r="A2720" t="s">
        <v>5343</v>
      </c>
      <c r="B2720" t="s">
        <v>5344</v>
      </c>
      <c r="C2720" t="s">
        <v>357</v>
      </c>
      <c r="D2720" t="s">
        <v>822</v>
      </c>
      <c r="E2720" t="s">
        <v>9210</v>
      </c>
    </row>
    <row r="2721" spans="1:5" x14ac:dyDescent="0.2">
      <c r="A2721" t="s">
        <v>5345</v>
      </c>
      <c r="B2721" t="s">
        <v>5346</v>
      </c>
      <c r="C2721" t="s">
        <v>357</v>
      </c>
      <c r="D2721" t="s">
        <v>386</v>
      </c>
      <c r="E2721" t="s">
        <v>9210</v>
      </c>
    </row>
    <row r="2722" spans="1:5" x14ac:dyDescent="0.2">
      <c r="A2722" t="s">
        <v>5347</v>
      </c>
      <c r="B2722" t="s">
        <v>5348</v>
      </c>
      <c r="C2722" t="s">
        <v>357</v>
      </c>
      <c r="D2722" t="s">
        <v>386</v>
      </c>
      <c r="E2722" t="s">
        <v>9210</v>
      </c>
    </row>
    <row r="2723" spans="1:5" x14ac:dyDescent="0.2">
      <c r="A2723" t="s">
        <v>5349</v>
      </c>
      <c r="B2723" t="s">
        <v>5350</v>
      </c>
      <c r="C2723" t="s">
        <v>357</v>
      </c>
      <c r="D2723" t="s">
        <v>262</v>
      </c>
      <c r="E2723" t="s">
        <v>9210</v>
      </c>
    </row>
    <row r="2724" spans="1:5" x14ac:dyDescent="0.2">
      <c r="A2724" t="s">
        <v>5351</v>
      </c>
      <c r="B2724" t="s">
        <v>5352</v>
      </c>
      <c r="C2724" t="s">
        <v>357</v>
      </c>
      <c r="D2724" t="s">
        <v>2534</v>
      </c>
      <c r="E2724" t="s">
        <v>9210</v>
      </c>
    </row>
    <row r="2725" spans="1:5" x14ac:dyDescent="0.2">
      <c r="A2725" t="s">
        <v>5353</v>
      </c>
      <c r="B2725" t="s">
        <v>5354</v>
      </c>
      <c r="C2725" t="s">
        <v>357</v>
      </c>
      <c r="D2725" t="s">
        <v>539</v>
      </c>
      <c r="E2725" t="s">
        <v>9210</v>
      </c>
    </row>
    <row r="2726" spans="1:5" x14ac:dyDescent="0.2">
      <c r="A2726" t="s">
        <v>5355</v>
      </c>
      <c r="B2726" t="s">
        <v>5356</v>
      </c>
      <c r="C2726" t="s">
        <v>357</v>
      </c>
      <c r="D2726" t="s">
        <v>1793</v>
      </c>
      <c r="E2726" t="s">
        <v>9210</v>
      </c>
    </row>
    <row r="2727" spans="1:5" x14ac:dyDescent="0.2">
      <c r="A2727" t="s">
        <v>5357</v>
      </c>
      <c r="B2727" t="s">
        <v>5358</v>
      </c>
      <c r="C2727" t="s">
        <v>357</v>
      </c>
      <c r="D2727" t="s">
        <v>1793</v>
      </c>
      <c r="E2727" t="s">
        <v>9210</v>
      </c>
    </row>
    <row r="2728" spans="1:5" x14ac:dyDescent="0.2">
      <c r="A2728" t="s">
        <v>5359</v>
      </c>
      <c r="B2728" t="s">
        <v>5360</v>
      </c>
      <c r="C2728" t="s">
        <v>357</v>
      </c>
      <c r="D2728" t="s">
        <v>7689</v>
      </c>
      <c r="E2728" t="s">
        <v>9210</v>
      </c>
    </row>
    <row r="2729" spans="1:5" x14ac:dyDescent="0.2">
      <c r="A2729" t="s">
        <v>5361</v>
      </c>
      <c r="B2729" t="s">
        <v>5362</v>
      </c>
      <c r="C2729" t="s">
        <v>357</v>
      </c>
      <c r="D2729" t="s">
        <v>622</v>
      </c>
      <c r="E2729" t="s">
        <v>9210</v>
      </c>
    </row>
    <row r="2730" spans="1:5" x14ac:dyDescent="0.2">
      <c r="A2730" t="s">
        <v>5363</v>
      </c>
      <c r="B2730" t="s">
        <v>5364</v>
      </c>
      <c r="C2730" t="s">
        <v>357</v>
      </c>
      <c r="D2730" t="s">
        <v>622</v>
      </c>
      <c r="E2730" t="s">
        <v>9210</v>
      </c>
    </row>
    <row r="2731" spans="1:5" x14ac:dyDescent="0.2">
      <c r="A2731" t="s">
        <v>5365</v>
      </c>
      <c r="B2731" t="s">
        <v>5366</v>
      </c>
      <c r="C2731" t="s">
        <v>357</v>
      </c>
      <c r="D2731" t="s">
        <v>282</v>
      </c>
      <c r="E2731" t="s">
        <v>9210</v>
      </c>
    </row>
    <row r="2732" spans="1:5" x14ac:dyDescent="0.2">
      <c r="A2732" t="s">
        <v>5367</v>
      </c>
      <c r="B2732" t="s">
        <v>5368</v>
      </c>
      <c r="C2732" t="s">
        <v>357</v>
      </c>
      <c r="D2732" t="s">
        <v>282</v>
      </c>
      <c r="E2732" t="s">
        <v>9210</v>
      </c>
    </row>
    <row r="2733" spans="1:5" x14ac:dyDescent="0.2">
      <c r="A2733" t="s">
        <v>5369</v>
      </c>
      <c r="B2733" t="s">
        <v>5370</v>
      </c>
      <c r="C2733" t="s">
        <v>357</v>
      </c>
      <c r="D2733" t="s">
        <v>2514</v>
      </c>
      <c r="E2733" t="s">
        <v>9210</v>
      </c>
    </row>
    <row r="2734" spans="1:5" x14ac:dyDescent="0.2">
      <c r="A2734" t="s">
        <v>5371</v>
      </c>
      <c r="B2734" t="s">
        <v>5372</v>
      </c>
      <c r="C2734" t="s">
        <v>357</v>
      </c>
      <c r="D2734" t="s">
        <v>2514</v>
      </c>
      <c r="E2734" t="s">
        <v>9210</v>
      </c>
    </row>
    <row r="2735" spans="1:5" x14ac:dyDescent="0.2">
      <c r="A2735" t="s">
        <v>5373</v>
      </c>
      <c r="B2735" t="s">
        <v>5374</v>
      </c>
      <c r="C2735" t="s">
        <v>357</v>
      </c>
      <c r="D2735" t="s">
        <v>400</v>
      </c>
      <c r="E2735" t="s">
        <v>9210</v>
      </c>
    </row>
    <row r="2736" spans="1:5" x14ac:dyDescent="0.2">
      <c r="A2736" t="s">
        <v>5375</v>
      </c>
      <c r="B2736" t="s">
        <v>5376</v>
      </c>
      <c r="C2736" t="s">
        <v>357</v>
      </c>
      <c r="D2736" t="s">
        <v>400</v>
      </c>
      <c r="E2736" t="s">
        <v>9210</v>
      </c>
    </row>
    <row r="2737" spans="1:5" x14ac:dyDescent="0.2">
      <c r="A2737" t="s">
        <v>5377</v>
      </c>
      <c r="B2737" t="s">
        <v>5378</v>
      </c>
      <c r="C2737" t="s">
        <v>357</v>
      </c>
      <c r="D2737" t="s">
        <v>105</v>
      </c>
      <c r="E2737" t="s">
        <v>9210</v>
      </c>
    </row>
    <row r="2738" spans="1:5" x14ac:dyDescent="0.2">
      <c r="A2738" t="s">
        <v>5379</v>
      </c>
      <c r="B2738" t="s">
        <v>5380</v>
      </c>
      <c r="C2738" t="s">
        <v>357</v>
      </c>
      <c r="D2738" t="s">
        <v>1868</v>
      </c>
      <c r="E2738" t="s">
        <v>9210</v>
      </c>
    </row>
    <row r="2739" spans="1:5" x14ac:dyDescent="0.2">
      <c r="A2739" t="s">
        <v>5381</v>
      </c>
      <c r="B2739" t="s">
        <v>5382</v>
      </c>
      <c r="C2739" t="s">
        <v>357</v>
      </c>
      <c r="D2739" t="s">
        <v>335</v>
      </c>
      <c r="E2739" t="s">
        <v>9210</v>
      </c>
    </row>
    <row r="2740" spans="1:5" x14ac:dyDescent="0.2">
      <c r="A2740" t="s">
        <v>5383</v>
      </c>
      <c r="B2740" t="s">
        <v>5384</v>
      </c>
      <c r="C2740" t="s">
        <v>357</v>
      </c>
      <c r="D2740" t="s">
        <v>383</v>
      </c>
      <c r="E2740" t="s">
        <v>9210</v>
      </c>
    </row>
    <row r="2741" spans="1:5" x14ac:dyDescent="0.2">
      <c r="A2741" t="s">
        <v>5385</v>
      </c>
      <c r="B2741" t="s">
        <v>5386</v>
      </c>
      <c r="C2741" t="s">
        <v>357</v>
      </c>
      <c r="D2741" t="s">
        <v>383</v>
      </c>
      <c r="E2741" t="s">
        <v>9210</v>
      </c>
    </row>
    <row r="2742" spans="1:5" x14ac:dyDescent="0.2">
      <c r="A2742" t="s">
        <v>5387</v>
      </c>
      <c r="B2742" t="s">
        <v>5388</v>
      </c>
      <c r="C2742" t="s">
        <v>357</v>
      </c>
      <c r="D2742" t="s">
        <v>783</v>
      </c>
      <c r="E2742" t="s">
        <v>9210</v>
      </c>
    </row>
    <row r="2743" spans="1:5" x14ac:dyDescent="0.2">
      <c r="A2743" t="s">
        <v>5389</v>
      </c>
      <c r="B2743" t="s">
        <v>5390</v>
      </c>
      <c r="C2743" t="s">
        <v>357</v>
      </c>
      <c r="D2743" t="s">
        <v>783</v>
      </c>
      <c r="E2743" t="s">
        <v>9210</v>
      </c>
    </row>
    <row r="2744" spans="1:5" x14ac:dyDescent="0.2">
      <c r="A2744" t="s">
        <v>5391</v>
      </c>
      <c r="B2744" t="s">
        <v>5392</v>
      </c>
      <c r="C2744" t="s">
        <v>357</v>
      </c>
      <c r="D2744" t="s">
        <v>258</v>
      </c>
      <c r="E2744" t="s">
        <v>9210</v>
      </c>
    </row>
    <row r="2745" spans="1:5" x14ac:dyDescent="0.2">
      <c r="A2745" t="s">
        <v>5393</v>
      </c>
      <c r="B2745" t="s">
        <v>5394</v>
      </c>
      <c r="C2745" t="s">
        <v>357</v>
      </c>
      <c r="D2745" t="s">
        <v>258</v>
      </c>
      <c r="E2745" t="s">
        <v>9210</v>
      </c>
    </row>
    <row r="2746" spans="1:5" x14ac:dyDescent="0.2">
      <c r="A2746" t="s">
        <v>5395</v>
      </c>
      <c r="B2746" t="s">
        <v>5396</v>
      </c>
      <c r="C2746" t="s">
        <v>591</v>
      </c>
      <c r="D2746" t="s">
        <v>456</v>
      </c>
      <c r="E2746" t="s">
        <v>9210</v>
      </c>
    </row>
    <row r="2747" spans="1:5" x14ac:dyDescent="0.2">
      <c r="A2747" t="s">
        <v>5397</v>
      </c>
      <c r="B2747" t="s">
        <v>5398</v>
      </c>
      <c r="C2747" t="s">
        <v>591</v>
      </c>
      <c r="D2747" t="s">
        <v>456</v>
      </c>
      <c r="E2747" t="s">
        <v>9210</v>
      </c>
    </row>
    <row r="2748" spans="1:5" x14ac:dyDescent="0.2">
      <c r="A2748" t="s">
        <v>5399</v>
      </c>
      <c r="B2748" t="s">
        <v>5400</v>
      </c>
      <c r="C2748" t="s">
        <v>591</v>
      </c>
      <c r="D2748" t="s">
        <v>1831</v>
      </c>
      <c r="E2748" t="s">
        <v>9210</v>
      </c>
    </row>
    <row r="2749" spans="1:5" x14ac:dyDescent="0.2">
      <c r="A2749" t="s">
        <v>5401</v>
      </c>
      <c r="B2749" t="s">
        <v>5402</v>
      </c>
      <c r="C2749" t="s">
        <v>591</v>
      </c>
      <c r="D2749" t="s">
        <v>1831</v>
      </c>
      <c r="E2749" t="s">
        <v>9210</v>
      </c>
    </row>
    <row r="2750" spans="1:5" x14ac:dyDescent="0.2">
      <c r="A2750" t="s">
        <v>5403</v>
      </c>
      <c r="B2750" t="s">
        <v>5404</v>
      </c>
      <c r="C2750" t="s">
        <v>120</v>
      </c>
      <c r="D2750" t="s">
        <v>1831</v>
      </c>
      <c r="E2750" t="s">
        <v>9210</v>
      </c>
    </row>
    <row r="2751" spans="1:5" x14ac:dyDescent="0.2">
      <c r="A2751" t="s">
        <v>5405</v>
      </c>
      <c r="B2751" t="s">
        <v>5406</v>
      </c>
      <c r="C2751" t="s">
        <v>120</v>
      </c>
      <c r="D2751" t="s">
        <v>1831</v>
      </c>
      <c r="E2751" t="s">
        <v>9210</v>
      </c>
    </row>
    <row r="2752" spans="1:5" x14ac:dyDescent="0.2">
      <c r="A2752" t="s">
        <v>5407</v>
      </c>
      <c r="B2752" t="s">
        <v>5408</v>
      </c>
      <c r="C2752" t="s">
        <v>120</v>
      </c>
      <c r="D2752" t="s">
        <v>1566</v>
      </c>
      <c r="E2752" t="s">
        <v>9210</v>
      </c>
    </row>
    <row r="2753" spans="1:5" x14ac:dyDescent="0.2">
      <c r="A2753" t="s">
        <v>5409</v>
      </c>
      <c r="B2753" t="s">
        <v>5410</v>
      </c>
      <c r="C2753" t="s">
        <v>120</v>
      </c>
      <c r="D2753" t="s">
        <v>1566</v>
      </c>
      <c r="E2753" t="s">
        <v>9210</v>
      </c>
    </row>
    <row r="2754" spans="1:5" x14ac:dyDescent="0.2">
      <c r="A2754" t="s">
        <v>5411</v>
      </c>
      <c r="B2754" t="s">
        <v>5412</v>
      </c>
      <c r="C2754" t="s">
        <v>120</v>
      </c>
      <c r="D2754" t="s">
        <v>254</v>
      </c>
      <c r="E2754" t="s">
        <v>9210</v>
      </c>
    </row>
    <row r="2755" spans="1:5" x14ac:dyDescent="0.2">
      <c r="A2755" t="s">
        <v>5413</v>
      </c>
      <c r="B2755" t="s">
        <v>5414</v>
      </c>
      <c r="C2755" t="s">
        <v>120</v>
      </c>
      <c r="D2755" t="s">
        <v>254</v>
      </c>
      <c r="E2755" t="s">
        <v>9210</v>
      </c>
    </row>
    <row r="2756" spans="1:5" x14ac:dyDescent="0.2">
      <c r="A2756" t="s">
        <v>5415</v>
      </c>
      <c r="B2756" t="s">
        <v>5416</v>
      </c>
      <c r="C2756" t="s">
        <v>357</v>
      </c>
      <c r="D2756" t="s">
        <v>266</v>
      </c>
      <c r="E2756" t="s">
        <v>9210</v>
      </c>
    </row>
    <row r="2757" spans="1:5" x14ac:dyDescent="0.2">
      <c r="A2757" t="s">
        <v>5417</v>
      </c>
      <c r="B2757" t="s">
        <v>5418</v>
      </c>
      <c r="C2757" t="s">
        <v>357</v>
      </c>
      <c r="D2757" t="s">
        <v>588</v>
      </c>
      <c r="E2757" t="s">
        <v>9210</v>
      </c>
    </row>
    <row r="2758" spans="1:5" x14ac:dyDescent="0.2">
      <c r="A2758" t="s">
        <v>5419</v>
      </c>
      <c r="B2758" t="s">
        <v>5420</v>
      </c>
      <c r="C2758" t="s">
        <v>357</v>
      </c>
      <c r="D2758" t="s">
        <v>842</v>
      </c>
      <c r="E2758" t="s">
        <v>9210</v>
      </c>
    </row>
    <row r="2759" spans="1:5" x14ac:dyDescent="0.2">
      <c r="A2759" t="s">
        <v>5421</v>
      </c>
      <c r="B2759" t="s">
        <v>5422</v>
      </c>
      <c r="C2759" t="s">
        <v>357</v>
      </c>
      <c r="D2759" t="s">
        <v>284</v>
      </c>
      <c r="E2759" t="s">
        <v>9210</v>
      </c>
    </row>
    <row r="2760" spans="1:5" x14ac:dyDescent="0.2">
      <c r="A2760" t="s">
        <v>5423</v>
      </c>
      <c r="B2760" t="s">
        <v>5424</v>
      </c>
      <c r="C2760" t="s">
        <v>357</v>
      </c>
      <c r="D2760" t="s">
        <v>266</v>
      </c>
      <c r="E2760" t="s">
        <v>9210</v>
      </c>
    </row>
    <row r="2761" spans="1:5" x14ac:dyDescent="0.2">
      <c r="A2761" t="s">
        <v>5425</v>
      </c>
      <c r="B2761" t="s">
        <v>5426</v>
      </c>
      <c r="C2761" t="s">
        <v>357</v>
      </c>
      <c r="D2761" t="s">
        <v>588</v>
      </c>
      <c r="E2761" t="s">
        <v>9210</v>
      </c>
    </row>
    <row r="2762" spans="1:5" x14ac:dyDescent="0.2">
      <c r="A2762" t="s">
        <v>5427</v>
      </c>
      <c r="B2762" t="s">
        <v>5428</v>
      </c>
      <c r="C2762" t="s">
        <v>357</v>
      </c>
      <c r="D2762" t="s">
        <v>842</v>
      </c>
      <c r="E2762" t="s">
        <v>9210</v>
      </c>
    </row>
    <row r="2763" spans="1:5" x14ac:dyDescent="0.2">
      <c r="A2763" t="s">
        <v>5429</v>
      </c>
      <c r="B2763" t="s">
        <v>5430</v>
      </c>
      <c r="C2763" t="s">
        <v>357</v>
      </c>
      <c r="D2763" t="s">
        <v>284</v>
      </c>
      <c r="E2763" t="s">
        <v>9210</v>
      </c>
    </row>
    <row r="2764" spans="1:5" x14ac:dyDescent="0.2">
      <c r="A2764" t="s">
        <v>5431</v>
      </c>
      <c r="B2764" t="s">
        <v>5432</v>
      </c>
      <c r="C2764" t="s">
        <v>357</v>
      </c>
      <c r="D2764" t="s">
        <v>290</v>
      </c>
      <c r="E2764" t="s">
        <v>9210</v>
      </c>
    </row>
    <row r="2765" spans="1:5" x14ac:dyDescent="0.2">
      <c r="A2765" t="s">
        <v>5433</v>
      </c>
      <c r="B2765" t="s">
        <v>5434</v>
      </c>
      <c r="C2765" t="s">
        <v>357</v>
      </c>
      <c r="D2765" t="s">
        <v>1664</v>
      </c>
      <c r="E2765" t="s">
        <v>9210</v>
      </c>
    </row>
    <row r="2766" spans="1:5" x14ac:dyDescent="0.2">
      <c r="A2766" t="s">
        <v>5435</v>
      </c>
      <c r="B2766" t="s">
        <v>5436</v>
      </c>
      <c r="C2766" t="s">
        <v>357</v>
      </c>
      <c r="D2766" t="s">
        <v>809</v>
      </c>
      <c r="E2766" t="s">
        <v>9210</v>
      </c>
    </row>
    <row r="2767" spans="1:5" x14ac:dyDescent="0.2">
      <c r="A2767" t="s">
        <v>5437</v>
      </c>
      <c r="B2767" t="s">
        <v>5438</v>
      </c>
      <c r="C2767" t="s">
        <v>357</v>
      </c>
      <c r="D2767" t="s">
        <v>1971</v>
      </c>
      <c r="E2767" t="s">
        <v>9210</v>
      </c>
    </row>
    <row r="2768" spans="1:5" x14ac:dyDescent="0.2">
      <c r="A2768" t="s">
        <v>5439</v>
      </c>
      <c r="B2768" t="s">
        <v>5440</v>
      </c>
      <c r="C2768" t="s">
        <v>357</v>
      </c>
      <c r="D2768" t="s">
        <v>290</v>
      </c>
      <c r="E2768" t="s">
        <v>9210</v>
      </c>
    </row>
    <row r="2769" spans="1:5" x14ac:dyDescent="0.2">
      <c r="A2769" t="s">
        <v>5441</v>
      </c>
      <c r="B2769" t="s">
        <v>5442</v>
      </c>
      <c r="C2769" t="s">
        <v>357</v>
      </c>
      <c r="D2769" t="s">
        <v>1664</v>
      </c>
      <c r="E2769" t="s">
        <v>9210</v>
      </c>
    </row>
    <row r="2770" spans="1:5" x14ac:dyDescent="0.2">
      <c r="A2770" t="s">
        <v>5443</v>
      </c>
      <c r="B2770" t="s">
        <v>5444</v>
      </c>
      <c r="C2770" t="s">
        <v>357</v>
      </c>
      <c r="D2770" t="s">
        <v>1664</v>
      </c>
      <c r="E2770" t="s">
        <v>9210</v>
      </c>
    </row>
    <row r="2771" spans="1:5" x14ac:dyDescent="0.2">
      <c r="A2771" t="s">
        <v>5445</v>
      </c>
      <c r="B2771" t="s">
        <v>5446</v>
      </c>
      <c r="C2771" t="s">
        <v>357</v>
      </c>
      <c r="D2771" t="s">
        <v>809</v>
      </c>
      <c r="E2771" t="s">
        <v>9210</v>
      </c>
    </row>
    <row r="2772" spans="1:5" x14ac:dyDescent="0.2">
      <c r="A2772" t="s">
        <v>5447</v>
      </c>
      <c r="B2772" t="s">
        <v>5448</v>
      </c>
      <c r="C2772" t="s">
        <v>357</v>
      </c>
      <c r="D2772" t="s">
        <v>809</v>
      </c>
      <c r="E2772" t="s">
        <v>9210</v>
      </c>
    </row>
    <row r="2773" spans="1:5" x14ac:dyDescent="0.2">
      <c r="A2773" t="s">
        <v>5449</v>
      </c>
      <c r="B2773" t="s">
        <v>5450</v>
      </c>
      <c r="C2773" t="s">
        <v>357</v>
      </c>
      <c r="D2773" t="s">
        <v>1971</v>
      </c>
      <c r="E2773" t="s">
        <v>9210</v>
      </c>
    </row>
    <row r="2774" spans="1:5" x14ac:dyDescent="0.2">
      <c r="A2774" t="s">
        <v>5451</v>
      </c>
      <c r="B2774" t="s">
        <v>5452</v>
      </c>
      <c r="C2774" t="s">
        <v>357</v>
      </c>
      <c r="D2774" t="s">
        <v>1971</v>
      </c>
      <c r="E2774" t="s">
        <v>9210</v>
      </c>
    </row>
    <row r="2775" spans="1:5" x14ac:dyDescent="0.2">
      <c r="A2775" t="s">
        <v>5453</v>
      </c>
      <c r="B2775" t="s">
        <v>5454</v>
      </c>
      <c r="C2775" t="s">
        <v>357</v>
      </c>
      <c r="D2775" t="s">
        <v>233</v>
      </c>
      <c r="E2775" t="s">
        <v>9210</v>
      </c>
    </row>
    <row r="2776" spans="1:5" x14ac:dyDescent="0.2">
      <c r="A2776" t="s">
        <v>5455</v>
      </c>
      <c r="B2776" t="s">
        <v>5456</v>
      </c>
      <c r="C2776" t="s">
        <v>357</v>
      </c>
      <c r="D2776" t="s">
        <v>275</v>
      </c>
      <c r="E2776" t="s">
        <v>9210</v>
      </c>
    </row>
    <row r="2777" spans="1:5" x14ac:dyDescent="0.2">
      <c r="A2777" t="s">
        <v>5457</v>
      </c>
      <c r="B2777" t="s">
        <v>5458</v>
      </c>
      <c r="C2777" t="s">
        <v>357</v>
      </c>
      <c r="D2777" t="s">
        <v>560</v>
      </c>
      <c r="E2777" t="s">
        <v>9210</v>
      </c>
    </row>
    <row r="2778" spans="1:5" x14ac:dyDescent="0.2">
      <c r="A2778" t="s">
        <v>5459</v>
      </c>
      <c r="B2778" t="s">
        <v>5460</v>
      </c>
      <c r="C2778" t="s">
        <v>357</v>
      </c>
      <c r="D2778" t="s">
        <v>6665</v>
      </c>
      <c r="E2778" t="s">
        <v>9210</v>
      </c>
    </row>
    <row r="2779" spans="1:5" x14ac:dyDescent="0.2">
      <c r="A2779" t="s">
        <v>5461</v>
      </c>
      <c r="B2779" t="s">
        <v>5462</v>
      </c>
      <c r="C2779" t="s">
        <v>357</v>
      </c>
      <c r="D2779" t="s">
        <v>368</v>
      </c>
      <c r="E2779" t="s">
        <v>9210</v>
      </c>
    </row>
    <row r="2780" spans="1:5" x14ac:dyDescent="0.2">
      <c r="A2780" t="s">
        <v>5463</v>
      </c>
      <c r="B2780" t="s">
        <v>5464</v>
      </c>
      <c r="C2780" t="s">
        <v>357</v>
      </c>
      <c r="D2780" t="s">
        <v>248</v>
      </c>
      <c r="E2780" t="s">
        <v>9210</v>
      </c>
    </row>
    <row r="2781" spans="1:5" x14ac:dyDescent="0.2">
      <c r="A2781" t="s">
        <v>5465</v>
      </c>
      <c r="B2781" t="s">
        <v>5466</v>
      </c>
      <c r="C2781" t="s">
        <v>357</v>
      </c>
      <c r="D2781" t="s">
        <v>568</v>
      </c>
      <c r="E2781" t="s">
        <v>9210</v>
      </c>
    </row>
    <row r="2782" spans="1:5" x14ac:dyDescent="0.2">
      <c r="A2782" t="s">
        <v>5467</v>
      </c>
      <c r="B2782" t="s">
        <v>5468</v>
      </c>
      <c r="C2782" t="s">
        <v>357</v>
      </c>
      <c r="D2782" t="s">
        <v>568</v>
      </c>
      <c r="E2782" t="s">
        <v>9210</v>
      </c>
    </row>
    <row r="2783" spans="1:5" x14ac:dyDescent="0.2">
      <c r="A2783" t="s">
        <v>5469</v>
      </c>
      <c r="B2783" t="s">
        <v>5470</v>
      </c>
      <c r="C2783" t="s">
        <v>357</v>
      </c>
      <c r="D2783" t="s">
        <v>275</v>
      </c>
      <c r="E2783" t="s">
        <v>9210</v>
      </c>
    </row>
    <row r="2784" spans="1:5" x14ac:dyDescent="0.2">
      <c r="A2784" t="s">
        <v>5471</v>
      </c>
      <c r="B2784" t="s">
        <v>5472</v>
      </c>
      <c r="C2784" t="s">
        <v>357</v>
      </c>
      <c r="D2784" t="s">
        <v>290</v>
      </c>
      <c r="E2784" t="s">
        <v>9210</v>
      </c>
    </row>
    <row r="2785" spans="1:5" x14ac:dyDescent="0.2">
      <c r="A2785" t="s">
        <v>5473</v>
      </c>
      <c r="B2785" t="s">
        <v>5474</v>
      </c>
      <c r="C2785" t="s">
        <v>357</v>
      </c>
      <c r="D2785" t="s">
        <v>1664</v>
      </c>
      <c r="E2785" t="s">
        <v>9210</v>
      </c>
    </row>
    <row r="2786" spans="1:5" x14ac:dyDescent="0.2">
      <c r="A2786" t="s">
        <v>5475</v>
      </c>
      <c r="B2786" t="s">
        <v>5476</v>
      </c>
      <c r="C2786" t="s">
        <v>357</v>
      </c>
      <c r="D2786" t="s">
        <v>809</v>
      </c>
      <c r="E2786" t="s">
        <v>9210</v>
      </c>
    </row>
    <row r="2787" spans="1:5" x14ac:dyDescent="0.2">
      <c r="A2787" t="s">
        <v>5477</v>
      </c>
      <c r="B2787" t="s">
        <v>5478</v>
      </c>
      <c r="C2787" t="s">
        <v>357</v>
      </c>
      <c r="D2787" t="s">
        <v>1971</v>
      </c>
      <c r="E2787" t="s">
        <v>9210</v>
      </c>
    </row>
    <row r="2788" spans="1:5" x14ac:dyDescent="0.2">
      <c r="A2788" t="s">
        <v>5479</v>
      </c>
      <c r="B2788" t="s">
        <v>5480</v>
      </c>
      <c r="C2788" t="s">
        <v>287</v>
      </c>
      <c r="D2788" t="s">
        <v>1831</v>
      </c>
      <c r="E2788" t="s">
        <v>9210</v>
      </c>
    </row>
    <row r="2789" spans="1:5" x14ac:dyDescent="0.2">
      <c r="A2789" t="s">
        <v>5481</v>
      </c>
      <c r="B2789" t="s">
        <v>5482</v>
      </c>
      <c r="C2789" t="s">
        <v>287</v>
      </c>
      <c r="D2789" t="s">
        <v>1831</v>
      </c>
      <c r="E2789" t="s">
        <v>9210</v>
      </c>
    </row>
    <row r="2790" spans="1:5" x14ac:dyDescent="0.2">
      <c r="A2790" t="s">
        <v>5483</v>
      </c>
      <c r="B2790" t="s">
        <v>5484</v>
      </c>
      <c r="C2790" t="s">
        <v>287</v>
      </c>
      <c r="D2790" t="s">
        <v>1566</v>
      </c>
      <c r="E2790" t="s">
        <v>9210</v>
      </c>
    </row>
    <row r="2791" spans="1:5" x14ac:dyDescent="0.2">
      <c r="A2791" t="s">
        <v>5485</v>
      </c>
      <c r="B2791" t="s">
        <v>5486</v>
      </c>
      <c r="C2791" t="s">
        <v>287</v>
      </c>
      <c r="D2791" t="s">
        <v>254</v>
      </c>
      <c r="E2791" t="s">
        <v>9210</v>
      </c>
    </row>
    <row r="2792" spans="1:5" x14ac:dyDescent="0.2">
      <c r="A2792" t="s">
        <v>5487</v>
      </c>
      <c r="B2792" t="s">
        <v>5488</v>
      </c>
      <c r="C2792" t="s">
        <v>287</v>
      </c>
      <c r="D2792" t="s">
        <v>254</v>
      </c>
      <c r="E2792" t="s">
        <v>9210</v>
      </c>
    </row>
    <row r="2793" spans="1:5" x14ac:dyDescent="0.2">
      <c r="A2793" t="s">
        <v>5489</v>
      </c>
      <c r="B2793" t="s">
        <v>5490</v>
      </c>
      <c r="C2793" t="s">
        <v>251</v>
      </c>
      <c r="D2793" t="s">
        <v>105</v>
      </c>
      <c r="E2793" t="s">
        <v>9210</v>
      </c>
    </row>
    <row r="2794" spans="1:5" x14ac:dyDescent="0.2">
      <c r="A2794" t="s">
        <v>5491</v>
      </c>
      <c r="B2794" t="s">
        <v>5492</v>
      </c>
      <c r="C2794" t="s">
        <v>251</v>
      </c>
      <c r="D2794" t="s">
        <v>105</v>
      </c>
      <c r="E2794" t="s">
        <v>9210</v>
      </c>
    </row>
    <row r="2795" spans="1:5" x14ac:dyDescent="0.2">
      <c r="A2795" t="s">
        <v>5493</v>
      </c>
      <c r="B2795" t="s">
        <v>5494</v>
      </c>
      <c r="C2795" t="s">
        <v>251</v>
      </c>
      <c r="D2795" t="s">
        <v>1868</v>
      </c>
      <c r="E2795" t="s">
        <v>9210</v>
      </c>
    </row>
    <row r="2796" spans="1:5" x14ac:dyDescent="0.2">
      <c r="A2796" t="s">
        <v>5495</v>
      </c>
      <c r="B2796" t="s">
        <v>5496</v>
      </c>
      <c r="C2796" t="s">
        <v>251</v>
      </c>
      <c r="D2796" t="s">
        <v>335</v>
      </c>
      <c r="E2796" t="s">
        <v>9210</v>
      </c>
    </row>
    <row r="2797" spans="1:5" x14ac:dyDescent="0.2">
      <c r="A2797" t="s">
        <v>5561</v>
      </c>
      <c r="B2797" t="s">
        <v>5562</v>
      </c>
      <c r="C2797" t="s">
        <v>199</v>
      </c>
      <c r="D2797" t="s">
        <v>588</v>
      </c>
      <c r="E2797" t="s">
        <v>8880</v>
      </c>
    </row>
    <row r="2798" spans="1:5" x14ac:dyDescent="0.2">
      <c r="A2798" t="s">
        <v>5564</v>
      </c>
      <c r="B2798" t="s">
        <v>5565</v>
      </c>
      <c r="C2798" t="s">
        <v>199</v>
      </c>
      <c r="D2798" t="s">
        <v>588</v>
      </c>
      <c r="E2798" t="s">
        <v>8880</v>
      </c>
    </row>
    <row r="2799" spans="1:5" x14ac:dyDescent="0.2">
      <c r="A2799" t="s">
        <v>5566</v>
      </c>
      <c r="B2799" t="s">
        <v>5567</v>
      </c>
      <c r="C2799" t="s">
        <v>376</v>
      </c>
      <c r="D2799" t="s">
        <v>223</v>
      </c>
      <c r="E2799" t="s">
        <v>9135</v>
      </c>
    </row>
    <row r="2800" spans="1:5" x14ac:dyDescent="0.2">
      <c r="A2800" t="s">
        <v>5568</v>
      </c>
      <c r="B2800" t="s">
        <v>5569</v>
      </c>
      <c r="C2800" t="s">
        <v>376</v>
      </c>
      <c r="D2800" t="s">
        <v>223</v>
      </c>
      <c r="E2800" t="s">
        <v>9135</v>
      </c>
    </row>
    <row r="2801" spans="1:5" x14ac:dyDescent="0.2">
      <c r="A2801" t="s">
        <v>5570</v>
      </c>
      <c r="B2801" t="s">
        <v>5571</v>
      </c>
      <c r="C2801" t="s">
        <v>376</v>
      </c>
      <c r="D2801" t="s">
        <v>535</v>
      </c>
      <c r="E2801" t="s">
        <v>9135</v>
      </c>
    </row>
    <row r="2802" spans="1:5" x14ac:dyDescent="0.2">
      <c r="A2802" t="s">
        <v>5572</v>
      </c>
      <c r="B2802" t="s">
        <v>5573</v>
      </c>
      <c r="C2802" t="s">
        <v>376</v>
      </c>
      <c r="D2802" t="s">
        <v>535</v>
      </c>
      <c r="E2802" t="s">
        <v>9135</v>
      </c>
    </row>
    <row r="2803" spans="1:5" x14ac:dyDescent="0.2">
      <c r="A2803" t="s">
        <v>5574</v>
      </c>
      <c r="B2803" t="s">
        <v>5575</v>
      </c>
      <c r="C2803" t="s">
        <v>376</v>
      </c>
      <c r="D2803" t="s">
        <v>223</v>
      </c>
      <c r="E2803" t="s">
        <v>9135</v>
      </c>
    </row>
    <row r="2804" spans="1:5" x14ac:dyDescent="0.2">
      <c r="A2804" t="s">
        <v>5576</v>
      </c>
      <c r="B2804" t="s">
        <v>5577</v>
      </c>
      <c r="C2804" t="s">
        <v>244</v>
      </c>
      <c r="D2804" t="s">
        <v>258</v>
      </c>
      <c r="E2804" t="s">
        <v>9347</v>
      </c>
    </row>
    <row r="2805" spans="1:5" x14ac:dyDescent="0.2">
      <c r="A2805" t="s">
        <v>5578</v>
      </c>
      <c r="B2805" t="s">
        <v>5579</v>
      </c>
      <c r="C2805" t="s">
        <v>244</v>
      </c>
      <c r="D2805" t="s">
        <v>258</v>
      </c>
      <c r="E2805" t="s">
        <v>9347</v>
      </c>
    </row>
    <row r="2806" spans="1:5" x14ac:dyDescent="0.2">
      <c r="A2806" t="s">
        <v>5580</v>
      </c>
      <c r="B2806" t="s">
        <v>5581</v>
      </c>
      <c r="C2806" t="s">
        <v>244</v>
      </c>
      <c r="D2806" t="s">
        <v>1081</v>
      </c>
      <c r="E2806" t="s">
        <v>9347</v>
      </c>
    </row>
    <row r="2807" spans="1:5" x14ac:dyDescent="0.2">
      <c r="A2807" t="s">
        <v>5582</v>
      </c>
      <c r="B2807" t="s">
        <v>5583</v>
      </c>
      <c r="C2807" t="s">
        <v>244</v>
      </c>
      <c r="D2807" t="s">
        <v>1081</v>
      </c>
      <c r="E2807" t="s">
        <v>9347</v>
      </c>
    </row>
    <row r="2808" spans="1:5" x14ac:dyDescent="0.2">
      <c r="A2808" t="s">
        <v>5584</v>
      </c>
      <c r="B2808" t="s">
        <v>5585</v>
      </c>
      <c r="C2808" t="s">
        <v>244</v>
      </c>
      <c r="D2808" t="s">
        <v>258</v>
      </c>
      <c r="E2808" t="s">
        <v>9347</v>
      </c>
    </row>
    <row r="2809" spans="1:5" x14ac:dyDescent="0.2">
      <c r="A2809" t="s">
        <v>5586</v>
      </c>
      <c r="B2809" t="s">
        <v>5587</v>
      </c>
      <c r="C2809" t="s">
        <v>244</v>
      </c>
      <c r="D2809" t="s">
        <v>258</v>
      </c>
      <c r="E2809" t="s">
        <v>9347</v>
      </c>
    </row>
    <row r="2810" spans="1:5" x14ac:dyDescent="0.2">
      <c r="A2810" t="s">
        <v>5588</v>
      </c>
      <c r="B2810" t="s">
        <v>5589</v>
      </c>
      <c r="C2810" t="s">
        <v>212</v>
      </c>
      <c r="D2810" t="s">
        <v>845</v>
      </c>
      <c r="E2810" t="s">
        <v>5563</v>
      </c>
    </row>
    <row r="2811" spans="1:5" x14ac:dyDescent="0.2">
      <c r="A2811" t="s">
        <v>5590</v>
      </c>
      <c r="B2811" t="s">
        <v>5591</v>
      </c>
      <c r="C2811" t="s">
        <v>212</v>
      </c>
      <c r="D2811" t="s">
        <v>845</v>
      </c>
      <c r="E2811" t="s">
        <v>5563</v>
      </c>
    </row>
    <row r="2812" spans="1:5" x14ac:dyDescent="0.2">
      <c r="A2812" t="s">
        <v>5592</v>
      </c>
      <c r="B2812" t="s">
        <v>5593</v>
      </c>
      <c r="C2812" t="s">
        <v>212</v>
      </c>
      <c r="D2812" t="s">
        <v>220</v>
      </c>
      <c r="E2812" t="s">
        <v>8984</v>
      </c>
    </row>
    <row r="2813" spans="1:5" x14ac:dyDescent="0.2">
      <c r="A2813" t="s">
        <v>5594</v>
      </c>
      <c r="B2813" t="s">
        <v>5595</v>
      </c>
      <c r="C2813" t="s">
        <v>212</v>
      </c>
      <c r="D2813" t="s">
        <v>220</v>
      </c>
      <c r="E2813" t="s">
        <v>8984</v>
      </c>
    </row>
    <row r="2814" spans="1:5" x14ac:dyDescent="0.2">
      <c r="A2814" t="s">
        <v>5596</v>
      </c>
      <c r="B2814" t="s">
        <v>5597</v>
      </c>
      <c r="C2814" t="s">
        <v>212</v>
      </c>
      <c r="D2814" t="s">
        <v>845</v>
      </c>
      <c r="E2814" t="s">
        <v>5563</v>
      </c>
    </row>
    <row r="2815" spans="1:5" x14ac:dyDescent="0.2">
      <c r="A2815" t="s">
        <v>5598</v>
      </c>
      <c r="B2815" t="s">
        <v>5599</v>
      </c>
      <c r="C2815" t="s">
        <v>616</v>
      </c>
      <c r="D2815" t="s">
        <v>539</v>
      </c>
      <c r="E2815" t="s">
        <v>5563</v>
      </c>
    </row>
    <row r="2816" spans="1:5" x14ac:dyDescent="0.2">
      <c r="A2816" t="s">
        <v>5600</v>
      </c>
      <c r="B2816" t="s">
        <v>5601</v>
      </c>
      <c r="C2816" t="s">
        <v>616</v>
      </c>
      <c r="D2816" t="s">
        <v>539</v>
      </c>
      <c r="E2816" t="s">
        <v>5563</v>
      </c>
    </row>
    <row r="2817" spans="1:5" x14ac:dyDescent="0.2">
      <c r="A2817" t="s">
        <v>5602</v>
      </c>
      <c r="B2817" t="s">
        <v>5603</v>
      </c>
      <c r="C2817" t="s">
        <v>616</v>
      </c>
      <c r="D2817" t="s">
        <v>2199</v>
      </c>
      <c r="E2817" t="s">
        <v>5563</v>
      </c>
    </row>
    <row r="2818" spans="1:5" x14ac:dyDescent="0.2">
      <c r="A2818" t="s">
        <v>5604</v>
      </c>
      <c r="B2818" t="s">
        <v>5605</v>
      </c>
      <c r="C2818" t="s">
        <v>616</v>
      </c>
      <c r="D2818" t="s">
        <v>2199</v>
      </c>
      <c r="E2818" t="s">
        <v>5563</v>
      </c>
    </row>
    <row r="2819" spans="1:5" x14ac:dyDescent="0.2">
      <c r="A2819" t="s">
        <v>5606</v>
      </c>
      <c r="B2819" t="s">
        <v>5607</v>
      </c>
      <c r="C2819" t="s">
        <v>616</v>
      </c>
      <c r="D2819" t="s">
        <v>1006</v>
      </c>
      <c r="E2819" t="s">
        <v>5563</v>
      </c>
    </row>
    <row r="2820" spans="1:5" x14ac:dyDescent="0.2">
      <c r="A2820" t="s">
        <v>5608</v>
      </c>
      <c r="B2820" t="s">
        <v>5609</v>
      </c>
      <c r="C2820" t="s">
        <v>616</v>
      </c>
      <c r="D2820" t="s">
        <v>1006</v>
      </c>
      <c r="E2820" t="s">
        <v>5563</v>
      </c>
    </row>
    <row r="2821" spans="1:5" x14ac:dyDescent="0.2">
      <c r="A2821" t="s">
        <v>5610</v>
      </c>
      <c r="B2821" t="s">
        <v>5611</v>
      </c>
      <c r="C2821" t="s">
        <v>616</v>
      </c>
      <c r="D2821" t="s">
        <v>539</v>
      </c>
      <c r="E2821" t="s">
        <v>5563</v>
      </c>
    </row>
    <row r="2822" spans="1:5" x14ac:dyDescent="0.2">
      <c r="A2822" t="s">
        <v>5612</v>
      </c>
      <c r="B2822" t="s">
        <v>5613</v>
      </c>
      <c r="C2822" t="s">
        <v>104</v>
      </c>
      <c r="D2822" t="s">
        <v>282</v>
      </c>
      <c r="E2822" t="s">
        <v>9148</v>
      </c>
    </row>
    <row r="2823" spans="1:5" x14ac:dyDescent="0.2">
      <c r="A2823" t="s">
        <v>5614</v>
      </c>
      <c r="B2823" t="s">
        <v>5615</v>
      </c>
      <c r="C2823" t="s">
        <v>104</v>
      </c>
      <c r="D2823" t="s">
        <v>282</v>
      </c>
      <c r="E2823" t="s">
        <v>9148</v>
      </c>
    </row>
    <row r="2824" spans="1:5" x14ac:dyDescent="0.2">
      <c r="A2824" t="s">
        <v>5616</v>
      </c>
      <c r="B2824" t="s">
        <v>5617</v>
      </c>
      <c r="C2824" t="s">
        <v>104</v>
      </c>
      <c r="D2824" t="s">
        <v>301</v>
      </c>
      <c r="E2824" t="s">
        <v>9148</v>
      </c>
    </row>
    <row r="2825" spans="1:5" x14ac:dyDescent="0.2">
      <c r="A2825" t="s">
        <v>5618</v>
      </c>
      <c r="B2825" t="s">
        <v>5619</v>
      </c>
      <c r="C2825" t="s">
        <v>104</v>
      </c>
      <c r="D2825" t="s">
        <v>301</v>
      </c>
      <c r="E2825" t="s">
        <v>9148</v>
      </c>
    </row>
    <row r="2826" spans="1:5" x14ac:dyDescent="0.2">
      <c r="A2826" t="s">
        <v>5620</v>
      </c>
      <c r="B2826" t="s">
        <v>5621</v>
      </c>
      <c r="C2826" t="s">
        <v>104</v>
      </c>
      <c r="D2826" t="s">
        <v>282</v>
      </c>
      <c r="E2826" t="s">
        <v>9148</v>
      </c>
    </row>
    <row r="2827" spans="1:5" x14ac:dyDescent="0.2">
      <c r="A2827" t="s">
        <v>5622</v>
      </c>
      <c r="B2827" t="s">
        <v>5623</v>
      </c>
      <c r="C2827" t="s">
        <v>104</v>
      </c>
      <c r="D2827" t="s">
        <v>282</v>
      </c>
      <c r="E2827" t="s">
        <v>9148</v>
      </c>
    </row>
    <row r="2828" spans="1:5" x14ac:dyDescent="0.2">
      <c r="A2828" t="s">
        <v>5624</v>
      </c>
      <c r="B2828" t="s">
        <v>5625</v>
      </c>
      <c r="C2828" t="s">
        <v>131</v>
      </c>
      <c r="D2828" t="s">
        <v>282</v>
      </c>
      <c r="E2828" t="s">
        <v>9148</v>
      </c>
    </row>
    <row r="2829" spans="1:5" x14ac:dyDescent="0.2">
      <c r="A2829" t="s">
        <v>5626</v>
      </c>
      <c r="B2829" t="s">
        <v>5627</v>
      </c>
      <c r="C2829" t="s">
        <v>131</v>
      </c>
      <c r="D2829" t="s">
        <v>282</v>
      </c>
      <c r="E2829" t="s">
        <v>9148</v>
      </c>
    </row>
    <row r="2830" spans="1:5" x14ac:dyDescent="0.2">
      <c r="A2830" t="s">
        <v>5628</v>
      </c>
      <c r="B2830" t="s">
        <v>5629</v>
      </c>
      <c r="C2830" t="s">
        <v>131</v>
      </c>
      <c r="D2830" t="s">
        <v>301</v>
      </c>
      <c r="E2830" t="s">
        <v>9148</v>
      </c>
    </row>
    <row r="2831" spans="1:5" x14ac:dyDescent="0.2">
      <c r="A2831" t="s">
        <v>5630</v>
      </c>
      <c r="B2831" t="s">
        <v>5631</v>
      </c>
      <c r="C2831" t="s">
        <v>131</v>
      </c>
      <c r="D2831" t="s">
        <v>301</v>
      </c>
      <c r="E2831" t="s">
        <v>9148</v>
      </c>
    </row>
    <row r="2832" spans="1:5" x14ac:dyDescent="0.2">
      <c r="A2832" t="s">
        <v>5632</v>
      </c>
      <c r="B2832" t="s">
        <v>5633</v>
      </c>
      <c r="C2832" t="s">
        <v>131</v>
      </c>
      <c r="D2832" t="s">
        <v>282</v>
      </c>
      <c r="E2832" t="s">
        <v>9148</v>
      </c>
    </row>
    <row r="2833" spans="1:5" x14ac:dyDescent="0.2">
      <c r="A2833" t="s">
        <v>5634</v>
      </c>
      <c r="B2833" t="s">
        <v>5635</v>
      </c>
      <c r="C2833" t="s">
        <v>104</v>
      </c>
      <c r="D2833" t="s">
        <v>282</v>
      </c>
      <c r="E2833" t="s">
        <v>9148</v>
      </c>
    </row>
    <row r="2834" spans="1:5" x14ac:dyDescent="0.2">
      <c r="A2834" t="s">
        <v>5636</v>
      </c>
      <c r="B2834" t="s">
        <v>5637</v>
      </c>
      <c r="C2834" t="s">
        <v>104</v>
      </c>
      <c r="D2834" t="s">
        <v>282</v>
      </c>
      <c r="E2834" t="s">
        <v>9148</v>
      </c>
    </row>
    <row r="2835" spans="1:5" x14ac:dyDescent="0.2">
      <c r="A2835" t="s">
        <v>5638</v>
      </c>
      <c r="B2835" t="s">
        <v>5639</v>
      </c>
      <c r="C2835" t="s">
        <v>104</v>
      </c>
      <c r="D2835" t="s">
        <v>301</v>
      </c>
      <c r="E2835" t="s">
        <v>9148</v>
      </c>
    </row>
    <row r="2836" spans="1:5" x14ac:dyDescent="0.2">
      <c r="A2836" t="s">
        <v>5640</v>
      </c>
      <c r="B2836" t="s">
        <v>5641</v>
      </c>
      <c r="C2836" t="s">
        <v>104</v>
      </c>
      <c r="D2836" t="s">
        <v>301</v>
      </c>
      <c r="E2836" t="s">
        <v>9148</v>
      </c>
    </row>
    <row r="2837" spans="1:5" x14ac:dyDescent="0.2">
      <c r="A2837" t="s">
        <v>5642</v>
      </c>
      <c r="B2837" t="s">
        <v>5643</v>
      </c>
      <c r="C2837" t="s">
        <v>705</v>
      </c>
      <c r="D2837" t="s">
        <v>213</v>
      </c>
      <c r="E2837" t="s">
        <v>5563</v>
      </c>
    </row>
    <row r="2838" spans="1:5" x14ac:dyDescent="0.2">
      <c r="A2838" t="s">
        <v>5644</v>
      </c>
      <c r="B2838" t="s">
        <v>5645</v>
      </c>
      <c r="C2838" t="s">
        <v>705</v>
      </c>
      <c r="D2838" t="s">
        <v>341</v>
      </c>
      <c r="E2838" t="s">
        <v>5563</v>
      </c>
    </row>
    <row r="2839" spans="1:5" x14ac:dyDescent="0.2">
      <c r="A2839" t="s">
        <v>5646</v>
      </c>
      <c r="B2839" t="s">
        <v>5647</v>
      </c>
      <c r="C2839" t="s">
        <v>705</v>
      </c>
      <c r="D2839" t="s">
        <v>341</v>
      </c>
      <c r="E2839" t="s">
        <v>5563</v>
      </c>
    </row>
    <row r="2840" spans="1:5" x14ac:dyDescent="0.2">
      <c r="A2840" t="s">
        <v>5648</v>
      </c>
      <c r="B2840" t="s">
        <v>5649</v>
      </c>
      <c r="C2840" t="s">
        <v>322</v>
      </c>
      <c r="D2840" t="s">
        <v>525</v>
      </c>
      <c r="E2840" t="s">
        <v>9135</v>
      </c>
    </row>
    <row r="2841" spans="1:5" x14ac:dyDescent="0.2">
      <c r="A2841" t="s">
        <v>5650</v>
      </c>
      <c r="B2841" t="s">
        <v>5651</v>
      </c>
      <c r="C2841" t="s">
        <v>322</v>
      </c>
      <c r="D2841" t="s">
        <v>525</v>
      </c>
      <c r="E2841" t="s">
        <v>9135</v>
      </c>
    </row>
    <row r="2842" spans="1:5" x14ac:dyDescent="0.2">
      <c r="A2842" t="s">
        <v>5840</v>
      </c>
      <c r="B2842" t="s">
        <v>9348</v>
      </c>
      <c r="C2842" t="s">
        <v>5841</v>
      </c>
      <c r="D2842" t="s">
        <v>535</v>
      </c>
      <c r="E2842" t="s">
        <v>9135</v>
      </c>
    </row>
    <row r="2843" spans="1:5" x14ac:dyDescent="0.2">
      <c r="A2843" t="s">
        <v>5842</v>
      </c>
      <c r="B2843" t="s">
        <v>9349</v>
      </c>
      <c r="C2843" t="s">
        <v>5841</v>
      </c>
      <c r="D2843" t="s">
        <v>535</v>
      </c>
      <c r="E2843" t="s">
        <v>9135</v>
      </c>
    </row>
    <row r="2844" spans="1:5" x14ac:dyDescent="0.2">
      <c r="A2844" t="s">
        <v>5843</v>
      </c>
      <c r="B2844" t="s">
        <v>9350</v>
      </c>
      <c r="C2844" t="s">
        <v>5841</v>
      </c>
      <c r="D2844" t="s">
        <v>710</v>
      </c>
      <c r="E2844" t="s">
        <v>9135</v>
      </c>
    </row>
    <row r="2845" spans="1:5" x14ac:dyDescent="0.2">
      <c r="A2845" t="s">
        <v>5844</v>
      </c>
      <c r="B2845" t="s">
        <v>9351</v>
      </c>
      <c r="C2845" t="s">
        <v>5841</v>
      </c>
      <c r="D2845" t="s">
        <v>710</v>
      </c>
      <c r="E2845" t="s">
        <v>9135</v>
      </c>
    </row>
    <row r="2846" spans="1:5" x14ac:dyDescent="0.2">
      <c r="A2846" t="s">
        <v>5652</v>
      </c>
      <c r="B2846" t="s">
        <v>5653</v>
      </c>
      <c r="C2846" t="s">
        <v>222</v>
      </c>
      <c r="D2846" t="s">
        <v>547</v>
      </c>
      <c r="E2846" t="s">
        <v>8880</v>
      </c>
    </row>
    <row r="2847" spans="1:5" x14ac:dyDescent="0.2">
      <c r="A2847" t="s">
        <v>5654</v>
      </c>
      <c r="B2847" t="s">
        <v>5655</v>
      </c>
      <c r="C2847" t="s">
        <v>222</v>
      </c>
      <c r="D2847" t="s">
        <v>547</v>
      </c>
      <c r="E2847" t="s">
        <v>8880</v>
      </c>
    </row>
    <row r="2848" spans="1:5" x14ac:dyDescent="0.2">
      <c r="A2848" t="s">
        <v>5656</v>
      </c>
      <c r="B2848" t="s">
        <v>5657</v>
      </c>
      <c r="C2848" t="s">
        <v>222</v>
      </c>
      <c r="D2848" t="s">
        <v>171</v>
      </c>
      <c r="E2848" t="s">
        <v>8880</v>
      </c>
    </row>
    <row r="2849" spans="1:5" x14ac:dyDescent="0.2">
      <c r="A2849" t="s">
        <v>5658</v>
      </c>
      <c r="B2849" t="s">
        <v>5659</v>
      </c>
      <c r="C2849" t="s">
        <v>222</v>
      </c>
      <c r="D2849" t="s">
        <v>171</v>
      </c>
      <c r="E2849" t="s">
        <v>8880</v>
      </c>
    </row>
    <row r="2850" spans="1:5" x14ac:dyDescent="0.2">
      <c r="A2850" t="s">
        <v>5660</v>
      </c>
      <c r="B2850" t="s">
        <v>5661</v>
      </c>
      <c r="C2850" t="s">
        <v>345</v>
      </c>
      <c r="D2850" t="s">
        <v>710</v>
      </c>
      <c r="E2850" t="s">
        <v>8879</v>
      </c>
    </row>
    <row r="2851" spans="1:5" x14ac:dyDescent="0.2">
      <c r="A2851" t="s">
        <v>5662</v>
      </c>
      <c r="B2851" t="s">
        <v>5663</v>
      </c>
      <c r="C2851" t="s">
        <v>345</v>
      </c>
      <c r="D2851" t="s">
        <v>710</v>
      </c>
      <c r="E2851" t="s">
        <v>8879</v>
      </c>
    </row>
    <row r="2852" spans="1:5" x14ac:dyDescent="0.2">
      <c r="A2852" t="s">
        <v>5664</v>
      </c>
      <c r="B2852" t="s">
        <v>5665</v>
      </c>
      <c r="C2852" t="s">
        <v>345</v>
      </c>
      <c r="D2852" t="s">
        <v>888</v>
      </c>
      <c r="E2852" t="s">
        <v>5563</v>
      </c>
    </row>
    <row r="2853" spans="1:5" x14ac:dyDescent="0.2">
      <c r="A2853" t="s">
        <v>5666</v>
      </c>
      <c r="B2853" t="s">
        <v>5667</v>
      </c>
      <c r="C2853" t="s">
        <v>345</v>
      </c>
      <c r="D2853" t="s">
        <v>888</v>
      </c>
      <c r="E2853" t="s">
        <v>5563</v>
      </c>
    </row>
    <row r="2854" spans="1:5" x14ac:dyDescent="0.2">
      <c r="A2854" t="s">
        <v>5668</v>
      </c>
      <c r="B2854" t="s">
        <v>5669</v>
      </c>
      <c r="C2854" t="s">
        <v>591</v>
      </c>
      <c r="D2854" t="s">
        <v>822</v>
      </c>
      <c r="E2854" t="s">
        <v>8894</v>
      </c>
    </row>
    <row r="2855" spans="1:5" x14ac:dyDescent="0.2">
      <c r="A2855" t="s">
        <v>5670</v>
      </c>
      <c r="B2855" t="s">
        <v>5671</v>
      </c>
      <c r="C2855" t="s">
        <v>591</v>
      </c>
      <c r="D2855" t="s">
        <v>822</v>
      </c>
      <c r="E2855" t="s">
        <v>8894</v>
      </c>
    </row>
    <row r="2856" spans="1:5" x14ac:dyDescent="0.2">
      <c r="A2856" t="s">
        <v>5672</v>
      </c>
      <c r="B2856" t="s">
        <v>5673</v>
      </c>
      <c r="C2856" t="s">
        <v>591</v>
      </c>
      <c r="D2856" t="s">
        <v>604</v>
      </c>
      <c r="E2856" t="s">
        <v>8894</v>
      </c>
    </row>
    <row r="2857" spans="1:5" x14ac:dyDescent="0.2">
      <c r="A2857" t="s">
        <v>5674</v>
      </c>
      <c r="B2857" t="s">
        <v>5675</v>
      </c>
      <c r="C2857" t="s">
        <v>591</v>
      </c>
      <c r="D2857" t="s">
        <v>400</v>
      </c>
      <c r="E2857" t="s">
        <v>8894</v>
      </c>
    </row>
    <row r="2858" spans="1:5" x14ac:dyDescent="0.2">
      <c r="A2858" t="s">
        <v>5676</v>
      </c>
      <c r="B2858" t="s">
        <v>5677</v>
      </c>
      <c r="C2858" t="s">
        <v>591</v>
      </c>
      <c r="D2858" t="s">
        <v>400</v>
      </c>
      <c r="E2858" t="s">
        <v>8894</v>
      </c>
    </row>
    <row r="2859" spans="1:5" x14ac:dyDescent="0.2">
      <c r="A2859" t="s">
        <v>5678</v>
      </c>
      <c r="B2859" t="s">
        <v>5679</v>
      </c>
      <c r="C2859" t="s">
        <v>219</v>
      </c>
      <c r="D2859" t="s">
        <v>380</v>
      </c>
      <c r="E2859" t="s">
        <v>8880</v>
      </c>
    </row>
    <row r="2860" spans="1:5" x14ac:dyDescent="0.2">
      <c r="A2860" t="s">
        <v>5680</v>
      </c>
      <c r="B2860" t="s">
        <v>5681</v>
      </c>
      <c r="C2860" t="s">
        <v>219</v>
      </c>
      <c r="D2860" t="s">
        <v>380</v>
      </c>
      <c r="E2860" t="s">
        <v>8880</v>
      </c>
    </row>
    <row r="2861" spans="1:5" x14ac:dyDescent="0.2">
      <c r="A2861" t="s">
        <v>85</v>
      </c>
      <c r="B2861" t="s">
        <v>5682</v>
      </c>
      <c r="C2861" t="s">
        <v>219</v>
      </c>
      <c r="D2861" t="s">
        <v>110</v>
      </c>
      <c r="E2861" t="s">
        <v>8880</v>
      </c>
    </row>
    <row r="2862" spans="1:5" x14ac:dyDescent="0.2">
      <c r="A2862" t="s">
        <v>5683</v>
      </c>
      <c r="B2862" t="s">
        <v>5684</v>
      </c>
      <c r="C2862" t="s">
        <v>219</v>
      </c>
      <c r="D2862" t="s">
        <v>110</v>
      </c>
      <c r="E2862" t="s">
        <v>8880</v>
      </c>
    </row>
    <row r="2863" spans="1:5" x14ac:dyDescent="0.2">
      <c r="A2863" t="s">
        <v>5685</v>
      </c>
      <c r="B2863" t="s">
        <v>5686</v>
      </c>
      <c r="C2863" t="s">
        <v>219</v>
      </c>
      <c r="D2863" t="s">
        <v>380</v>
      </c>
      <c r="E2863" t="s">
        <v>8880</v>
      </c>
    </row>
    <row r="2864" spans="1:5" x14ac:dyDescent="0.2">
      <c r="A2864" t="s">
        <v>5687</v>
      </c>
      <c r="B2864" t="s">
        <v>5688</v>
      </c>
      <c r="C2864" t="s">
        <v>331</v>
      </c>
      <c r="D2864" t="s">
        <v>842</v>
      </c>
      <c r="E2864" t="s">
        <v>8894</v>
      </c>
    </row>
    <row r="2865" spans="1:5" x14ac:dyDescent="0.2">
      <c r="A2865" t="s">
        <v>5689</v>
      </c>
      <c r="B2865" t="s">
        <v>5690</v>
      </c>
      <c r="C2865" t="s">
        <v>331</v>
      </c>
      <c r="D2865" t="s">
        <v>842</v>
      </c>
      <c r="E2865" t="s">
        <v>8894</v>
      </c>
    </row>
    <row r="2866" spans="1:5" x14ac:dyDescent="0.2">
      <c r="A2866" t="s">
        <v>5691</v>
      </c>
      <c r="B2866" t="s">
        <v>5692</v>
      </c>
      <c r="C2866" t="s">
        <v>331</v>
      </c>
      <c r="D2866" t="s">
        <v>213</v>
      </c>
      <c r="E2866" t="s">
        <v>8894</v>
      </c>
    </row>
    <row r="2867" spans="1:5" x14ac:dyDescent="0.2">
      <c r="A2867" t="s">
        <v>5693</v>
      </c>
      <c r="B2867" t="s">
        <v>5694</v>
      </c>
      <c r="C2867" t="s">
        <v>331</v>
      </c>
      <c r="D2867" t="s">
        <v>213</v>
      </c>
      <c r="E2867" t="s">
        <v>8894</v>
      </c>
    </row>
    <row r="2868" spans="1:5" x14ac:dyDescent="0.2">
      <c r="A2868" t="s">
        <v>5695</v>
      </c>
      <c r="B2868" t="s">
        <v>5696</v>
      </c>
      <c r="C2868" t="s">
        <v>261</v>
      </c>
      <c r="D2868" t="s">
        <v>368</v>
      </c>
      <c r="E2868" t="s">
        <v>8894</v>
      </c>
    </row>
    <row r="2869" spans="1:5" x14ac:dyDescent="0.2">
      <c r="A2869" t="s">
        <v>5697</v>
      </c>
      <c r="B2869" t="s">
        <v>5698</v>
      </c>
      <c r="C2869" t="s">
        <v>261</v>
      </c>
      <c r="D2869" t="s">
        <v>368</v>
      </c>
      <c r="E2869" t="s">
        <v>8894</v>
      </c>
    </row>
    <row r="2870" spans="1:5" x14ac:dyDescent="0.2">
      <c r="A2870" t="s">
        <v>5699</v>
      </c>
      <c r="B2870" t="s">
        <v>5700</v>
      </c>
      <c r="C2870" t="s">
        <v>705</v>
      </c>
      <c r="D2870" t="s">
        <v>224</v>
      </c>
      <c r="E2870" t="s">
        <v>5563</v>
      </c>
    </row>
    <row r="2871" spans="1:5" x14ac:dyDescent="0.2">
      <c r="A2871" t="s">
        <v>5701</v>
      </c>
      <c r="B2871" t="s">
        <v>5702</v>
      </c>
      <c r="C2871" t="s">
        <v>705</v>
      </c>
      <c r="D2871" t="s">
        <v>224</v>
      </c>
      <c r="E2871" t="s">
        <v>5563</v>
      </c>
    </row>
    <row r="2872" spans="1:5" x14ac:dyDescent="0.2">
      <c r="A2872" t="s">
        <v>5703</v>
      </c>
      <c r="B2872" t="s">
        <v>5704</v>
      </c>
      <c r="C2872" t="s">
        <v>705</v>
      </c>
      <c r="D2872" t="s">
        <v>525</v>
      </c>
      <c r="E2872" t="s">
        <v>5563</v>
      </c>
    </row>
    <row r="2873" spans="1:5" x14ac:dyDescent="0.2">
      <c r="A2873" t="s">
        <v>5705</v>
      </c>
      <c r="B2873" t="s">
        <v>5706</v>
      </c>
      <c r="C2873" t="s">
        <v>705</v>
      </c>
      <c r="D2873" t="s">
        <v>525</v>
      </c>
      <c r="E2873" t="s">
        <v>5563</v>
      </c>
    </row>
    <row r="2874" spans="1:5" x14ac:dyDescent="0.2">
      <c r="A2874" t="s">
        <v>5707</v>
      </c>
      <c r="B2874" t="s">
        <v>5708</v>
      </c>
      <c r="C2874" t="s">
        <v>261</v>
      </c>
      <c r="D2874" t="s">
        <v>363</v>
      </c>
      <c r="E2874" t="s">
        <v>5563</v>
      </c>
    </row>
    <row r="2875" spans="1:5" x14ac:dyDescent="0.2">
      <c r="A2875" t="s">
        <v>5709</v>
      </c>
      <c r="B2875" t="s">
        <v>5710</v>
      </c>
      <c r="C2875" t="s">
        <v>261</v>
      </c>
      <c r="D2875" t="s">
        <v>363</v>
      </c>
      <c r="E2875" t="s">
        <v>5563</v>
      </c>
    </row>
    <row r="2876" spans="1:5" x14ac:dyDescent="0.2">
      <c r="A2876" t="s">
        <v>5711</v>
      </c>
      <c r="B2876" t="s">
        <v>5712</v>
      </c>
      <c r="C2876" t="s">
        <v>261</v>
      </c>
      <c r="D2876" t="s">
        <v>233</v>
      </c>
      <c r="E2876" t="s">
        <v>5563</v>
      </c>
    </row>
    <row r="2877" spans="1:5" x14ac:dyDescent="0.2">
      <c r="A2877" t="s">
        <v>5713</v>
      </c>
      <c r="B2877" t="s">
        <v>5714</v>
      </c>
      <c r="C2877" t="s">
        <v>261</v>
      </c>
      <c r="D2877" t="s">
        <v>233</v>
      </c>
      <c r="E2877" t="s">
        <v>5563</v>
      </c>
    </row>
    <row r="2878" spans="1:5" x14ac:dyDescent="0.2">
      <c r="A2878" t="s">
        <v>5715</v>
      </c>
      <c r="B2878" t="s">
        <v>5716</v>
      </c>
      <c r="C2878" t="s">
        <v>261</v>
      </c>
      <c r="D2878" t="s">
        <v>422</v>
      </c>
      <c r="E2878" t="s">
        <v>5563</v>
      </c>
    </row>
    <row r="2879" spans="1:5" x14ac:dyDescent="0.2">
      <c r="A2879" t="s">
        <v>5717</v>
      </c>
      <c r="B2879" t="s">
        <v>5718</v>
      </c>
      <c r="C2879" t="s">
        <v>261</v>
      </c>
      <c r="D2879" t="s">
        <v>363</v>
      </c>
      <c r="E2879" t="s">
        <v>5563</v>
      </c>
    </row>
    <row r="2880" spans="1:5" x14ac:dyDescent="0.2">
      <c r="A2880" t="s">
        <v>5719</v>
      </c>
      <c r="B2880" t="s">
        <v>5720</v>
      </c>
      <c r="C2880" t="s">
        <v>261</v>
      </c>
      <c r="D2880" t="s">
        <v>363</v>
      </c>
      <c r="E2880" t="s">
        <v>5563</v>
      </c>
    </row>
    <row r="2881" spans="1:5" x14ac:dyDescent="0.2">
      <c r="A2881" t="s">
        <v>5721</v>
      </c>
      <c r="B2881" t="s">
        <v>5722</v>
      </c>
      <c r="C2881" t="s">
        <v>261</v>
      </c>
      <c r="D2881" t="s">
        <v>368</v>
      </c>
      <c r="E2881" t="s">
        <v>8880</v>
      </c>
    </row>
    <row r="2882" spans="1:5" x14ac:dyDescent="0.2">
      <c r="A2882" t="s">
        <v>5723</v>
      </c>
      <c r="B2882" t="s">
        <v>5724</v>
      </c>
      <c r="C2882" t="s">
        <v>261</v>
      </c>
      <c r="D2882" t="s">
        <v>368</v>
      </c>
      <c r="E2882" t="s">
        <v>8880</v>
      </c>
    </row>
    <row r="2883" spans="1:5" x14ac:dyDescent="0.2">
      <c r="A2883" t="s">
        <v>5725</v>
      </c>
      <c r="B2883" t="s">
        <v>5726</v>
      </c>
      <c r="C2883" t="s">
        <v>9124</v>
      </c>
      <c r="D2883" t="s">
        <v>2199</v>
      </c>
      <c r="E2883" t="s">
        <v>8880</v>
      </c>
    </row>
    <row r="2884" spans="1:5" x14ac:dyDescent="0.2">
      <c r="A2884" t="s">
        <v>5727</v>
      </c>
      <c r="B2884" t="s">
        <v>5728</v>
      </c>
      <c r="C2884" t="s">
        <v>9124</v>
      </c>
      <c r="D2884" t="s">
        <v>2199</v>
      </c>
      <c r="E2884" t="s">
        <v>8880</v>
      </c>
    </row>
    <row r="2885" spans="1:5" x14ac:dyDescent="0.2">
      <c r="A2885" t="s">
        <v>5729</v>
      </c>
      <c r="B2885" t="s">
        <v>5730</v>
      </c>
      <c r="C2885" t="s">
        <v>9124</v>
      </c>
      <c r="D2885" t="s">
        <v>525</v>
      </c>
      <c r="E2885" t="s">
        <v>8880</v>
      </c>
    </row>
    <row r="2886" spans="1:5" x14ac:dyDescent="0.2">
      <c r="A2886" t="s">
        <v>5731</v>
      </c>
      <c r="B2886" t="s">
        <v>5732</v>
      </c>
      <c r="C2886" t="s">
        <v>9124</v>
      </c>
      <c r="D2886" t="s">
        <v>525</v>
      </c>
      <c r="E2886" t="s">
        <v>8880</v>
      </c>
    </row>
    <row r="2887" spans="1:5" x14ac:dyDescent="0.2">
      <c r="A2887" t="s">
        <v>5733</v>
      </c>
      <c r="B2887" t="s">
        <v>5734</v>
      </c>
      <c r="C2887" t="s">
        <v>705</v>
      </c>
      <c r="D2887" t="s">
        <v>245</v>
      </c>
      <c r="E2887" t="s">
        <v>9148</v>
      </c>
    </row>
    <row r="2888" spans="1:5" x14ac:dyDescent="0.2">
      <c r="A2888" t="s">
        <v>5735</v>
      </c>
      <c r="B2888" t="s">
        <v>5736</v>
      </c>
      <c r="C2888" t="s">
        <v>705</v>
      </c>
      <c r="D2888" t="s">
        <v>245</v>
      </c>
      <c r="E2888" t="s">
        <v>9148</v>
      </c>
    </row>
    <row r="2889" spans="1:5" x14ac:dyDescent="0.2">
      <c r="A2889" t="s">
        <v>5737</v>
      </c>
      <c r="B2889" t="s">
        <v>5738</v>
      </c>
      <c r="C2889" t="s">
        <v>705</v>
      </c>
      <c r="D2889" t="s">
        <v>368</v>
      </c>
      <c r="E2889" t="s">
        <v>9148</v>
      </c>
    </row>
    <row r="2890" spans="1:5" x14ac:dyDescent="0.2">
      <c r="A2890" t="s">
        <v>5739</v>
      </c>
      <c r="B2890" t="s">
        <v>5740</v>
      </c>
      <c r="C2890" t="s">
        <v>705</v>
      </c>
      <c r="D2890" t="s">
        <v>368</v>
      </c>
      <c r="E2890" t="s">
        <v>9148</v>
      </c>
    </row>
    <row r="2891" spans="1:5" x14ac:dyDescent="0.2">
      <c r="A2891" t="s">
        <v>5741</v>
      </c>
      <c r="B2891" t="s">
        <v>5742</v>
      </c>
      <c r="C2891" t="s">
        <v>705</v>
      </c>
      <c r="D2891" t="s">
        <v>110</v>
      </c>
      <c r="E2891" t="s">
        <v>9148</v>
      </c>
    </row>
    <row r="2892" spans="1:5" x14ac:dyDescent="0.2">
      <c r="A2892" t="s">
        <v>5743</v>
      </c>
      <c r="B2892" t="s">
        <v>5744</v>
      </c>
      <c r="C2892" t="s">
        <v>705</v>
      </c>
      <c r="D2892" t="s">
        <v>245</v>
      </c>
      <c r="E2892" t="s">
        <v>9148</v>
      </c>
    </row>
    <row r="2893" spans="1:5" x14ac:dyDescent="0.2">
      <c r="A2893" t="s">
        <v>5750</v>
      </c>
      <c r="B2893" t="s">
        <v>5751</v>
      </c>
      <c r="C2893" t="s">
        <v>219</v>
      </c>
      <c r="D2893" t="s">
        <v>224</v>
      </c>
      <c r="E2893" t="s">
        <v>8894</v>
      </c>
    </row>
    <row r="2894" spans="1:5" x14ac:dyDescent="0.2">
      <c r="A2894" t="s">
        <v>5745</v>
      </c>
      <c r="B2894" t="s">
        <v>9352</v>
      </c>
      <c r="C2894" t="s">
        <v>219</v>
      </c>
      <c r="D2894" t="s">
        <v>262</v>
      </c>
      <c r="E2894" t="s">
        <v>9135</v>
      </c>
    </row>
    <row r="2895" spans="1:5" x14ac:dyDescent="0.2">
      <c r="A2895" t="s">
        <v>5746</v>
      </c>
      <c r="B2895" t="s">
        <v>9353</v>
      </c>
      <c r="C2895" t="s">
        <v>219</v>
      </c>
      <c r="D2895" t="s">
        <v>262</v>
      </c>
      <c r="E2895" t="s">
        <v>9135</v>
      </c>
    </row>
    <row r="2896" spans="1:5" x14ac:dyDescent="0.2">
      <c r="A2896" t="s">
        <v>5747</v>
      </c>
      <c r="B2896" t="s">
        <v>9354</v>
      </c>
      <c r="C2896" t="s">
        <v>219</v>
      </c>
      <c r="D2896" t="s">
        <v>224</v>
      </c>
      <c r="E2896" t="s">
        <v>9135</v>
      </c>
    </row>
    <row r="2897" spans="1:5" x14ac:dyDescent="0.2">
      <c r="A2897" t="s">
        <v>5748</v>
      </c>
      <c r="B2897" t="s">
        <v>9355</v>
      </c>
      <c r="C2897" t="s">
        <v>219</v>
      </c>
      <c r="D2897" t="s">
        <v>224</v>
      </c>
      <c r="E2897" t="s">
        <v>9135</v>
      </c>
    </row>
    <row r="2898" spans="1:5" x14ac:dyDescent="0.2">
      <c r="A2898" t="s">
        <v>5749</v>
      </c>
      <c r="B2898" t="s">
        <v>9356</v>
      </c>
      <c r="C2898" t="s">
        <v>219</v>
      </c>
      <c r="D2898" t="s">
        <v>262</v>
      </c>
      <c r="E2898" t="s">
        <v>9135</v>
      </c>
    </row>
    <row r="2899" spans="1:5" x14ac:dyDescent="0.2">
      <c r="A2899" t="s">
        <v>5752</v>
      </c>
      <c r="B2899" t="s">
        <v>5753</v>
      </c>
      <c r="C2899" t="s">
        <v>199</v>
      </c>
      <c r="D2899" t="s">
        <v>525</v>
      </c>
      <c r="E2899" t="s">
        <v>9148</v>
      </c>
    </row>
    <row r="2900" spans="1:5" x14ac:dyDescent="0.2">
      <c r="A2900" t="s">
        <v>5754</v>
      </c>
      <c r="B2900" t="s">
        <v>5755</v>
      </c>
      <c r="C2900" t="s">
        <v>219</v>
      </c>
      <c r="D2900" t="s">
        <v>778</v>
      </c>
      <c r="E2900" t="s">
        <v>9135</v>
      </c>
    </row>
    <row r="2901" spans="1:5" x14ac:dyDescent="0.2">
      <c r="A2901" t="s">
        <v>5756</v>
      </c>
      <c r="B2901" t="s">
        <v>5757</v>
      </c>
      <c r="C2901" t="s">
        <v>219</v>
      </c>
      <c r="D2901" t="s">
        <v>778</v>
      </c>
      <c r="E2901" t="s">
        <v>9135</v>
      </c>
    </row>
    <row r="2902" spans="1:5" x14ac:dyDescent="0.2">
      <c r="A2902" t="s">
        <v>5758</v>
      </c>
      <c r="B2902" t="s">
        <v>5759</v>
      </c>
      <c r="C2902" t="s">
        <v>219</v>
      </c>
      <c r="D2902" t="s">
        <v>412</v>
      </c>
      <c r="E2902" t="s">
        <v>9135</v>
      </c>
    </row>
    <row r="2903" spans="1:5" x14ac:dyDescent="0.2">
      <c r="A2903" t="s">
        <v>5760</v>
      </c>
      <c r="B2903" t="s">
        <v>5761</v>
      </c>
      <c r="C2903" t="s">
        <v>219</v>
      </c>
      <c r="D2903" t="s">
        <v>412</v>
      </c>
      <c r="E2903" t="s">
        <v>9135</v>
      </c>
    </row>
    <row r="2904" spans="1:5" x14ac:dyDescent="0.2">
      <c r="A2904" t="s">
        <v>5762</v>
      </c>
      <c r="B2904" t="s">
        <v>5763</v>
      </c>
      <c r="C2904" t="s">
        <v>219</v>
      </c>
      <c r="D2904" t="s">
        <v>778</v>
      </c>
      <c r="E2904" t="s">
        <v>9135</v>
      </c>
    </row>
    <row r="2905" spans="1:5" x14ac:dyDescent="0.2">
      <c r="A2905" t="s">
        <v>5764</v>
      </c>
      <c r="B2905" t="s">
        <v>5765</v>
      </c>
      <c r="C2905" t="s">
        <v>219</v>
      </c>
      <c r="D2905" t="s">
        <v>778</v>
      </c>
      <c r="E2905" t="s">
        <v>9135</v>
      </c>
    </row>
    <row r="2906" spans="1:5" x14ac:dyDescent="0.2">
      <c r="A2906" t="s">
        <v>5766</v>
      </c>
      <c r="B2906" t="s">
        <v>5767</v>
      </c>
      <c r="C2906" t="s">
        <v>251</v>
      </c>
      <c r="D2906" t="s">
        <v>588</v>
      </c>
      <c r="E2906" t="s">
        <v>8879</v>
      </c>
    </row>
    <row r="2907" spans="1:5" x14ac:dyDescent="0.2">
      <c r="A2907" t="s">
        <v>5768</v>
      </c>
      <c r="B2907" t="s">
        <v>5769</v>
      </c>
      <c r="C2907" t="s">
        <v>251</v>
      </c>
      <c r="D2907" t="s">
        <v>588</v>
      </c>
      <c r="E2907" t="s">
        <v>8879</v>
      </c>
    </row>
    <row r="2908" spans="1:5" x14ac:dyDescent="0.2">
      <c r="A2908" t="s">
        <v>5770</v>
      </c>
      <c r="B2908" t="s">
        <v>5771</v>
      </c>
      <c r="C2908" t="s">
        <v>349</v>
      </c>
      <c r="D2908" t="s">
        <v>710</v>
      </c>
      <c r="E2908" t="s">
        <v>8879</v>
      </c>
    </row>
    <row r="2909" spans="1:5" x14ac:dyDescent="0.2">
      <c r="A2909" t="s">
        <v>5772</v>
      </c>
      <c r="B2909" t="s">
        <v>5773</v>
      </c>
      <c r="C2909" t="s">
        <v>349</v>
      </c>
      <c r="D2909" t="s">
        <v>710</v>
      </c>
      <c r="E2909" t="s">
        <v>8879</v>
      </c>
    </row>
    <row r="2910" spans="1:5" x14ac:dyDescent="0.2">
      <c r="A2910" t="s">
        <v>5774</v>
      </c>
      <c r="B2910" t="s">
        <v>5775</v>
      </c>
      <c r="C2910" t="s">
        <v>349</v>
      </c>
      <c r="D2910" t="s">
        <v>888</v>
      </c>
      <c r="E2910" t="s">
        <v>5563</v>
      </c>
    </row>
    <row r="2911" spans="1:5" x14ac:dyDescent="0.2">
      <c r="A2911" t="s">
        <v>5776</v>
      </c>
      <c r="B2911" t="s">
        <v>5777</v>
      </c>
      <c r="C2911" t="s">
        <v>349</v>
      </c>
      <c r="D2911" t="s">
        <v>888</v>
      </c>
      <c r="E2911" t="s">
        <v>5563</v>
      </c>
    </row>
    <row r="2912" spans="1:5" x14ac:dyDescent="0.2">
      <c r="A2912" t="s">
        <v>5778</v>
      </c>
      <c r="B2912" t="s">
        <v>5779</v>
      </c>
      <c r="C2912" t="s">
        <v>742</v>
      </c>
      <c r="D2912" t="s">
        <v>262</v>
      </c>
      <c r="E2912" t="s">
        <v>9135</v>
      </c>
    </row>
    <row r="2913" spans="1:5" x14ac:dyDescent="0.2">
      <c r="A2913" t="s">
        <v>5780</v>
      </c>
      <c r="B2913" t="s">
        <v>5781</v>
      </c>
      <c r="C2913" t="s">
        <v>742</v>
      </c>
      <c r="D2913" t="s">
        <v>262</v>
      </c>
      <c r="E2913" t="s">
        <v>9135</v>
      </c>
    </row>
    <row r="2914" spans="1:5" x14ac:dyDescent="0.2">
      <c r="A2914" t="s">
        <v>5782</v>
      </c>
      <c r="B2914" t="s">
        <v>5783</v>
      </c>
      <c r="C2914" t="s">
        <v>742</v>
      </c>
      <c r="D2914" t="s">
        <v>224</v>
      </c>
      <c r="E2914" t="s">
        <v>9135</v>
      </c>
    </row>
    <row r="2915" spans="1:5" x14ac:dyDescent="0.2">
      <c r="A2915" t="s">
        <v>5784</v>
      </c>
      <c r="B2915" t="s">
        <v>5785</v>
      </c>
      <c r="C2915" t="s">
        <v>742</v>
      </c>
      <c r="D2915" t="s">
        <v>224</v>
      </c>
      <c r="E2915" t="s">
        <v>9135</v>
      </c>
    </row>
    <row r="2916" spans="1:5" x14ac:dyDescent="0.2">
      <c r="A2916" t="s">
        <v>5786</v>
      </c>
      <c r="B2916" t="s">
        <v>5787</v>
      </c>
      <c r="C2916" t="s">
        <v>1438</v>
      </c>
      <c r="D2916" t="s">
        <v>262</v>
      </c>
      <c r="E2916" t="s">
        <v>9135</v>
      </c>
    </row>
    <row r="2917" spans="1:5" x14ac:dyDescent="0.2">
      <c r="A2917" t="s">
        <v>5788</v>
      </c>
      <c r="B2917" t="s">
        <v>5789</v>
      </c>
      <c r="C2917" t="s">
        <v>1438</v>
      </c>
      <c r="D2917" t="s">
        <v>262</v>
      </c>
      <c r="E2917" t="s">
        <v>9135</v>
      </c>
    </row>
    <row r="2918" spans="1:5" x14ac:dyDescent="0.2">
      <c r="A2918" t="s">
        <v>5790</v>
      </c>
      <c r="B2918" t="s">
        <v>5791</v>
      </c>
      <c r="C2918" t="s">
        <v>1438</v>
      </c>
      <c r="D2918" t="s">
        <v>224</v>
      </c>
      <c r="E2918" t="s">
        <v>9135</v>
      </c>
    </row>
    <row r="2919" spans="1:5" x14ac:dyDescent="0.2">
      <c r="A2919" t="s">
        <v>5792</v>
      </c>
      <c r="B2919" t="s">
        <v>5793</v>
      </c>
      <c r="C2919" t="s">
        <v>1438</v>
      </c>
      <c r="D2919" t="s">
        <v>224</v>
      </c>
      <c r="E2919" t="s">
        <v>9135</v>
      </c>
    </row>
    <row r="2920" spans="1:5" x14ac:dyDescent="0.2">
      <c r="A2920" t="s">
        <v>5794</v>
      </c>
      <c r="B2920" t="s">
        <v>5795</v>
      </c>
      <c r="C2920" t="s">
        <v>1438</v>
      </c>
      <c r="D2920" t="s">
        <v>262</v>
      </c>
      <c r="E2920" t="s">
        <v>9135</v>
      </c>
    </row>
    <row r="2921" spans="1:5" x14ac:dyDescent="0.2">
      <c r="A2921" t="s">
        <v>5796</v>
      </c>
      <c r="B2921" t="s">
        <v>5797</v>
      </c>
      <c r="C2921" t="s">
        <v>92</v>
      </c>
      <c r="D2921" t="s">
        <v>282</v>
      </c>
      <c r="E2921" t="s">
        <v>9148</v>
      </c>
    </row>
    <row r="2922" spans="1:5" x14ac:dyDescent="0.2">
      <c r="A2922" t="s">
        <v>5798</v>
      </c>
      <c r="B2922" t="s">
        <v>5799</v>
      </c>
      <c r="C2922" t="s">
        <v>92</v>
      </c>
      <c r="D2922" t="s">
        <v>282</v>
      </c>
      <c r="E2922" t="s">
        <v>9148</v>
      </c>
    </row>
    <row r="2923" spans="1:5" x14ac:dyDescent="0.2">
      <c r="A2923" t="s">
        <v>5800</v>
      </c>
      <c r="B2923" t="s">
        <v>5801</v>
      </c>
      <c r="C2923" t="s">
        <v>92</v>
      </c>
      <c r="D2923" t="s">
        <v>301</v>
      </c>
      <c r="E2923" t="s">
        <v>9148</v>
      </c>
    </row>
    <row r="2924" spans="1:5" x14ac:dyDescent="0.2">
      <c r="A2924" t="s">
        <v>5802</v>
      </c>
      <c r="B2924" t="s">
        <v>5803</v>
      </c>
      <c r="C2924" t="s">
        <v>92</v>
      </c>
      <c r="D2924" t="s">
        <v>301</v>
      </c>
      <c r="E2924" t="s">
        <v>9148</v>
      </c>
    </row>
    <row r="2925" spans="1:5" x14ac:dyDescent="0.2">
      <c r="A2925" t="s">
        <v>5804</v>
      </c>
      <c r="B2925" t="s">
        <v>5805</v>
      </c>
      <c r="C2925" t="s">
        <v>92</v>
      </c>
      <c r="D2925" t="s">
        <v>282</v>
      </c>
      <c r="E2925" t="s">
        <v>9148</v>
      </c>
    </row>
    <row r="2926" spans="1:5" x14ac:dyDescent="0.2">
      <c r="A2926" t="s">
        <v>5806</v>
      </c>
      <c r="B2926" t="s">
        <v>5807</v>
      </c>
      <c r="C2926" t="s">
        <v>399</v>
      </c>
      <c r="D2926" t="s">
        <v>535</v>
      </c>
      <c r="E2926" t="s">
        <v>9135</v>
      </c>
    </row>
    <row r="2927" spans="1:5" x14ac:dyDescent="0.2">
      <c r="A2927" t="s">
        <v>5808</v>
      </c>
      <c r="B2927" t="s">
        <v>5809</v>
      </c>
      <c r="C2927" t="s">
        <v>399</v>
      </c>
      <c r="D2927" t="s">
        <v>535</v>
      </c>
      <c r="E2927" t="s">
        <v>9135</v>
      </c>
    </row>
    <row r="2928" spans="1:5" x14ac:dyDescent="0.2">
      <c r="A2928" t="s">
        <v>5810</v>
      </c>
      <c r="B2928" t="s">
        <v>5811</v>
      </c>
      <c r="C2928" t="s">
        <v>399</v>
      </c>
      <c r="D2928" t="s">
        <v>710</v>
      </c>
      <c r="E2928" t="s">
        <v>9135</v>
      </c>
    </row>
    <row r="2929" spans="1:5" x14ac:dyDescent="0.2">
      <c r="A2929" t="s">
        <v>5812</v>
      </c>
      <c r="B2929" t="s">
        <v>5813</v>
      </c>
      <c r="C2929" t="s">
        <v>399</v>
      </c>
      <c r="D2929" t="s">
        <v>710</v>
      </c>
      <c r="E2929" t="s">
        <v>9135</v>
      </c>
    </row>
    <row r="2930" spans="1:5" x14ac:dyDescent="0.2">
      <c r="A2930" t="s">
        <v>5814</v>
      </c>
      <c r="B2930" t="s">
        <v>5815</v>
      </c>
      <c r="C2930" t="s">
        <v>399</v>
      </c>
      <c r="D2930" t="s">
        <v>588</v>
      </c>
      <c r="E2930" t="s">
        <v>9135</v>
      </c>
    </row>
    <row r="2931" spans="1:5" x14ac:dyDescent="0.2">
      <c r="A2931" t="s">
        <v>5816</v>
      </c>
      <c r="B2931" t="s">
        <v>5817</v>
      </c>
      <c r="C2931" t="s">
        <v>399</v>
      </c>
      <c r="D2931" t="s">
        <v>535</v>
      </c>
      <c r="E2931" t="s">
        <v>9135</v>
      </c>
    </row>
    <row r="2932" spans="1:5" x14ac:dyDescent="0.2">
      <c r="A2932" t="s">
        <v>5818</v>
      </c>
      <c r="B2932" t="s">
        <v>5819</v>
      </c>
      <c r="C2932" t="s">
        <v>399</v>
      </c>
      <c r="D2932" t="s">
        <v>535</v>
      </c>
      <c r="E2932" t="s">
        <v>9135</v>
      </c>
    </row>
    <row r="2933" spans="1:5" x14ac:dyDescent="0.2">
      <c r="A2933" t="s">
        <v>5820</v>
      </c>
      <c r="B2933" t="s">
        <v>5821</v>
      </c>
      <c r="C2933" t="s">
        <v>399</v>
      </c>
      <c r="D2933" t="s">
        <v>535</v>
      </c>
      <c r="E2933" t="s">
        <v>9135</v>
      </c>
    </row>
    <row r="2934" spans="1:5" x14ac:dyDescent="0.2">
      <c r="A2934" t="s">
        <v>5822</v>
      </c>
      <c r="B2934" t="s">
        <v>5823</v>
      </c>
      <c r="C2934" t="s">
        <v>399</v>
      </c>
      <c r="D2934" t="s">
        <v>710</v>
      </c>
      <c r="E2934" t="s">
        <v>9135</v>
      </c>
    </row>
    <row r="2935" spans="1:5" x14ac:dyDescent="0.2">
      <c r="A2935" t="s">
        <v>5824</v>
      </c>
      <c r="B2935" t="s">
        <v>5825</v>
      </c>
      <c r="C2935" t="s">
        <v>399</v>
      </c>
      <c r="D2935" t="s">
        <v>710</v>
      </c>
      <c r="E2935" t="s">
        <v>9135</v>
      </c>
    </row>
    <row r="2936" spans="1:5" x14ac:dyDescent="0.2">
      <c r="A2936" t="s">
        <v>5826</v>
      </c>
      <c r="B2936" t="s">
        <v>5827</v>
      </c>
      <c r="C2936" t="s">
        <v>287</v>
      </c>
      <c r="D2936" t="s">
        <v>383</v>
      </c>
      <c r="E2936" t="s">
        <v>5563</v>
      </c>
    </row>
    <row r="2937" spans="1:5" x14ac:dyDescent="0.2">
      <c r="A2937" t="s">
        <v>5828</v>
      </c>
      <c r="B2937" t="s">
        <v>5829</v>
      </c>
      <c r="C2937" t="s">
        <v>287</v>
      </c>
      <c r="D2937" t="s">
        <v>383</v>
      </c>
      <c r="E2937" t="s">
        <v>5563</v>
      </c>
    </row>
    <row r="2938" spans="1:5" x14ac:dyDescent="0.2">
      <c r="A2938" t="s">
        <v>5830</v>
      </c>
      <c r="B2938" t="s">
        <v>5831</v>
      </c>
      <c r="C2938" t="s">
        <v>287</v>
      </c>
      <c r="D2938" t="s">
        <v>635</v>
      </c>
      <c r="E2938" t="s">
        <v>5563</v>
      </c>
    </row>
    <row r="2939" spans="1:5" x14ac:dyDescent="0.2">
      <c r="A2939" t="s">
        <v>5832</v>
      </c>
      <c r="B2939" t="s">
        <v>5833</v>
      </c>
      <c r="C2939" t="s">
        <v>287</v>
      </c>
      <c r="D2939" t="s">
        <v>635</v>
      </c>
      <c r="E2939" t="s">
        <v>5563</v>
      </c>
    </row>
    <row r="2940" spans="1:5" x14ac:dyDescent="0.2">
      <c r="A2940" t="s">
        <v>5834</v>
      </c>
      <c r="B2940" t="s">
        <v>5835</v>
      </c>
      <c r="C2940" t="s">
        <v>287</v>
      </c>
      <c r="D2940" t="s">
        <v>412</v>
      </c>
      <c r="E2940" t="s">
        <v>5563</v>
      </c>
    </row>
    <row r="2941" spans="1:5" x14ac:dyDescent="0.2">
      <c r="A2941" t="s">
        <v>5836</v>
      </c>
      <c r="B2941" t="s">
        <v>5837</v>
      </c>
      <c r="C2941" t="s">
        <v>287</v>
      </c>
      <c r="D2941" t="s">
        <v>412</v>
      </c>
      <c r="E2941" t="s">
        <v>5563</v>
      </c>
    </row>
    <row r="2942" spans="1:5" x14ac:dyDescent="0.2">
      <c r="A2942" t="s">
        <v>5838</v>
      </c>
      <c r="B2942" t="s">
        <v>5839</v>
      </c>
      <c r="C2942" t="s">
        <v>287</v>
      </c>
      <c r="D2942" t="s">
        <v>383</v>
      </c>
      <c r="E2942" t="s">
        <v>5563</v>
      </c>
    </row>
    <row r="2943" spans="1:5" x14ac:dyDescent="0.2">
      <c r="A2943" t="s">
        <v>5845</v>
      </c>
      <c r="B2943" t="s">
        <v>5846</v>
      </c>
      <c r="C2943" t="s">
        <v>659</v>
      </c>
      <c r="D2943" t="s">
        <v>822</v>
      </c>
      <c r="E2943" t="s">
        <v>9135</v>
      </c>
    </row>
    <row r="2944" spans="1:5" x14ac:dyDescent="0.2">
      <c r="A2944" t="s">
        <v>5847</v>
      </c>
      <c r="B2944" t="s">
        <v>5848</v>
      </c>
      <c r="C2944" t="s">
        <v>659</v>
      </c>
      <c r="D2944" t="s">
        <v>822</v>
      </c>
      <c r="E2944" t="s">
        <v>9135</v>
      </c>
    </row>
    <row r="2945" spans="1:5" x14ac:dyDescent="0.2">
      <c r="A2945" t="s">
        <v>5849</v>
      </c>
      <c r="B2945" t="s">
        <v>5850</v>
      </c>
      <c r="C2945" t="s">
        <v>659</v>
      </c>
      <c r="D2945" t="s">
        <v>400</v>
      </c>
      <c r="E2945" t="s">
        <v>9135</v>
      </c>
    </row>
    <row r="2946" spans="1:5" x14ac:dyDescent="0.2">
      <c r="A2946" t="s">
        <v>5851</v>
      </c>
      <c r="B2946" t="s">
        <v>5852</v>
      </c>
      <c r="C2946" t="s">
        <v>659</v>
      </c>
      <c r="D2946" t="s">
        <v>400</v>
      </c>
      <c r="E2946" t="s">
        <v>9135</v>
      </c>
    </row>
    <row r="2947" spans="1:5" x14ac:dyDescent="0.2">
      <c r="A2947" t="s">
        <v>5853</v>
      </c>
      <c r="B2947" t="s">
        <v>5854</v>
      </c>
      <c r="C2947" t="s">
        <v>219</v>
      </c>
      <c r="D2947" t="s">
        <v>2199</v>
      </c>
      <c r="E2947" t="s">
        <v>8880</v>
      </c>
    </row>
    <row r="2948" spans="1:5" x14ac:dyDescent="0.2">
      <c r="A2948" t="s">
        <v>5855</v>
      </c>
      <c r="B2948" t="s">
        <v>5856</v>
      </c>
      <c r="C2948" t="s">
        <v>219</v>
      </c>
      <c r="D2948" t="s">
        <v>2199</v>
      </c>
      <c r="E2948" t="s">
        <v>8880</v>
      </c>
    </row>
    <row r="2949" spans="1:5" x14ac:dyDescent="0.2">
      <c r="A2949" t="s">
        <v>5857</v>
      </c>
      <c r="B2949" t="s">
        <v>5858</v>
      </c>
      <c r="C2949" t="s">
        <v>219</v>
      </c>
      <c r="D2949" t="s">
        <v>525</v>
      </c>
      <c r="E2949" t="s">
        <v>8880</v>
      </c>
    </row>
    <row r="2950" spans="1:5" x14ac:dyDescent="0.2">
      <c r="A2950" t="s">
        <v>5859</v>
      </c>
      <c r="B2950" t="s">
        <v>5860</v>
      </c>
      <c r="C2950" t="s">
        <v>219</v>
      </c>
      <c r="D2950" t="s">
        <v>525</v>
      </c>
      <c r="E2950" t="s">
        <v>8880</v>
      </c>
    </row>
    <row r="2951" spans="1:5" x14ac:dyDescent="0.2">
      <c r="A2951" t="s">
        <v>5861</v>
      </c>
      <c r="B2951" t="s">
        <v>5862</v>
      </c>
      <c r="C2951" t="s">
        <v>219</v>
      </c>
      <c r="D2951" t="s">
        <v>266</v>
      </c>
      <c r="E2951" t="s">
        <v>8880</v>
      </c>
    </row>
    <row r="2952" spans="1:5" x14ac:dyDescent="0.2">
      <c r="A2952" t="s">
        <v>5863</v>
      </c>
      <c r="B2952" t="s">
        <v>5864</v>
      </c>
      <c r="C2952" t="s">
        <v>251</v>
      </c>
      <c r="D2952" t="s">
        <v>845</v>
      </c>
      <c r="E2952" t="s">
        <v>5563</v>
      </c>
    </row>
    <row r="2953" spans="1:5" x14ac:dyDescent="0.2">
      <c r="A2953" t="s">
        <v>5865</v>
      </c>
      <c r="B2953" t="s">
        <v>5866</v>
      </c>
      <c r="C2953" t="s">
        <v>251</v>
      </c>
      <c r="D2953" t="s">
        <v>845</v>
      </c>
      <c r="E2953" t="s">
        <v>5563</v>
      </c>
    </row>
    <row r="2954" spans="1:5" x14ac:dyDescent="0.2">
      <c r="A2954" t="s">
        <v>5867</v>
      </c>
      <c r="B2954" t="s">
        <v>5868</v>
      </c>
      <c r="C2954" t="s">
        <v>251</v>
      </c>
      <c r="D2954" t="s">
        <v>220</v>
      </c>
      <c r="E2954" t="s">
        <v>5563</v>
      </c>
    </row>
    <row r="2955" spans="1:5" x14ac:dyDescent="0.2">
      <c r="A2955" t="s">
        <v>5869</v>
      </c>
      <c r="B2955" t="s">
        <v>5870</v>
      </c>
      <c r="C2955" t="s">
        <v>251</v>
      </c>
      <c r="D2955" t="s">
        <v>220</v>
      </c>
      <c r="E2955" t="s">
        <v>5563</v>
      </c>
    </row>
    <row r="2956" spans="1:5" x14ac:dyDescent="0.2">
      <c r="A2956" t="s">
        <v>5871</v>
      </c>
      <c r="B2956" t="s">
        <v>5872</v>
      </c>
      <c r="C2956" t="s">
        <v>251</v>
      </c>
      <c r="D2956" t="s">
        <v>845</v>
      </c>
      <c r="E2956" t="s">
        <v>5563</v>
      </c>
    </row>
    <row r="2957" spans="1:5" x14ac:dyDescent="0.2">
      <c r="A2957" t="s">
        <v>5873</v>
      </c>
      <c r="B2957" t="s">
        <v>5874</v>
      </c>
      <c r="C2957" t="s">
        <v>251</v>
      </c>
      <c r="D2957" t="s">
        <v>845</v>
      </c>
      <c r="E2957" t="s">
        <v>5563</v>
      </c>
    </row>
    <row r="2958" spans="1:5" x14ac:dyDescent="0.2">
      <c r="A2958" t="s">
        <v>5875</v>
      </c>
      <c r="B2958" t="s">
        <v>5876</v>
      </c>
      <c r="C2958" t="s">
        <v>244</v>
      </c>
      <c r="D2958" t="s">
        <v>525</v>
      </c>
      <c r="E2958" t="s">
        <v>8879</v>
      </c>
    </row>
    <row r="2959" spans="1:5" x14ac:dyDescent="0.2">
      <c r="A2959" t="s">
        <v>5877</v>
      </c>
      <c r="B2959" t="s">
        <v>5878</v>
      </c>
      <c r="C2959" t="s">
        <v>244</v>
      </c>
      <c r="D2959" t="s">
        <v>888</v>
      </c>
      <c r="E2959" t="s">
        <v>5563</v>
      </c>
    </row>
    <row r="2960" spans="1:5" x14ac:dyDescent="0.2">
      <c r="A2960" t="s">
        <v>5879</v>
      </c>
      <c r="B2960" t="s">
        <v>5880</v>
      </c>
      <c r="C2960" t="s">
        <v>227</v>
      </c>
      <c r="D2960" t="s">
        <v>822</v>
      </c>
      <c r="E2960" t="s">
        <v>5563</v>
      </c>
    </row>
    <row r="2961" spans="1:5" x14ac:dyDescent="0.2">
      <c r="A2961" t="s">
        <v>5881</v>
      </c>
      <c r="B2961" t="s">
        <v>5882</v>
      </c>
      <c r="C2961" t="s">
        <v>227</v>
      </c>
      <c r="D2961" t="s">
        <v>822</v>
      </c>
      <c r="E2961" t="s">
        <v>5563</v>
      </c>
    </row>
    <row r="2962" spans="1:5" x14ac:dyDescent="0.2">
      <c r="A2962" t="s">
        <v>5883</v>
      </c>
      <c r="B2962" t="s">
        <v>5884</v>
      </c>
      <c r="C2962" t="s">
        <v>227</v>
      </c>
      <c r="D2962" t="s">
        <v>400</v>
      </c>
      <c r="E2962" t="s">
        <v>8984</v>
      </c>
    </row>
    <row r="2963" spans="1:5" x14ac:dyDescent="0.2">
      <c r="A2963" t="s">
        <v>5885</v>
      </c>
      <c r="B2963" t="s">
        <v>5886</v>
      </c>
      <c r="C2963" t="s">
        <v>227</v>
      </c>
      <c r="D2963" t="s">
        <v>400</v>
      </c>
      <c r="E2963" t="s">
        <v>8984</v>
      </c>
    </row>
    <row r="2964" spans="1:5" x14ac:dyDescent="0.2">
      <c r="A2964" t="s">
        <v>5887</v>
      </c>
      <c r="B2964" t="s">
        <v>5888</v>
      </c>
      <c r="C2964" t="s">
        <v>244</v>
      </c>
      <c r="D2964" t="s">
        <v>258</v>
      </c>
      <c r="E2964" t="s">
        <v>9135</v>
      </c>
    </row>
    <row r="2965" spans="1:5" x14ac:dyDescent="0.2">
      <c r="A2965" t="s">
        <v>5889</v>
      </c>
      <c r="B2965" t="s">
        <v>5890</v>
      </c>
      <c r="C2965" t="s">
        <v>244</v>
      </c>
      <c r="D2965" t="s">
        <v>258</v>
      </c>
      <c r="E2965" t="s">
        <v>9135</v>
      </c>
    </row>
    <row r="2966" spans="1:5" x14ac:dyDescent="0.2">
      <c r="A2966" t="s">
        <v>5891</v>
      </c>
      <c r="B2966" t="s">
        <v>5892</v>
      </c>
      <c r="C2966" t="s">
        <v>244</v>
      </c>
      <c r="D2966" t="s">
        <v>1081</v>
      </c>
      <c r="E2966" t="s">
        <v>9135</v>
      </c>
    </row>
    <row r="2967" spans="1:5" x14ac:dyDescent="0.2">
      <c r="A2967" t="s">
        <v>5893</v>
      </c>
      <c r="B2967" t="s">
        <v>5894</v>
      </c>
      <c r="C2967" t="s">
        <v>244</v>
      </c>
      <c r="D2967" t="s">
        <v>1081</v>
      </c>
      <c r="E2967" t="s">
        <v>9135</v>
      </c>
    </row>
    <row r="2968" spans="1:5" x14ac:dyDescent="0.2">
      <c r="A2968" t="s">
        <v>5895</v>
      </c>
      <c r="B2968" t="s">
        <v>5896</v>
      </c>
      <c r="C2968" t="s">
        <v>244</v>
      </c>
      <c r="D2968" t="s">
        <v>258</v>
      </c>
      <c r="E2968" t="s">
        <v>9135</v>
      </c>
    </row>
    <row r="2969" spans="1:5" x14ac:dyDescent="0.2">
      <c r="A2969" t="s">
        <v>5897</v>
      </c>
      <c r="B2969" t="s">
        <v>5898</v>
      </c>
      <c r="C2969" t="s">
        <v>244</v>
      </c>
      <c r="D2969" t="s">
        <v>258</v>
      </c>
      <c r="E2969" t="s">
        <v>9135</v>
      </c>
    </row>
    <row r="2970" spans="1:5" x14ac:dyDescent="0.2">
      <c r="A2970" t="s">
        <v>5899</v>
      </c>
      <c r="B2970" t="s">
        <v>5900</v>
      </c>
      <c r="C2970" t="s">
        <v>92</v>
      </c>
      <c r="D2970" t="s">
        <v>539</v>
      </c>
      <c r="E2970" t="s">
        <v>5563</v>
      </c>
    </row>
    <row r="2971" spans="1:5" x14ac:dyDescent="0.2">
      <c r="A2971" t="s">
        <v>5901</v>
      </c>
      <c r="B2971" t="s">
        <v>5902</v>
      </c>
      <c r="C2971" t="s">
        <v>92</v>
      </c>
      <c r="D2971" t="s">
        <v>539</v>
      </c>
      <c r="E2971" t="s">
        <v>5563</v>
      </c>
    </row>
    <row r="2972" spans="1:5" x14ac:dyDescent="0.2">
      <c r="A2972" t="s">
        <v>5903</v>
      </c>
      <c r="B2972" t="s">
        <v>5904</v>
      </c>
      <c r="C2972" t="s">
        <v>92</v>
      </c>
      <c r="D2972" t="s">
        <v>2199</v>
      </c>
      <c r="E2972" t="s">
        <v>8879</v>
      </c>
    </row>
    <row r="2973" spans="1:5" x14ac:dyDescent="0.2">
      <c r="A2973" t="s">
        <v>5905</v>
      </c>
      <c r="B2973" t="s">
        <v>5906</v>
      </c>
      <c r="C2973" t="s">
        <v>92</v>
      </c>
      <c r="D2973" t="s">
        <v>2199</v>
      </c>
      <c r="E2973" t="s">
        <v>8879</v>
      </c>
    </row>
    <row r="2974" spans="1:5" x14ac:dyDescent="0.2">
      <c r="A2974" t="s">
        <v>5907</v>
      </c>
      <c r="B2974" t="s">
        <v>5908</v>
      </c>
      <c r="C2974" t="s">
        <v>92</v>
      </c>
      <c r="D2974" t="s">
        <v>539</v>
      </c>
      <c r="E2974" t="s">
        <v>5563</v>
      </c>
    </row>
    <row r="2975" spans="1:5" x14ac:dyDescent="0.2">
      <c r="A2975" t="s">
        <v>5909</v>
      </c>
      <c r="B2975" t="s">
        <v>5910</v>
      </c>
      <c r="C2975" t="s">
        <v>287</v>
      </c>
      <c r="D2975" t="s">
        <v>422</v>
      </c>
      <c r="E2975" t="s">
        <v>9347</v>
      </c>
    </row>
    <row r="2976" spans="1:5" x14ac:dyDescent="0.2">
      <c r="A2976" t="s">
        <v>5911</v>
      </c>
      <c r="B2976" t="s">
        <v>5912</v>
      </c>
      <c r="C2976" t="s">
        <v>287</v>
      </c>
      <c r="D2976" t="s">
        <v>422</v>
      </c>
      <c r="E2976" t="s">
        <v>9347</v>
      </c>
    </row>
    <row r="2977" spans="1:5" x14ac:dyDescent="0.2">
      <c r="A2977" t="s">
        <v>5913</v>
      </c>
      <c r="B2977" t="s">
        <v>5914</v>
      </c>
      <c r="C2977" t="s">
        <v>287</v>
      </c>
      <c r="D2977" t="s">
        <v>275</v>
      </c>
      <c r="E2977" t="s">
        <v>9347</v>
      </c>
    </row>
    <row r="2978" spans="1:5" x14ac:dyDescent="0.2">
      <c r="A2978" t="s">
        <v>5915</v>
      </c>
      <c r="B2978" t="s">
        <v>5916</v>
      </c>
      <c r="C2978" t="s">
        <v>287</v>
      </c>
      <c r="D2978" t="s">
        <v>275</v>
      </c>
      <c r="E2978" t="s">
        <v>9347</v>
      </c>
    </row>
    <row r="2979" spans="1:5" x14ac:dyDescent="0.2">
      <c r="A2979" t="s">
        <v>5917</v>
      </c>
      <c r="B2979" t="s">
        <v>5918</v>
      </c>
      <c r="C2979" t="s">
        <v>251</v>
      </c>
      <c r="D2979" t="s">
        <v>539</v>
      </c>
      <c r="E2979" t="s">
        <v>5563</v>
      </c>
    </row>
    <row r="2980" spans="1:5" x14ac:dyDescent="0.2">
      <c r="A2980" t="s">
        <v>5919</v>
      </c>
      <c r="B2980" t="s">
        <v>5920</v>
      </c>
      <c r="C2980" t="s">
        <v>251</v>
      </c>
      <c r="D2980" t="s">
        <v>539</v>
      </c>
      <c r="E2980" t="s">
        <v>5563</v>
      </c>
    </row>
    <row r="2981" spans="1:5" x14ac:dyDescent="0.2">
      <c r="A2981" t="s">
        <v>5921</v>
      </c>
      <c r="B2981" t="s">
        <v>5922</v>
      </c>
      <c r="C2981" t="s">
        <v>251</v>
      </c>
      <c r="D2981" t="s">
        <v>2199</v>
      </c>
      <c r="E2981" t="s">
        <v>8879</v>
      </c>
    </row>
    <row r="2982" spans="1:5" x14ac:dyDescent="0.2">
      <c r="A2982" t="s">
        <v>5923</v>
      </c>
      <c r="B2982" t="s">
        <v>5924</v>
      </c>
      <c r="C2982" t="s">
        <v>251</v>
      </c>
      <c r="D2982" t="s">
        <v>2199</v>
      </c>
      <c r="E2982" t="s">
        <v>8879</v>
      </c>
    </row>
    <row r="2983" spans="1:5" x14ac:dyDescent="0.2">
      <c r="A2983" t="s">
        <v>5925</v>
      </c>
      <c r="B2983" t="s">
        <v>5926</v>
      </c>
      <c r="C2983" t="s">
        <v>251</v>
      </c>
      <c r="D2983" t="s">
        <v>535</v>
      </c>
      <c r="E2983" t="s">
        <v>8879</v>
      </c>
    </row>
    <row r="2984" spans="1:5" x14ac:dyDescent="0.2">
      <c r="A2984" t="s">
        <v>5927</v>
      </c>
      <c r="B2984" t="s">
        <v>5928</v>
      </c>
      <c r="C2984" t="s">
        <v>251</v>
      </c>
      <c r="D2984" t="s">
        <v>539</v>
      </c>
      <c r="E2984" t="s">
        <v>5563</v>
      </c>
    </row>
    <row r="2985" spans="1:5" x14ac:dyDescent="0.2">
      <c r="A2985" t="s">
        <v>5929</v>
      </c>
      <c r="B2985" t="s">
        <v>5930</v>
      </c>
      <c r="C2985" t="s">
        <v>131</v>
      </c>
      <c r="D2985" t="s">
        <v>433</v>
      </c>
      <c r="E2985" t="s">
        <v>9148</v>
      </c>
    </row>
    <row r="2986" spans="1:5" x14ac:dyDescent="0.2">
      <c r="A2986" t="s">
        <v>5931</v>
      </c>
      <c r="B2986" t="s">
        <v>5932</v>
      </c>
      <c r="C2986" t="s">
        <v>131</v>
      </c>
      <c r="D2986" t="s">
        <v>224</v>
      </c>
      <c r="E2986" t="s">
        <v>9148</v>
      </c>
    </row>
    <row r="2987" spans="1:5" x14ac:dyDescent="0.2">
      <c r="A2987" t="s">
        <v>5972</v>
      </c>
      <c r="B2987" t="s">
        <v>5973</v>
      </c>
      <c r="C2987" t="s">
        <v>92</v>
      </c>
      <c r="D2987" t="s">
        <v>433</v>
      </c>
      <c r="E2987" t="s">
        <v>9148</v>
      </c>
    </row>
    <row r="2988" spans="1:5" x14ac:dyDescent="0.2">
      <c r="A2988" t="s">
        <v>5974</v>
      </c>
      <c r="B2988" t="s">
        <v>5975</v>
      </c>
      <c r="C2988" t="s">
        <v>92</v>
      </c>
      <c r="D2988" t="s">
        <v>224</v>
      </c>
      <c r="E2988" t="s">
        <v>9148</v>
      </c>
    </row>
    <row r="2989" spans="1:5" x14ac:dyDescent="0.2">
      <c r="A2989" t="s">
        <v>5933</v>
      </c>
      <c r="B2989" t="s">
        <v>5934</v>
      </c>
      <c r="C2989" t="s">
        <v>322</v>
      </c>
      <c r="D2989" t="s">
        <v>433</v>
      </c>
      <c r="E2989" t="s">
        <v>94</v>
      </c>
    </row>
    <row r="2990" spans="1:5" x14ac:dyDescent="0.2">
      <c r="A2990" t="s">
        <v>5935</v>
      </c>
      <c r="B2990" t="s">
        <v>5936</v>
      </c>
      <c r="C2990" t="s">
        <v>322</v>
      </c>
      <c r="D2990" t="s">
        <v>224</v>
      </c>
      <c r="E2990" t="s">
        <v>94</v>
      </c>
    </row>
    <row r="2991" spans="1:5" x14ac:dyDescent="0.2">
      <c r="A2991" t="s">
        <v>5937</v>
      </c>
      <c r="B2991" t="s">
        <v>5938</v>
      </c>
      <c r="C2991" t="s">
        <v>322</v>
      </c>
      <c r="D2991" t="s">
        <v>224</v>
      </c>
      <c r="E2991" t="s">
        <v>94</v>
      </c>
    </row>
    <row r="2992" spans="1:5" x14ac:dyDescent="0.2">
      <c r="A2992" t="s">
        <v>5939</v>
      </c>
      <c r="B2992" t="s">
        <v>5940</v>
      </c>
      <c r="C2992" t="s">
        <v>322</v>
      </c>
      <c r="D2992" t="s">
        <v>224</v>
      </c>
      <c r="E2992" t="s">
        <v>94</v>
      </c>
    </row>
    <row r="2993" spans="1:5" x14ac:dyDescent="0.2">
      <c r="A2993" t="s">
        <v>5941</v>
      </c>
      <c r="B2993" t="s">
        <v>5942</v>
      </c>
      <c r="C2993" t="s">
        <v>322</v>
      </c>
      <c r="D2993" t="s">
        <v>224</v>
      </c>
      <c r="E2993" t="s">
        <v>94</v>
      </c>
    </row>
    <row r="2994" spans="1:5" x14ac:dyDescent="0.2">
      <c r="A2994" t="s">
        <v>5943</v>
      </c>
      <c r="B2994" t="s">
        <v>5944</v>
      </c>
      <c r="C2994" t="s">
        <v>261</v>
      </c>
      <c r="D2994" t="s">
        <v>213</v>
      </c>
      <c r="E2994" t="s">
        <v>4669</v>
      </c>
    </row>
    <row r="2995" spans="1:5" x14ac:dyDescent="0.2">
      <c r="A2995" t="s">
        <v>5945</v>
      </c>
      <c r="B2995" t="s">
        <v>5946</v>
      </c>
      <c r="C2995" t="s">
        <v>212</v>
      </c>
      <c r="D2995" t="s">
        <v>433</v>
      </c>
      <c r="E2995" t="s">
        <v>806</v>
      </c>
    </row>
    <row r="2996" spans="1:5" x14ac:dyDescent="0.2">
      <c r="A2996" t="s">
        <v>5947</v>
      </c>
      <c r="B2996" t="s">
        <v>5948</v>
      </c>
      <c r="C2996" t="s">
        <v>212</v>
      </c>
      <c r="D2996" t="s">
        <v>433</v>
      </c>
      <c r="E2996" t="s">
        <v>806</v>
      </c>
    </row>
    <row r="2997" spans="1:5" x14ac:dyDescent="0.2">
      <c r="A2997" t="s">
        <v>86</v>
      </c>
      <c r="B2997" t="s">
        <v>5949</v>
      </c>
      <c r="C2997" t="s">
        <v>212</v>
      </c>
      <c r="D2997" t="s">
        <v>224</v>
      </c>
      <c r="E2997" t="s">
        <v>806</v>
      </c>
    </row>
    <row r="2998" spans="1:5" x14ac:dyDescent="0.2">
      <c r="A2998" t="s">
        <v>5950</v>
      </c>
      <c r="B2998" t="s">
        <v>5951</v>
      </c>
      <c r="C2998" t="s">
        <v>212</v>
      </c>
      <c r="D2998" t="s">
        <v>224</v>
      </c>
      <c r="E2998" t="s">
        <v>806</v>
      </c>
    </row>
    <row r="2999" spans="1:5" x14ac:dyDescent="0.2">
      <c r="A2999" t="s">
        <v>5952</v>
      </c>
      <c r="B2999" t="s">
        <v>5953</v>
      </c>
      <c r="C2999" t="s">
        <v>742</v>
      </c>
      <c r="D2999" t="s">
        <v>433</v>
      </c>
      <c r="E2999" t="s">
        <v>94</v>
      </c>
    </row>
    <row r="3000" spans="1:5" x14ac:dyDescent="0.2">
      <c r="A3000" t="s">
        <v>5954</v>
      </c>
      <c r="B3000" t="s">
        <v>5955</v>
      </c>
      <c r="C3000" t="s">
        <v>742</v>
      </c>
      <c r="D3000" t="s">
        <v>433</v>
      </c>
      <c r="E3000" t="s">
        <v>94</v>
      </c>
    </row>
    <row r="3001" spans="1:5" x14ac:dyDescent="0.2">
      <c r="A3001" t="s">
        <v>5956</v>
      </c>
      <c r="B3001" t="s">
        <v>5957</v>
      </c>
      <c r="C3001" t="s">
        <v>742</v>
      </c>
      <c r="D3001" t="s">
        <v>224</v>
      </c>
      <c r="E3001" t="s">
        <v>94</v>
      </c>
    </row>
    <row r="3002" spans="1:5" x14ac:dyDescent="0.2">
      <c r="A3002" t="s">
        <v>5958</v>
      </c>
      <c r="B3002" t="s">
        <v>5959</v>
      </c>
      <c r="C3002" t="s">
        <v>742</v>
      </c>
      <c r="D3002" t="s">
        <v>224</v>
      </c>
      <c r="E3002" t="s">
        <v>94</v>
      </c>
    </row>
    <row r="3003" spans="1:5" x14ac:dyDescent="0.2">
      <c r="A3003" t="s">
        <v>5960</v>
      </c>
      <c r="B3003" t="s">
        <v>5961</v>
      </c>
      <c r="C3003" t="s">
        <v>287</v>
      </c>
      <c r="D3003" t="s">
        <v>1063</v>
      </c>
      <c r="E3003" t="s">
        <v>2537</v>
      </c>
    </row>
    <row r="3004" spans="1:5" x14ac:dyDescent="0.2">
      <c r="A3004" t="s">
        <v>5962</v>
      </c>
      <c r="B3004" t="s">
        <v>5963</v>
      </c>
      <c r="C3004" t="s">
        <v>287</v>
      </c>
      <c r="D3004" t="s">
        <v>1063</v>
      </c>
      <c r="E3004" t="s">
        <v>2537</v>
      </c>
    </row>
    <row r="3005" spans="1:5" x14ac:dyDescent="0.2">
      <c r="A3005" t="s">
        <v>5964</v>
      </c>
      <c r="B3005" t="s">
        <v>5965</v>
      </c>
      <c r="C3005" t="s">
        <v>287</v>
      </c>
      <c r="D3005" t="s">
        <v>301</v>
      </c>
      <c r="E3005" t="s">
        <v>2537</v>
      </c>
    </row>
    <row r="3006" spans="1:5" x14ac:dyDescent="0.2">
      <c r="A3006" t="s">
        <v>5966</v>
      </c>
      <c r="B3006" t="s">
        <v>5967</v>
      </c>
      <c r="C3006" t="s">
        <v>287</v>
      </c>
      <c r="D3006" t="s">
        <v>301</v>
      </c>
      <c r="E3006" t="s">
        <v>2537</v>
      </c>
    </row>
    <row r="3007" spans="1:5" x14ac:dyDescent="0.2">
      <c r="A3007" t="s">
        <v>5968</v>
      </c>
      <c r="B3007" t="s">
        <v>5969</v>
      </c>
      <c r="C3007" t="s">
        <v>251</v>
      </c>
      <c r="D3007" t="s">
        <v>224</v>
      </c>
      <c r="E3007" t="s">
        <v>806</v>
      </c>
    </row>
    <row r="3008" spans="1:5" x14ac:dyDescent="0.2">
      <c r="A3008" t="s">
        <v>5970</v>
      </c>
      <c r="B3008" t="s">
        <v>5971</v>
      </c>
      <c r="C3008" t="s">
        <v>251</v>
      </c>
      <c r="D3008" t="s">
        <v>224</v>
      </c>
      <c r="E3008" t="s">
        <v>806</v>
      </c>
    </row>
    <row r="3009" spans="1:5" x14ac:dyDescent="0.2">
      <c r="A3009" t="s">
        <v>5976</v>
      </c>
      <c r="B3009" t="s">
        <v>5977</v>
      </c>
      <c r="C3009" t="s">
        <v>219</v>
      </c>
      <c r="D3009" t="s">
        <v>5978</v>
      </c>
      <c r="E3009" t="s">
        <v>563</v>
      </c>
    </row>
    <row r="3010" spans="1:5" x14ac:dyDescent="0.2">
      <c r="A3010" t="s">
        <v>5979</v>
      </c>
      <c r="B3010" t="s">
        <v>5980</v>
      </c>
      <c r="C3010" t="s">
        <v>219</v>
      </c>
      <c r="D3010" t="s">
        <v>237</v>
      </c>
      <c r="E3010" t="s">
        <v>563</v>
      </c>
    </row>
    <row r="3011" spans="1:5" x14ac:dyDescent="0.2">
      <c r="A3011" t="s">
        <v>6008</v>
      </c>
      <c r="B3011" t="s">
        <v>9357</v>
      </c>
      <c r="C3011" t="s">
        <v>92</v>
      </c>
      <c r="D3011" t="s">
        <v>258</v>
      </c>
      <c r="E3011" t="s">
        <v>563</v>
      </c>
    </row>
    <row r="3012" spans="1:5" x14ac:dyDescent="0.2">
      <c r="A3012" t="s">
        <v>5981</v>
      </c>
      <c r="B3012" t="s">
        <v>5982</v>
      </c>
      <c r="C3012" t="s">
        <v>219</v>
      </c>
      <c r="D3012" t="s">
        <v>3809</v>
      </c>
      <c r="E3012" t="s">
        <v>563</v>
      </c>
    </row>
    <row r="3013" spans="1:5" x14ac:dyDescent="0.2">
      <c r="A3013" t="s">
        <v>5983</v>
      </c>
      <c r="B3013" t="s">
        <v>5984</v>
      </c>
      <c r="C3013" t="s">
        <v>219</v>
      </c>
      <c r="D3013" t="s">
        <v>572</v>
      </c>
      <c r="E3013" t="s">
        <v>9358</v>
      </c>
    </row>
    <row r="3014" spans="1:5" x14ac:dyDescent="0.2">
      <c r="A3014" t="s">
        <v>5985</v>
      </c>
      <c r="B3014" t="s">
        <v>5986</v>
      </c>
      <c r="C3014" t="s">
        <v>92</v>
      </c>
      <c r="D3014" t="s">
        <v>1784</v>
      </c>
      <c r="E3014" t="s">
        <v>563</v>
      </c>
    </row>
    <row r="3015" spans="1:5" x14ac:dyDescent="0.2">
      <c r="A3015" t="s">
        <v>5987</v>
      </c>
      <c r="B3015" t="s">
        <v>5988</v>
      </c>
      <c r="C3015" t="s">
        <v>92</v>
      </c>
      <c r="D3015" t="s">
        <v>1784</v>
      </c>
      <c r="E3015" t="s">
        <v>563</v>
      </c>
    </row>
    <row r="3016" spans="1:5" x14ac:dyDescent="0.2">
      <c r="A3016" t="s">
        <v>5989</v>
      </c>
      <c r="B3016" t="s">
        <v>5990</v>
      </c>
      <c r="C3016" t="s">
        <v>92</v>
      </c>
      <c r="D3016" t="s">
        <v>441</v>
      </c>
      <c r="E3016" t="s">
        <v>9358</v>
      </c>
    </row>
    <row r="3017" spans="1:5" x14ac:dyDescent="0.2">
      <c r="A3017" t="s">
        <v>5991</v>
      </c>
      <c r="B3017" t="s">
        <v>5992</v>
      </c>
      <c r="C3017" t="s">
        <v>92</v>
      </c>
      <c r="D3017" t="s">
        <v>441</v>
      </c>
      <c r="E3017" t="s">
        <v>9358</v>
      </c>
    </row>
    <row r="3018" spans="1:5" x14ac:dyDescent="0.2">
      <c r="A3018" t="s">
        <v>5993</v>
      </c>
      <c r="B3018" t="s">
        <v>5994</v>
      </c>
      <c r="C3018" t="s">
        <v>104</v>
      </c>
      <c r="D3018" t="s">
        <v>5995</v>
      </c>
      <c r="E3018" t="s">
        <v>563</v>
      </c>
    </row>
    <row r="3019" spans="1:5" x14ac:dyDescent="0.2">
      <c r="A3019" t="s">
        <v>5996</v>
      </c>
      <c r="B3019" t="s">
        <v>5997</v>
      </c>
      <c r="C3019" t="s">
        <v>104</v>
      </c>
      <c r="D3019" t="s">
        <v>5995</v>
      </c>
      <c r="E3019" t="s">
        <v>563</v>
      </c>
    </row>
    <row r="3020" spans="1:5" x14ac:dyDescent="0.2">
      <c r="A3020" t="s">
        <v>5998</v>
      </c>
      <c r="B3020" t="s">
        <v>5999</v>
      </c>
      <c r="C3020" t="s">
        <v>104</v>
      </c>
      <c r="D3020" t="s">
        <v>822</v>
      </c>
      <c r="E3020" t="s">
        <v>563</v>
      </c>
    </row>
    <row r="3021" spans="1:5" x14ac:dyDescent="0.2">
      <c r="A3021" t="s">
        <v>6000</v>
      </c>
      <c r="B3021" t="s">
        <v>6001</v>
      </c>
      <c r="C3021" t="s">
        <v>104</v>
      </c>
      <c r="D3021" t="s">
        <v>822</v>
      </c>
      <c r="E3021" t="s">
        <v>563</v>
      </c>
    </row>
    <row r="3022" spans="1:5" x14ac:dyDescent="0.2">
      <c r="A3022" t="s">
        <v>6002</v>
      </c>
      <c r="B3022" t="s">
        <v>6003</v>
      </c>
      <c r="C3022" t="s">
        <v>104</v>
      </c>
      <c r="D3022" t="s">
        <v>400</v>
      </c>
      <c r="E3022" t="s">
        <v>563</v>
      </c>
    </row>
    <row r="3023" spans="1:5" x14ac:dyDescent="0.2">
      <c r="A3023" t="s">
        <v>6004</v>
      </c>
      <c r="B3023" t="s">
        <v>6005</v>
      </c>
      <c r="C3023" t="s">
        <v>131</v>
      </c>
      <c r="D3023" t="s">
        <v>1981</v>
      </c>
      <c r="E3023" t="s">
        <v>563</v>
      </c>
    </row>
    <row r="3024" spans="1:5" x14ac:dyDescent="0.2">
      <c r="A3024" t="s">
        <v>6006</v>
      </c>
      <c r="B3024" t="s">
        <v>6007</v>
      </c>
      <c r="C3024" t="s">
        <v>131</v>
      </c>
      <c r="D3024" t="s">
        <v>778</v>
      </c>
      <c r="E3024" t="s">
        <v>563</v>
      </c>
    </row>
    <row r="3025" spans="1:5" x14ac:dyDescent="0.2">
      <c r="A3025" t="s">
        <v>6009</v>
      </c>
      <c r="B3025" t="s">
        <v>6010</v>
      </c>
      <c r="C3025" t="s">
        <v>92</v>
      </c>
      <c r="D3025" t="s">
        <v>2859</v>
      </c>
      <c r="E3025" t="s">
        <v>563</v>
      </c>
    </row>
    <row r="3026" spans="1:5" x14ac:dyDescent="0.2">
      <c r="A3026" t="s">
        <v>6011</v>
      </c>
      <c r="B3026" t="s">
        <v>6012</v>
      </c>
      <c r="C3026" t="s">
        <v>92</v>
      </c>
      <c r="D3026" t="s">
        <v>441</v>
      </c>
      <c r="E3026" t="s">
        <v>563</v>
      </c>
    </row>
    <row r="3027" spans="1:5" x14ac:dyDescent="0.2">
      <c r="A3027" t="s">
        <v>6053</v>
      </c>
      <c r="B3027" t="s">
        <v>6054</v>
      </c>
      <c r="C3027" t="s">
        <v>131</v>
      </c>
      <c r="D3027" t="s">
        <v>842</v>
      </c>
      <c r="E3027" t="s">
        <v>6055</v>
      </c>
    </row>
    <row r="3028" spans="1:5" x14ac:dyDescent="0.2">
      <c r="A3028" t="s">
        <v>6056</v>
      </c>
      <c r="B3028" t="s">
        <v>6057</v>
      </c>
      <c r="C3028" t="s">
        <v>591</v>
      </c>
      <c r="D3028" t="s">
        <v>238</v>
      </c>
      <c r="E3028" t="s">
        <v>6055</v>
      </c>
    </row>
    <row r="3029" spans="1:5" x14ac:dyDescent="0.2">
      <c r="A3029" t="s">
        <v>6058</v>
      </c>
      <c r="B3029" t="s">
        <v>6059</v>
      </c>
      <c r="C3029" t="s">
        <v>131</v>
      </c>
      <c r="D3029" t="s">
        <v>809</v>
      </c>
      <c r="E3029" t="s">
        <v>6055</v>
      </c>
    </row>
    <row r="3030" spans="1:5" x14ac:dyDescent="0.2">
      <c r="A3030" t="s">
        <v>6060</v>
      </c>
      <c r="B3030" t="s">
        <v>6061</v>
      </c>
      <c r="C3030" t="s">
        <v>219</v>
      </c>
      <c r="D3030" t="s">
        <v>842</v>
      </c>
      <c r="E3030" t="s">
        <v>6055</v>
      </c>
    </row>
    <row r="3031" spans="1:5" x14ac:dyDescent="0.2">
      <c r="A3031" t="s">
        <v>6062</v>
      </c>
      <c r="B3031" t="s">
        <v>6063</v>
      </c>
      <c r="C3031" t="s">
        <v>212</v>
      </c>
      <c r="D3031" t="s">
        <v>224</v>
      </c>
      <c r="E3031" t="s">
        <v>1348</v>
      </c>
    </row>
    <row r="3032" spans="1:5" x14ac:dyDescent="0.2">
      <c r="A3032" t="s">
        <v>6064</v>
      </c>
      <c r="B3032" t="s">
        <v>6065</v>
      </c>
      <c r="C3032" t="s">
        <v>212</v>
      </c>
      <c r="D3032" t="s">
        <v>224</v>
      </c>
      <c r="E3032" t="s">
        <v>1348</v>
      </c>
    </row>
    <row r="3033" spans="1:5" x14ac:dyDescent="0.2">
      <c r="A3033" t="s">
        <v>6066</v>
      </c>
      <c r="B3033" t="s">
        <v>6067</v>
      </c>
      <c r="C3033" t="s">
        <v>212</v>
      </c>
      <c r="D3033" t="s">
        <v>433</v>
      </c>
      <c r="E3033" t="s">
        <v>1348</v>
      </c>
    </row>
    <row r="3034" spans="1:5" x14ac:dyDescent="0.2">
      <c r="A3034" t="s">
        <v>6072</v>
      </c>
      <c r="B3034" t="s">
        <v>6073</v>
      </c>
      <c r="C3034" t="s">
        <v>376</v>
      </c>
      <c r="D3034" t="s">
        <v>535</v>
      </c>
      <c r="E3034" t="s">
        <v>563</v>
      </c>
    </row>
    <row r="3035" spans="1:5" x14ac:dyDescent="0.2">
      <c r="A3035" t="s">
        <v>6074</v>
      </c>
      <c r="B3035" t="s">
        <v>6075</v>
      </c>
      <c r="C3035" t="s">
        <v>322</v>
      </c>
      <c r="D3035" t="s">
        <v>383</v>
      </c>
      <c r="E3035" t="s">
        <v>563</v>
      </c>
    </row>
    <row r="3036" spans="1:5" x14ac:dyDescent="0.2">
      <c r="A3036" t="s">
        <v>6076</v>
      </c>
      <c r="B3036" t="s">
        <v>6077</v>
      </c>
      <c r="C3036" t="s">
        <v>331</v>
      </c>
      <c r="D3036" t="s">
        <v>818</v>
      </c>
      <c r="E3036" t="s">
        <v>563</v>
      </c>
    </row>
    <row r="3037" spans="1:5" x14ac:dyDescent="0.2">
      <c r="A3037" t="s">
        <v>6078</v>
      </c>
      <c r="B3037" t="s">
        <v>6079</v>
      </c>
      <c r="C3037" t="s">
        <v>399</v>
      </c>
      <c r="D3037" t="s">
        <v>462</v>
      </c>
      <c r="E3037" t="s">
        <v>563</v>
      </c>
    </row>
    <row r="3038" spans="1:5" x14ac:dyDescent="0.2">
      <c r="A3038" t="s">
        <v>6080</v>
      </c>
      <c r="B3038" t="s">
        <v>6081</v>
      </c>
      <c r="C3038" t="s">
        <v>251</v>
      </c>
      <c r="D3038" t="s">
        <v>400</v>
      </c>
      <c r="E3038" t="s">
        <v>563</v>
      </c>
    </row>
    <row r="3039" spans="1:5" x14ac:dyDescent="0.2">
      <c r="A3039" t="s">
        <v>6082</v>
      </c>
      <c r="B3039" t="s">
        <v>6083</v>
      </c>
      <c r="C3039" t="s">
        <v>251</v>
      </c>
      <c r="D3039" t="s">
        <v>400</v>
      </c>
      <c r="E3039" t="s">
        <v>563</v>
      </c>
    </row>
    <row r="3040" spans="1:5" x14ac:dyDescent="0.2">
      <c r="A3040" t="s">
        <v>6084</v>
      </c>
      <c r="B3040" t="s">
        <v>6085</v>
      </c>
      <c r="C3040" t="s">
        <v>251</v>
      </c>
      <c r="D3040" t="s">
        <v>1664</v>
      </c>
      <c r="E3040" t="s">
        <v>563</v>
      </c>
    </row>
    <row r="3041" spans="1:5" x14ac:dyDescent="0.2">
      <c r="A3041" t="s">
        <v>6086</v>
      </c>
      <c r="B3041" t="s">
        <v>6087</v>
      </c>
      <c r="C3041" t="s">
        <v>227</v>
      </c>
      <c r="D3041" t="s">
        <v>400</v>
      </c>
      <c r="E3041" t="s">
        <v>563</v>
      </c>
    </row>
    <row r="3042" spans="1:5" x14ac:dyDescent="0.2">
      <c r="A3042" t="s">
        <v>6088</v>
      </c>
      <c r="B3042" t="s">
        <v>6089</v>
      </c>
      <c r="C3042" t="s">
        <v>2471</v>
      </c>
      <c r="D3042" t="s">
        <v>433</v>
      </c>
      <c r="E3042" t="s">
        <v>563</v>
      </c>
    </row>
    <row r="3043" spans="1:5" x14ac:dyDescent="0.2">
      <c r="A3043" t="s">
        <v>6090</v>
      </c>
      <c r="B3043" t="s">
        <v>6091</v>
      </c>
      <c r="C3043" t="s">
        <v>2471</v>
      </c>
      <c r="D3043" t="s">
        <v>433</v>
      </c>
      <c r="E3043" t="s">
        <v>563</v>
      </c>
    </row>
    <row r="3044" spans="1:5" x14ac:dyDescent="0.2">
      <c r="A3044" t="s">
        <v>6092</v>
      </c>
      <c r="B3044" t="s">
        <v>6093</v>
      </c>
      <c r="C3044" t="s">
        <v>2471</v>
      </c>
      <c r="D3044" t="s">
        <v>400</v>
      </c>
      <c r="E3044" t="s">
        <v>563</v>
      </c>
    </row>
    <row r="3045" spans="1:5" x14ac:dyDescent="0.2">
      <c r="A3045" t="s">
        <v>6094</v>
      </c>
      <c r="B3045" t="s">
        <v>6095</v>
      </c>
      <c r="C3045" t="s">
        <v>2471</v>
      </c>
      <c r="D3045" t="s">
        <v>400</v>
      </c>
      <c r="E3045" t="s">
        <v>563</v>
      </c>
    </row>
    <row r="3046" spans="1:5" x14ac:dyDescent="0.2">
      <c r="A3046" t="s">
        <v>6096</v>
      </c>
      <c r="B3046" t="s">
        <v>6097</v>
      </c>
      <c r="C3046" t="s">
        <v>92</v>
      </c>
      <c r="D3046" t="s">
        <v>338</v>
      </c>
      <c r="E3046" t="s">
        <v>563</v>
      </c>
    </row>
    <row r="3047" spans="1:5" x14ac:dyDescent="0.2">
      <c r="A3047" t="s">
        <v>6098</v>
      </c>
      <c r="B3047" t="s">
        <v>6099</v>
      </c>
      <c r="C3047" t="s">
        <v>92</v>
      </c>
      <c r="D3047" t="s">
        <v>338</v>
      </c>
      <c r="E3047" t="s">
        <v>563</v>
      </c>
    </row>
    <row r="3048" spans="1:5" x14ac:dyDescent="0.2">
      <c r="A3048" t="s">
        <v>6100</v>
      </c>
      <c r="B3048" t="s">
        <v>6101</v>
      </c>
      <c r="C3048" t="s">
        <v>92</v>
      </c>
      <c r="D3048" t="s">
        <v>2132</v>
      </c>
      <c r="E3048" t="s">
        <v>563</v>
      </c>
    </row>
    <row r="3049" spans="1:5" x14ac:dyDescent="0.2">
      <c r="A3049" t="s">
        <v>6102</v>
      </c>
      <c r="B3049" t="s">
        <v>6103</v>
      </c>
      <c r="C3049" t="s">
        <v>92</v>
      </c>
      <c r="D3049" t="s">
        <v>2132</v>
      </c>
      <c r="E3049" t="s">
        <v>563</v>
      </c>
    </row>
    <row r="3050" spans="1:5" x14ac:dyDescent="0.2">
      <c r="A3050" t="s">
        <v>6104</v>
      </c>
      <c r="B3050" t="s">
        <v>6105</v>
      </c>
      <c r="C3050" t="s">
        <v>131</v>
      </c>
      <c r="D3050" t="s">
        <v>263</v>
      </c>
      <c r="E3050" t="s">
        <v>563</v>
      </c>
    </row>
    <row r="3051" spans="1:5" x14ac:dyDescent="0.2">
      <c r="A3051" t="s">
        <v>6106</v>
      </c>
      <c r="B3051" t="s">
        <v>6107</v>
      </c>
      <c r="C3051" t="s">
        <v>131</v>
      </c>
      <c r="D3051" t="s">
        <v>263</v>
      </c>
      <c r="E3051" t="s">
        <v>563</v>
      </c>
    </row>
    <row r="3052" spans="1:5" x14ac:dyDescent="0.2">
      <c r="A3052" t="s">
        <v>6108</v>
      </c>
      <c r="B3052" t="s">
        <v>6109</v>
      </c>
      <c r="C3052" t="s">
        <v>131</v>
      </c>
      <c r="D3052" t="s">
        <v>783</v>
      </c>
      <c r="E3052" t="s">
        <v>563</v>
      </c>
    </row>
    <row r="3053" spans="1:5" x14ac:dyDescent="0.2">
      <c r="A3053" t="s">
        <v>6110</v>
      </c>
      <c r="B3053" t="s">
        <v>6111</v>
      </c>
      <c r="C3053" t="s">
        <v>131</v>
      </c>
      <c r="D3053" t="s">
        <v>783</v>
      </c>
      <c r="E3053" t="s">
        <v>563</v>
      </c>
    </row>
    <row r="3054" spans="1:5" x14ac:dyDescent="0.2">
      <c r="A3054" t="s">
        <v>6112</v>
      </c>
      <c r="B3054" t="s">
        <v>6113</v>
      </c>
      <c r="C3054" t="s">
        <v>131</v>
      </c>
      <c r="D3054" t="s">
        <v>223</v>
      </c>
      <c r="E3054" t="s">
        <v>563</v>
      </c>
    </row>
    <row r="3055" spans="1:5" x14ac:dyDescent="0.2">
      <c r="A3055" t="s">
        <v>6114</v>
      </c>
      <c r="B3055" t="s">
        <v>6115</v>
      </c>
      <c r="C3055" t="s">
        <v>131</v>
      </c>
      <c r="D3055" t="s">
        <v>223</v>
      </c>
      <c r="E3055" t="s">
        <v>563</v>
      </c>
    </row>
    <row r="3056" spans="1:5" x14ac:dyDescent="0.2">
      <c r="A3056" t="s">
        <v>6116</v>
      </c>
      <c r="B3056" t="s">
        <v>6117</v>
      </c>
      <c r="C3056" t="s">
        <v>104</v>
      </c>
      <c r="D3056" t="s">
        <v>718</v>
      </c>
      <c r="E3056" t="s">
        <v>563</v>
      </c>
    </row>
    <row r="3057" spans="1:5" x14ac:dyDescent="0.2">
      <c r="A3057" t="s">
        <v>6118</v>
      </c>
      <c r="B3057" t="s">
        <v>6119</v>
      </c>
      <c r="C3057" t="s">
        <v>104</v>
      </c>
      <c r="D3057" t="s">
        <v>718</v>
      </c>
      <c r="E3057" t="s">
        <v>563</v>
      </c>
    </row>
    <row r="3058" spans="1:5" x14ac:dyDescent="0.2">
      <c r="A3058" t="s">
        <v>6120</v>
      </c>
      <c r="B3058" t="s">
        <v>6121</v>
      </c>
      <c r="C3058" t="s">
        <v>104</v>
      </c>
      <c r="D3058" t="s">
        <v>389</v>
      </c>
      <c r="E3058" t="s">
        <v>563</v>
      </c>
    </row>
    <row r="3059" spans="1:5" x14ac:dyDescent="0.2">
      <c r="A3059" t="s">
        <v>6122</v>
      </c>
      <c r="B3059" t="s">
        <v>6123</v>
      </c>
      <c r="C3059" t="s">
        <v>104</v>
      </c>
      <c r="D3059" t="s">
        <v>389</v>
      </c>
      <c r="E3059" t="s">
        <v>563</v>
      </c>
    </row>
    <row r="3060" spans="1:5" x14ac:dyDescent="0.2">
      <c r="A3060" t="s">
        <v>6124</v>
      </c>
      <c r="B3060" t="s">
        <v>6125</v>
      </c>
      <c r="C3060" t="s">
        <v>131</v>
      </c>
      <c r="D3060" t="s">
        <v>6126</v>
      </c>
      <c r="E3060" t="s">
        <v>6127</v>
      </c>
    </row>
    <row r="3061" spans="1:5" x14ac:dyDescent="0.2">
      <c r="A3061" t="s">
        <v>6128</v>
      </c>
      <c r="B3061" t="s">
        <v>6129</v>
      </c>
      <c r="C3061" t="s">
        <v>131</v>
      </c>
      <c r="D3061" t="s">
        <v>1063</v>
      </c>
      <c r="E3061" t="s">
        <v>6127</v>
      </c>
    </row>
    <row r="3062" spans="1:5" x14ac:dyDescent="0.2">
      <c r="A3062" t="s">
        <v>6130</v>
      </c>
      <c r="B3062" t="s">
        <v>6131</v>
      </c>
      <c r="C3062" t="s">
        <v>131</v>
      </c>
      <c r="D3062" t="s">
        <v>1063</v>
      </c>
      <c r="E3062" t="s">
        <v>6127</v>
      </c>
    </row>
    <row r="3063" spans="1:5" x14ac:dyDescent="0.2">
      <c r="A3063" t="s">
        <v>6132</v>
      </c>
      <c r="B3063" t="s">
        <v>6133</v>
      </c>
      <c r="C3063" t="s">
        <v>104</v>
      </c>
      <c r="D3063" t="s">
        <v>6018</v>
      </c>
      <c r="E3063" t="s">
        <v>6127</v>
      </c>
    </row>
    <row r="3064" spans="1:5" x14ac:dyDescent="0.2">
      <c r="A3064" t="s">
        <v>6134</v>
      </c>
      <c r="B3064" t="s">
        <v>6135</v>
      </c>
      <c r="C3064" t="s">
        <v>104</v>
      </c>
      <c r="D3064" t="s">
        <v>6018</v>
      </c>
      <c r="E3064" t="s">
        <v>6127</v>
      </c>
    </row>
    <row r="3065" spans="1:5" x14ac:dyDescent="0.2">
      <c r="A3065" t="s">
        <v>6136</v>
      </c>
      <c r="B3065" t="s">
        <v>6137</v>
      </c>
      <c r="C3065" t="s">
        <v>104</v>
      </c>
      <c r="D3065" t="s">
        <v>156</v>
      </c>
      <c r="E3065" t="s">
        <v>6127</v>
      </c>
    </row>
    <row r="3066" spans="1:5" x14ac:dyDescent="0.2">
      <c r="A3066" t="s">
        <v>6138</v>
      </c>
      <c r="B3066" t="s">
        <v>6139</v>
      </c>
      <c r="C3066" t="s">
        <v>104</v>
      </c>
      <c r="D3066" t="s">
        <v>156</v>
      </c>
      <c r="E3066" t="s">
        <v>6127</v>
      </c>
    </row>
    <row r="3067" spans="1:5" x14ac:dyDescent="0.2">
      <c r="A3067" t="s">
        <v>6140</v>
      </c>
      <c r="B3067" t="s">
        <v>6141</v>
      </c>
      <c r="C3067" t="s">
        <v>104</v>
      </c>
      <c r="D3067" t="s">
        <v>2523</v>
      </c>
      <c r="E3067" t="s">
        <v>6127</v>
      </c>
    </row>
    <row r="3068" spans="1:5" x14ac:dyDescent="0.2">
      <c r="A3068" t="s">
        <v>6142</v>
      </c>
      <c r="B3068" t="s">
        <v>6143</v>
      </c>
      <c r="C3068" t="s">
        <v>104</v>
      </c>
      <c r="D3068" t="s">
        <v>223</v>
      </c>
      <c r="E3068" t="s">
        <v>6127</v>
      </c>
    </row>
    <row r="3069" spans="1:5" x14ac:dyDescent="0.2">
      <c r="A3069" t="s">
        <v>6144</v>
      </c>
      <c r="B3069" t="s">
        <v>6145</v>
      </c>
      <c r="C3069" t="s">
        <v>104</v>
      </c>
      <c r="D3069" t="s">
        <v>223</v>
      </c>
      <c r="E3069" t="s">
        <v>6127</v>
      </c>
    </row>
    <row r="3070" spans="1:5" x14ac:dyDescent="0.2">
      <c r="A3070" t="s">
        <v>6146</v>
      </c>
      <c r="B3070" t="s">
        <v>6147</v>
      </c>
      <c r="C3070" t="s">
        <v>104</v>
      </c>
      <c r="D3070" t="s">
        <v>2478</v>
      </c>
      <c r="E3070" t="s">
        <v>6127</v>
      </c>
    </row>
    <row r="3071" spans="1:5" x14ac:dyDescent="0.2">
      <c r="A3071" t="s">
        <v>6148</v>
      </c>
      <c r="B3071" t="s">
        <v>6149</v>
      </c>
      <c r="C3071" t="s">
        <v>104</v>
      </c>
      <c r="D3071" t="s">
        <v>560</v>
      </c>
      <c r="E3071" t="s">
        <v>6127</v>
      </c>
    </row>
    <row r="3072" spans="1:5" x14ac:dyDescent="0.2">
      <c r="A3072" t="s">
        <v>6150</v>
      </c>
      <c r="B3072" t="s">
        <v>6151</v>
      </c>
      <c r="C3072" t="s">
        <v>104</v>
      </c>
      <c r="D3072" t="s">
        <v>560</v>
      </c>
      <c r="E3072" t="s">
        <v>6127</v>
      </c>
    </row>
    <row r="3073" spans="1:5" x14ac:dyDescent="0.2">
      <c r="A3073" t="s">
        <v>6152</v>
      </c>
      <c r="B3073" t="s">
        <v>6153</v>
      </c>
      <c r="C3073" t="s">
        <v>120</v>
      </c>
      <c r="D3073" t="s">
        <v>456</v>
      </c>
      <c r="E3073" t="s">
        <v>563</v>
      </c>
    </row>
    <row r="3074" spans="1:5" x14ac:dyDescent="0.2">
      <c r="A3074" t="s">
        <v>6154</v>
      </c>
      <c r="B3074" t="s">
        <v>6155</v>
      </c>
      <c r="C3074" t="s">
        <v>120</v>
      </c>
      <c r="D3074" t="s">
        <v>456</v>
      </c>
      <c r="E3074" t="s">
        <v>563</v>
      </c>
    </row>
    <row r="3075" spans="1:5" x14ac:dyDescent="0.2">
      <c r="A3075" t="s">
        <v>6156</v>
      </c>
      <c r="B3075" t="s">
        <v>6157</v>
      </c>
      <c r="C3075" t="s">
        <v>104</v>
      </c>
      <c r="D3075" t="s">
        <v>299</v>
      </c>
      <c r="E3075" t="s">
        <v>563</v>
      </c>
    </row>
    <row r="3076" spans="1:5" x14ac:dyDescent="0.2">
      <c r="A3076" t="s">
        <v>6158</v>
      </c>
      <c r="B3076" t="s">
        <v>6159</v>
      </c>
      <c r="C3076" t="s">
        <v>104</v>
      </c>
      <c r="D3076" t="s">
        <v>299</v>
      </c>
      <c r="E3076" t="s">
        <v>563</v>
      </c>
    </row>
    <row r="3077" spans="1:5" x14ac:dyDescent="0.2">
      <c r="A3077" t="s">
        <v>6160</v>
      </c>
      <c r="B3077" t="s">
        <v>6161</v>
      </c>
      <c r="C3077" t="s">
        <v>131</v>
      </c>
      <c r="D3077" t="s">
        <v>126</v>
      </c>
      <c r="E3077" t="s">
        <v>563</v>
      </c>
    </row>
    <row r="3078" spans="1:5" x14ac:dyDescent="0.2">
      <c r="A3078" t="s">
        <v>6162</v>
      </c>
      <c r="B3078" t="s">
        <v>6163</v>
      </c>
      <c r="C3078" t="s">
        <v>92</v>
      </c>
      <c r="D3078" t="s">
        <v>358</v>
      </c>
      <c r="E3078" t="s">
        <v>563</v>
      </c>
    </row>
    <row r="3079" spans="1:5" x14ac:dyDescent="0.2">
      <c r="A3079" t="s">
        <v>2482</v>
      </c>
      <c r="B3079" t="s">
        <v>9359</v>
      </c>
      <c r="C3079" t="s">
        <v>104</v>
      </c>
      <c r="D3079" t="s">
        <v>444</v>
      </c>
      <c r="E3079" t="s">
        <v>9360</v>
      </c>
    </row>
    <row r="3080" spans="1:5" x14ac:dyDescent="0.2">
      <c r="A3080" t="s">
        <v>2483</v>
      </c>
      <c r="B3080" t="s">
        <v>9361</v>
      </c>
      <c r="C3080" t="s">
        <v>104</v>
      </c>
      <c r="D3080" t="s">
        <v>444</v>
      </c>
      <c r="E3080" t="s">
        <v>9360</v>
      </c>
    </row>
    <row r="3081" spans="1:5" x14ac:dyDescent="0.2">
      <c r="A3081" t="s">
        <v>2484</v>
      </c>
      <c r="B3081" t="s">
        <v>9362</v>
      </c>
      <c r="C3081" t="s">
        <v>120</v>
      </c>
      <c r="D3081" t="s">
        <v>386</v>
      </c>
      <c r="E3081" t="s">
        <v>9360</v>
      </c>
    </row>
    <row r="3082" spans="1:5" x14ac:dyDescent="0.2">
      <c r="A3082" t="s">
        <v>2485</v>
      </c>
      <c r="B3082" t="s">
        <v>9363</v>
      </c>
      <c r="C3082" t="s">
        <v>120</v>
      </c>
      <c r="D3082" t="s">
        <v>386</v>
      </c>
      <c r="E3082" t="s">
        <v>9360</v>
      </c>
    </row>
    <row r="3083" spans="1:5" x14ac:dyDescent="0.2">
      <c r="A3083" t="s">
        <v>2486</v>
      </c>
      <c r="B3083" t="s">
        <v>9364</v>
      </c>
      <c r="C3083" t="s">
        <v>131</v>
      </c>
      <c r="D3083" t="s">
        <v>394</v>
      </c>
      <c r="E3083" t="s">
        <v>9360</v>
      </c>
    </row>
    <row r="3084" spans="1:5" x14ac:dyDescent="0.2">
      <c r="A3084" t="s">
        <v>2487</v>
      </c>
      <c r="B3084" t="s">
        <v>9365</v>
      </c>
      <c r="C3084" t="s">
        <v>131</v>
      </c>
      <c r="D3084" t="s">
        <v>394</v>
      </c>
      <c r="E3084" t="s">
        <v>9360</v>
      </c>
    </row>
    <row r="3085" spans="1:5" x14ac:dyDescent="0.2">
      <c r="A3085" t="s">
        <v>6164</v>
      </c>
      <c r="B3085" t="s">
        <v>6165</v>
      </c>
      <c r="C3085" t="s">
        <v>222</v>
      </c>
      <c r="D3085" t="s">
        <v>778</v>
      </c>
      <c r="E3085" t="s">
        <v>563</v>
      </c>
    </row>
    <row r="3086" spans="1:5" x14ac:dyDescent="0.2">
      <c r="A3086" t="s">
        <v>6166</v>
      </c>
      <c r="B3086" t="s">
        <v>6167</v>
      </c>
      <c r="C3086" t="s">
        <v>222</v>
      </c>
      <c r="D3086" t="s">
        <v>778</v>
      </c>
      <c r="E3086" t="s">
        <v>563</v>
      </c>
    </row>
    <row r="3087" spans="1:5" x14ac:dyDescent="0.2">
      <c r="A3087" t="s">
        <v>6168</v>
      </c>
      <c r="B3087" t="s">
        <v>6169</v>
      </c>
      <c r="C3087" t="s">
        <v>120</v>
      </c>
      <c r="D3087" t="s">
        <v>1006</v>
      </c>
      <c r="E3087" t="s">
        <v>9366</v>
      </c>
    </row>
    <row r="3088" spans="1:5" x14ac:dyDescent="0.2">
      <c r="A3088" t="s">
        <v>6170</v>
      </c>
      <c r="B3088" t="s">
        <v>6171</v>
      </c>
      <c r="C3088" t="s">
        <v>120</v>
      </c>
      <c r="D3088" t="s">
        <v>1006</v>
      </c>
      <c r="E3088" t="s">
        <v>9366</v>
      </c>
    </row>
    <row r="3089" spans="1:5" x14ac:dyDescent="0.2">
      <c r="A3089" t="s">
        <v>6172</v>
      </c>
      <c r="B3089" t="s">
        <v>6173</v>
      </c>
      <c r="C3089" t="s">
        <v>120</v>
      </c>
      <c r="D3089" t="s">
        <v>368</v>
      </c>
      <c r="E3089" t="s">
        <v>9366</v>
      </c>
    </row>
    <row r="3090" spans="1:5" x14ac:dyDescent="0.2">
      <c r="A3090" t="s">
        <v>6174</v>
      </c>
      <c r="B3090" t="s">
        <v>6175</v>
      </c>
      <c r="C3090" t="s">
        <v>120</v>
      </c>
      <c r="D3090" t="s">
        <v>368</v>
      </c>
      <c r="E3090" t="s">
        <v>9366</v>
      </c>
    </row>
    <row r="3091" spans="1:5" x14ac:dyDescent="0.2">
      <c r="A3091" t="s">
        <v>6176</v>
      </c>
      <c r="B3091" t="s">
        <v>6177</v>
      </c>
      <c r="C3091" t="s">
        <v>104</v>
      </c>
      <c r="D3091" t="s">
        <v>254</v>
      </c>
      <c r="E3091" t="s">
        <v>9366</v>
      </c>
    </row>
    <row r="3092" spans="1:5" x14ac:dyDescent="0.2">
      <c r="A3092" t="s">
        <v>6178</v>
      </c>
      <c r="B3092" t="s">
        <v>6179</v>
      </c>
      <c r="C3092" t="s">
        <v>104</v>
      </c>
      <c r="D3092" t="s">
        <v>254</v>
      </c>
      <c r="E3092" t="s">
        <v>9366</v>
      </c>
    </row>
    <row r="3093" spans="1:5" x14ac:dyDescent="0.2">
      <c r="A3093" t="s">
        <v>6180</v>
      </c>
      <c r="B3093" t="s">
        <v>6181</v>
      </c>
      <c r="C3093" t="s">
        <v>104</v>
      </c>
      <c r="D3093" t="s">
        <v>99</v>
      </c>
      <c r="E3093" t="s">
        <v>9366</v>
      </c>
    </row>
    <row r="3094" spans="1:5" x14ac:dyDescent="0.2">
      <c r="A3094" t="s">
        <v>6182</v>
      </c>
      <c r="B3094" t="s">
        <v>6183</v>
      </c>
      <c r="C3094" t="s">
        <v>104</v>
      </c>
      <c r="D3094" t="s">
        <v>99</v>
      </c>
      <c r="E3094" t="s">
        <v>9366</v>
      </c>
    </row>
    <row r="3095" spans="1:5" x14ac:dyDescent="0.2">
      <c r="A3095" t="s">
        <v>6184</v>
      </c>
      <c r="B3095" t="s">
        <v>6185</v>
      </c>
      <c r="C3095" t="s">
        <v>104</v>
      </c>
      <c r="D3095" t="s">
        <v>386</v>
      </c>
      <c r="E3095" t="s">
        <v>9366</v>
      </c>
    </row>
    <row r="3096" spans="1:5" x14ac:dyDescent="0.2">
      <c r="A3096" t="s">
        <v>6186</v>
      </c>
      <c r="B3096" t="s">
        <v>6187</v>
      </c>
      <c r="C3096" t="s">
        <v>104</v>
      </c>
      <c r="D3096" t="s">
        <v>386</v>
      </c>
      <c r="E3096" t="s">
        <v>9366</v>
      </c>
    </row>
    <row r="3097" spans="1:5" x14ac:dyDescent="0.2">
      <c r="A3097" t="s">
        <v>6188</v>
      </c>
      <c r="B3097" t="s">
        <v>6189</v>
      </c>
      <c r="C3097" t="s">
        <v>104</v>
      </c>
      <c r="D3097" t="s">
        <v>2199</v>
      </c>
      <c r="E3097" t="s">
        <v>9366</v>
      </c>
    </row>
    <row r="3098" spans="1:5" x14ac:dyDescent="0.2">
      <c r="A3098" t="s">
        <v>6190</v>
      </c>
      <c r="B3098" t="s">
        <v>6191</v>
      </c>
      <c r="C3098" t="s">
        <v>104</v>
      </c>
      <c r="D3098" t="s">
        <v>2199</v>
      </c>
      <c r="E3098" t="s">
        <v>9366</v>
      </c>
    </row>
    <row r="3099" spans="1:5" x14ac:dyDescent="0.2">
      <c r="A3099" t="s">
        <v>6192</v>
      </c>
      <c r="B3099" t="s">
        <v>6193</v>
      </c>
      <c r="C3099" t="s">
        <v>131</v>
      </c>
      <c r="D3099" t="s">
        <v>254</v>
      </c>
      <c r="E3099" t="s">
        <v>9366</v>
      </c>
    </row>
    <row r="3100" spans="1:5" x14ac:dyDescent="0.2">
      <c r="A3100" t="s">
        <v>6194</v>
      </c>
      <c r="B3100" t="s">
        <v>6195</v>
      </c>
      <c r="C3100" t="s">
        <v>131</v>
      </c>
      <c r="D3100" t="s">
        <v>254</v>
      </c>
      <c r="E3100" t="s">
        <v>9366</v>
      </c>
    </row>
    <row r="3101" spans="1:5" x14ac:dyDescent="0.2">
      <c r="A3101" t="s">
        <v>6196</v>
      </c>
      <c r="B3101" t="s">
        <v>6197</v>
      </c>
      <c r="C3101" t="s">
        <v>131</v>
      </c>
      <c r="D3101" t="s">
        <v>99</v>
      </c>
      <c r="E3101" t="s">
        <v>9366</v>
      </c>
    </row>
    <row r="3102" spans="1:5" x14ac:dyDescent="0.2">
      <c r="A3102" t="s">
        <v>6198</v>
      </c>
      <c r="B3102" t="s">
        <v>6199</v>
      </c>
      <c r="C3102" t="s">
        <v>131</v>
      </c>
      <c r="D3102" t="s">
        <v>99</v>
      </c>
      <c r="E3102" t="s">
        <v>9366</v>
      </c>
    </row>
    <row r="3103" spans="1:5" x14ac:dyDescent="0.2">
      <c r="A3103" t="s">
        <v>6200</v>
      </c>
      <c r="B3103" t="s">
        <v>6201</v>
      </c>
      <c r="C3103" t="s">
        <v>92</v>
      </c>
      <c r="D3103" t="s">
        <v>254</v>
      </c>
      <c r="E3103" t="s">
        <v>9367</v>
      </c>
    </row>
    <row r="3104" spans="1:5" x14ac:dyDescent="0.2">
      <c r="A3104" t="s">
        <v>6202</v>
      </c>
      <c r="B3104" t="s">
        <v>9368</v>
      </c>
      <c r="C3104" t="s">
        <v>92</v>
      </c>
      <c r="D3104" t="s">
        <v>254</v>
      </c>
      <c r="E3104" t="s">
        <v>9367</v>
      </c>
    </row>
    <row r="3105" spans="1:5" x14ac:dyDescent="0.2">
      <c r="A3105" t="s">
        <v>6203</v>
      </c>
      <c r="B3105" t="s">
        <v>6204</v>
      </c>
      <c r="C3105" t="s">
        <v>92</v>
      </c>
      <c r="D3105" t="s">
        <v>99</v>
      </c>
      <c r="E3105" t="s">
        <v>9367</v>
      </c>
    </row>
    <row r="3106" spans="1:5" x14ac:dyDescent="0.2">
      <c r="A3106" t="s">
        <v>6205</v>
      </c>
      <c r="B3106" t="s">
        <v>6206</v>
      </c>
      <c r="C3106" t="s">
        <v>92</v>
      </c>
      <c r="D3106" t="s">
        <v>99</v>
      </c>
      <c r="E3106" t="s">
        <v>9367</v>
      </c>
    </row>
    <row r="3107" spans="1:5" x14ac:dyDescent="0.2">
      <c r="A3107" t="s">
        <v>6207</v>
      </c>
      <c r="B3107" t="s">
        <v>6208</v>
      </c>
      <c r="C3107" t="s">
        <v>251</v>
      </c>
      <c r="D3107" t="s">
        <v>350</v>
      </c>
      <c r="E3107" t="s">
        <v>9210</v>
      </c>
    </row>
    <row r="3108" spans="1:5" x14ac:dyDescent="0.2">
      <c r="A3108" t="s">
        <v>6209</v>
      </c>
      <c r="B3108" t="s">
        <v>6210</v>
      </c>
      <c r="C3108" t="s">
        <v>251</v>
      </c>
      <c r="D3108" t="s">
        <v>350</v>
      </c>
      <c r="E3108" t="s">
        <v>9210</v>
      </c>
    </row>
    <row r="3109" spans="1:5" x14ac:dyDescent="0.2">
      <c r="A3109" t="s">
        <v>6211</v>
      </c>
      <c r="B3109" t="s">
        <v>6212</v>
      </c>
      <c r="C3109" t="s">
        <v>251</v>
      </c>
      <c r="D3109" t="s">
        <v>535</v>
      </c>
      <c r="E3109" t="s">
        <v>9210</v>
      </c>
    </row>
    <row r="3110" spans="1:5" x14ac:dyDescent="0.2">
      <c r="A3110" t="s">
        <v>6213</v>
      </c>
      <c r="B3110" t="s">
        <v>6214</v>
      </c>
      <c r="C3110" t="s">
        <v>251</v>
      </c>
      <c r="D3110" t="s">
        <v>535</v>
      </c>
      <c r="E3110" t="s">
        <v>9210</v>
      </c>
    </row>
    <row r="3111" spans="1:5" x14ac:dyDescent="0.2">
      <c r="A3111" t="s">
        <v>6215</v>
      </c>
      <c r="B3111" t="s">
        <v>6216</v>
      </c>
      <c r="C3111" t="s">
        <v>120</v>
      </c>
      <c r="D3111" t="s">
        <v>845</v>
      </c>
      <c r="E3111" t="s">
        <v>9210</v>
      </c>
    </row>
    <row r="3112" spans="1:5" x14ac:dyDescent="0.2">
      <c r="A3112" t="s">
        <v>6217</v>
      </c>
      <c r="B3112" t="s">
        <v>6218</v>
      </c>
      <c r="C3112" t="s">
        <v>120</v>
      </c>
      <c r="D3112" t="s">
        <v>845</v>
      </c>
      <c r="E3112" t="s">
        <v>9210</v>
      </c>
    </row>
    <row r="3113" spans="1:5" x14ac:dyDescent="0.2">
      <c r="A3113" t="s">
        <v>6219</v>
      </c>
      <c r="B3113" t="s">
        <v>6220</v>
      </c>
      <c r="C3113" t="s">
        <v>120</v>
      </c>
      <c r="D3113" t="s">
        <v>422</v>
      </c>
      <c r="E3113" t="s">
        <v>9210</v>
      </c>
    </row>
    <row r="3114" spans="1:5" x14ac:dyDescent="0.2">
      <c r="A3114" t="s">
        <v>6221</v>
      </c>
      <c r="B3114" t="s">
        <v>6222</v>
      </c>
      <c r="C3114" t="s">
        <v>120</v>
      </c>
      <c r="D3114" t="s">
        <v>422</v>
      </c>
      <c r="E3114" t="s">
        <v>9210</v>
      </c>
    </row>
    <row r="3115" spans="1:5" x14ac:dyDescent="0.2">
      <c r="A3115" t="s">
        <v>6223</v>
      </c>
      <c r="B3115" t="s">
        <v>6224</v>
      </c>
      <c r="C3115" t="s">
        <v>92</v>
      </c>
      <c r="D3115" t="s">
        <v>220</v>
      </c>
      <c r="E3115" t="s">
        <v>9369</v>
      </c>
    </row>
    <row r="3116" spans="1:5" x14ac:dyDescent="0.2">
      <c r="A3116" t="s">
        <v>6225</v>
      </c>
      <c r="B3116" t="s">
        <v>6226</v>
      </c>
      <c r="C3116" t="s">
        <v>92</v>
      </c>
      <c r="D3116" t="s">
        <v>220</v>
      </c>
      <c r="E3116" t="s">
        <v>9369</v>
      </c>
    </row>
    <row r="3117" spans="1:5" x14ac:dyDescent="0.2">
      <c r="A3117" t="s">
        <v>6227</v>
      </c>
      <c r="B3117" t="s">
        <v>6228</v>
      </c>
      <c r="C3117" t="s">
        <v>104</v>
      </c>
      <c r="D3117" t="s">
        <v>110</v>
      </c>
      <c r="E3117" t="s">
        <v>9369</v>
      </c>
    </row>
    <row r="3118" spans="1:5" x14ac:dyDescent="0.2">
      <c r="A3118" t="s">
        <v>6229</v>
      </c>
      <c r="B3118" t="s">
        <v>6230</v>
      </c>
      <c r="C3118" t="s">
        <v>104</v>
      </c>
      <c r="D3118" t="s">
        <v>110</v>
      </c>
      <c r="E3118" t="s">
        <v>9369</v>
      </c>
    </row>
    <row r="3119" spans="1:5" x14ac:dyDescent="0.2">
      <c r="A3119" t="s">
        <v>6231</v>
      </c>
      <c r="B3119" t="s">
        <v>6232</v>
      </c>
      <c r="C3119" t="s">
        <v>131</v>
      </c>
      <c r="D3119" t="s">
        <v>110</v>
      </c>
      <c r="E3119" t="s">
        <v>9369</v>
      </c>
    </row>
    <row r="3120" spans="1:5" x14ac:dyDescent="0.2">
      <c r="A3120" t="s">
        <v>6233</v>
      </c>
      <c r="B3120" t="s">
        <v>6234</v>
      </c>
      <c r="C3120" t="s">
        <v>131</v>
      </c>
      <c r="D3120" t="s">
        <v>110</v>
      </c>
      <c r="E3120" t="s">
        <v>9369</v>
      </c>
    </row>
    <row r="3121" spans="1:5" x14ac:dyDescent="0.2">
      <c r="A3121" t="s">
        <v>6235</v>
      </c>
      <c r="B3121" t="s">
        <v>6236</v>
      </c>
      <c r="C3121" t="s">
        <v>131</v>
      </c>
      <c r="D3121" t="s">
        <v>110</v>
      </c>
      <c r="E3121" t="s">
        <v>9369</v>
      </c>
    </row>
    <row r="3122" spans="1:5" x14ac:dyDescent="0.2">
      <c r="A3122" t="s">
        <v>6237</v>
      </c>
      <c r="B3122" t="s">
        <v>6238</v>
      </c>
      <c r="C3122" t="s">
        <v>131</v>
      </c>
      <c r="D3122" t="s">
        <v>99</v>
      </c>
      <c r="E3122" t="s">
        <v>9369</v>
      </c>
    </row>
    <row r="3123" spans="1:5" x14ac:dyDescent="0.2">
      <c r="A3123" t="s">
        <v>6239</v>
      </c>
      <c r="B3123" t="s">
        <v>6240</v>
      </c>
      <c r="C3123" t="s">
        <v>131</v>
      </c>
      <c r="D3123" t="s">
        <v>99</v>
      </c>
      <c r="E3123" t="s">
        <v>9369</v>
      </c>
    </row>
    <row r="3124" spans="1:5" x14ac:dyDescent="0.2">
      <c r="A3124" t="s">
        <v>6241</v>
      </c>
      <c r="B3124" t="s">
        <v>6242</v>
      </c>
      <c r="C3124" t="s">
        <v>219</v>
      </c>
      <c r="D3124" t="s">
        <v>572</v>
      </c>
      <c r="E3124" t="s">
        <v>9210</v>
      </c>
    </row>
    <row r="3125" spans="1:5" x14ac:dyDescent="0.2">
      <c r="A3125" t="s">
        <v>6243</v>
      </c>
      <c r="B3125" t="s">
        <v>6244</v>
      </c>
      <c r="C3125" t="s">
        <v>322</v>
      </c>
      <c r="D3125" t="s">
        <v>681</v>
      </c>
      <c r="E3125" t="s">
        <v>9370</v>
      </c>
    </row>
    <row r="3126" spans="1:5" x14ac:dyDescent="0.2">
      <c r="A3126" t="s">
        <v>6245</v>
      </c>
      <c r="B3126" t="s">
        <v>6246</v>
      </c>
      <c r="C3126" t="s">
        <v>322</v>
      </c>
      <c r="D3126" t="s">
        <v>681</v>
      </c>
      <c r="E3126" t="s">
        <v>9370</v>
      </c>
    </row>
    <row r="3127" spans="1:5" x14ac:dyDescent="0.2">
      <c r="A3127" t="s">
        <v>6247</v>
      </c>
      <c r="B3127" t="s">
        <v>6248</v>
      </c>
      <c r="C3127" t="s">
        <v>251</v>
      </c>
      <c r="D3127" t="s">
        <v>422</v>
      </c>
      <c r="E3127" t="s">
        <v>9135</v>
      </c>
    </row>
    <row r="3128" spans="1:5" x14ac:dyDescent="0.2">
      <c r="A3128" t="s">
        <v>6249</v>
      </c>
      <c r="B3128" t="s">
        <v>6250</v>
      </c>
      <c r="C3128" t="s">
        <v>251</v>
      </c>
      <c r="D3128" t="s">
        <v>422</v>
      </c>
      <c r="E3128" t="s">
        <v>9135</v>
      </c>
    </row>
    <row r="3129" spans="1:5" x14ac:dyDescent="0.2">
      <c r="A3129" t="s">
        <v>6251</v>
      </c>
      <c r="B3129" t="s">
        <v>6252</v>
      </c>
      <c r="C3129" t="s">
        <v>212</v>
      </c>
      <c r="D3129" t="s">
        <v>389</v>
      </c>
      <c r="E3129" t="s">
        <v>9135</v>
      </c>
    </row>
    <row r="3130" spans="1:5" x14ac:dyDescent="0.2">
      <c r="A3130" t="s">
        <v>6253</v>
      </c>
      <c r="B3130" t="s">
        <v>6254</v>
      </c>
      <c r="C3130" t="s">
        <v>212</v>
      </c>
      <c r="D3130" t="s">
        <v>389</v>
      </c>
      <c r="E3130" t="s">
        <v>9135</v>
      </c>
    </row>
    <row r="3131" spans="1:5" x14ac:dyDescent="0.2">
      <c r="A3131" t="s">
        <v>6255</v>
      </c>
      <c r="B3131" t="s">
        <v>6256</v>
      </c>
      <c r="C3131" t="s">
        <v>212</v>
      </c>
      <c r="D3131" t="s">
        <v>604</v>
      </c>
      <c r="E3131" t="s">
        <v>9135</v>
      </c>
    </row>
    <row r="3132" spans="1:5" x14ac:dyDescent="0.2">
      <c r="A3132" t="s">
        <v>6257</v>
      </c>
      <c r="B3132" t="s">
        <v>6258</v>
      </c>
      <c r="C3132" t="s">
        <v>212</v>
      </c>
      <c r="D3132" t="s">
        <v>604</v>
      </c>
      <c r="E3132" t="s">
        <v>9135</v>
      </c>
    </row>
    <row r="3133" spans="1:5" x14ac:dyDescent="0.2">
      <c r="A3133" t="s">
        <v>6282</v>
      </c>
      <c r="B3133" t="s">
        <v>6283</v>
      </c>
      <c r="C3133" t="s">
        <v>705</v>
      </c>
      <c r="D3133" t="s">
        <v>888</v>
      </c>
      <c r="E3133" t="s">
        <v>9371</v>
      </c>
    </row>
    <row r="3134" spans="1:5" x14ac:dyDescent="0.2">
      <c r="A3134" t="s">
        <v>6285</v>
      </c>
      <c r="B3134" t="s">
        <v>6286</v>
      </c>
      <c r="C3134" t="s">
        <v>399</v>
      </c>
      <c r="D3134" t="s">
        <v>1664</v>
      </c>
      <c r="E3134" t="s">
        <v>9371</v>
      </c>
    </row>
    <row r="3135" spans="1:5" x14ac:dyDescent="0.2">
      <c r="A3135" t="s">
        <v>6287</v>
      </c>
      <c r="B3135" t="s">
        <v>6288</v>
      </c>
      <c r="C3135" t="s">
        <v>212</v>
      </c>
      <c r="D3135" t="s">
        <v>1351</v>
      </c>
      <c r="E3135" t="s">
        <v>9371</v>
      </c>
    </row>
    <row r="3136" spans="1:5" x14ac:dyDescent="0.2">
      <c r="A3136" t="s">
        <v>6289</v>
      </c>
      <c r="B3136" t="s">
        <v>6290</v>
      </c>
      <c r="C3136" t="s">
        <v>251</v>
      </c>
      <c r="D3136" t="s">
        <v>871</v>
      </c>
      <c r="E3136" t="s">
        <v>9371</v>
      </c>
    </row>
    <row r="3137" spans="1:5" x14ac:dyDescent="0.2">
      <c r="A3137" t="s">
        <v>6291</v>
      </c>
      <c r="B3137" t="s">
        <v>6292</v>
      </c>
      <c r="C3137" t="s">
        <v>251</v>
      </c>
      <c r="D3137" t="s">
        <v>871</v>
      </c>
      <c r="E3137" t="s">
        <v>9371</v>
      </c>
    </row>
    <row r="3138" spans="1:5" x14ac:dyDescent="0.2">
      <c r="A3138" t="s">
        <v>6308</v>
      </c>
      <c r="B3138" t="s">
        <v>6309</v>
      </c>
      <c r="C3138" t="s">
        <v>219</v>
      </c>
      <c r="D3138" t="s">
        <v>842</v>
      </c>
      <c r="E3138" t="s">
        <v>9372</v>
      </c>
    </row>
    <row r="3139" spans="1:5" x14ac:dyDescent="0.2">
      <c r="A3139" t="s">
        <v>6310</v>
      </c>
      <c r="B3139" t="s">
        <v>6311</v>
      </c>
      <c r="C3139" t="s">
        <v>219</v>
      </c>
      <c r="D3139" t="s">
        <v>842</v>
      </c>
      <c r="E3139" t="s">
        <v>9372</v>
      </c>
    </row>
    <row r="3140" spans="1:5" x14ac:dyDescent="0.2">
      <c r="A3140" t="s">
        <v>6259</v>
      </c>
      <c r="B3140" t="s">
        <v>6260</v>
      </c>
      <c r="C3140" t="s">
        <v>131</v>
      </c>
      <c r="D3140" t="s">
        <v>773</v>
      </c>
      <c r="E3140" t="s">
        <v>9148</v>
      </c>
    </row>
    <row r="3141" spans="1:5" x14ac:dyDescent="0.2">
      <c r="A3141" t="s">
        <v>6261</v>
      </c>
      <c r="B3141" t="s">
        <v>6262</v>
      </c>
      <c r="C3141" t="s">
        <v>131</v>
      </c>
      <c r="D3141" t="s">
        <v>1566</v>
      </c>
      <c r="E3141" t="s">
        <v>9148</v>
      </c>
    </row>
    <row r="3142" spans="1:5" x14ac:dyDescent="0.2">
      <c r="A3142" t="s">
        <v>6263</v>
      </c>
      <c r="B3142" t="s">
        <v>6264</v>
      </c>
      <c r="C3142" t="s">
        <v>131</v>
      </c>
      <c r="D3142" t="s">
        <v>180</v>
      </c>
      <c r="E3142" t="s">
        <v>9148</v>
      </c>
    </row>
    <row r="3143" spans="1:5" x14ac:dyDescent="0.2">
      <c r="A3143" t="s">
        <v>6265</v>
      </c>
      <c r="B3143" t="s">
        <v>6266</v>
      </c>
      <c r="C3143" t="s">
        <v>131</v>
      </c>
      <c r="D3143" t="s">
        <v>180</v>
      </c>
      <c r="E3143" t="s">
        <v>9148</v>
      </c>
    </row>
    <row r="3144" spans="1:5" x14ac:dyDescent="0.2">
      <c r="A3144" t="s">
        <v>6267</v>
      </c>
      <c r="B3144" t="s">
        <v>6268</v>
      </c>
      <c r="C3144" t="s">
        <v>92</v>
      </c>
      <c r="D3144" t="s">
        <v>2462</v>
      </c>
      <c r="E3144" t="s">
        <v>9148</v>
      </c>
    </row>
    <row r="3145" spans="1:5" x14ac:dyDescent="0.2">
      <c r="A3145" t="s">
        <v>6269</v>
      </c>
      <c r="B3145" t="s">
        <v>6270</v>
      </c>
      <c r="C3145" t="s">
        <v>104</v>
      </c>
      <c r="D3145" t="s">
        <v>2475</v>
      </c>
      <c r="E3145" t="s">
        <v>9148</v>
      </c>
    </row>
    <row r="3146" spans="1:5" x14ac:dyDescent="0.2">
      <c r="A3146" t="s">
        <v>6271</v>
      </c>
      <c r="B3146" t="s">
        <v>6272</v>
      </c>
      <c r="C3146" t="s">
        <v>104</v>
      </c>
      <c r="D3146" t="s">
        <v>698</v>
      </c>
      <c r="E3146" t="s">
        <v>9148</v>
      </c>
    </row>
    <row r="3147" spans="1:5" x14ac:dyDescent="0.2">
      <c r="A3147" t="s">
        <v>6273</v>
      </c>
      <c r="B3147" t="s">
        <v>6274</v>
      </c>
      <c r="C3147" t="s">
        <v>104</v>
      </c>
      <c r="D3147" t="s">
        <v>389</v>
      </c>
      <c r="E3147" t="s">
        <v>9148</v>
      </c>
    </row>
    <row r="3148" spans="1:5" x14ac:dyDescent="0.2">
      <c r="A3148" t="s">
        <v>6275</v>
      </c>
      <c r="B3148" t="s">
        <v>6276</v>
      </c>
      <c r="C3148" t="s">
        <v>104</v>
      </c>
      <c r="D3148" t="s">
        <v>698</v>
      </c>
      <c r="E3148" t="s">
        <v>9148</v>
      </c>
    </row>
    <row r="3149" spans="1:5" x14ac:dyDescent="0.2">
      <c r="A3149" t="s">
        <v>6277</v>
      </c>
      <c r="B3149" t="s">
        <v>6278</v>
      </c>
      <c r="C3149" t="s">
        <v>104</v>
      </c>
      <c r="D3149" t="s">
        <v>698</v>
      </c>
      <c r="E3149" t="s">
        <v>9148</v>
      </c>
    </row>
    <row r="3150" spans="1:5" x14ac:dyDescent="0.2">
      <c r="A3150" t="s">
        <v>5228</v>
      </c>
      <c r="B3150" t="s">
        <v>9373</v>
      </c>
      <c r="C3150" t="s">
        <v>376</v>
      </c>
      <c r="D3150" t="s">
        <v>126</v>
      </c>
      <c r="E3150" t="s">
        <v>9374</v>
      </c>
    </row>
    <row r="3151" spans="1:5" x14ac:dyDescent="0.2">
      <c r="A3151" t="s">
        <v>5229</v>
      </c>
      <c r="B3151" t="s">
        <v>9375</v>
      </c>
      <c r="C3151" t="s">
        <v>376</v>
      </c>
      <c r="D3151" t="s">
        <v>773</v>
      </c>
      <c r="E3151" t="s">
        <v>9374</v>
      </c>
    </row>
    <row r="3152" spans="1:5" x14ac:dyDescent="0.2">
      <c r="A3152" t="s">
        <v>6293</v>
      </c>
      <c r="B3152" t="s">
        <v>6294</v>
      </c>
      <c r="C3152" t="s">
        <v>331</v>
      </c>
      <c r="D3152" t="s">
        <v>394</v>
      </c>
      <c r="E3152" t="s">
        <v>6295</v>
      </c>
    </row>
    <row r="3153" spans="1:5" x14ac:dyDescent="0.2">
      <c r="A3153" t="s">
        <v>6296</v>
      </c>
      <c r="B3153" t="s">
        <v>6297</v>
      </c>
      <c r="C3153" t="s">
        <v>331</v>
      </c>
      <c r="D3153" t="s">
        <v>991</v>
      </c>
      <c r="E3153" t="s">
        <v>6298</v>
      </c>
    </row>
    <row r="3154" spans="1:5" x14ac:dyDescent="0.2">
      <c r="A3154" t="s">
        <v>6299</v>
      </c>
      <c r="B3154" t="s">
        <v>6300</v>
      </c>
      <c r="C3154" t="s">
        <v>331</v>
      </c>
      <c r="D3154" t="s">
        <v>991</v>
      </c>
      <c r="E3154" t="s">
        <v>6298</v>
      </c>
    </row>
    <row r="3155" spans="1:5" x14ac:dyDescent="0.2">
      <c r="A3155" t="s">
        <v>6301</v>
      </c>
      <c r="B3155" t="s">
        <v>6302</v>
      </c>
      <c r="C3155" t="s">
        <v>331</v>
      </c>
      <c r="D3155" t="s">
        <v>535</v>
      </c>
      <c r="E3155" t="s">
        <v>6295</v>
      </c>
    </row>
    <row r="3156" spans="1:5" x14ac:dyDescent="0.2">
      <c r="A3156" t="s">
        <v>6303</v>
      </c>
      <c r="B3156" t="s">
        <v>6304</v>
      </c>
      <c r="C3156" t="s">
        <v>331</v>
      </c>
      <c r="D3156" t="s">
        <v>535</v>
      </c>
      <c r="E3156" t="s">
        <v>2537</v>
      </c>
    </row>
    <row r="3157" spans="1:5" x14ac:dyDescent="0.2">
      <c r="A3157" t="s">
        <v>6305</v>
      </c>
      <c r="B3157" t="s">
        <v>6306</v>
      </c>
      <c r="C3157" t="s">
        <v>331</v>
      </c>
      <c r="D3157" t="s">
        <v>363</v>
      </c>
      <c r="E3157" t="s">
        <v>2537</v>
      </c>
    </row>
    <row r="3158" spans="1:5" x14ac:dyDescent="0.2">
      <c r="A3158" t="s">
        <v>6312</v>
      </c>
      <c r="B3158" t="s">
        <v>6313</v>
      </c>
      <c r="C3158" t="s">
        <v>421</v>
      </c>
      <c r="D3158" t="s">
        <v>301</v>
      </c>
      <c r="E3158" t="s">
        <v>221</v>
      </c>
    </row>
    <row r="3159" spans="1:5" x14ac:dyDescent="0.2">
      <c r="A3159" t="s">
        <v>6314</v>
      </c>
      <c r="B3159" t="s">
        <v>6315</v>
      </c>
      <c r="C3159" t="s">
        <v>421</v>
      </c>
      <c r="D3159" t="s">
        <v>681</v>
      </c>
      <c r="E3159" t="s">
        <v>221</v>
      </c>
    </row>
    <row r="3160" spans="1:5" x14ac:dyDescent="0.2">
      <c r="A3160" t="s">
        <v>6316</v>
      </c>
      <c r="B3160" t="s">
        <v>6317</v>
      </c>
      <c r="C3160" t="s">
        <v>421</v>
      </c>
      <c r="D3160" t="s">
        <v>681</v>
      </c>
      <c r="E3160" t="s">
        <v>221</v>
      </c>
    </row>
    <row r="3161" spans="1:5" x14ac:dyDescent="0.2">
      <c r="A3161" t="s">
        <v>6318</v>
      </c>
      <c r="B3161" t="s">
        <v>6319</v>
      </c>
      <c r="C3161" t="s">
        <v>219</v>
      </c>
      <c r="D3161" t="s">
        <v>224</v>
      </c>
      <c r="E3161" t="s">
        <v>221</v>
      </c>
    </row>
    <row r="3162" spans="1:5" x14ac:dyDescent="0.2">
      <c r="A3162" t="s">
        <v>6320</v>
      </c>
      <c r="B3162" t="s">
        <v>6321</v>
      </c>
      <c r="C3162" t="s">
        <v>219</v>
      </c>
      <c r="D3162" t="s">
        <v>224</v>
      </c>
      <c r="E3162" t="s">
        <v>221</v>
      </c>
    </row>
    <row r="3163" spans="1:5" x14ac:dyDescent="0.2">
      <c r="A3163" t="s">
        <v>6322</v>
      </c>
      <c r="B3163" t="s">
        <v>6323</v>
      </c>
      <c r="C3163" t="s">
        <v>219</v>
      </c>
      <c r="D3163" t="s">
        <v>224</v>
      </c>
      <c r="E3163" t="s">
        <v>221</v>
      </c>
    </row>
    <row r="3164" spans="1:5" x14ac:dyDescent="0.2">
      <c r="A3164" t="s">
        <v>6324</v>
      </c>
      <c r="B3164" t="s">
        <v>6325</v>
      </c>
      <c r="C3164" t="s">
        <v>219</v>
      </c>
      <c r="D3164" t="s">
        <v>224</v>
      </c>
      <c r="E3164" t="s">
        <v>221</v>
      </c>
    </row>
    <row r="3165" spans="1:5" x14ac:dyDescent="0.2">
      <c r="A3165" t="s">
        <v>6326</v>
      </c>
      <c r="B3165" t="s">
        <v>6327</v>
      </c>
      <c r="C3165" t="s">
        <v>219</v>
      </c>
      <c r="D3165" t="s">
        <v>301</v>
      </c>
      <c r="E3165" t="s">
        <v>221</v>
      </c>
    </row>
    <row r="3166" spans="1:5" x14ac:dyDescent="0.2">
      <c r="A3166" t="s">
        <v>6328</v>
      </c>
      <c r="B3166" t="s">
        <v>6329</v>
      </c>
      <c r="C3166" t="s">
        <v>219</v>
      </c>
      <c r="D3166" t="s">
        <v>301</v>
      </c>
      <c r="E3166" t="s">
        <v>221</v>
      </c>
    </row>
    <row r="3167" spans="1:5" x14ac:dyDescent="0.2">
      <c r="A3167" t="s">
        <v>6330</v>
      </c>
      <c r="B3167" t="s">
        <v>6331</v>
      </c>
      <c r="C3167" t="s">
        <v>219</v>
      </c>
      <c r="D3167" t="s">
        <v>301</v>
      </c>
      <c r="E3167" t="s">
        <v>221</v>
      </c>
    </row>
    <row r="3168" spans="1:5" x14ac:dyDescent="0.2">
      <c r="A3168" t="s">
        <v>6332</v>
      </c>
      <c r="B3168" t="s">
        <v>6333</v>
      </c>
      <c r="C3168" t="s">
        <v>219</v>
      </c>
      <c r="D3168" t="s">
        <v>386</v>
      </c>
      <c r="E3168" t="s">
        <v>221</v>
      </c>
    </row>
    <row r="3169" spans="1:5" x14ac:dyDescent="0.2">
      <c r="A3169" t="s">
        <v>6334</v>
      </c>
      <c r="B3169" t="s">
        <v>6335</v>
      </c>
      <c r="C3169" t="s">
        <v>219</v>
      </c>
      <c r="D3169" t="s">
        <v>386</v>
      </c>
      <c r="E3169" t="s">
        <v>221</v>
      </c>
    </row>
    <row r="3170" spans="1:5" x14ac:dyDescent="0.2">
      <c r="A3170" t="s">
        <v>6336</v>
      </c>
      <c r="B3170" t="s">
        <v>6337</v>
      </c>
      <c r="C3170" t="s">
        <v>244</v>
      </c>
      <c r="D3170" t="s">
        <v>830</v>
      </c>
      <c r="E3170" t="s">
        <v>221</v>
      </c>
    </row>
    <row r="3171" spans="1:5" x14ac:dyDescent="0.2">
      <c r="A3171" t="s">
        <v>6338</v>
      </c>
      <c r="B3171" t="s">
        <v>6339</v>
      </c>
      <c r="C3171" t="s">
        <v>244</v>
      </c>
      <c r="D3171" t="s">
        <v>830</v>
      </c>
      <c r="E3171" t="s">
        <v>221</v>
      </c>
    </row>
    <row r="3172" spans="1:5" x14ac:dyDescent="0.2">
      <c r="A3172" t="s">
        <v>6340</v>
      </c>
      <c r="B3172" t="s">
        <v>6341</v>
      </c>
      <c r="C3172" t="s">
        <v>399</v>
      </c>
      <c r="D3172" t="s">
        <v>710</v>
      </c>
      <c r="E3172" t="s">
        <v>221</v>
      </c>
    </row>
    <row r="3173" spans="1:5" x14ac:dyDescent="0.2">
      <c r="A3173" t="s">
        <v>6342</v>
      </c>
      <c r="B3173" t="s">
        <v>6343</v>
      </c>
      <c r="C3173" t="s">
        <v>399</v>
      </c>
      <c r="D3173" t="s">
        <v>710</v>
      </c>
      <c r="E3173" t="s">
        <v>221</v>
      </c>
    </row>
    <row r="3174" spans="1:5" x14ac:dyDescent="0.2">
      <c r="A3174" t="s">
        <v>6344</v>
      </c>
      <c r="B3174" t="s">
        <v>6345</v>
      </c>
      <c r="C3174" t="s">
        <v>399</v>
      </c>
      <c r="D3174" t="s">
        <v>400</v>
      </c>
      <c r="E3174" t="s">
        <v>221</v>
      </c>
    </row>
    <row r="3175" spans="1:5" x14ac:dyDescent="0.2">
      <c r="A3175" t="s">
        <v>6346</v>
      </c>
      <c r="B3175" t="s">
        <v>6347</v>
      </c>
      <c r="C3175" t="s">
        <v>399</v>
      </c>
      <c r="D3175" t="s">
        <v>400</v>
      </c>
      <c r="E3175" t="s">
        <v>221</v>
      </c>
    </row>
    <row r="3176" spans="1:5" x14ac:dyDescent="0.2">
      <c r="A3176" t="s">
        <v>6348</v>
      </c>
      <c r="B3176" t="s">
        <v>6349</v>
      </c>
      <c r="C3176" t="s">
        <v>199</v>
      </c>
      <c r="D3176" t="s">
        <v>386</v>
      </c>
      <c r="E3176" t="s">
        <v>234</v>
      </c>
    </row>
    <row r="3177" spans="1:5" x14ac:dyDescent="0.2">
      <c r="A3177" t="s">
        <v>6350</v>
      </c>
      <c r="B3177" t="s">
        <v>6351</v>
      </c>
      <c r="C3177" t="s">
        <v>199</v>
      </c>
      <c r="D3177" t="s">
        <v>386</v>
      </c>
      <c r="E3177" t="s">
        <v>234</v>
      </c>
    </row>
    <row r="3178" spans="1:5" x14ac:dyDescent="0.2">
      <c r="A3178" t="s">
        <v>6352</v>
      </c>
      <c r="B3178" t="s">
        <v>6353</v>
      </c>
      <c r="C3178" t="s">
        <v>199</v>
      </c>
      <c r="D3178" t="s">
        <v>681</v>
      </c>
      <c r="E3178" t="s">
        <v>234</v>
      </c>
    </row>
    <row r="3179" spans="1:5" x14ac:dyDescent="0.2">
      <c r="A3179" t="s">
        <v>6354</v>
      </c>
      <c r="B3179" t="s">
        <v>6355</v>
      </c>
      <c r="C3179" t="s">
        <v>199</v>
      </c>
      <c r="D3179" t="s">
        <v>681</v>
      </c>
      <c r="E3179" t="s">
        <v>234</v>
      </c>
    </row>
    <row r="3180" spans="1:5" x14ac:dyDescent="0.2">
      <c r="A3180" t="s">
        <v>6356</v>
      </c>
      <c r="B3180" t="s">
        <v>6357</v>
      </c>
      <c r="C3180" t="s">
        <v>219</v>
      </c>
      <c r="D3180" t="s">
        <v>681</v>
      </c>
      <c r="E3180" t="s">
        <v>234</v>
      </c>
    </row>
    <row r="3181" spans="1:5" x14ac:dyDescent="0.2">
      <c r="A3181" t="s">
        <v>6358</v>
      </c>
      <c r="B3181" t="s">
        <v>6359</v>
      </c>
      <c r="C3181" t="s">
        <v>287</v>
      </c>
      <c r="D3181" t="s">
        <v>213</v>
      </c>
      <c r="E3181" t="s">
        <v>234</v>
      </c>
    </row>
    <row r="3182" spans="1:5" x14ac:dyDescent="0.2">
      <c r="A3182" t="s">
        <v>6360</v>
      </c>
      <c r="B3182" t="s">
        <v>6361</v>
      </c>
      <c r="C3182" t="s">
        <v>287</v>
      </c>
      <c r="D3182" t="s">
        <v>213</v>
      </c>
      <c r="E3182" t="s">
        <v>234</v>
      </c>
    </row>
    <row r="3183" spans="1:5" x14ac:dyDescent="0.2">
      <c r="A3183" t="s">
        <v>6362</v>
      </c>
      <c r="B3183" t="s">
        <v>6363</v>
      </c>
      <c r="C3183" t="s">
        <v>399</v>
      </c>
      <c r="D3183" t="s">
        <v>386</v>
      </c>
      <c r="E3183" t="s">
        <v>234</v>
      </c>
    </row>
    <row r="3184" spans="1:5" x14ac:dyDescent="0.2">
      <c r="A3184" t="s">
        <v>6364</v>
      </c>
      <c r="B3184" t="s">
        <v>6365</v>
      </c>
      <c r="C3184" t="s">
        <v>399</v>
      </c>
      <c r="D3184" t="s">
        <v>681</v>
      </c>
      <c r="E3184" t="s">
        <v>234</v>
      </c>
    </row>
    <row r="3185" spans="1:5" x14ac:dyDescent="0.2">
      <c r="A3185" t="s">
        <v>6366</v>
      </c>
      <c r="B3185" t="s">
        <v>6367</v>
      </c>
      <c r="C3185" t="s">
        <v>399</v>
      </c>
      <c r="D3185" t="s">
        <v>266</v>
      </c>
      <c r="E3185" t="s">
        <v>234</v>
      </c>
    </row>
    <row r="3186" spans="1:5" x14ac:dyDescent="0.2">
      <c r="A3186" t="s">
        <v>6375</v>
      </c>
      <c r="B3186" t="s">
        <v>6376</v>
      </c>
      <c r="C3186" t="s">
        <v>399</v>
      </c>
      <c r="D3186" t="s">
        <v>422</v>
      </c>
      <c r="E3186" t="s">
        <v>234</v>
      </c>
    </row>
    <row r="3187" spans="1:5" x14ac:dyDescent="0.2">
      <c r="A3187" t="s">
        <v>6377</v>
      </c>
      <c r="B3187" t="s">
        <v>6378</v>
      </c>
      <c r="C3187" t="s">
        <v>376</v>
      </c>
      <c r="D3187" t="s">
        <v>456</v>
      </c>
      <c r="E3187" t="s">
        <v>234</v>
      </c>
    </row>
    <row r="3188" spans="1:5" x14ac:dyDescent="0.2">
      <c r="A3188" t="s">
        <v>6386</v>
      </c>
      <c r="B3188" t="s">
        <v>6387</v>
      </c>
      <c r="C3188" t="s">
        <v>120</v>
      </c>
      <c r="D3188" t="s">
        <v>309</v>
      </c>
      <c r="E3188" t="s">
        <v>234</v>
      </c>
    </row>
    <row r="3189" spans="1:5" x14ac:dyDescent="0.2">
      <c r="A3189" t="s">
        <v>6388</v>
      </c>
      <c r="B3189" t="s">
        <v>6389</v>
      </c>
      <c r="C3189" t="s">
        <v>120</v>
      </c>
      <c r="D3189" t="s">
        <v>309</v>
      </c>
      <c r="E3189" t="s">
        <v>234</v>
      </c>
    </row>
    <row r="3190" spans="1:5" x14ac:dyDescent="0.2">
      <c r="A3190" t="s">
        <v>6390</v>
      </c>
      <c r="B3190" t="s">
        <v>6391</v>
      </c>
      <c r="C3190" t="s">
        <v>120</v>
      </c>
      <c r="D3190" t="s">
        <v>145</v>
      </c>
      <c r="E3190" t="s">
        <v>234</v>
      </c>
    </row>
    <row r="3191" spans="1:5" x14ac:dyDescent="0.2">
      <c r="A3191" t="s">
        <v>6392</v>
      </c>
      <c r="B3191" t="s">
        <v>6393</v>
      </c>
      <c r="C3191" t="s">
        <v>120</v>
      </c>
      <c r="D3191" t="s">
        <v>145</v>
      </c>
      <c r="E3191" t="s">
        <v>234</v>
      </c>
    </row>
    <row r="3192" spans="1:5" x14ac:dyDescent="0.2">
      <c r="A3192" t="s">
        <v>6394</v>
      </c>
      <c r="B3192" t="s">
        <v>6395</v>
      </c>
      <c r="C3192" t="s">
        <v>120</v>
      </c>
      <c r="D3192" t="s">
        <v>1025</v>
      </c>
      <c r="E3192" t="s">
        <v>234</v>
      </c>
    </row>
    <row r="3193" spans="1:5" x14ac:dyDescent="0.2">
      <c r="A3193" t="s">
        <v>6396</v>
      </c>
      <c r="B3193" t="s">
        <v>6397</v>
      </c>
      <c r="C3193" t="s">
        <v>120</v>
      </c>
      <c r="D3193" t="s">
        <v>1025</v>
      </c>
      <c r="E3193" t="s">
        <v>234</v>
      </c>
    </row>
    <row r="3194" spans="1:5" x14ac:dyDescent="0.2">
      <c r="A3194" t="s">
        <v>6398</v>
      </c>
      <c r="B3194" t="s">
        <v>6399</v>
      </c>
      <c r="C3194" t="s">
        <v>616</v>
      </c>
      <c r="D3194" t="s">
        <v>622</v>
      </c>
      <c r="E3194" t="s">
        <v>234</v>
      </c>
    </row>
    <row r="3195" spans="1:5" x14ac:dyDescent="0.2">
      <c r="A3195" t="s">
        <v>6400</v>
      </c>
      <c r="B3195" t="s">
        <v>6401</v>
      </c>
      <c r="C3195" t="s">
        <v>616</v>
      </c>
      <c r="D3195" t="s">
        <v>224</v>
      </c>
      <c r="E3195" t="s">
        <v>234</v>
      </c>
    </row>
    <row r="3196" spans="1:5" x14ac:dyDescent="0.2">
      <c r="A3196" t="s">
        <v>6402</v>
      </c>
      <c r="B3196" t="s">
        <v>6403</v>
      </c>
      <c r="C3196" t="s">
        <v>331</v>
      </c>
      <c r="D3196" t="s">
        <v>845</v>
      </c>
      <c r="E3196" t="s">
        <v>234</v>
      </c>
    </row>
    <row r="3197" spans="1:5" x14ac:dyDescent="0.2">
      <c r="A3197" t="s">
        <v>6404</v>
      </c>
      <c r="B3197" t="s">
        <v>6405</v>
      </c>
      <c r="C3197" t="s">
        <v>1347</v>
      </c>
      <c r="D3197" t="s">
        <v>171</v>
      </c>
      <c r="E3197" t="s">
        <v>234</v>
      </c>
    </row>
    <row r="3198" spans="1:5" x14ac:dyDescent="0.2">
      <c r="A3198" t="s">
        <v>6406</v>
      </c>
      <c r="B3198" t="s">
        <v>6407</v>
      </c>
      <c r="C3198" t="s">
        <v>1347</v>
      </c>
      <c r="D3198" t="s">
        <v>622</v>
      </c>
      <c r="E3198" t="s">
        <v>234</v>
      </c>
    </row>
    <row r="3199" spans="1:5" x14ac:dyDescent="0.2">
      <c r="A3199" t="s">
        <v>6408</v>
      </c>
      <c r="B3199" t="s">
        <v>6409</v>
      </c>
      <c r="C3199" t="s">
        <v>219</v>
      </c>
      <c r="D3199" t="s">
        <v>1058</v>
      </c>
      <c r="E3199" t="s">
        <v>234</v>
      </c>
    </row>
    <row r="3200" spans="1:5" x14ac:dyDescent="0.2">
      <c r="A3200" t="s">
        <v>6410</v>
      </c>
      <c r="B3200" t="s">
        <v>6411</v>
      </c>
      <c r="C3200" t="s">
        <v>219</v>
      </c>
      <c r="D3200" t="s">
        <v>412</v>
      </c>
      <c r="E3200" t="s">
        <v>234</v>
      </c>
    </row>
    <row r="3201" spans="1:5" x14ac:dyDescent="0.2">
      <c r="A3201" t="s">
        <v>6412</v>
      </c>
      <c r="B3201" t="s">
        <v>6413</v>
      </c>
      <c r="C3201" t="s">
        <v>219</v>
      </c>
      <c r="D3201" t="s">
        <v>604</v>
      </c>
      <c r="E3201" t="s">
        <v>234</v>
      </c>
    </row>
    <row r="3202" spans="1:5" x14ac:dyDescent="0.2">
      <c r="A3202" t="s">
        <v>6416</v>
      </c>
      <c r="B3202" t="s">
        <v>6417</v>
      </c>
      <c r="C3202" t="s">
        <v>219</v>
      </c>
      <c r="D3202" t="s">
        <v>220</v>
      </c>
      <c r="E3202" t="s">
        <v>234</v>
      </c>
    </row>
    <row r="3203" spans="1:5" x14ac:dyDescent="0.2">
      <c r="A3203" t="s">
        <v>6414</v>
      </c>
      <c r="B3203" t="s">
        <v>6415</v>
      </c>
      <c r="C3203" t="s">
        <v>219</v>
      </c>
      <c r="D3203" t="s">
        <v>220</v>
      </c>
      <c r="E3203" t="s">
        <v>234</v>
      </c>
    </row>
    <row r="3204" spans="1:5" x14ac:dyDescent="0.2">
      <c r="A3204" t="s">
        <v>6418</v>
      </c>
      <c r="B3204" t="s">
        <v>6419</v>
      </c>
      <c r="C3204" t="s">
        <v>219</v>
      </c>
      <c r="D3204" t="s">
        <v>604</v>
      </c>
      <c r="E3204" t="s">
        <v>234</v>
      </c>
    </row>
    <row r="3205" spans="1:5" x14ac:dyDescent="0.2">
      <c r="A3205" t="s">
        <v>6420</v>
      </c>
      <c r="B3205" t="s">
        <v>6421</v>
      </c>
      <c r="C3205" t="s">
        <v>219</v>
      </c>
      <c r="D3205" t="s">
        <v>422</v>
      </c>
      <c r="E3205" t="s">
        <v>234</v>
      </c>
    </row>
    <row r="3206" spans="1:5" x14ac:dyDescent="0.2">
      <c r="A3206" t="s">
        <v>6422</v>
      </c>
      <c r="B3206" t="s">
        <v>6423</v>
      </c>
      <c r="C3206" t="s">
        <v>219</v>
      </c>
      <c r="D3206" t="s">
        <v>233</v>
      </c>
      <c r="E3206" t="s">
        <v>234</v>
      </c>
    </row>
    <row r="3207" spans="1:5" x14ac:dyDescent="0.2">
      <c r="A3207" t="s">
        <v>6424</v>
      </c>
      <c r="B3207" t="s">
        <v>6425</v>
      </c>
      <c r="C3207" t="s">
        <v>591</v>
      </c>
      <c r="D3207" t="s">
        <v>400</v>
      </c>
      <c r="E3207" t="s">
        <v>234</v>
      </c>
    </row>
    <row r="3208" spans="1:5" x14ac:dyDescent="0.2">
      <c r="A3208" t="s">
        <v>6379</v>
      </c>
      <c r="B3208" t="s">
        <v>9376</v>
      </c>
      <c r="C3208" t="s">
        <v>104</v>
      </c>
      <c r="D3208" t="s">
        <v>171</v>
      </c>
      <c r="E3208" t="s">
        <v>234</v>
      </c>
    </row>
    <row r="3209" spans="1:5" x14ac:dyDescent="0.2">
      <c r="A3209" t="s">
        <v>6380</v>
      </c>
      <c r="B3209" t="s">
        <v>9377</v>
      </c>
      <c r="C3209" t="s">
        <v>104</v>
      </c>
      <c r="D3209" t="s">
        <v>171</v>
      </c>
      <c r="E3209" t="s">
        <v>234</v>
      </c>
    </row>
    <row r="3210" spans="1:5" x14ac:dyDescent="0.2">
      <c r="A3210" t="s">
        <v>6381</v>
      </c>
      <c r="B3210" t="s">
        <v>9378</v>
      </c>
      <c r="C3210" t="s">
        <v>104</v>
      </c>
      <c r="D3210" t="s">
        <v>444</v>
      </c>
      <c r="E3210" t="s">
        <v>234</v>
      </c>
    </row>
    <row r="3211" spans="1:5" x14ac:dyDescent="0.2">
      <c r="A3211" t="s">
        <v>6382</v>
      </c>
      <c r="B3211" t="s">
        <v>9379</v>
      </c>
      <c r="C3211" t="s">
        <v>104</v>
      </c>
      <c r="D3211" t="s">
        <v>444</v>
      </c>
      <c r="E3211" t="s">
        <v>234</v>
      </c>
    </row>
    <row r="3212" spans="1:5" x14ac:dyDescent="0.2">
      <c r="A3212" t="s">
        <v>6426</v>
      </c>
      <c r="B3212" t="s">
        <v>6427</v>
      </c>
      <c r="C3212" t="s">
        <v>92</v>
      </c>
      <c r="D3212" t="s">
        <v>604</v>
      </c>
      <c r="E3212" t="s">
        <v>234</v>
      </c>
    </row>
    <row r="3213" spans="1:5" x14ac:dyDescent="0.2">
      <c r="A3213" t="s">
        <v>6383</v>
      </c>
      <c r="B3213" t="s">
        <v>9380</v>
      </c>
      <c r="C3213" t="s">
        <v>131</v>
      </c>
      <c r="D3213" t="s">
        <v>433</v>
      </c>
      <c r="E3213" t="s">
        <v>234</v>
      </c>
    </row>
    <row r="3214" spans="1:5" x14ac:dyDescent="0.2">
      <c r="A3214" t="s">
        <v>6384</v>
      </c>
      <c r="B3214" t="s">
        <v>9381</v>
      </c>
      <c r="C3214" t="s">
        <v>131</v>
      </c>
      <c r="D3214" t="s">
        <v>224</v>
      </c>
      <c r="E3214" t="s">
        <v>234</v>
      </c>
    </row>
    <row r="3215" spans="1:5" x14ac:dyDescent="0.2">
      <c r="A3215" t="s">
        <v>6385</v>
      </c>
      <c r="B3215" t="s">
        <v>9382</v>
      </c>
      <c r="C3215" t="s">
        <v>131</v>
      </c>
      <c r="D3215" t="s">
        <v>224</v>
      </c>
      <c r="E3215" t="s">
        <v>234</v>
      </c>
    </row>
    <row r="3216" spans="1:5" x14ac:dyDescent="0.2">
      <c r="A3216" t="s">
        <v>6428</v>
      </c>
      <c r="B3216" t="s">
        <v>6429</v>
      </c>
      <c r="C3216" t="s">
        <v>219</v>
      </c>
      <c r="D3216" t="s">
        <v>456</v>
      </c>
      <c r="E3216" t="s">
        <v>234</v>
      </c>
    </row>
    <row r="3217" spans="1:5" x14ac:dyDescent="0.2">
      <c r="A3217" t="s">
        <v>6430</v>
      </c>
      <c r="B3217" t="s">
        <v>6431</v>
      </c>
      <c r="C3217" t="s">
        <v>219</v>
      </c>
      <c r="D3217" t="s">
        <v>1458</v>
      </c>
      <c r="E3217" t="s">
        <v>234</v>
      </c>
    </row>
    <row r="3218" spans="1:5" x14ac:dyDescent="0.2">
      <c r="A3218" t="s">
        <v>6432</v>
      </c>
      <c r="B3218" t="s">
        <v>6433</v>
      </c>
      <c r="C3218" t="s">
        <v>219</v>
      </c>
      <c r="D3218" t="s">
        <v>1458</v>
      </c>
      <c r="E3218" t="s">
        <v>234</v>
      </c>
    </row>
    <row r="3219" spans="1:5" x14ac:dyDescent="0.2">
      <c r="A3219" t="s">
        <v>6434</v>
      </c>
      <c r="B3219" t="s">
        <v>6435</v>
      </c>
      <c r="C3219" t="s">
        <v>219</v>
      </c>
      <c r="D3219" t="s">
        <v>456</v>
      </c>
      <c r="E3219" t="s">
        <v>234</v>
      </c>
    </row>
    <row r="3220" spans="1:5" x14ac:dyDescent="0.2">
      <c r="A3220" t="s">
        <v>6436</v>
      </c>
      <c r="B3220" t="s">
        <v>6437</v>
      </c>
      <c r="C3220" t="s">
        <v>219</v>
      </c>
      <c r="D3220" t="s">
        <v>456</v>
      </c>
      <c r="E3220" t="s">
        <v>234</v>
      </c>
    </row>
    <row r="3221" spans="1:5" x14ac:dyDescent="0.2">
      <c r="A3221" t="s">
        <v>6438</v>
      </c>
      <c r="B3221" t="s">
        <v>6439</v>
      </c>
      <c r="C3221" t="s">
        <v>219</v>
      </c>
      <c r="D3221" t="s">
        <v>400</v>
      </c>
      <c r="E3221" t="s">
        <v>234</v>
      </c>
    </row>
    <row r="3222" spans="1:5" x14ac:dyDescent="0.2">
      <c r="A3222" t="s">
        <v>6440</v>
      </c>
      <c r="B3222" t="s">
        <v>9383</v>
      </c>
      <c r="C3222" t="s">
        <v>219</v>
      </c>
      <c r="D3222" t="s">
        <v>299</v>
      </c>
      <c r="E3222" t="s">
        <v>234</v>
      </c>
    </row>
    <row r="3223" spans="1:5" x14ac:dyDescent="0.2">
      <c r="A3223" t="s">
        <v>6441</v>
      </c>
      <c r="B3223" t="s">
        <v>6442</v>
      </c>
      <c r="C3223" t="s">
        <v>287</v>
      </c>
      <c r="D3223" t="s">
        <v>1458</v>
      </c>
      <c r="E3223" t="s">
        <v>234</v>
      </c>
    </row>
    <row r="3224" spans="1:5" x14ac:dyDescent="0.2">
      <c r="A3224" t="s">
        <v>6443</v>
      </c>
      <c r="B3224" t="s">
        <v>6444</v>
      </c>
      <c r="C3224" t="s">
        <v>591</v>
      </c>
      <c r="D3224" t="s">
        <v>126</v>
      </c>
      <c r="E3224" t="s">
        <v>234</v>
      </c>
    </row>
    <row r="3225" spans="1:5" x14ac:dyDescent="0.2">
      <c r="A3225" t="s">
        <v>6445</v>
      </c>
      <c r="B3225" t="s">
        <v>6446</v>
      </c>
      <c r="C3225" t="s">
        <v>591</v>
      </c>
      <c r="D3225" t="s">
        <v>377</v>
      </c>
      <c r="E3225" t="s">
        <v>234</v>
      </c>
    </row>
    <row r="3226" spans="1:5" x14ac:dyDescent="0.2">
      <c r="A3226" t="s">
        <v>6447</v>
      </c>
      <c r="B3226" t="s">
        <v>6448</v>
      </c>
      <c r="C3226" t="s">
        <v>251</v>
      </c>
      <c r="D3226" t="s">
        <v>422</v>
      </c>
      <c r="E3226" t="s">
        <v>234</v>
      </c>
    </row>
    <row r="3227" spans="1:5" x14ac:dyDescent="0.2">
      <c r="A3227" t="s">
        <v>6449</v>
      </c>
      <c r="B3227" t="s">
        <v>6450</v>
      </c>
      <c r="C3227" t="s">
        <v>251</v>
      </c>
      <c r="D3227" t="s">
        <v>422</v>
      </c>
      <c r="E3227" t="s">
        <v>234</v>
      </c>
    </row>
    <row r="3228" spans="1:5" x14ac:dyDescent="0.2">
      <c r="A3228" t="s">
        <v>6451</v>
      </c>
      <c r="B3228" t="s">
        <v>6452</v>
      </c>
      <c r="C3228" t="s">
        <v>251</v>
      </c>
      <c r="D3228" t="s">
        <v>1006</v>
      </c>
      <c r="E3228" t="s">
        <v>234</v>
      </c>
    </row>
    <row r="3229" spans="1:5" x14ac:dyDescent="0.2">
      <c r="A3229" t="s">
        <v>6453</v>
      </c>
      <c r="B3229" t="s">
        <v>6454</v>
      </c>
      <c r="C3229" t="s">
        <v>251</v>
      </c>
      <c r="D3229" t="s">
        <v>1006</v>
      </c>
      <c r="E3229" t="s">
        <v>234</v>
      </c>
    </row>
    <row r="3230" spans="1:5" x14ac:dyDescent="0.2">
      <c r="A3230" t="s">
        <v>6455</v>
      </c>
      <c r="B3230" t="s">
        <v>6456</v>
      </c>
      <c r="C3230" t="s">
        <v>251</v>
      </c>
      <c r="D3230" t="s">
        <v>248</v>
      </c>
      <c r="E3230" t="s">
        <v>234</v>
      </c>
    </row>
    <row r="3231" spans="1:5" x14ac:dyDescent="0.2">
      <c r="A3231" t="s">
        <v>6457</v>
      </c>
      <c r="B3231" t="s">
        <v>6458</v>
      </c>
      <c r="C3231" t="s">
        <v>251</v>
      </c>
      <c r="D3231" t="s">
        <v>394</v>
      </c>
      <c r="E3231" t="s">
        <v>234</v>
      </c>
    </row>
    <row r="3232" spans="1:5" x14ac:dyDescent="0.2">
      <c r="A3232" t="s">
        <v>6459</v>
      </c>
      <c r="B3232" t="s">
        <v>6460</v>
      </c>
      <c r="C3232" t="s">
        <v>251</v>
      </c>
      <c r="D3232" t="s">
        <v>394</v>
      </c>
      <c r="E3232" t="s">
        <v>234</v>
      </c>
    </row>
    <row r="3233" spans="1:5" x14ac:dyDescent="0.2">
      <c r="A3233" t="s">
        <v>6461</v>
      </c>
      <c r="B3233" t="s">
        <v>6462</v>
      </c>
      <c r="C3233" t="s">
        <v>251</v>
      </c>
      <c r="D3233" t="s">
        <v>1971</v>
      </c>
      <c r="E3233" t="s">
        <v>234</v>
      </c>
    </row>
    <row r="3234" spans="1:5" x14ac:dyDescent="0.2">
      <c r="A3234" t="s">
        <v>6463</v>
      </c>
      <c r="B3234" t="s">
        <v>6464</v>
      </c>
      <c r="C3234" t="s">
        <v>251</v>
      </c>
      <c r="D3234" t="s">
        <v>1971</v>
      </c>
      <c r="E3234" t="s">
        <v>234</v>
      </c>
    </row>
    <row r="3235" spans="1:5" x14ac:dyDescent="0.2">
      <c r="A3235" t="s">
        <v>6465</v>
      </c>
      <c r="B3235" t="s">
        <v>6466</v>
      </c>
      <c r="C3235" t="s">
        <v>227</v>
      </c>
      <c r="D3235" t="s">
        <v>150</v>
      </c>
      <c r="E3235" t="s">
        <v>234</v>
      </c>
    </row>
    <row r="3236" spans="1:5" x14ac:dyDescent="0.2">
      <c r="A3236" t="s">
        <v>6467</v>
      </c>
      <c r="B3236" t="s">
        <v>6468</v>
      </c>
      <c r="C3236" t="s">
        <v>227</v>
      </c>
      <c r="D3236" t="s">
        <v>394</v>
      </c>
      <c r="E3236" t="s">
        <v>234</v>
      </c>
    </row>
    <row r="3237" spans="1:5" x14ac:dyDescent="0.2">
      <c r="A3237" t="s">
        <v>6469</v>
      </c>
      <c r="B3237" t="s">
        <v>6470</v>
      </c>
      <c r="C3237" t="s">
        <v>227</v>
      </c>
      <c r="D3237" t="s">
        <v>394</v>
      </c>
      <c r="E3237" t="s">
        <v>234</v>
      </c>
    </row>
    <row r="3238" spans="1:5" x14ac:dyDescent="0.2">
      <c r="A3238" t="s">
        <v>6471</v>
      </c>
      <c r="B3238" t="s">
        <v>6472</v>
      </c>
      <c r="C3238" t="s">
        <v>251</v>
      </c>
      <c r="D3238" t="s">
        <v>456</v>
      </c>
      <c r="E3238" t="s">
        <v>234</v>
      </c>
    </row>
    <row r="3239" spans="1:5" x14ac:dyDescent="0.2">
      <c r="A3239" t="s">
        <v>6473</v>
      </c>
      <c r="B3239" t="s">
        <v>6474</v>
      </c>
      <c r="C3239" t="s">
        <v>251</v>
      </c>
      <c r="D3239" t="s">
        <v>456</v>
      </c>
      <c r="E3239" t="s">
        <v>234</v>
      </c>
    </row>
    <row r="3240" spans="1:5" x14ac:dyDescent="0.2">
      <c r="A3240" t="s">
        <v>6475</v>
      </c>
      <c r="B3240" t="s">
        <v>6476</v>
      </c>
      <c r="C3240" t="s">
        <v>251</v>
      </c>
      <c r="D3240" t="s">
        <v>254</v>
      </c>
      <c r="E3240" t="s">
        <v>234</v>
      </c>
    </row>
    <row r="3241" spans="1:5" x14ac:dyDescent="0.2">
      <c r="A3241" t="s">
        <v>6477</v>
      </c>
      <c r="B3241" t="s">
        <v>6478</v>
      </c>
      <c r="C3241" t="s">
        <v>251</v>
      </c>
      <c r="D3241" t="s">
        <v>734</v>
      </c>
      <c r="E3241" t="s">
        <v>234</v>
      </c>
    </row>
    <row r="3242" spans="1:5" x14ac:dyDescent="0.2">
      <c r="A3242" t="s">
        <v>6479</v>
      </c>
      <c r="B3242" t="s">
        <v>6480</v>
      </c>
      <c r="C3242" t="s">
        <v>251</v>
      </c>
      <c r="D3242" t="s">
        <v>1322</v>
      </c>
      <c r="E3242" t="s">
        <v>234</v>
      </c>
    </row>
    <row r="3243" spans="1:5" x14ac:dyDescent="0.2">
      <c r="A3243" t="s">
        <v>6481</v>
      </c>
      <c r="B3243" t="s">
        <v>6482</v>
      </c>
      <c r="C3243" t="s">
        <v>421</v>
      </c>
      <c r="D3243" t="s">
        <v>604</v>
      </c>
      <c r="E3243" t="s">
        <v>9384</v>
      </c>
    </row>
    <row r="3244" spans="1:5" x14ac:dyDescent="0.2">
      <c r="A3244" t="s">
        <v>6483</v>
      </c>
      <c r="B3244" t="s">
        <v>6484</v>
      </c>
      <c r="C3244" t="s">
        <v>421</v>
      </c>
      <c r="D3244" t="s">
        <v>604</v>
      </c>
      <c r="E3244" t="s">
        <v>9384</v>
      </c>
    </row>
    <row r="3245" spans="1:5" x14ac:dyDescent="0.2">
      <c r="A3245" t="s">
        <v>6485</v>
      </c>
      <c r="B3245" t="s">
        <v>6486</v>
      </c>
      <c r="C3245" t="s">
        <v>131</v>
      </c>
      <c r="D3245" t="s">
        <v>224</v>
      </c>
      <c r="E3245" t="s">
        <v>8984</v>
      </c>
    </row>
    <row r="3246" spans="1:5" x14ac:dyDescent="0.2">
      <c r="A3246" t="s">
        <v>6487</v>
      </c>
      <c r="B3246" t="s">
        <v>6488</v>
      </c>
      <c r="C3246" t="s">
        <v>104</v>
      </c>
      <c r="D3246" t="s">
        <v>459</v>
      </c>
      <c r="E3246" t="s">
        <v>8984</v>
      </c>
    </row>
    <row r="3247" spans="1:5" x14ac:dyDescent="0.2">
      <c r="A3247" t="s">
        <v>6489</v>
      </c>
      <c r="B3247" t="s">
        <v>6490</v>
      </c>
      <c r="C3247" t="s">
        <v>104</v>
      </c>
      <c r="D3247" t="s">
        <v>456</v>
      </c>
      <c r="E3247" t="s">
        <v>8984</v>
      </c>
    </row>
    <row r="3248" spans="1:5" x14ac:dyDescent="0.2">
      <c r="A3248" t="s">
        <v>6491</v>
      </c>
      <c r="B3248" t="s">
        <v>6492</v>
      </c>
      <c r="C3248" t="s">
        <v>104</v>
      </c>
      <c r="D3248" t="s">
        <v>456</v>
      </c>
      <c r="E3248" t="s">
        <v>8984</v>
      </c>
    </row>
    <row r="3249" spans="1:5" x14ac:dyDescent="0.2">
      <c r="A3249" t="s">
        <v>6493</v>
      </c>
      <c r="B3249" t="s">
        <v>6494</v>
      </c>
      <c r="C3249" t="s">
        <v>104</v>
      </c>
      <c r="D3249" t="s">
        <v>115</v>
      </c>
      <c r="E3249" t="s">
        <v>8984</v>
      </c>
    </row>
    <row r="3250" spans="1:5" x14ac:dyDescent="0.2">
      <c r="A3250" t="s">
        <v>6495</v>
      </c>
      <c r="B3250" t="s">
        <v>6496</v>
      </c>
      <c r="C3250" t="s">
        <v>104</v>
      </c>
      <c r="D3250" t="s">
        <v>258</v>
      </c>
      <c r="E3250" t="s">
        <v>8984</v>
      </c>
    </row>
    <row r="3251" spans="1:5" x14ac:dyDescent="0.2">
      <c r="A3251" t="s">
        <v>6497</v>
      </c>
      <c r="B3251" t="s">
        <v>6498</v>
      </c>
      <c r="C3251" t="s">
        <v>244</v>
      </c>
      <c r="D3251" t="s">
        <v>2199</v>
      </c>
      <c r="E3251" t="s">
        <v>9148</v>
      </c>
    </row>
    <row r="3252" spans="1:5" x14ac:dyDescent="0.2">
      <c r="A3252" t="s">
        <v>6499</v>
      </c>
      <c r="B3252" t="s">
        <v>6500</v>
      </c>
      <c r="C3252" t="s">
        <v>244</v>
      </c>
      <c r="D3252" t="s">
        <v>341</v>
      </c>
      <c r="E3252" t="s">
        <v>9148</v>
      </c>
    </row>
    <row r="3253" spans="1:5" x14ac:dyDescent="0.2">
      <c r="A3253" t="s">
        <v>6501</v>
      </c>
      <c r="B3253" t="s">
        <v>6502</v>
      </c>
      <c r="C3253" t="s">
        <v>199</v>
      </c>
      <c r="D3253" t="s">
        <v>427</v>
      </c>
      <c r="E3253" t="s">
        <v>8879</v>
      </c>
    </row>
    <row r="3254" spans="1:5" x14ac:dyDescent="0.2">
      <c r="A3254" t="s">
        <v>6503</v>
      </c>
      <c r="B3254" t="s">
        <v>6504</v>
      </c>
      <c r="C3254" t="s">
        <v>199</v>
      </c>
      <c r="D3254" t="s">
        <v>654</v>
      </c>
      <c r="E3254" t="s">
        <v>8879</v>
      </c>
    </row>
    <row r="3255" spans="1:5" x14ac:dyDescent="0.2">
      <c r="A3255" t="s">
        <v>6505</v>
      </c>
      <c r="B3255" t="s">
        <v>6506</v>
      </c>
      <c r="C3255" t="s">
        <v>199</v>
      </c>
      <c r="D3255" t="s">
        <v>654</v>
      </c>
      <c r="E3255" t="s">
        <v>8879</v>
      </c>
    </row>
    <row r="3256" spans="1:5" x14ac:dyDescent="0.2">
      <c r="A3256" t="s">
        <v>6507</v>
      </c>
      <c r="B3256" t="s">
        <v>6508</v>
      </c>
      <c r="C3256" t="s">
        <v>120</v>
      </c>
      <c r="D3256" t="s">
        <v>394</v>
      </c>
      <c r="E3256" t="s">
        <v>8984</v>
      </c>
    </row>
    <row r="3257" spans="1:5" x14ac:dyDescent="0.2">
      <c r="A3257" t="s">
        <v>6509</v>
      </c>
      <c r="B3257" t="s">
        <v>6510</v>
      </c>
      <c r="C3257" t="s">
        <v>131</v>
      </c>
      <c r="D3257" t="s">
        <v>596</v>
      </c>
      <c r="E3257" t="s">
        <v>9229</v>
      </c>
    </row>
    <row r="3258" spans="1:5" x14ac:dyDescent="0.2">
      <c r="A3258" t="s">
        <v>6511</v>
      </c>
      <c r="B3258" t="s">
        <v>6512</v>
      </c>
      <c r="C3258" t="s">
        <v>104</v>
      </c>
      <c r="D3258" t="s">
        <v>237</v>
      </c>
      <c r="E3258" t="s">
        <v>9229</v>
      </c>
    </row>
    <row r="3259" spans="1:5" x14ac:dyDescent="0.2">
      <c r="A3259" t="s">
        <v>6513</v>
      </c>
      <c r="B3259" t="s">
        <v>6514</v>
      </c>
      <c r="C3259" t="s">
        <v>92</v>
      </c>
      <c r="D3259" t="s">
        <v>681</v>
      </c>
      <c r="E3259" t="s">
        <v>2031</v>
      </c>
    </row>
    <row r="3260" spans="1:5" x14ac:dyDescent="0.2">
      <c r="A3260" t="s">
        <v>6515</v>
      </c>
      <c r="B3260" t="s">
        <v>6516</v>
      </c>
      <c r="C3260" t="s">
        <v>131</v>
      </c>
      <c r="D3260" t="s">
        <v>238</v>
      </c>
      <c r="E3260" t="s">
        <v>9229</v>
      </c>
    </row>
    <row r="3261" spans="1:5" x14ac:dyDescent="0.2">
      <c r="A3261" t="s">
        <v>6517</v>
      </c>
      <c r="B3261" t="s">
        <v>6518</v>
      </c>
      <c r="C3261" t="s">
        <v>131</v>
      </c>
      <c r="D3261" t="s">
        <v>309</v>
      </c>
      <c r="E3261" t="s">
        <v>9229</v>
      </c>
    </row>
    <row r="3262" spans="1:5" x14ac:dyDescent="0.2">
      <c r="A3262" t="s">
        <v>6519</v>
      </c>
      <c r="B3262" t="s">
        <v>6520</v>
      </c>
      <c r="C3262" t="s">
        <v>104</v>
      </c>
      <c r="D3262" t="s">
        <v>299</v>
      </c>
      <c r="E3262" t="s">
        <v>2031</v>
      </c>
    </row>
    <row r="3263" spans="1:5" x14ac:dyDescent="0.2">
      <c r="A3263" t="s">
        <v>6526</v>
      </c>
      <c r="B3263" t="s">
        <v>6527</v>
      </c>
      <c r="C3263" t="s">
        <v>322</v>
      </c>
      <c r="D3263" t="s">
        <v>258</v>
      </c>
      <c r="E3263" t="s">
        <v>8879</v>
      </c>
    </row>
    <row r="3264" spans="1:5" x14ac:dyDescent="0.2">
      <c r="A3264" t="s">
        <v>6528</v>
      </c>
      <c r="B3264" t="s">
        <v>6529</v>
      </c>
      <c r="C3264" t="s">
        <v>322</v>
      </c>
      <c r="D3264" t="s">
        <v>1458</v>
      </c>
      <c r="E3264" t="s">
        <v>8879</v>
      </c>
    </row>
    <row r="3265" spans="1:5" x14ac:dyDescent="0.2">
      <c r="A3265" t="s">
        <v>6530</v>
      </c>
      <c r="B3265" t="s">
        <v>6531</v>
      </c>
      <c r="C3265" t="s">
        <v>9124</v>
      </c>
      <c r="D3265" t="s">
        <v>681</v>
      </c>
      <c r="E3265" t="s">
        <v>9385</v>
      </c>
    </row>
    <row r="3266" spans="1:5" x14ac:dyDescent="0.2">
      <c r="A3266" t="s">
        <v>6532</v>
      </c>
      <c r="B3266" t="s">
        <v>6533</v>
      </c>
      <c r="C3266" t="s">
        <v>9124</v>
      </c>
      <c r="D3266" t="s">
        <v>681</v>
      </c>
      <c r="E3266" t="s">
        <v>9385</v>
      </c>
    </row>
    <row r="3267" spans="1:5" x14ac:dyDescent="0.2">
      <c r="A3267" t="s">
        <v>6534</v>
      </c>
      <c r="B3267" t="s">
        <v>6535</v>
      </c>
      <c r="C3267" t="s">
        <v>9124</v>
      </c>
      <c r="D3267" t="s">
        <v>444</v>
      </c>
      <c r="E3267" t="s">
        <v>9385</v>
      </c>
    </row>
    <row r="3268" spans="1:5" x14ac:dyDescent="0.2">
      <c r="A3268" t="s">
        <v>6536</v>
      </c>
      <c r="B3268" t="s">
        <v>6537</v>
      </c>
      <c r="C3268" t="s">
        <v>219</v>
      </c>
      <c r="D3268" t="s">
        <v>358</v>
      </c>
      <c r="E3268" t="s">
        <v>8879</v>
      </c>
    </row>
    <row r="3269" spans="1:5" x14ac:dyDescent="0.2">
      <c r="A3269" t="s">
        <v>6538</v>
      </c>
      <c r="B3269" t="s">
        <v>6539</v>
      </c>
      <c r="C3269" t="s">
        <v>219</v>
      </c>
      <c r="D3269" t="s">
        <v>358</v>
      </c>
      <c r="E3269" t="s">
        <v>8879</v>
      </c>
    </row>
    <row r="3270" spans="1:5" x14ac:dyDescent="0.2">
      <c r="A3270" t="s">
        <v>6540</v>
      </c>
      <c r="B3270" t="s">
        <v>6541</v>
      </c>
      <c r="C3270" t="s">
        <v>421</v>
      </c>
      <c r="D3270" t="s">
        <v>224</v>
      </c>
      <c r="E3270" t="s">
        <v>8879</v>
      </c>
    </row>
    <row r="3271" spans="1:5" x14ac:dyDescent="0.2">
      <c r="A3271" t="s">
        <v>6542</v>
      </c>
      <c r="B3271" t="s">
        <v>6543</v>
      </c>
      <c r="C3271" t="s">
        <v>212</v>
      </c>
      <c r="D3271" t="s">
        <v>766</v>
      </c>
      <c r="E3271" t="s">
        <v>9148</v>
      </c>
    </row>
    <row r="3272" spans="1:5" x14ac:dyDescent="0.2">
      <c r="A3272" t="s">
        <v>6544</v>
      </c>
      <c r="B3272" t="s">
        <v>6545</v>
      </c>
      <c r="C3272" t="s">
        <v>212</v>
      </c>
      <c r="D3272" t="s">
        <v>358</v>
      </c>
      <c r="E3272" t="s">
        <v>9148</v>
      </c>
    </row>
    <row r="3273" spans="1:5" x14ac:dyDescent="0.2">
      <c r="A3273" t="s">
        <v>6546</v>
      </c>
      <c r="B3273" t="s">
        <v>6547</v>
      </c>
      <c r="C3273" t="s">
        <v>212</v>
      </c>
      <c r="D3273" t="s">
        <v>358</v>
      </c>
      <c r="E3273" t="s">
        <v>9148</v>
      </c>
    </row>
    <row r="3274" spans="1:5" x14ac:dyDescent="0.2">
      <c r="A3274" t="s">
        <v>6548</v>
      </c>
      <c r="B3274" t="s">
        <v>6549</v>
      </c>
      <c r="C3274" t="s">
        <v>357</v>
      </c>
      <c r="D3274" t="s">
        <v>1868</v>
      </c>
      <c r="E3274" t="s">
        <v>578</v>
      </c>
    </row>
    <row r="3275" spans="1:5" x14ac:dyDescent="0.2">
      <c r="A3275" t="s">
        <v>6550</v>
      </c>
      <c r="B3275" t="s">
        <v>6551</v>
      </c>
      <c r="C3275" t="s">
        <v>357</v>
      </c>
      <c r="D3275" t="s">
        <v>335</v>
      </c>
      <c r="E3275" t="s">
        <v>578</v>
      </c>
    </row>
    <row r="3276" spans="1:5" x14ac:dyDescent="0.2">
      <c r="A3276" t="s">
        <v>6552</v>
      </c>
      <c r="B3276" t="s">
        <v>6553</v>
      </c>
      <c r="C3276" t="s">
        <v>357</v>
      </c>
      <c r="D3276" t="s">
        <v>335</v>
      </c>
      <c r="E3276" t="s">
        <v>578</v>
      </c>
    </row>
    <row r="3277" spans="1:5" x14ac:dyDescent="0.2">
      <c r="A3277" t="s">
        <v>6554</v>
      </c>
      <c r="B3277" t="s">
        <v>6555</v>
      </c>
      <c r="C3277" t="s">
        <v>357</v>
      </c>
      <c r="D3277" t="s">
        <v>1947</v>
      </c>
      <c r="E3277" t="s">
        <v>578</v>
      </c>
    </row>
    <row r="3278" spans="1:5" x14ac:dyDescent="0.2">
      <c r="A3278" t="s">
        <v>6556</v>
      </c>
      <c r="B3278" t="s">
        <v>6557</v>
      </c>
      <c r="C3278" t="s">
        <v>357</v>
      </c>
      <c r="D3278" t="s">
        <v>1831</v>
      </c>
      <c r="E3278" t="s">
        <v>578</v>
      </c>
    </row>
    <row r="3279" spans="1:5" x14ac:dyDescent="0.2">
      <c r="A3279" t="s">
        <v>6558</v>
      </c>
      <c r="B3279" t="s">
        <v>6559</v>
      </c>
      <c r="C3279" t="s">
        <v>357</v>
      </c>
      <c r="D3279" t="s">
        <v>1831</v>
      </c>
      <c r="E3279" t="s">
        <v>578</v>
      </c>
    </row>
    <row r="3280" spans="1:5" x14ac:dyDescent="0.2">
      <c r="A3280" t="s">
        <v>6560</v>
      </c>
      <c r="B3280" t="s">
        <v>6561</v>
      </c>
      <c r="C3280" t="s">
        <v>357</v>
      </c>
      <c r="D3280" t="s">
        <v>1947</v>
      </c>
      <c r="E3280" t="s">
        <v>578</v>
      </c>
    </row>
    <row r="3281" spans="1:5" x14ac:dyDescent="0.2">
      <c r="A3281" t="s">
        <v>6562</v>
      </c>
      <c r="B3281" t="s">
        <v>6563</v>
      </c>
      <c r="C3281" t="s">
        <v>357</v>
      </c>
      <c r="D3281" t="s">
        <v>1831</v>
      </c>
      <c r="E3281" t="s">
        <v>578</v>
      </c>
    </row>
    <row r="3282" spans="1:5" x14ac:dyDescent="0.2">
      <c r="A3282" t="s">
        <v>6564</v>
      </c>
      <c r="B3282" t="s">
        <v>6565</v>
      </c>
      <c r="C3282" t="s">
        <v>357</v>
      </c>
      <c r="D3282" t="s">
        <v>2534</v>
      </c>
      <c r="E3282" t="s">
        <v>578</v>
      </c>
    </row>
    <row r="3283" spans="1:5" x14ac:dyDescent="0.2">
      <c r="A3283" t="s">
        <v>6566</v>
      </c>
      <c r="B3283" t="s">
        <v>6567</v>
      </c>
      <c r="C3283" t="s">
        <v>357</v>
      </c>
      <c r="D3283" t="s">
        <v>358</v>
      </c>
      <c r="E3283" t="s">
        <v>578</v>
      </c>
    </row>
    <row r="3284" spans="1:5" x14ac:dyDescent="0.2">
      <c r="A3284" t="s">
        <v>6568</v>
      </c>
      <c r="B3284" t="s">
        <v>6569</v>
      </c>
      <c r="C3284" t="s">
        <v>212</v>
      </c>
      <c r="D3284" t="s">
        <v>433</v>
      </c>
      <c r="E3284" t="s">
        <v>9148</v>
      </c>
    </row>
    <row r="3285" spans="1:5" x14ac:dyDescent="0.2">
      <c r="A3285" t="s">
        <v>6570</v>
      </c>
      <c r="B3285" t="s">
        <v>6571</v>
      </c>
      <c r="C3285" t="s">
        <v>212</v>
      </c>
      <c r="D3285" t="s">
        <v>224</v>
      </c>
      <c r="E3285" t="s">
        <v>9148</v>
      </c>
    </row>
    <row r="3286" spans="1:5" x14ac:dyDescent="0.2">
      <c r="A3286" t="s">
        <v>6572</v>
      </c>
      <c r="B3286" t="s">
        <v>6573</v>
      </c>
      <c r="C3286" t="s">
        <v>212</v>
      </c>
      <c r="D3286" t="s">
        <v>224</v>
      </c>
      <c r="E3286" t="s">
        <v>9148</v>
      </c>
    </row>
    <row r="3287" spans="1:5" x14ac:dyDescent="0.2">
      <c r="A3287" t="s">
        <v>6574</v>
      </c>
      <c r="B3287" t="s">
        <v>6575</v>
      </c>
      <c r="C3287" t="s">
        <v>199</v>
      </c>
      <c r="D3287" t="s">
        <v>2012</v>
      </c>
      <c r="E3287" t="s">
        <v>6576</v>
      </c>
    </row>
    <row r="3288" spans="1:5" x14ac:dyDescent="0.2">
      <c r="A3288" t="s">
        <v>6577</v>
      </c>
      <c r="B3288" t="s">
        <v>6578</v>
      </c>
      <c r="C3288" t="s">
        <v>199</v>
      </c>
      <c r="D3288" t="s">
        <v>535</v>
      </c>
      <c r="E3288" t="s">
        <v>6576</v>
      </c>
    </row>
    <row r="3289" spans="1:5" x14ac:dyDescent="0.2">
      <c r="A3289" t="s">
        <v>6579</v>
      </c>
      <c r="B3289" t="s">
        <v>6580</v>
      </c>
      <c r="C3289" t="s">
        <v>199</v>
      </c>
      <c r="D3289" t="s">
        <v>535</v>
      </c>
      <c r="E3289" t="s">
        <v>6576</v>
      </c>
    </row>
    <row r="3290" spans="1:5" x14ac:dyDescent="0.2">
      <c r="A3290" t="s">
        <v>6581</v>
      </c>
      <c r="B3290" t="s">
        <v>6582</v>
      </c>
      <c r="C3290" t="s">
        <v>104</v>
      </c>
      <c r="D3290" t="s">
        <v>2787</v>
      </c>
      <c r="E3290" t="s">
        <v>8984</v>
      </c>
    </row>
    <row r="3291" spans="1:5" x14ac:dyDescent="0.2">
      <c r="A3291" t="s">
        <v>6583</v>
      </c>
      <c r="B3291" t="s">
        <v>6584</v>
      </c>
      <c r="C3291" t="s">
        <v>104</v>
      </c>
      <c r="D3291" t="s">
        <v>2787</v>
      </c>
      <c r="E3291" t="s">
        <v>8984</v>
      </c>
    </row>
    <row r="3292" spans="1:5" x14ac:dyDescent="0.2">
      <c r="A3292" t="s">
        <v>6585</v>
      </c>
      <c r="B3292" t="s">
        <v>6586</v>
      </c>
      <c r="C3292" t="s">
        <v>104</v>
      </c>
      <c r="D3292" t="s">
        <v>572</v>
      </c>
      <c r="E3292" t="s">
        <v>8984</v>
      </c>
    </row>
    <row r="3293" spans="1:5" x14ac:dyDescent="0.2">
      <c r="A3293" t="s">
        <v>6587</v>
      </c>
      <c r="B3293" t="s">
        <v>6588</v>
      </c>
      <c r="C3293" t="s">
        <v>104</v>
      </c>
      <c r="D3293" t="s">
        <v>140</v>
      </c>
      <c r="E3293" t="s">
        <v>8984</v>
      </c>
    </row>
    <row r="3294" spans="1:5" x14ac:dyDescent="0.2">
      <c r="A3294" t="s">
        <v>6589</v>
      </c>
      <c r="B3294" t="s">
        <v>6590</v>
      </c>
      <c r="C3294" t="s">
        <v>104</v>
      </c>
      <c r="D3294" t="s">
        <v>140</v>
      </c>
      <c r="E3294" t="s">
        <v>8984</v>
      </c>
    </row>
    <row r="3295" spans="1:5" x14ac:dyDescent="0.2">
      <c r="A3295" t="s">
        <v>6591</v>
      </c>
      <c r="B3295" t="s">
        <v>6592</v>
      </c>
      <c r="C3295" t="s">
        <v>92</v>
      </c>
      <c r="D3295" t="s">
        <v>1909</v>
      </c>
      <c r="E3295" t="s">
        <v>2031</v>
      </c>
    </row>
    <row r="3296" spans="1:5" x14ac:dyDescent="0.2">
      <c r="A3296" t="s">
        <v>6593</v>
      </c>
      <c r="B3296" t="s">
        <v>6594</v>
      </c>
      <c r="C3296" t="s">
        <v>92</v>
      </c>
      <c r="D3296" t="s">
        <v>389</v>
      </c>
      <c r="E3296" t="s">
        <v>2031</v>
      </c>
    </row>
    <row r="3297" spans="1:5" x14ac:dyDescent="0.2">
      <c r="A3297" t="s">
        <v>6595</v>
      </c>
      <c r="B3297" t="s">
        <v>6596</v>
      </c>
      <c r="C3297" t="s">
        <v>92</v>
      </c>
      <c r="D3297" t="s">
        <v>389</v>
      </c>
      <c r="E3297" t="s">
        <v>2031</v>
      </c>
    </row>
    <row r="3298" spans="1:5" x14ac:dyDescent="0.2">
      <c r="A3298" t="s">
        <v>6597</v>
      </c>
      <c r="B3298" t="s">
        <v>6598</v>
      </c>
      <c r="C3298" t="s">
        <v>131</v>
      </c>
      <c r="D3298" t="s">
        <v>500</v>
      </c>
      <c r="E3298" t="s">
        <v>9148</v>
      </c>
    </row>
    <row r="3299" spans="1:5" x14ac:dyDescent="0.2">
      <c r="A3299" t="s">
        <v>6599</v>
      </c>
      <c r="B3299" t="s">
        <v>6600</v>
      </c>
      <c r="C3299" t="s">
        <v>131</v>
      </c>
      <c r="D3299" t="s">
        <v>500</v>
      </c>
      <c r="E3299" t="s">
        <v>9148</v>
      </c>
    </row>
    <row r="3300" spans="1:5" x14ac:dyDescent="0.2">
      <c r="A3300" t="s">
        <v>6601</v>
      </c>
      <c r="B3300" t="s">
        <v>6602</v>
      </c>
      <c r="C3300" t="s">
        <v>131</v>
      </c>
      <c r="D3300" t="s">
        <v>140</v>
      </c>
      <c r="E3300" t="s">
        <v>9148</v>
      </c>
    </row>
    <row r="3301" spans="1:5" x14ac:dyDescent="0.2">
      <c r="A3301" t="s">
        <v>6603</v>
      </c>
      <c r="B3301" t="s">
        <v>6604</v>
      </c>
      <c r="C3301" t="s">
        <v>131</v>
      </c>
      <c r="D3301" t="s">
        <v>462</v>
      </c>
      <c r="E3301" t="s">
        <v>9148</v>
      </c>
    </row>
    <row r="3302" spans="1:5" x14ac:dyDescent="0.2">
      <c r="A3302" t="s">
        <v>6605</v>
      </c>
      <c r="B3302" t="s">
        <v>6606</v>
      </c>
      <c r="C3302" t="s">
        <v>131</v>
      </c>
      <c r="D3302" t="s">
        <v>462</v>
      </c>
      <c r="E3302" t="s">
        <v>9148</v>
      </c>
    </row>
    <row r="3303" spans="1:5" x14ac:dyDescent="0.2">
      <c r="A3303" t="s">
        <v>6607</v>
      </c>
      <c r="B3303" t="s">
        <v>6608</v>
      </c>
      <c r="C3303" t="s">
        <v>104</v>
      </c>
      <c r="D3303" t="s">
        <v>3804</v>
      </c>
      <c r="E3303" t="s">
        <v>8893</v>
      </c>
    </row>
    <row r="3304" spans="1:5" x14ac:dyDescent="0.2">
      <c r="A3304" t="s">
        <v>6609</v>
      </c>
      <c r="B3304" t="s">
        <v>6610</v>
      </c>
      <c r="C3304" t="s">
        <v>104</v>
      </c>
      <c r="D3304" t="s">
        <v>3804</v>
      </c>
      <c r="E3304" t="s">
        <v>8893</v>
      </c>
    </row>
    <row r="3305" spans="1:5" x14ac:dyDescent="0.2">
      <c r="A3305" t="s">
        <v>6611</v>
      </c>
      <c r="B3305" t="s">
        <v>6612</v>
      </c>
      <c r="C3305" t="s">
        <v>104</v>
      </c>
      <c r="D3305" t="s">
        <v>332</v>
      </c>
      <c r="E3305" t="s">
        <v>8893</v>
      </c>
    </row>
    <row r="3306" spans="1:5" x14ac:dyDescent="0.2">
      <c r="A3306" t="s">
        <v>6613</v>
      </c>
      <c r="B3306" t="s">
        <v>6614</v>
      </c>
      <c r="C3306" t="s">
        <v>104</v>
      </c>
      <c r="D3306" t="s">
        <v>427</v>
      </c>
      <c r="E3306" t="s">
        <v>8893</v>
      </c>
    </row>
    <row r="3307" spans="1:5" x14ac:dyDescent="0.2">
      <c r="A3307" t="s">
        <v>6615</v>
      </c>
      <c r="B3307" t="s">
        <v>6616</v>
      </c>
      <c r="C3307" t="s">
        <v>104</v>
      </c>
      <c r="D3307" t="s">
        <v>427</v>
      </c>
      <c r="E3307" t="s">
        <v>8893</v>
      </c>
    </row>
    <row r="3308" spans="1:5" x14ac:dyDescent="0.2">
      <c r="A3308" t="s">
        <v>6617</v>
      </c>
      <c r="B3308" t="s">
        <v>6618</v>
      </c>
      <c r="C3308" t="s">
        <v>212</v>
      </c>
      <c r="D3308" t="s">
        <v>1944</v>
      </c>
      <c r="E3308" t="s">
        <v>8879</v>
      </c>
    </row>
    <row r="3309" spans="1:5" x14ac:dyDescent="0.2">
      <c r="A3309" t="s">
        <v>6619</v>
      </c>
      <c r="B3309" t="s">
        <v>6620</v>
      </c>
      <c r="C3309" t="s">
        <v>212</v>
      </c>
      <c r="D3309" t="s">
        <v>282</v>
      </c>
      <c r="E3309" t="s">
        <v>8879</v>
      </c>
    </row>
    <row r="3310" spans="1:5" x14ac:dyDescent="0.2">
      <c r="A3310" t="s">
        <v>6621</v>
      </c>
      <c r="B3310" t="s">
        <v>6622</v>
      </c>
      <c r="C3310" t="s">
        <v>669</v>
      </c>
      <c r="D3310" t="s">
        <v>389</v>
      </c>
      <c r="E3310" t="s">
        <v>8879</v>
      </c>
    </row>
    <row r="3311" spans="1:5" x14ac:dyDescent="0.2">
      <c r="A3311" t="s">
        <v>6623</v>
      </c>
      <c r="B3311" t="s">
        <v>6624</v>
      </c>
      <c r="C3311" t="s">
        <v>669</v>
      </c>
      <c r="D3311" t="s">
        <v>604</v>
      </c>
      <c r="E3311" t="s">
        <v>8879</v>
      </c>
    </row>
    <row r="3312" spans="1:5" x14ac:dyDescent="0.2">
      <c r="A3312" t="s">
        <v>6625</v>
      </c>
      <c r="B3312" t="s">
        <v>6626</v>
      </c>
      <c r="C3312" t="s">
        <v>669</v>
      </c>
      <c r="D3312" t="s">
        <v>604</v>
      </c>
      <c r="E3312" t="s">
        <v>8879</v>
      </c>
    </row>
    <row r="3313" spans="1:5" x14ac:dyDescent="0.2">
      <c r="A3313" t="s">
        <v>6521</v>
      </c>
      <c r="B3313" t="s">
        <v>9386</v>
      </c>
      <c r="C3313" t="s">
        <v>251</v>
      </c>
      <c r="D3313" t="s">
        <v>296</v>
      </c>
      <c r="E3313" t="s">
        <v>9135</v>
      </c>
    </row>
    <row r="3314" spans="1:5" x14ac:dyDescent="0.2">
      <c r="A3314" t="s">
        <v>6522</v>
      </c>
      <c r="B3314" t="s">
        <v>9387</v>
      </c>
      <c r="C3314" t="s">
        <v>251</v>
      </c>
      <c r="D3314" t="s">
        <v>296</v>
      </c>
      <c r="E3314" t="s">
        <v>9135</v>
      </c>
    </row>
    <row r="3315" spans="1:5" x14ac:dyDescent="0.2">
      <c r="A3315" t="s">
        <v>6523</v>
      </c>
      <c r="B3315" t="s">
        <v>9388</v>
      </c>
      <c r="C3315" t="s">
        <v>251</v>
      </c>
      <c r="D3315" t="s">
        <v>809</v>
      </c>
      <c r="E3315" t="s">
        <v>9135</v>
      </c>
    </row>
    <row r="3316" spans="1:5" x14ac:dyDescent="0.2">
      <c r="A3316" t="s">
        <v>6524</v>
      </c>
      <c r="B3316" t="s">
        <v>9389</v>
      </c>
      <c r="C3316" t="s">
        <v>251</v>
      </c>
      <c r="D3316" t="s">
        <v>299</v>
      </c>
      <c r="E3316" t="s">
        <v>9135</v>
      </c>
    </row>
    <row r="3317" spans="1:5" x14ac:dyDescent="0.2">
      <c r="A3317" t="s">
        <v>6525</v>
      </c>
      <c r="B3317" t="s">
        <v>9390</v>
      </c>
      <c r="C3317" t="s">
        <v>251</v>
      </c>
      <c r="D3317" t="s">
        <v>299</v>
      </c>
      <c r="E3317" t="s">
        <v>9135</v>
      </c>
    </row>
    <row r="3318" spans="1:5" x14ac:dyDescent="0.2">
      <c r="A3318" t="s">
        <v>6627</v>
      </c>
      <c r="B3318" t="s">
        <v>6628</v>
      </c>
      <c r="C3318" t="s">
        <v>251</v>
      </c>
      <c r="D3318" t="s">
        <v>433</v>
      </c>
      <c r="E3318" t="s">
        <v>9135</v>
      </c>
    </row>
    <row r="3319" spans="1:5" x14ac:dyDescent="0.2">
      <c r="A3319" t="s">
        <v>6629</v>
      </c>
      <c r="B3319" t="s">
        <v>6630</v>
      </c>
      <c r="C3319" t="s">
        <v>251</v>
      </c>
      <c r="D3319" t="s">
        <v>224</v>
      </c>
      <c r="E3319" t="s">
        <v>9135</v>
      </c>
    </row>
    <row r="3320" spans="1:5" x14ac:dyDescent="0.2">
      <c r="A3320" t="s">
        <v>6631</v>
      </c>
      <c r="B3320" t="s">
        <v>6632</v>
      </c>
      <c r="C3320" t="s">
        <v>887</v>
      </c>
      <c r="D3320" t="s">
        <v>233</v>
      </c>
      <c r="E3320" t="s">
        <v>8894</v>
      </c>
    </row>
    <row r="3321" spans="1:5" x14ac:dyDescent="0.2">
      <c r="A3321" t="s">
        <v>6633</v>
      </c>
      <c r="B3321" t="s">
        <v>6634</v>
      </c>
      <c r="C3321" t="s">
        <v>887</v>
      </c>
      <c r="D3321" t="s">
        <v>233</v>
      </c>
      <c r="E3321" t="s">
        <v>8894</v>
      </c>
    </row>
    <row r="3322" spans="1:5" x14ac:dyDescent="0.2">
      <c r="A3322" t="s">
        <v>6635</v>
      </c>
      <c r="B3322" t="s">
        <v>6636</v>
      </c>
      <c r="C3322" t="s">
        <v>887</v>
      </c>
      <c r="D3322" t="s">
        <v>1420</v>
      </c>
      <c r="E3322" t="s">
        <v>8894</v>
      </c>
    </row>
    <row r="3323" spans="1:5" x14ac:dyDescent="0.2">
      <c r="A3323" t="s">
        <v>6637</v>
      </c>
      <c r="B3323" t="s">
        <v>6638</v>
      </c>
      <c r="C3323" t="s">
        <v>887</v>
      </c>
      <c r="D3323" t="s">
        <v>1420</v>
      </c>
      <c r="E3323" t="s">
        <v>8894</v>
      </c>
    </row>
    <row r="3324" spans="1:5" x14ac:dyDescent="0.2">
      <c r="A3324" t="s">
        <v>6639</v>
      </c>
      <c r="B3324" t="s">
        <v>6640</v>
      </c>
      <c r="C3324" t="s">
        <v>212</v>
      </c>
      <c r="D3324" t="s">
        <v>115</v>
      </c>
      <c r="E3324" t="s">
        <v>8879</v>
      </c>
    </row>
    <row r="3325" spans="1:5" x14ac:dyDescent="0.2">
      <c r="A3325" t="s">
        <v>6641</v>
      </c>
      <c r="B3325" t="s">
        <v>6642</v>
      </c>
      <c r="C3325" t="s">
        <v>212</v>
      </c>
      <c r="D3325" t="s">
        <v>258</v>
      </c>
      <c r="E3325" t="s">
        <v>8879</v>
      </c>
    </row>
    <row r="3326" spans="1:5" x14ac:dyDescent="0.2">
      <c r="A3326" t="s">
        <v>6643</v>
      </c>
      <c r="B3326" t="s">
        <v>6644</v>
      </c>
      <c r="C3326" t="s">
        <v>212</v>
      </c>
      <c r="D3326" t="s">
        <v>258</v>
      </c>
      <c r="E3326" t="s">
        <v>8879</v>
      </c>
    </row>
    <row r="3327" spans="1:5" x14ac:dyDescent="0.2">
      <c r="A3327" t="s">
        <v>6645</v>
      </c>
      <c r="B3327" t="s">
        <v>6646</v>
      </c>
      <c r="C3327" t="s">
        <v>227</v>
      </c>
      <c r="D3327" t="s">
        <v>456</v>
      </c>
      <c r="E3327" t="s">
        <v>8879</v>
      </c>
    </row>
    <row r="3328" spans="1:5" x14ac:dyDescent="0.2">
      <c r="A3328" t="s">
        <v>6647</v>
      </c>
      <c r="B3328" t="s">
        <v>6648</v>
      </c>
      <c r="C3328" t="s">
        <v>227</v>
      </c>
      <c r="D3328" t="s">
        <v>456</v>
      </c>
      <c r="E3328" t="s">
        <v>8879</v>
      </c>
    </row>
    <row r="3329" spans="1:5" x14ac:dyDescent="0.2">
      <c r="A3329" t="s">
        <v>6649</v>
      </c>
      <c r="B3329" t="s">
        <v>6650</v>
      </c>
      <c r="C3329" t="s">
        <v>251</v>
      </c>
      <c r="D3329" t="s">
        <v>400</v>
      </c>
      <c r="E3329" t="s">
        <v>8879</v>
      </c>
    </row>
    <row r="3330" spans="1:5" x14ac:dyDescent="0.2">
      <c r="A3330" t="s">
        <v>6651</v>
      </c>
      <c r="B3330" t="s">
        <v>6652</v>
      </c>
      <c r="C3330" t="s">
        <v>251</v>
      </c>
      <c r="D3330" t="s">
        <v>400</v>
      </c>
      <c r="E3330" t="s">
        <v>8879</v>
      </c>
    </row>
    <row r="3331" spans="1:5" x14ac:dyDescent="0.2">
      <c r="A3331" t="s">
        <v>6653</v>
      </c>
      <c r="B3331" t="s">
        <v>6654</v>
      </c>
      <c r="C3331" t="s">
        <v>399</v>
      </c>
      <c r="D3331" t="s">
        <v>400</v>
      </c>
      <c r="E3331" t="s">
        <v>8879</v>
      </c>
    </row>
    <row r="3332" spans="1:5" x14ac:dyDescent="0.2">
      <c r="A3332" t="s">
        <v>6655</v>
      </c>
      <c r="B3332" t="s">
        <v>6656</v>
      </c>
      <c r="C3332" t="s">
        <v>522</v>
      </c>
      <c r="D3332" t="s">
        <v>412</v>
      </c>
      <c r="E3332" t="s">
        <v>8879</v>
      </c>
    </row>
    <row r="3333" spans="1:5" x14ac:dyDescent="0.2">
      <c r="A3333" t="s">
        <v>6657</v>
      </c>
      <c r="B3333" t="s">
        <v>6658</v>
      </c>
      <c r="C3333" t="s">
        <v>522</v>
      </c>
      <c r="D3333" t="s">
        <v>635</v>
      </c>
      <c r="E3333" t="s">
        <v>8879</v>
      </c>
    </row>
    <row r="3334" spans="1:5" x14ac:dyDescent="0.2">
      <c r="A3334" t="s">
        <v>6659</v>
      </c>
      <c r="B3334" t="s">
        <v>6660</v>
      </c>
      <c r="C3334" t="s">
        <v>92</v>
      </c>
      <c r="D3334" t="s">
        <v>9391</v>
      </c>
      <c r="E3334" t="s">
        <v>8984</v>
      </c>
    </row>
    <row r="3335" spans="1:5" x14ac:dyDescent="0.2">
      <c r="A3335" t="s">
        <v>6661</v>
      </c>
      <c r="B3335" t="s">
        <v>6662</v>
      </c>
      <c r="C3335" t="s">
        <v>92</v>
      </c>
      <c r="D3335" t="s">
        <v>9392</v>
      </c>
      <c r="E3335" t="s">
        <v>8984</v>
      </c>
    </row>
    <row r="3336" spans="1:5" x14ac:dyDescent="0.2">
      <c r="A3336" t="s">
        <v>7788</v>
      </c>
      <c r="B3336" t="s">
        <v>9393</v>
      </c>
      <c r="C3336" t="s">
        <v>131</v>
      </c>
      <c r="D3336" t="s">
        <v>842</v>
      </c>
      <c r="E3336" t="s">
        <v>9384</v>
      </c>
    </row>
    <row r="3337" spans="1:5" x14ac:dyDescent="0.2">
      <c r="A3337" t="s">
        <v>7789</v>
      </c>
      <c r="B3337" t="s">
        <v>9394</v>
      </c>
      <c r="C3337" t="s">
        <v>131</v>
      </c>
      <c r="D3337" t="s">
        <v>842</v>
      </c>
      <c r="E3337" t="s">
        <v>9384</v>
      </c>
    </row>
    <row r="3338" spans="1:5" x14ac:dyDescent="0.2">
      <c r="A3338" t="s">
        <v>6663</v>
      </c>
      <c r="B3338" t="s">
        <v>6664</v>
      </c>
      <c r="C3338" t="s">
        <v>92</v>
      </c>
      <c r="D3338" t="s">
        <v>6665</v>
      </c>
      <c r="E3338" t="s">
        <v>806</v>
      </c>
    </row>
    <row r="3339" spans="1:5" x14ac:dyDescent="0.2">
      <c r="A3339" t="s">
        <v>6666</v>
      </c>
      <c r="B3339" t="s">
        <v>6667</v>
      </c>
      <c r="C3339" t="s">
        <v>92</v>
      </c>
      <c r="D3339" t="s">
        <v>842</v>
      </c>
      <c r="E3339" t="s">
        <v>6668</v>
      </c>
    </row>
    <row r="3340" spans="1:5" x14ac:dyDescent="0.2">
      <c r="A3340" t="s">
        <v>6669</v>
      </c>
      <c r="B3340" t="s">
        <v>6670</v>
      </c>
      <c r="C3340" t="s">
        <v>104</v>
      </c>
      <c r="D3340" t="s">
        <v>6665</v>
      </c>
      <c r="E3340" t="s">
        <v>806</v>
      </c>
    </row>
    <row r="3341" spans="1:5" x14ac:dyDescent="0.2">
      <c r="A3341" t="s">
        <v>6671</v>
      </c>
      <c r="B3341" t="s">
        <v>6672</v>
      </c>
      <c r="C3341" t="s">
        <v>104</v>
      </c>
      <c r="D3341" t="s">
        <v>2856</v>
      </c>
      <c r="E3341" t="s">
        <v>6668</v>
      </c>
    </row>
    <row r="3342" spans="1:5" x14ac:dyDescent="0.2">
      <c r="A3342" t="s">
        <v>6673</v>
      </c>
      <c r="B3342" t="s">
        <v>6674</v>
      </c>
      <c r="C3342" t="s">
        <v>104</v>
      </c>
      <c r="D3342" t="s">
        <v>842</v>
      </c>
      <c r="E3342" t="s">
        <v>6668</v>
      </c>
    </row>
    <row r="3343" spans="1:5" x14ac:dyDescent="0.2">
      <c r="A3343" t="s">
        <v>6675</v>
      </c>
      <c r="B3343" t="s">
        <v>6676</v>
      </c>
      <c r="C3343" t="s">
        <v>120</v>
      </c>
      <c r="D3343" t="s">
        <v>6665</v>
      </c>
      <c r="E3343" t="s">
        <v>806</v>
      </c>
    </row>
    <row r="3344" spans="1:5" x14ac:dyDescent="0.2">
      <c r="A3344" t="s">
        <v>6677</v>
      </c>
      <c r="B3344" t="s">
        <v>6678</v>
      </c>
      <c r="C3344" t="s">
        <v>120</v>
      </c>
      <c r="D3344" t="s">
        <v>1944</v>
      </c>
      <c r="E3344" t="s">
        <v>6668</v>
      </c>
    </row>
    <row r="3345" spans="1:5" x14ac:dyDescent="0.2">
      <c r="A3345" t="s">
        <v>6679</v>
      </c>
      <c r="B3345" t="s">
        <v>6680</v>
      </c>
      <c r="C3345" t="s">
        <v>120</v>
      </c>
      <c r="D3345" t="s">
        <v>282</v>
      </c>
      <c r="E3345" t="s">
        <v>6668</v>
      </c>
    </row>
    <row r="3346" spans="1:5" x14ac:dyDescent="0.2">
      <c r="A3346" t="s">
        <v>6681</v>
      </c>
      <c r="B3346" t="s">
        <v>6682</v>
      </c>
      <c r="C3346" t="s">
        <v>131</v>
      </c>
      <c r="D3346" t="s">
        <v>6665</v>
      </c>
      <c r="E3346" t="s">
        <v>806</v>
      </c>
    </row>
    <row r="3347" spans="1:5" x14ac:dyDescent="0.2">
      <c r="A3347" t="s">
        <v>6683</v>
      </c>
      <c r="B3347" t="s">
        <v>6684</v>
      </c>
      <c r="C3347" t="s">
        <v>92</v>
      </c>
      <c r="D3347" t="s">
        <v>2856</v>
      </c>
      <c r="E3347" t="s">
        <v>6668</v>
      </c>
    </row>
    <row r="3348" spans="1:5" x14ac:dyDescent="0.2">
      <c r="A3348" t="s">
        <v>6685</v>
      </c>
      <c r="B3348" t="s">
        <v>6686</v>
      </c>
      <c r="C3348" t="s">
        <v>92</v>
      </c>
      <c r="D3348" t="s">
        <v>842</v>
      </c>
      <c r="E3348" t="s">
        <v>6668</v>
      </c>
    </row>
    <row r="3349" spans="1:5" x14ac:dyDescent="0.2">
      <c r="A3349" t="s">
        <v>6687</v>
      </c>
      <c r="B3349" t="s">
        <v>6688</v>
      </c>
      <c r="C3349" t="s">
        <v>357</v>
      </c>
      <c r="D3349" t="s">
        <v>400</v>
      </c>
      <c r="E3349" t="s">
        <v>806</v>
      </c>
    </row>
    <row r="3350" spans="1:5" x14ac:dyDescent="0.2">
      <c r="A3350" t="s">
        <v>6689</v>
      </c>
      <c r="B3350" t="s">
        <v>6690</v>
      </c>
      <c r="C3350" t="s">
        <v>131</v>
      </c>
      <c r="D3350" t="s">
        <v>6665</v>
      </c>
      <c r="E3350" t="s">
        <v>806</v>
      </c>
    </row>
    <row r="3351" spans="1:5" x14ac:dyDescent="0.2">
      <c r="A3351" t="s">
        <v>6691</v>
      </c>
      <c r="B3351" t="s">
        <v>6692</v>
      </c>
      <c r="C3351" t="s">
        <v>131</v>
      </c>
      <c r="D3351" t="s">
        <v>2856</v>
      </c>
      <c r="E3351" t="s">
        <v>6668</v>
      </c>
    </row>
    <row r="3352" spans="1:5" x14ac:dyDescent="0.2">
      <c r="A3352" t="s">
        <v>6693</v>
      </c>
      <c r="B3352" t="s">
        <v>6694</v>
      </c>
      <c r="C3352" t="s">
        <v>131</v>
      </c>
      <c r="D3352" t="s">
        <v>842</v>
      </c>
      <c r="E3352" t="s">
        <v>6668</v>
      </c>
    </row>
    <row r="3353" spans="1:5" x14ac:dyDescent="0.2">
      <c r="A3353" t="s">
        <v>6695</v>
      </c>
      <c r="B3353" t="s">
        <v>6696</v>
      </c>
      <c r="C3353" t="s">
        <v>131</v>
      </c>
      <c r="D3353" t="s">
        <v>539</v>
      </c>
      <c r="E3353" t="s">
        <v>806</v>
      </c>
    </row>
    <row r="3354" spans="1:5" x14ac:dyDescent="0.2">
      <c r="A3354" t="s">
        <v>6697</v>
      </c>
      <c r="B3354" t="s">
        <v>6698</v>
      </c>
      <c r="C3354" t="s">
        <v>2471</v>
      </c>
      <c r="D3354" t="s">
        <v>2012</v>
      </c>
      <c r="E3354" t="s">
        <v>806</v>
      </c>
    </row>
    <row r="3355" spans="1:5" x14ac:dyDescent="0.2">
      <c r="A3355" t="s">
        <v>6699</v>
      </c>
      <c r="B3355" t="s">
        <v>6700</v>
      </c>
      <c r="C3355" t="s">
        <v>2471</v>
      </c>
      <c r="D3355" t="s">
        <v>539</v>
      </c>
      <c r="E3355" t="s">
        <v>806</v>
      </c>
    </row>
    <row r="3356" spans="1:5" x14ac:dyDescent="0.2">
      <c r="A3356" t="s">
        <v>6701</v>
      </c>
      <c r="B3356" t="s">
        <v>6702</v>
      </c>
      <c r="C3356" t="s">
        <v>2471</v>
      </c>
      <c r="D3356" t="s">
        <v>2012</v>
      </c>
      <c r="E3356" t="s">
        <v>806</v>
      </c>
    </row>
    <row r="3357" spans="1:5" x14ac:dyDescent="0.2">
      <c r="A3357" t="s">
        <v>6703</v>
      </c>
      <c r="B3357" t="s">
        <v>6704</v>
      </c>
      <c r="C3357" t="s">
        <v>2471</v>
      </c>
      <c r="D3357" t="s">
        <v>539</v>
      </c>
      <c r="E3357" t="s">
        <v>806</v>
      </c>
    </row>
    <row r="3358" spans="1:5" x14ac:dyDescent="0.2">
      <c r="A3358" t="s">
        <v>6705</v>
      </c>
      <c r="B3358" t="s">
        <v>6706</v>
      </c>
      <c r="C3358" t="s">
        <v>2471</v>
      </c>
      <c r="D3358" t="s">
        <v>2012</v>
      </c>
      <c r="E3358" t="s">
        <v>806</v>
      </c>
    </row>
    <row r="3359" spans="1:5" x14ac:dyDescent="0.2">
      <c r="A3359" t="s">
        <v>6707</v>
      </c>
      <c r="B3359" t="s">
        <v>6708</v>
      </c>
      <c r="C3359" t="s">
        <v>2471</v>
      </c>
      <c r="D3359" t="s">
        <v>539</v>
      </c>
      <c r="E3359" t="s">
        <v>806</v>
      </c>
    </row>
    <row r="3360" spans="1:5" x14ac:dyDescent="0.2">
      <c r="A3360" t="s">
        <v>6709</v>
      </c>
      <c r="B3360" t="s">
        <v>6710</v>
      </c>
      <c r="C3360" t="s">
        <v>2471</v>
      </c>
      <c r="D3360" t="s">
        <v>2012</v>
      </c>
      <c r="E3360" t="s">
        <v>806</v>
      </c>
    </row>
    <row r="3361" spans="1:5" x14ac:dyDescent="0.2">
      <c r="A3361" t="s">
        <v>6711</v>
      </c>
      <c r="B3361" t="s">
        <v>6712</v>
      </c>
      <c r="C3361" t="s">
        <v>2471</v>
      </c>
      <c r="D3361" t="s">
        <v>539</v>
      </c>
      <c r="E3361" t="s">
        <v>806</v>
      </c>
    </row>
    <row r="3362" spans="1:5" x14ac:dyDescent="0.2">
      <c r="A3362" t="s">
        <v>6713</v>
      </c>
      <c r="B3362" t="s">
        <v>6714</v>
      </c>
      <c r="C3362" t="s">
        <v>104</v>
      </c>
      <c r="D3362" t="s">
        <v>1534</v>
      </c>
      <c r="E3362" t="s">
        <v>806</v>
      </c>
    </row>
    <row r="3363" spans="1:5" x14ac:dyDescent="0.2">
      <c r="A3363" t="s">
        <v>6715</v>
      </c>
      <c r="B3363" t="s">
        <v>6716</v>
      </c>
      <c r="C3363" t="s">
        <v>104</v>
      </c>
      <c r="D3363" t="s">
        <v>1831</v>
      </c>
      <c r="E3363" t="s">
        <v>806</v>
      </c>
    </row>
    <row r="3364" spans="1:5" x14ac:dyDescent="0.2">
      <c r="A3364" t="s">
        <v>6717</v>
      </c>
      <c r="B3364" t="s">
        <v>6718</v>
      </c>
      <c r="C3364" t="s">
        <v>219</v>
      </c>
      <c r="D3364" t="s">
        <v>433</v>
      </c>
      <c r="E3364" t="s">
        <v>806</v>
      </c>
    </row>
    <row r="3365" spans="1:5" x14ac:dyDescent="0.2">
      <c r="A3365" t="s">
        <v>6719</v>
      </c>
      <c r="B3365" t="s">
        <v>6720</v>
      </c>
      <c r="C3365" t="s">
        <v>219</v>
      </c>
      <c r="D3365" t="s">
        <v>224</v>
      </c>
      <c r="E3365" t="s">
        <v>806</v>
      </c>
    </row>
    <row r="3366" spans="1:5" x14ac:dyDescent="0.2">
      <c r="A3366" t="s">
        <v>6721</v>
      </c>
      <c r="B3366" t="s">
        <v>6722</v>
      </c>
      <c r="C3366" t="s">
        <v>219</v>
      </c>
      <c r="D3366" t="s">
        <v>1818</v>
      </c>
      <c r="E3366" t="s">
        <v>806</v>
      </c>
    </row>
    <row r="3367" spans="1:5" x14ac:dyDescent="0.2">
      <c r="A3367" t="s">
        <v>6723</v>
      </c>
      <c r="B3367" t="s">
        <v>6724</v>
      </c>
      <c r="C3367" t="s">
        <v>219</v>
      </c>
      <c r="D3367" t="s">
        <v>335</v>
      </c>
      <c r="E3367" t="s">
        <v>806</v>
      </c>
    </row>
    <row r="3368" spans="1:5" x14ac:dyDescent="0.2">
      <c r="A3368" t="s">
        <v>6725</v>
      </c>
      <c r="B3368" t="s">
        <v>6726</v>
      </c>
      <c r="C3368" t="s">
        <v>669</v>
      </c>
      <c r="D3368" t="s">
        <v>1156</v>
      </c>
      <c r="E3368" t="s">
        <v>8894</v>
      </c>
    </row>
    <row r="3369" spans="1:5" x14ac:dyDescent="0.2">
      <c r="A3369" t="s">
        <v>6727</v>
      </c>
      <c r="B3369" t="s">
        <v>6728</v>
      </c>
      <c r="C3369" t="s">
        <v>669</v>
      </c>
      <c r="D3369" t="s">
        <v>489</v>
      </c>
      <c r="E3369" t="s">
        <v>8894</v>
      </c>
    </row>
    <row r="3370" spans="1:5" x14ac:dyDescent="0.2">
      <c r="A3370" t="s">
        <v>6729</v>
      </c>
      <c r="B3370" t="s">
        <v>6730</v>
      </c>
      <c r="C3370" t="s">
        <v>219</v>
      </c>
      <c r="D3370" t="s">
        <v>433</v>
      </c>
      <c r="E3370" t="s">
        <v>806</v>
      </c>
    </row>
    <row r="3371" spans="1:5" x14ac:dyDescent="0.2">
      <c r="A3371" t="s">
        <v>6731</v>
      </c>
      <c r="B3371" t="s">
        <v>6732</v>
      </c>
      <c r="C3371" t="s">
        <v>219</v>
      </c>
      <c r="D3371" t="s">
        <v>224</v>
      </c>
      <c r="E3371" t="s">
        <v>806</v>
      </c>
    </row>
    <row r="3372" spans="1:5" x14ac:dyDescent="0.2">
      <c r="A3372" t="s">
        <v>6733</v>
      </c>
      <c r="B3372" t="s">
        <v>6734</v>
      </c>
      <c r="C3372" t="s">
        <v>357</v>
      </c>
      <c r="D3372" t="s">
        <v>400</v>
      </c>
      <c r="E3372" t="s">
        <v>221</v>
      </c>
    </row>
    <row r="3373" spans="1:5" x14ac:dyDescent="0.2">
      <c r="A3373" t="s">
        <v>6735</v>
      </c>
      <c r="B3373" t="s">
        <v>6736</v>
      </c>
      <c r="C3373" t="s">
        <v>357</v>
      </c>
      <c r="D3373" t="s">
        <v>400</v>
      </c>
      <c r="E3373" t="s">
        <v>221</v>
      </c>
    </row>
    <row r="3374" spans="1:5" x14ac:dyDescent="0.2">
      <c r="A3374" t="s">
        <v>6737</v>
      </c>
      <c r="B3374" t="s">
        <v>6738</v>
      </c>
      <c r="C3374" t="s">
        <v>357</v>
      </c>
      <c r="D3374" t="s">
        <v>266</v>
      </c>
      <c r="E3374" t="s">
        <v>221</v>
      </c>
    </row>
    <row r="3375" spans="1:5" x14ac:dyDescent="0.2">
      <c r="A3375" t="s">
        <v>6739</v>
      </c>
      <c r="B3375" t="s">
        <v>6740</v>
      </c>
      <c r="C3375" t="s">
        <v>357</v>
      </c>
      <c r="D3375" t="s">
        <v>400</v>
      </c>
      <c r="E3375" t="s">
        <v>221</v>
      </c>
    </row>
    <row r="3376" spans="1:5" x14ac:dyDescent="0.2">
      <c r="A3376" t="s">
        <v>6741</v>
      </c>
      <c r="B3376" t="s">
        <v>6742</v>
      </c>
      <c r="C3376" t="s">
        <v>357</v>
      </c>
      <c r="D3376" t="s">
        <v>400</v>
      </c>
      <c r="E3376" t="s">
        <v>221</v>
      </c>
    </row>
    <row r="3377" spans="1:5" x14ac:dyDescent="0.2">
      <c r="A3377" t="s">
        <v>6743</v>
      </c>
      <c r="B3377" t="s">
        <v>6744</v>
      </c>
      <c r="C3377" t="s">
        <v>287</v>
      </c>
      <c r="D3377" t="s">
        <v>813</v>
      </c>
      <c r="E3377" t="s">
        <v>806</v>
      </c>
    </row>
    <row r="3378" spans="1:5" x14ac:dyDescent="0.2">
      <c r="A3378" t="s">
        <v>6745</v>
      </c>
      <c r="B3378" t="s">
        <v>6746</v>
      </c>
      <c r="C3378" t="s">
        <v>287</v>
      </c>
      <c r="D3378" t="s">
        <v>2199</v>
      </c>
      <c r="E3378" t="s">
        <v>806</v>
      </c>
    </row>
    <row r="3379" spans="1:5" x14ac:dyDescent="0.2">
      <c r="A3379" t="s">
        <v>6747</v>
      </c>
      <c r="B3379" t="s">
        <v>6748</v>
      </c>
      <c r="C3379" t="s">
        <v>357</v>
      </c>
      <c r="D3379" t="s">
        <v>1566</v>
      </c>
      <c r="E3379" t="s">
        <v>2571</v>
      </c>
    </row>
    <row r="3380" spans="1:5" x14ac:dyDescent="0.2">
      <c r="A3380" t="s">
        <v>6749</v>
      </c>
      <c r="B3380" t="s">
        <v>6750</v>
      </c>
      <c r="C3380" t="s">
        <v>357</v>
      </c>
      <c r="D3380" t="s">
        <v>99</v>
      </c>
      <c r="E3380" t="s">
        <v>2571</v>
      </c>
    </row>
    <row r="3381" spans="1:5" x14ac:dyDescent="0.2">
      <c r="A3381" t="s">
        <v>6751</v>
      </c>
      <c r="B3381" t="s">
        <v>6752</v>
      </c>
      <c r="C3381" t="s">
        <v>244</v>
      </c>
      <c r="D3381" t="s">
        <v>301</v>
      </c>
      <c r="E3381" t="s">
        <v>2571</v>
      </c>
    </row>
    <row r="3382" spans="1:5" x14ac:dyDescent="0.2">
      <c r="A3382" t="s">
        <v>6753</v>
      </c>
      <c r="B3382" t="s">
        <v>6754</v>
      </c>
      <c r="C3382" t="s">
        <v>244</v>
      </c>
      <c r="D3382" t="s">
        <v>301</v>
      </c>
      <c r="E3382" t="s">
        <v>2571</v>
      </c>
    </row>
    <row r="3383" spans="1:5" x14ac:dyDescent="0.2">
      <c r="A3383" t="s">
        <v>6755</v>
      </c>
      <c r="B3383" t="s">
        <v>6756</v>
      </c>
      <c r="C3383" t="s">
        <v>244</v>
      </c>
      <c r="D3383" t="s">
        <v>237</v>
      </c>
      <c r="E3383" t="s">
        <v>2571</v>
      </c>
    </row>
    <row r="3384" spans="1:5" x14ac:dyDescent="0.2">
      <c r="A3384" t="s">
        <v>6757</v>
      </c>
      <c r="B3384" t="s">
        <v>6758</v>
      </c>
      <c r="C3384" t="s">
        <v>244</v>
      </c>
      <c r="D3384" t="s">
        <v>237</v>
      </c>
      <c r="E3384" t="s">
        <v>2571</v>
      </c>
    </row>
    <row r="3385" spans="1:5" x14ac:dyDescent="0.2">
      <c r="A3385" t="s">
        <v>6759</v>
      </c>
      <c r="B3385" t="s">
        <v>6760</v>
      </c>
      <c r="C3385" t="s">
        <v>244</v>
      </c>
      <c r="D3385" t="s">
        <v>1351</v>
      </c>
      <c r="E3385" t="s">
        <v>2571</v>
      </c>
    </row>
    <row r="3386" spans="1:5" x14ac:dyDescent="0.2">
      <c r="A3386" t="s">
        <v>6761</v>
      </c>
      <c r="B3386" t="s">
        <v>6762</v>
      </c>
      <c r="C3386" t="s">
        <v>244</v>
      </c>
      <c r="D3386" t="s">
        <v>1351</v>
      </c>
      <c r="E3386" t="s">
        <v>2571</v>
      </c>
    </row>
    <row r="3387" spans="1:5" x14ac:dyDescent="0.2">
      <c r="A3387" t="s">
        <v>6763</v>
      </c>
      <c r="B3387" t="s">
        <v>6764</v>
      </c>
      <c r="C3387" t="s">
        <v>219</v>
      </c>
      <c r="D3387" t="s">
        <v>254</v>
      </c>
      <c r="E3387" t="s">
        <v>8894</v>
      </c>
    </row>
    <row r="3388" spans="1:5" x14ac:dyDescent="0.2">
      <c r="A3388" t="s">
        <v>6765</v>
      </c>
      <c r="B3388" t="s">
        <v>6766</v>
      </c>
      <c r="C3388" t="s">
        <v>219</v>
      </c>
      <c r="D3388" t="s">
        <v>955</v>
      </c>
      <c r="E3388" t="s">
        <v>8894</v>
      </c>
    </row>
    <row r="3389" spans="1:5" x14ac:dyDescent="0.2">
      <c r="A3389" t="s">
        <v>6767</v>
      </c>
      <c r="B3389" t="s">
        <v>6768</v>
      </c>
      <c r="C3389" t="s">
        <v>2471</v>
      </c>
      <c r="D3389" t="s">
        <v>224</v>
      </c>
      <c r="E3389" t="s">
        <v>9148</v>
      </c>
    </row>
    <row r="3390" spans="1:5" x14ac:dyDescent="0.2">
      <c r="A3390" t="s">
        <v>6769</v>
      </c>
      <c r="B3390" t="s">
        <v>6770</v>
      </c>
      <c r="C3390" t="s">
        <v>2471</v>
      </c>
      <c r="D3390" t="s">
        <v>224</v>
      </c>
      <c r="E3390" t="s">
        <v>9148</v>
      </c>
    </row>
    <row r="3391" spans="1:5" x14ac:dyDescent="0.2">
      <c r="A3391" t="s">
        <v>6771</v>
      </c>
      <c r="B3391" t="s">
        <v>6772</v>
      </c>
      <c r="C3391" t="s">
        <v>244</v>
      </c>
      <c r="D3391" t="s">
        <v>284</v>
      </c>
      <c r="E3391" t="s">
        <v>9148</v>
      </c>
    </row>
    <row r="3392" spans="1:5" x14ac:dyDescent="0.2">
      <c r="A3392" t="s">
        <v>6773</v>
      </c>
      <c r="B3392" t="s">
        <v>6774</v>
      </c>
      <c r="C3392" t="s">
        <v>244</v>
      </c>
      <c r="D3392" t="s">
        <v>284</v>
      </c>
      <c r="E3392" t="s">
        <v>9148</v>
      </c>
    </row>
    <row r="3393" spans="1:5" x14ac:dyDescent="0.2">
      <c r="A3393" t="s">
        <v>6775</v>
      </c>
      <c r="B3393" t="s">
        <v>6776</v>
      </c>
      <c r="C3393" t="s">
        <v>212</v>
      </c>
      <c r="D3393" t="s">
        <v>241</v>
      </c>
      <c r="E3393" t="s">
        <v>2571</v>
      </c>
    </row>
    <row r="3394" spans="1:5" x14ac:dyDescent="0.2">
      <c r="A3394" t="s">
        <v>6777</v>
      </c>
      <c r="B3394" t="s">
        <v>6778</v>
      </c>
      <c r="C3394" t="s">
        <v>212</v>
      </c>
      <c r="D3394" t="s">
        <v>241</v>
      </c>
      <c r="E3394" t="s">
        <v>2571</v>
      </c>
    </row>
    <row r="3395" spans="1:5" x14ac:dyDescent="0.2">
      <c r="A3395" t="s">
        <v>6779</v>
      </c>
      <c r="B3395" t="s">
        <v>6780</v>
      </c>
      <c r="C3395" t="s">
        <v>212</v>
      </c>
      <c r="D3395" t="s">
        <v>252</v>
      </c>
      <c r="E3395" t="s">
        <v>2571</v>
      </c>
    </row>
    <row r="3396" spans="1:5" x14ac:dyDescent="0.2">
      <c r="A3396" t="s">
        <v>6781</v>
      </c>
      <c r="B3396" t="s">
        <v>6782</v>
      </c>
      <c r="C3396" t="s">
        <v>212</v>
      </c>
      <c r="D3396" t="s">
        <v>252</v>
      </c>
      <c r="E3396" t="s">
        <v>2571</v>
      </c>
    </row>
    <row r="3397" spans="1:5" x14ac:dyDescent="0.2">
      <c r="A3397" t="s">
        <v>6783</v>
      </c>
      <c r="B3397" t="s">
        <v>6784</v>
      </c>
      <c r="C3397" t="s">
        <v>287</v>
      </c>
      <c r="D3397" t="s">
        <v>386</v>
      </c>
      <c r="E3397" t="s">
        <v>8984</v>
      </c>
    </row>
    <row r="3398" spans="1:5" x14ac:dyDescent="0.2">
      <c r="A3398" t="s">
        <v>6785</v>
      </c>
      <c r="B3398" t="s">
        <v>6786</v>
      </c>
      <c r="C3398" t="s">
        <v>287</v>
      </c>
      <c r="D3398" t="s">
        <v>386</v>
      </c>
      <c r="E3398" t="s">
        <v>8984</v>
      </c>
    </row>
    <row r="3399" spans="1:5" x14ac:dyDescent="0.2">
      <c r="A3399" t="s">
        <v>6787</v>
      </c>
      <c r="B3399" t="s">
        <v>6788</v>
      </c>
      <c r="C3399" t="s">
        <v>357</v>
      </c>
      <c r="D3399" t="s">
        <v>473</v>
      </c>
      <c r="E3399" t="s">
        <v>2571</v>
      </c>
    </row>
    <row r="3400" spans="1:5" x14ac:dyDescent="0.2">
      <c r="A3400" t="s">
        <v>6789</v>
      </c>
      <c r="B3400" t="s">
        <v>6790</v>
      </c>
      <c r="C3400" t="s">
        <v>357</v>
      </c>
      <c r="D3400" t="s">
        <v>473</v>
      </c>
      <c r="E3400" t="s">
        <v>2571</v>
      </c>
    </row>
    <row r="3401" spans="1:5" x14ac:dyDescent="0.2">
      <c r="A3401" t="s">
        <v>6791</v>
      </c>
      <c r="B3401" t="s">
        <v>6792</v>
      </c>
      <c r="C3401" t="s">
        <v>357</v>
      </c>
      <c r="D3401" t="s">
        <v>635</v>
      </c>
      <c r="E3401" t="s">
        <v>2571</v>
      </c>
    </row>
    <row r="3402" spans="1:5" x14ac:dyDescent="0.2">
      <c r="A3402" t="s">
        <v>6793</v>
      </c>
      <c r="B3402" t="s">
        <v>6794</v>
      </c>
      <c r="C3402" t="s">
        <v>357</v>
      </c>
      <c r="D3402" t="s">
        <v>635</v>
      </c>
      <c r="E3402" t="s">
        <v>2571</v>
      </c>
    </row>
    <row r="3403" spans="1:5" x14ac:dyDescent="0.2">
      <c r="A3403" t="s">
        <v>6795</v>
      </c>
      <c r="B3403" t="s">
        <v>6796</v>
      </c>
      <c r="C3403" t="s">
        <v>357</v>
      </c>
      <c r="D3403" t="s">
        <v>193</v>
      </c>
      <c r="E3403" t="s">
        <v>2571</v>
      </c>
    </row>
    <row r="3404" spans="1:5" x14ac:dyDescent="0.2">
      <c r="A3404" t="s">
        <v>6797</v>
      </c>
      <c r="B3404" t="s">
        <v>6798</v>
      </c>
      <c r="C3404" t="s">
        <v>357</v>
      </c>
      <c r="D3404" t="s">
        <v>193</v>
      </c>
      <c r="E3404" t="s">
        <v>2571</v>
      </c>
    </row>
    <row r="3405" spans="1:5" x14ac:dyDescent="0.2">
      <c r="A3405" t="s">
        <v>6799</v>
      </c>
      <c r="B3405" t="s">
        <v>6800</v>
      </c>
      <c r="C3405" t="s">
        <v>357</v>
      </c>
      <c r="D3405" t="s">
        <v>323</v>
      </c>
      <c r="E3405" t="s">
        <v>2571</v>
      </c>
    </row>
    <row r="3406" spans="1:5" x14ac:dyDescent="0.2">
      <c r="A3406" t="s">
        <v>6801</v>
      </c>
      <c r="B3406" t="s">
        <v>6802</v>
      </c>
      <c r="C3406" t="s">
        <v>357</v>
      </c>
      <c r="D3406" t="s">
        <v>323</v>
      </c>
      <c r="E3406" t="s">
        <v>2571</v>
      </c>
    </row>
    <row r="3407" spans="1:5" x14ac:dyDescent="0.2">
      <c r="A3407" t="s">
        <v>6803</v>
      </c>
      <c r="B3407" t="s">
        <v>6804</v>
      </c>
      <c r="C3407" t="s">
        <v>357</v>
      </c>
      <c r="D3407" t="s">
        <v>480</v>
      </c>
      <c r="E3407" t="s">
        <v>2571</v>
      </c>
    </row>
    <row r="3408" spans="1:5" x14ac:dyDescent="0.2">
      <c r="A3408" t="s">
        <v>6805</v>
      </c>
      <c r="B3408" t="s">
        <v>6806</v>
      </c>
      <c r="C3408" t="s">
        <v>357</v>
      </c>
      <c r="D3408" t="s">
        <v>480</v>
      </c>
      <c r="E3408" t="s">
        <v>2571</v>
      </c>
    </row>
    <row r="3409" spans="1:5" x14ac:dyDescent="0.2">
      <c r="A3409" t="s">
        <v>6807</v>
      </c>
      <c r="B3409" t="s">
        <v>6808</v>
      </c>
      <c r="C3409" t="s">
        <v>251</v>
      </c>
      <c r="D3409" t="s">
        <v>266</v>
      </c>
      <c r="E3409" t="s">
        <v>2571</v>
      </c>
    </row>
    <row r="3410" spans="1:5" x14ac:dyDescent="0.2">
      <c r="A3410" t="s">
        <v>6809</v>
      </c>
      <c r="B3410" t="s">
        <v>6810</v>
      </c>
      <c r="C3410" t="s">
        <v>251</v>
      </c>
      <c r="D3410" t="s">
        <v>266</v>
      </c>
      <c r="E3410" t="s">
        <v>2571</v>
      </c>
    </row>
    <row r="3411" spans="1:5" x14ac:dyDescent="0.2">
      <c r="A3411" t="s">
        <v>6811</v>
      </c>
      <c r="B3411" t="s">
        <v>6812</v>
      </c>
      <c r="C3411" t="s">
        <v>251</v>
      </c>
      <c r="D3411" t="s">
        <v>433</v>
      </c>
      <c r="E3411" t="s">
        <v>2571</v>
      </c>
    </row>
    <row r="3412" spans="1:5" x14ac:dyDescent="0.2">
      <c r="A3412" t="s">
        <v>6813</v>
      </c>
      <c r="B3412" t="s">
        <v>6814</v>
      </c>
      <c r="C3412" t="s">
        <v>251</v>
      </c>
      <c r="D3412" t="s">
        <v>433</v>
      </c>
      <c r="E3412" t="s">
        <v>2571</v>
      </c>
    </row>
    <row r="3413" spans="1:5" x14ac:dyDescent="0.2">
      <c r="A3413" t="s">
        <v>6815</v>
      </c>
      <c r="B3413" t="s">
        <v>9395</v>
      </c>
      <c r="C3413" t="s">
        <v>376</v>
      </c>
      <c r="D3413" t="s">
        <v>3156</v>
      </c>
      <c r="E3413" t="s">
        <v>9155</v>
      </c>
    </row>
    <row r="3414" spans="1:5" x14ac:dyDescent="0.2">
      <c r="A3414" t="s">
        <v>6816</v>
      </c>
      <c r="B3414" t="s">
        <v>6817</v>
      </c>
      <c r="C3414" t="s">
        <v>2471</v>
      </c>
      <c r="D3414" t="s">
        <v>888</v>
      </c>
      <c r="E3414" t="s">
        <v>9155</v>
      </c>
    </row>
    <row r="3415" spans="1:5" x14ac:dyDescent="0.2">
      <c r="A3415" t="s">
        <v>6818</v>
      </c>
      <c r="B3415" t="s">
        <v>6819</v>
      </c>
      <c r="C3415" t="s">
        <v>2471</v>
      </c>
      <c r="D3415" t="s">
        <v>893</v>
      </c>
      <c r="E3415" t="s">
        <v>9155</v>
      </c>
    </row>
    <row r="3416" spans="1:5" x14ac:dyDescent="0.2">
      <c r="A3416" t="s">
        <v>6820</v>
      </c>
      <c r="B3416" t="s">
        <v>6821</v>
      </c>
      <c r="C3416" t="s">
        <v>2471</v>
      </c>
      <c r="D3416" t="s">
        <v>893</v>
      </c>
      <c r="E3416" t="s">
        <v>9155</v>
      </c>
    </row>
    <row r="3417" spans="1:5" x14ac:dyDescent="0.2">
      <c r="A3417" t="s">
        <v>6822</v>
      </c>
      <c r="B3417" t="s">
        <v>6823</v>
      </c>
      <c r="C3417" t="s">
        <v>244</v>
      </c>
      <c r="D3417" t="s">
        <v>145</v>
      </c>
      <c r="E3417" t="s">
        <v>9155</v>
      </c>
    </row>
    <row r="3418" spans="1:5" x14ac:dyDescent="0.2">
      <c r="A3418" t="s">
        <v>6824</v>
      </c>
      <c r="B3418" t="s">
        <v>6825</v>
      </c>
      <c r="C3418" t="s">
        <v>244</v>
      </c>
      <c r="D3418" t="s">
        <v>1458</v>
      </c>
      <c r="E3418" t="s">
        <v>9155</v>
      </c>
    </row>
    <row r="3419" spans="1:5" x14ac:dyDescent="0.2">
      <c r="A3419" t="s">
        <v>6826</v>
      </c>
      <c r="B3419" t="s">
        <v>6827</v>
      </c>
      <c r="C3419" t="s">
        <v>244</v>
      </c>
      <c r="D3419" t="s">
        <v>1458</v>
      </c>
      <c r="E3419" t="s">
        <v>9155</v>
      </c>
    </row>
    <row r="3420" spans="1:5" x14ac:dyDescent="0.2">
      <c r="A3420" t="s">
        <v>6828</v>
      </c>
      <c r="B3420" t="s">
        <v>6829</v>
      </c>
      <c r="C3420" t="s">
        <v>244</v>
      </c>
      <c r="D3420" t="s">
        <v>309</v>
      </c>
      <c r="E3420" t="s">
        <v>9155</v>
      </c>
    </row>
    <row r="3421" spans="1:5" x14ac:dyDescent="0.2">
      <c r="A3421" t="s">
        <v>6830</v>
      </c>
      <c r="B3421" t="s">
        <v>6831</v>
      </c>
      <c r="C3421" t="s">
        <v>244</v>
      </c>
      <c r="D3421" t="s">
        <v>1081</v>
      </c>
      <c r="E3421" t="s">
        <v>9155</v>
      </c>
    </row>
    <row r="3422" spans="1:5" x14ac:dyDescent="0.2">
      <c r="A3422" t="s">
        <v>6832</v>
      </c>
      <c r="B3422" t="s">
        <v>6833</v>
      </c>
      <c r="C3422" t="s">
        <v>199</v>
      </c>
      <c r="D3422" t="s">
        <v>275</v>
      </c>
      <c r="E3422" t="s">
        <v>9155</v>
      </c>
    </row>
    <row r="3423" spans="1:5" x14ac:dyDescent="0.2">
      <c r="A3423" t="s">
        <v>6834</v>
      </c>
      <c r="B3423" t="s">
        <v>6835</v>
      </c>
      <c r="C3423" t="s">
        <v>331</v>
      </c>
      <c r="D3423" t="s">
        <v>341</v>
      </c>
      <c r="E3423" t="s">
        <v>9155</v>
      </c>
    </row>
    <row r="3424" spans="1:5" x14ac:dyDescent="0.2">
      <c r="A3424" t="s">
        <v>6836</v>
      </c>
      <c r="B3424" t="s">
        <v>6837</v>
      </c>
      <c r="C3424" t="s">
        <v>2471</v>
      </c>
      <c r="D3424" t="s">
        <v>3161</v>
      </c>
      <c r="E3424" t="s">
        <v>9155</v>
      </c>
    </row>
    <row r="3425" spans="1:5" x14ac:dyDescent="0.2">
      <c r="A3425" t="s">
        <v>6838</v>
      </c>
      <c r="B3425" t="s">
        <v>6839</v>
      </c>
      <c r="C3425" t="s">
        <v>2471</v>
      </c>
      <c r="D3425" t="s">
        <v>3161</v>
      </c>
      <c r="E3425" t="s">
        <v>9155</v>
      </c>
    </row>
    <row r="3426" spans="1:5" x14ac:dyDescent="0.2">
      <c r="A3426" t="s">
        <v>6840</v>
      </c>
      <c r="B3426" t="s">
        <v>6841</v>
      </c>
      <c r="C3426" t="s">
        <v>287</v>
      </c>
      <c r="D3426" t="s">
        <v>710</v>
      </c>
      <c r="E3426" t="s">
        <v>9155</v>
      </c>
    </row>
    <row r="3427" spans="1:5" x14ac:dyDescent="0.2">
      <c r="A3427" t="s">
        <v>6842</v>
      </c>
      <c r="B3427" t="s">
        <v>6843</v>
      </c>
      <c r="C3427" t="s">
        <v>287</v>
      </c>
      <c r="D3427" t="s">
        <v>710</v>
      </c>
      <c r="E3427" t="s">
        <v>9155</v>
      </c>
    </row>
    <row r="3428" spans="1:5" x14ac:dyDescent="0.2">
      <c r="A3428" t="s">
        <v>6844</v>
      </c>
      <c r="B3428" t="s">
        <v>6845</v>
      </c>
      <c r="C3428" t="s">
        <v>322</v>
      </c>
      <c r="D3428" t="s">
        <v>2199</v>
      </c>
      <c r="E3428" t="s">
        <v>9155</v>
      </c>
    </row>
    <row r="3429" spans="1:5" x14ac:dyDescent="0.2">
      <c r="A3429" t="s">
        <v>6846</v>
      </c>
      <c r="B3429" t="s">
        <v>6847</v>
      </c>
      <c r="C3429" t="s">
        <v>322</v>
      </c>
      <c r="D3429" t="s">
        <v>238</v>
      </c>
      <c r="E3429" t="s">
        <v>9155</v>
      </c>
    </row>
    <row r="3430" spans="1:5" x14ac:dyDescent="0.2">
      <c r="A3430" t="s">
        <v>13</v>
      </c>
      <c r="B3430" t="s">
        <v>6849</v>
      </c>
      <c r="C3430" t="s">
        <v>705</v>
      </c>
      <c r="D3430" t="s">
        <v>525</v>
      </c>
      <c r="E3430" t="s">
        <v>9155</v>
      </c>
    </row>
    <row r="3431" spans="1:5" x14ac:dyDescent="0.2">
      <c r="A3431" t="s">
        <v>6850</v>
      </c>
      <c r="B3431" t="s">
        <v>6851</v>
      </c>
      <c r="C3431" t="s">
        <v>705</v>
      </c>
      <c r="D3431" t="s">
        <v>1994</v>
      </c>
      <c r="E3431" t="s">
        <v>9155</v>
      </c>
    </row>
    <row r="3432" spans="1:5" x14ac:dyDescent="0.2">
      <c r="A3432" t="s">
        <v>6852</v>
      </c>
      <c r="B3432" t="s">
        <v>6853</v>
      </c>
      <c r="C3432" t="s">
        <v>219</v>
      </c>
      <c r="D3432" t="s">
        <v>436</v>
      </c>
      <c r="E3432" t="s">
        <v>9155</v>
      </c>
    </row>
    <row r="3433" spans="1:5" x14ac:dyDescent="0.2">
      <c r="A3433" t="s">
        <v>6854</v>
      </c>
      <c r="B3433" t="s">
        <v>6855</v>
      </c>
      <c r="C3433" t="s">
        <v>131</v>
      </c>
      <c r="D3433" t="s">
        <v>266</v>
      </c>
      <c r="E3433" t="s">
        <v>9155</v>
      </c>
    </row>
    <row r="3434" spans="1:5" x14ac:dyDescent="0.2">
      <c r="A3434" t="s">
        <v>6856</v>
      </c>
      <c r="B3434" t="s">
        <v>6857</v>
      </c>
      <c r="C3434" t="s">
        <v>131</v>
      </c>
      <c r="D3434" t="s">
        <v>266</v>
      </c>
      <c r="E3434" t="s">
        <v>9155</v>
      </c>
    </row>
    <row r="3435" spans="1:5" x14ac:dyDescent="0.2">
      <c r="A3435" t="s">
        <v>6858</v>
      </c>
      <c r="B3435" t="s">
        <v>6859</v>
      </c>
      <c r="C3435" t="s">
        <v>104</v>
      </c>
      <c r="D3435" t="s">
        <v>266</v>
      </c>
      <c r="E3435" t="s">
        <v>9155</v>
      </c>
    </row>
    <row r="3436" spans="1:5" x14ac:dyDescent="0.2">
      <c r="A3436" t="s">
        <v>6860</v>
      </c>
      <c r="B3436" t="s">
        <v>6861</v>
      </c>
      <c r="C3436" t="s">
        <v>104</v>
      </c>
      <c r="D3436" t="s">
        <v>266</v>
      </c>
      <c r="E3436" t="s">
        <v>9155</v>
      </c>
    </row>
    <row r="3437" spans="1:5" x14ac:dyDescent="0.2">
      <c r="A3437" t="s">
        <v>6862</v>
      </c>
      <c r="B3437" t="s">
        <v>6863</v>
      </c>
      <c r="C3437" t="s">
        <v>287</v>
      </c>
      <c r="D3437" t="s">
        <v>266</v>
      </c>
      <c r="E3437" t="s">
        <v>9155</v>
      </c>
    </row>
    <row r="3438" spans="1:5" x14ac:dyDescent="0.2">
      <c r="A3438" t="s">
        <v>6864</v>
      </c>
      <c r="B3438" t="s">
        <v>6865</v>
      </c>
      <c r="C3438" t="s">
        <v>287</v>
      </c>
      <c r="D3438" t="s">
        <v>266</v>
      </c>
      <c r="E3438" t="s">
        <v>9155</v>
      </c>
    </row>
    <row r="3439" spans="1:5" x14ac:dyDescent="0.2">
      <c r="A3439" t="s">
        <v>6866</v>
      </c>
      <c r="B3439" t="s">
        <v>6867</v>
      </c>
      <c r="C3439" t="s">
        <v>120</v>
      </c>
      <c r="D3439" t="s">
        <v>266</v>
      </c>
      <c r="E3439" t="s">
        <v>9155</v>
      </c>
    </row>
    <row r="3440" spans="1:5" x14ac:dyDescent="0.2">
      <c r="A3440" t="s">
        <v>6868</v>
      </c>
      <c r="B3440" t="s">
        <v>6869</v>
      </c>
      <c r="C3440" t="s">
        <v>120</v>
      </c>
      <c r="D3440" t="s">
        <v>266</v>
      </c>
      <c r="E3440" t="s">
        <v>9155</v>
      </c>
    </row>
    <row r="3441" spans="1:5" x14ac:dyDescent="0.2">
      <c r="A3441" t="s">
        <v>6870</v>
      </c>
      <c r="B3441" t="s">
        <v>6871</v>
      </c>
      <c r="C3441" t="s">
        <v>219</v>
      </c>
      <c r="D3441" t="s">
        <v>266</v>
      </c>
      <c r="E3441" t="s">
        <v>9155</v>
      </c>
    </row>
    <row r="3442" spans="1:5" x14ac:dyDescent="0.2">
      <c r="A3442" t="s">
        <v>6872</v>
      </c>
      <c r="B3442" t="s">
        <v>6873</v>
      </c>
      <c r="C3442" t="s">
        <v>219</v>
      </c>
      <c r="D3442" t="s">
        <v>266</v>
      </c>
      <c r="E3442" t="s">
        <v>9155</v>
      </c>
    </row>
    <row r="3443" spans="1:5" x14ac:dyDescent="0.2">
      <c r="A3443" t="s">
        <v>6874</v>
      </c>
      <c r="B3443" t="s">
        <v>6875</v>
      </c>
      <c r="C3443" t="s">
        <v>131</v>
      </c>
      <c r="D3443" t="s">
        <v>266</v>
      </c>
      <c r="E3443" t="s">
        <v>9155</v>
      </c>
    </row>
    <row r="3444" spans="1:5" x14ac:dyDescent="0.2">
      <c r="A3444" t="s">
        <v>6876</v>
      </c>
      <c r="B3444" t="s">
        <v>6877</v>
      </c>
      <c r="C3444" t="s">
        <v>131</v>
      </c>
      <c r="D3444" t="s">
        <v>266</v>
      </c>
      <c r="E3444" t="s">
        <v>9155</v>
      </c>
    </row>
    <row r="3445" spans="1:5" x14ac:dyDescent="0.2">
      <c r="A3445" t="s">
        <v>6878</v>
      </c>
      <c r="B3445" t="s">
        <v>6879</v>
      </c>
      <c r="C3445" t="s">
        <v>349</v>
      </c>
      <c r="D3445" t="s">
        <v>1994</v>
      </c>
      <c r="E3445" t="s">
        <v>9155</v>
      </c>
    </row>
    <row r="3446" spans="1:5" x14ac:dyDescent="0.2">
      <c r="A3446" t="s">
        <v>6880</v>
      </c>
      <c r="B3446" t="s">
        <v>6881</v>
      </c>
      <c r="C3446" t="s">
        <v>349</v>
      </c>
      <c r="D3446" t="s">
        <v>1994</v>
      </c>
      <c r="E3446" t="s">
        <v>9155</v>
      </c>
    </row>
    <row r="3447" spans="1:5" x14ac:dyDescent="0.2">
      <c r="A3447" t="s">
        <v>6882</v>
      </c>
      <c r="B3447" t="s">
        <v>6883</v>
      </c>
      <c r="C3447" t="s">
        <v>349</v>
      </c>
      <c r="D3447" t="s">
        <v>1994</v>
      </c>
      <c r="E3447" t="s">
        <v>9155</v>
      </c>
    </row>
    <row r="3448" spans="1:5" x14ac:dyDescent="0.2">
      <c r="A3448" t="s">
        <v>6884</v>
      </c>
      <c r="B3448" t="s">
        <v>6885</v>
      </c>
      <c r="C3448" t="s">
        <v>705</v>
      </c>
      <c r="D3448" t="s">
        <v>314</v>
      </c>
      <c r="E3448" t="s">
        <v>9155</v>
      </c>
    </row>
    <row r="3449" spans="1:5" x14ac:dyDescent="0.2">
      <c r="A3449" t="s">
        <v>6886</v>
      </c>
      <c r="B3449" t="s">
        <v>6887</v>
      </c>
      <c r="C3449" t="s">
        <v>244</v>
      </c>
      <c r="D3449" t="s">
        <v>743</v>
      </c>
      <c r="E3449" t="s">
        <v>9155</v>
      </c>
    </row>
    <row r="3450" spans="1:5" x14ac:dyDescent="0.2">
      <c r="A3450" t="s">
        <v>6888</v>
      </c>
      <c r="B3450" t="s">
        <v>9396</v>
      </c>
      <c r="C3450" t="s">
        <v>742</v>
      </c>
      <c r="D3450" t="s">
        <v>3237</v>
      </c>
      <c r="E3450" t="s">
        <v>9155</v>
      </c>
    </row>
    <row r="3451" spans="1:5" x14ac:dyDescent="0.2">
      <c r="A3451" t="s">
        <v>6889</v>
      </c>
      <c r="B3451" t="s">
        <v>6890</v>
      </c>
      <c r="C3451" t="s">
        <v>287</v>
      </c>
      <c r="D3451" t="s">
        <v>341</v>
      </c>
      <c r="E3451" t="s">
        <v>9155</v>
      </c>
    </row>
    <row r="3452" spans="1:5" x14ac:dyDescent="0.2">
      <c r="A3452" t="s">
        <v>6891</v>
      </c>
      <c r="B3452" t="s">
        <v>6892</v>
      </c>
      <c r="C3452" t="s">
        <v>287</v>
      </c>
      <c r="D3452" t="s">
        <v>341</v>
      </c>
      <c r="E3452" t="s">
        <v>9155</v>
      </c>
    </row>
    <row r="3453" spans="1:5" x14ac:dyDescent="0.2">
      <c r="A3453" t="s">
        <v>6893</v>
      </c>
      <c r="B3453" t="s">
        <v>6894</v>
      </c>
      <c r="C3453" t="s">
        <v>287</v>
      </c>
      <c r="D3453" t="s">
        <v>868</v>
      </c>
      <c r="E3453" t="s">
        <v>9155</v>
      </c>
    </row>
    <row r="3454" spans="1:5" x14ac:dyDescent="0.2">
      <c r="A3454" t="s">
        <v>6895</v>
      </c>
      <c r="B3454" t="s">
        <v>6896</v>
      </c>
      <c r="C3454" t="s">
        <v>287</v>
      </c>
      <c r="D3454" t="s">
        <v>868</v>
      </c>
      <c r="E3454" t="s">
        <v>9155</v>
      </c>
    </row>
    <row r="3455" spans="1:5" x14ac:dyDescent="0.2">
      <c r="A3455" t="s">
        <v>6897</v>
      </c>
      <c r="B3455" t="s">
        <v>6898</v>
      </c>
      <c r="C3455" t="s">
        <v>345</v>
      </c>
      <c r="D3455" t="s">
        <v>566</v>
      </c>
      <c r="E3455" t="s">
        <v>9155</v>
      </c>
    </row>
    <row r="3456" spans="1:5" x14ac:dyDescent="0.2">
      <c r="A3456" t="s">
        <v>6899</v>
      </c>
      <c r="B3456" t="s">
        <v>6900</v>
      </c>
      <c r="C3456" t="s">
        <v>345</v>
      </c>
      <c r="D3456" t="s">
        <v>1691</v>
      </c>
      <c r="E3456" t="s">
        <v>9155</v>
      </c>
    </row>
    <row r="3457" spans="1:5" x14ac:dyDescent="0.2">
      <c r="A3457" t="s">
        <v>6901</v>
      </c>
      <c r="B3457" t="s">
        <v>6902</v>
      </c>
      <c r="C3457" t="s">
        <v>705</v>
      </c>
      <c r="D3457" t="s">
        <v>1302</v>
      </c>
      <c r="E3457" t="s">
        <v>9155</v>
      </c>
    </row>
    <row r="3458" spans="1:5" x14ac:dyDescent="0.2">
      <c r="A3458" t="s">
        <v>6903</v>
      </c>
      <c r="B3458" t="s">
        <v>6904</v>
      </c>
      <c r="C3458" t="s">
        <v>705</v>
      </c>
      <c r="D3458" t="s">
        <v>1691</v>
      </c>
      <c r="E3458" t="s">
        <v>9155</v>
      </c>
    </row>
    <row r="3459" spans="1:5" x14ac:dyDescent="0.2">
      <c r="A3459" t="s">
        <v>6905</v>
      </c>
      <c r="B3459" t="s">
        <v>6906</v>
      </c>
      <c r="C3459" t="s">
        <v>1555</v>
      </c>
      <c r="D3459" t="s">
        <v>2682</v>
      </c>
      <c r="E3459" t="s">
        <v>9155</v>
      </c>
    </row>
    <row r="3460" spans="1:5" x14ac:dyDescent="0.2">
      <c r="A3460" t="s">
        <v>6907</v>
      </c>
      <c r="B3460" t="s">
        <v>6908</v>
      </c>
      <c r="C3460" t="s">
        <v>1555</v>
      </c>
      <c r="D3460" t="s">
        <v>2682</v>
      </c>
      <c r="E3460" t="s">
        <v>9155</v>
      </c>
    </row>
    <row r="3461" spans="1:5" x14ac:dyDescent="0.2">
      <c r="A3461" t="s">
        <v>6909</v>
      </c>
      <c r="B3461" t="s">
        <v>6910</v>
      </c>
      <c r="C3461" t="s">
        <v>244</v>
      </c>
      <c r="D3461" t="s">
        <v>260</v>
      </c>
      <c r="E3461" t="s">
        <v>9155</v>
      </c>
    </row>
    <row r="3462" spans="1:5" x14ac:dyDescent="0.2">
      <c r="A3462" t="s">
        <v>6911</v>
      </c>
      <c r="B3462" t="s">
        <v>6912</v>
      </c>
      <c r="C3462" t="s">
        <v>244</v>
      </c>
      <c r="D3462" t="s">
        <v>260</v>
      </c>
      <c r="E3462" t="s">
        <v>9155</v>
      </c>
    </row>
    <row r="3463" spans="1:5" x14ac:dyDescent="0.2">
      <c r="A3463" t="s">
        <v>16</v>
      </c>
      <c r="B3463" t="s">
        <v>6913</v>
      </c>
      <c r="C3463" t="s">
        <v>244</v>
      </c>
      <c r="D3463" t="s">
        <v>341</v>
      </c>
      <c r="E3463" t="s">
        <v>9155</v>
      </c>
    </row>
    <row r="3464" spans="1:5" x14ac:dyDescent="0.2">
      <c r="A3464" t="s">
        <v>6914</v>
      </c>
      <c r="B3464" t="s">
        <v>6915</v>
      </c>
      <c r="C3464" t="s">
        <v>244</v>
      </c>
      <c r="D3464" t="s">
        <v>341</v>
      </c>
      <c r="E3464" t="s">
        <v>9155</v>
      </c>
    </row>
    <row r="3465" spans="1:5" x14ac:dyDescent="0.2">
      <c r="A3465" t="s">
        <v>6916</v>
      </c>
      <c r="B3465" t="s">
        <v>6917</v>
      </c>
      <c r="C3465" t="s">
        <v>104</v>
      </c>
      <c r="D3465" t="s">
        <v>207</v>
      </c>
      <c r="E3465" t="s">
        <v>9155</v>
      </c>
    </row>
    <row r="3466" spans="1:5" x14ac:dyDescent="0.2">
      <c r="A3466" t="s">
        <v>6918</v>
      </c>
      <c r="B3466" t="s">
        <v>6919</v>
      </c>
      <c r="C3466" t="s">
        <v>104</v>
      </c>
      <c r="D3466" t="s">
        <v>254</v>
      </c>
      <c r="E3466" t="s">
        <v>9155</v>
      </c>
    </row>
    <row r="3467" spans="1:5" x14ac:dyDescent="0.2">
      <c r="A3467" t="s">
        <v>6920</v>
      </c>
      <c r="B3467" t="s">
        <v>6921</v>
      </c>
      <c r="C3467" t="s">
        <v>104</v>
      </c>
      <c r="D3467" t="s">
        <v>254</v>
      </c>
      <c r="E3467" t="s">
        <v>9155</v>
      </c>
    </row>
    <row r="3468" spans="1:5" x14ac:dyDescent="0.2">
      <c r="A3468" t="s">
        <v>6922</v>
      </c>
      <c r="B3468" t="s">
        <v>6923</v>
      </c>
      <c r="C3468" t="s">
        <v>104</v>
      </c>
      <c r="D3468" t="s">
        <v>583</v>
      </c>
      <c r="E3468" t="s">
        <v>9155</v>
      </c>
    </row>
    <row r="3469" spans="1:5" x14ac:dyDescent="0.2">
      <c r="A3469" t="s">
        <v>6924</v>
      </c>
      <c r="B3469" t="s">
        <v>6925</v>
      </c>
      <c r="C3469" t="s">
        <v>104</v>
      </c>
      <c r="D3469" t="s">
        <v>583</v>
      </c>
      <c r="E3469" t="s">
        <v>9155</v>
      </c>
    </row>
    <row r="3470" spans="1:5" x14ac:dyDescent="0.2">
      <c r="A3470" t="s">
        <v>6926</v>
      </c>
      <c r="B3470" t="s">
        <v>6927</v>
      </c>
      <c r="C3470" t="s">
        <v>251</v>
      </c>
      <c r="D3470" t="s">
        <v>778</v>
      </c>
      <c r="E3470" t="s">
        <v>9155</v>
      </c>
    </row>
    <row r="3471" spans="1:5" x14ac:dyDescent="0.2">
      <c r="A3471" t="s">
        <v>6928</v>
      </c>
      <c r="B3471" t="s">
        <v>6929</v>
      </c>
      <c r="C3471" t="s">
        <v>251</v>
      </c>
      <c r="D3471" t="s">
        <v>734</v>
      </c>
      <c r="E3471" t="s">
        <v>9155</v>
      </c>
    </row>
    <row r="3472" spans="1:5" x14ac:dyDescent="0.2">
      <c r="A3472" t="s">
        <v>6930</v>
      </c>
      <c r="B3472" t="s">
        <v>6931</v>
      </c>
      <c r="C3472" t="s">
        <v>251</v>
      </c>
      <c r="D3472" t="s">
        <v>734</v>
      </c>
      <c r="E3472" t="s">
        <v>9155</v>
      </c>
    </row>
    <row r="3473" spans="1:5" x14ac:dyDescent="0.2">
      <c r="A3473" t="s">
        <v>6932</v>
      </c>
      <c r="B3473" t="s">
        <v>6933</v>
      </c>
      <c r="C3473" t="s">
        <v>251</v>
      </c>
      <c r="D3473" t="s">
        <v>635</v>
      </c>
      <c r="E3473" t="s">
        <v>9155</v>
      </c>
    </row>
    <row r="3474" spans="1:5" x14ac:dyDescent="0.2">
      <c r="A3474" t="s">
        <v>6934</v>
      </c>
      <c r="B3474" t="s">
        <v>6935</v>
      </c>
      <c r="C3474" t="s">
        <v>251</v>
      </c>
      <c r="D3474" t="s">
        <v>635</v>
      </c>
      <c r="E3474" t="s">
        <v>9155</v>
      </c>
    </row>
    <row r="3475" spans="1:5" x14ac:dyDescent="0.2">
      <c r="A3475" t="s">
        <v>6936</v>
      </c>
      <c r="B3475" t="s">
        <v>6937</v>
      </c>
      <c r="C3475" t="s">
        <v>120</v>
      </c>
      <c r="D3475" t="s">
        <v>99</v>
      </c>
      <c r="E3475" t="s">
        <v>9155</v>
      </c>
    </row>
    <row r="3476" spans="1:5" x14ac:dyDescent="0.2">
      <c r="A3476" t="s">
        <v>6938</v>
      </c>
      <c r="B3476" t="s">
        <v>6939</v>
      </c>
      <c r="C3476" t="s">
        <v>120</v>
      </c>
      <c r="D3476" t="s">
        <v>99</v>
      </c>
      <c r="E3476" t="s">
        <v>9155</v>
      </c>
    </row>
    <row r="3477" spans="1:5" x14ac:dyDescent="0.2">
      <c r="A3477" t="s">
        <v>6940</v>
      </c>
      <c r="B3477" t="s">
        <v>6941</v>
      </c>
      <c r="C3477" t="s">
        <v>120</v>
      </c>
      <c r="D3477" t="s">
        <v>480</v>
      </c>
      <c r="E3477" t="s">
        <v>9155</v>
      </c>
    </row>
    <row r="3478" spans="1:5" x14ac:dyDescent="0.2">
      <c r="A3478" t="s">
        <v>6942</v>
      </c>
      <c r="B3478" t="s">
        <v>6943</v>
      </c>
      <c r="C3478" t="s">
        <v>120</v>
      </c>
      <c r="D3478" t="s">
        <v>480</v>
      </c>
      <c r="E3478" t="s">
        <v>9155</v>
      </c>
    </row>
    <row r="3479" spans="1:5" x14ac:dyDescent="0.2">
      <c r="A3479" t="s">
        <v>6944</v>
      </c>
      <c r="B3479" t="s">
        <v>6945</v>
      </c>
      <c r="C3479" t="s">
        <v>244</v>
      </c>
      <c r="D3479" t="s">
        <v>233</v>
      </c>
      <c r="E3479" t="s">
        <v>9155</v>
      </c>
    </row>
    <row r="3480" spans="1:5" x14ac:dyDescent="0.2">
      <c r="A3480" t="s">
        <v>6946</v>
      </c>
      <c r="B3480" t="s">
        <v>6947</v>
      </c>
      <c r="C3480" t="s">
        <v>244</v>
      </c>
      <c r="D3480" t="s">
        <v>233</v>
      </c>
      <c r="E3480" t="s">
        <v>9155</v>
      </c>
    </row>
    <row r="3481" spans="1:5" x14ac:dyDescent="0.2">
      <c r="A3481" t="s">
        <v>6948</v>
      </c>
      <c r="B3481" t="s">
        <v>6949</v>
      </c>
      <c r="C3481" t="s">
        <v>244</v>
      </c>
      <c r="D3481" t="s">
        <v>275</v>
      </c>
      <c r="E3481" t="s">
        <v>9155</v>
      </c>
    </row>
    <row r="3482" spans="1:5" x14ac:dyDescent="0.2">
      <c r="A3482" t="s">
        <v>6950</v>
      </c>
      <c r="B3482" t="s">
        <v>6951</v>
      </c>
      <c r="C3482" t="s">
        <v>131</v>
      </c>
      <c r="D3482" t="s">
        <v>207</v>
      </c>
      <c r="E3482" t="s">
        <v>9155</v>
      </c>
    </row>
    <row r="3483" spans="1:5" x14ac:dyDescent="0.2">
      <c r="A3483" t="s">
        <v>6952</v>
      </c>
      <c r="B3483" t="s">
        <v>6953</v>
      </c>
      <c r="C3483" t="s">
        <v>131</v>
      </c>
      <c r="D3483" t="s">
        <v>254</v>
      </c>
      <c r="E3483" t="s">
        <v>9155</v>
      </c>
    </row>
    <row r="3484" spans="1:5" x14ac:dyDescent="0.2">
      <c r="A3484" t="s">
        <v>6954</v>
      </c>
      <c r="B3484" t="s">
        <v>6955</v>
      </c>
      <c r="C3484" t="s">
        <v>131</v>
      </c>
      <c r="D3484" t="s">
        <v>254</v>
      </c>
      <c r="E3484" t="s">
        <v>9155</v>
      </c>
    </row>
    <row r="3485" spans="1:5" x14ac:dyDescent="0.2">
      <c r="A3485" t="s">
        <v>6956</v>
      </c>
      <c r="B3485" t="s">
        <v>6957</v>
      </c>
      <c r="C3485" t="s">
        <v>131</v>
      </c>
      <c r="D3485" t="s">
        <v>583</v>
      </c>
      <c r="E3485" t="s">
        <v>9155</v>
      </c>
    </row>
    <row r="3486" spans="1:5" x14ac:dyDescent="0.2">
      <c r="A3486" t="s">
        <v>6958</v>
      </c>
      <c r="B3486" t="s">
        <v>6959</v>
      </c>
      <c r="C3486" t="s">
        <v>131</v>
      </c>
      <c r="D3486" t="s">
        <v>583</v>
      </c>
      <c r="E3486" t="s">
        <v>9155</v>
      </c>
    </row>
    <row r="3487" spans="1:5" x14ac:dyDescent="0.2">
      <c r="A3487" t="s">
        <v>6960</v>
      </c>
      <c r="B3487" t="s">
        <v>6961</v>
      </c>
      <c r="C3487" t="s">
        <v>251</v>
      </c>
      <c r="D3487" t="s">
        <v>893</v>
      </c>
      <c r="E3487" t="s">
        <v>9155</v>
      </c>
    </row>
    <row r="3488" spans="1:5" x14ac:dyDescent="0.2">
      <c r="A3488" t="s">
        <v>6848</v>
      </c>
      <c r="B3488" t="s">
        <v>9397</v>
      </c>
      <c r="C3488" t="s">
        <v>251</v>
      </c>
      <c r="D3488" t="s">
        <v>2682</v>
      </c>
      <c r="E3488" t="s">
        <v>9155</v>
      </c>
    </row>
    <row r="3489" spans="1:5" x14ac:dyDescent="0.2">
      <c r="A3489" t="s">
        <v>6962</v>
      </c>
      <c r="B3489" t="s">
        <v>6963</v>
      </c>
      <c r="C3489" t="s">
        <v>251</v>
      </c>
      <c r="D3489" t="s">
        <v>193</v>
      </c>
      <c r="E3489" t="s">
        <v>9155</v>
      </c>
    </row>
    <row r="3490" spans="1:5" x14ac:dyDescent="0.2">
      <c r="A3490" t="s">
        <v>6964</v>
      </c>
      <c r="B3490" t="s">
        <v>6965</v>
      </c>
      <c r="C3490" t="s">
        <v>212</v>
      </c>
      <c r="D3490" t="s">
        <v>560</v>
      </c>
      <c r="E3490" t="s">
        <v>9155</v>
      </c>
    </row>
    <row r="3491" spans="1:5" x14ac:dyDescent="0.2">
      <c r="A3491" t="s">
        <v>6966</v>
      </c>
      <c r="B3491" t="s">
        <v>6967</v>
      </c>
      <c r="C3491" t="s">
        <v>212</v>
      </c>
      <c r="D3491" t="s">
        <v>436</v>
      </c>
      <c r="E3491" t="s">
        <v>9155</v>
      </c>
    </row>
    <row r="3492" spans="1:5" x14ac:dyDescent="0.2">
      <c r="A3492" t="s">
        <v>6968</v>
      </c>
      <c r="B3492" t="s">
        <v>6969</v>
      </c>
      <c r="C3492" t="s">
        <v>212</v>
      </c>
      <c r="D3492" t="s">
        <v>436</v>
      </c>
      <c r="E3492" t="s">
        <v>9155</v>
      </c>
    </row>
    <row r="3493" spans="1:5" x14ac:dyDescent="0.2">
      <c r="A3493" t="s">
        <v>6970</v>
      </c>
      <c r="B3493" t="s">
        <v>6971</v>
      </c>
      <c r="C3493" t="s">
        <v>251</v>
      </c>
      <c r="D3493" t="s">
        <v>99</v>
      </c>
      <c r="E3493" t="s">
        <v>9155</v>
      </c>
    </row>
    <row r="3494" spans="1:5" x14ac:dyDescent="0.2">
      <c r="A3494" t="s">
        <v>6972</v>
      </c>
      <c r="B3494" t="s">
        <v>6973</v>
      </c>
      <c r="C3494" t="s">
        <v>345</v>
      </c>
      <c r="D3494" t="s">
        <v>368</v>
      </c>
      <c r="E3494" t="s">
        <v>9155</v>
      </c>
    </row>
    <row r="3495" spans="1:5" x14ac:dyDescent="0.2">
      <c r="A3495" t="s">
        <v>6974</v>
      </c>
      <c r="B3495" t="s">
        <v>6975</v>
      </c>
      <c r="C3495" t="s">
        <v>345</v>
      </c>
      <c r="D3495" t="s">
        <v>588</v>
      </c>
      <c r="E3495" t="s">
        <v>9155</v>
      </c>
    </row>
    <row r="3496" spans="1:5" x14ac:dyDescent="0.2">
      <c r="A3496" t="s">
        <v>6976</v>
      </c>
      <c r="B3496" t="s">
        <v>6977</v>
      </c>
      <c r="C3496" t="s">
        <v>345</v>
      </c>
      <c r="D3496" t="s">
        <v>588</v>
      </c>
      <c r="E3496" t="s">
        <v>9155</v>
      </c>
    </row>
    <row r="3497" spans="1:5" x14ac:dyDescent="0.2">
      <c r="A3497" t="s">
        <v>6978</v>
      </c>
      <c r="B3497" t="s">
        <v>6979</v>
      </c>
      <c r="C3497" t="s">
        <v>345</v>
      </c>
      <c r="D3497" t="s">
        <v>341</v>
      </c>
      <c r="E3497" t="s">
        <v>9155</v>
      </c>
    </row>
    <row r="3498" spans="1:5" x14ac:dyDescent="0.2">
      <c r="A3498" t="s">
        <v>6980</v>
      </c>
      <c r="B3498" t="s">
        <v>6981</v>
      </c>
      <c r="C3498" t="s">
        <v>251</v>
      </c>
      <c r="D3498" t="s">
        <v>778</v>
      </c>
      <c r="E3498" t="s">
        <v>9155</v>
      </c>
    </row>
    <row r="3499" spans="1:5" x14ac:dyDescent="0.2">
      <c r="A3499" t="s">
        <v>6982</v>
      </c>
      <c r="B3499" t="s">
        <v>6983</v>
      </c>
      <c r="C3499" t="s">
        <v>131</v>
      </c>
      <c r="D3499" t="s">
        <v>237</v>
      </c>
      <c r="E3499" t="s">
        <v>9155</v>
      </c>
    </row>
    <row r="3500" spans="1:5" x14ac:dyDescent="0.2">
      <c r="A3500" t="s">
        <v>6984</v>
      </c>
      <c r="B3500" t="s">
        <v>6985</v>
      </c>
      <c r="C3500" t="s">
        <v>251</v>
      </c>
      <c r="D3500" t="s">
        <v>254</v>
      </c>
      <c r="E3500" t="s">
        <v>9155</v>
      </c>
    </row>
    <row r="3501" spans="1:5" x14ac:dyDescent="0.2">
      <c r="A3501" t="s">
        <v>6986</v>
      </c>
      <c r="B3501" t="s">
        <v>6987</v>
      </c>
      <c r="C3501" t="s">
        <v>251</v>
      </c>
      <c r="D3501" t="s">
        <v>254</v>
      </c>
      <c r="E3501" t="s">
        <v>9155</v>
      </c>
    </row>
    <row r="3502" spans="1:5" x14ac:dyDescent="0.2">
      <c r="A3502" t="s">
        <v>6988</v>
      </c>
      <c r="B3502" t="s">
        <v>6989</v>
      </c>
      <c r="C3502" t="s">
        <v>227</v>
      </c>
      <c r="D3502" t="s">
        <v>254</v>
      </c>
      <c r="E3502" t="s">
        <v>9155</v>
      </c>
    </row>
    <row r="3503" spans="1:5" x14ac:dyDescent="0.2">
      <c r="A3503" t="s">
        <v>6992</v>
      </c>
      <c r="B3503" t="s">
        <v>9398</v>
      </c>
      <c r="C3503" t="s">
        <v>399</v>
      </c>
      <c r="D3503" t="s">
        <v>3237</v>
      </c>
      <c r="E3503" t="s">
        <v>9155</v>
      </c>
    </row>
    <row r="3504" spans="1:5" x14ac:dyDescent="0.2">
      <c r="A3504" t="s">
        <v>6990</v>
      </c>
      <c r="B3504" t="s">
        <v>6991</v>
      </c>
      <c r="C3504" t="s">
        <v>399</v>
      </c>
      <c r="D3504" t="s">
        <v>237</v>
      </c>
      <c r="E3504" t="s">
        <v>9155</v>
      </c>
    </row>
    <row r="3505" spans="1:5" x14ac:dyDescent="0.2">
      <c r="A3505" t="s">
        <v>6993</v>
      </c>
      <c r="B3505" t="s">
        <v>9399</v>
      </c>
      <c r="C3505" t="s">
        <v>251</v>
      </c>
      <c r="D3505" t="s">
        <v>386</v>
      </c>
      <c r="E3505" t="s">
        <v>992</v>
      </c>
    </row>
    <row r="3506" spans="1:5" x14ac:dyDescent="0.2">
      <c r="A3506" t="s">
        <v>6994</v>
      </c>
      <c r="B3506" t="s">
        <v>6995</v>
      </c>
      <c r="C3506" t="s">
        <v>705</v>
      </c>
      <c r="D3506" t="s">
        <v>121</v>
      </c>
      <c r="E3506" t="s">
        <v>2258</v>
      </c>
    </row>
    <row r="3507" spans="1:5" x14ac:dyDescent="0.2">
      <c r="A3507" t="s">
        <v>6996</v>
      </c>
      <c r="B3507" t="s">
        <v>6997</v>
      </c>
      <c r="C3507" t="s">
        <v>219</v>
      </c>
      <c r="D3507" t="s">
        <v>1981</v>
      </c>
      <c r="E3507" t="s">
        <v>2258</v>
      </c>
    </row>
    <row r="3508" spans="1:5" x14ac:dyDescent="0.2">
      <c r="A3508" t="s">
        <v>6998</v>
      </c>
      <c r="B3508" t="s">
        <v>6999</v>
      </c>
      <c r="C3508" t="s">
        <v>219</v>
      </c>
      <c r="D3508" t="s">
        <v>1981</v>
      </c>
      <c r="E3508" t="s">
        <v>2258</v>
      </c>
    </row>
    <row r="3509" spans="1:5" x14ac:dyDescent="0.2">
      <c r="A3509" t="s">
        <v>7000</v>
      </c>
      <c r="B3509" t="s">
        <v>7001</v>
      </c>
      <c r="C3509" t="s">
        <v>92</v>
      </c>
      <c r="D3509" t="s">
        <v>5978</v>
      </c>
      <c r="E3509" t="s">
        <v>2258</v>
      </c>
    </row>
    <row r="3510" spans="1:5" x14ac:dyDescent="0.2">
      <c r="A3510" t="s">
        <v>7002</v>
      </c>
      <c r="B3510" t="s">
        <v>7003</v>
      </c>
      <c r="C3510" t="s">
        <v>92</v>
      </c>
      <c r="D3510" t="s">
        <v>238</v>
      </c>
      <c r="E3510" t="s">
        <v>2258</v>
      </c>
    </row>
    <row r="3511" spans="1:5" x14ac:dyDescent="0.2">
      <c r="A3511" t="s">
        <v>7004</v>
      </c>
      <c r="B3511" t="s">
        <v>7005</v>
      </c>
      <c r="C3511" t="s">
        <v>92</v>
      </c>
      <c r="D3511" t="s">
        <v>238</v>
      </c>
      <c r="E3511" t="s">
        <v>2258</v>
      </c>
    </row>
    <row r="3512" spans="1:5" x14ac:dyDescent="0.2">
      <c r="A3512" t="s">
        <v>7006</v>
      </c>
      <c r="B3512" t="s">
        <v>7007</v>
      </c>
      <c r="C3512" t="s">
        <v>92</v>
      </c>
      <c r="D3512" t="s">
        <v>2478</v>
      </c>
      <c r="E3512" t="s">
        <v>2258</v>
      </c>
    </row>
    <row r="3513" spans="1:5" x14ac:dyDescent="0.2">
      <c r="A3513" t="s">
        <v>7008</v>
      </c>
      <c r="B3513" t="s">
        <v>7009</v>
      </c>
      <c r="C3513" t="s">
        <v>92</v>
      </c>
      <c r="D3513" t="s">
        <v>611</v>
      </c>
      <c r="E3513" t="s">
        <v>2258</v>
      </c>
    </row>
    <row r="3514" spans="1:5" x14ac:dyDescent="0.2">
      <c r="A3514" t="s">
        <v>7010</v>
      </c>
      <c r="B3514" t="s">
        <v>7011</v>
      </c>
      <c r="C3514" t="s">
        <v>92</v>
      </c>
      <c r="D3514" t="s">
        <v>611</v>
      </c>
      <c r="E3514" t="s">
        <v>2258</v>
      </c>
    </row>
    <row r="3515" spans="1:5" x14ac:dyDescent="0.2">
      <c r="A3515" t="s">
        <v>7012</v>
      </c>
      <c r="B3515" t="s">
        <v>7013</v>
      </c>
      <c r="C3515" t="s">
        <v>104</v>
      </c>
      <c r="D3515" t="s">
        <v>412</v>
      </c>
      <c r="E3515" t="s">
        <v>8894</v>
      </c>
    </row>
    <row r="3516" spans="1:5" x14ac:dyDescent="0.2">
      <c r="A3516" t="s">
        <v>7014</v>
      </c>
      <c r="B3516" t="s">
        <v>7015</v>
      </c>
      <c r="C3516" t="s">
        <v>104</v>
      </c>
      <c r="D3516" t="s">
        <v>412</v>
      </c>
      <c r="E3516" t="s">
        <v>8894</v>
      </c>
    </row>
    <row r="3517" spans="1:5" x14ac:dyDescent="0.2">
      <c r="A3517" t="s">
        <v>7016</v>
      </c>
      <c r="B3517" t="s">
        <v>7017</v>
      </c>
      <c r="C3517" t="s">
        <v>357</v>
      </c>
      <c r="D3517" t="s">
        <v>99</v>
      </c>
      <c r="E3517" t="s">
        <v>9043</v>
      </c>
    </row>
    <row r="3518" spans="1:5" x14ac:dyDescent="0.2">
      <c r="A3518" t="s">
        <v>7018</v>
      </c>
      <c r="B3518" t="s">
        <v>7019</v>
      </c>
      <c r="C3518" t="s">
        <v>357</v>
      </c>
      <c r="D3518" t="s">
        <v>368</v>
      </c>
      <c r="E3518" t="s">
        <v>9043</v>
      </c>
    </row>
    <row r="3519" spans="1:5" x14ac:dyDescent="0.2">
      <c r="A3519" t="s">
        <v>7020</v>
      </c>
      <c r="B3519" t="s">
        <v>7021</v>
      </c>
      <c r="C3519" t="s">
        <v>357</v>
      </c>
      <c r="D3519" t="s">
        <v>145</v>
      </c>
      <c r="E3519" t="s">
        <v>9043</v>
      </c>
    </row>
    <row r="3520" spans="1:5" x14ac:dyDescent="0.2">
      <c r="A3520" t="s">
        <v>7022</v>
      </c>
      <c r="B3520" t="s">
        <v>7023</v>
      </c>
      <c r="C3520" t="s">
        <v>357</v>
      </c>
      <c r="D3520" t="s">
        <v>583</v>
      </c>
      <c r="E3520" t="s">
        <v>8880</v>
      </c>
    </row>
    <row r="3521" spans="1:5" x14ac:dyDescent="0.2">
      <c r="A3521" t="s">
        <v>7024</v>
      </c>
      <c r="B3521" t="s">
        <v>7025</v>
      </c>
      <c r="C3521" t="s">
        <v>357</v>
      </c>
      <c r="D3521" t="s">
        <v>368</v>
      </c>
      <c r="E3521" t="s">
        <v>9043</v>
      </c>
    </row>
    <row r="3522" spans="1:5" x14ac:dyDescent="0.2">
      <c r="A3522" t="s">
        <v>7028</v>
      </c>
      <c r="B3522" t="s">
        <v>7029</v>
      </c>
      <c r="C3522" t="s">
        <v>212</v>
      </c>
      <c r="D3522" t="s">
        <v>1458</v>
      </c>
      <c r="E3522" t="s">
        <v>8880</v>
      </c>
    </row>
    <row r="3523" spans="1:5" x14ac:dyDescent="0.2">
      <c r="A3523" t="s">
        <v>7030</v>
      </c>
      <c r="B3523" t="s">
        <v>7031</v>
      </c>
      <c r="C3523" t="s">
        <v>212</v>
      </c>
      <c r="D3523" t="s">
        <v>1458</v>
      </c>
      <c r="E3523" t="s">
        <v>8880</v>
      </c>
    </row>
    <row r="3524" spans="1:5" x14ac:dyDescent="0.2">
      <c r="A3524" t="s">
        <v>7032</v>
      </c>
      <c r="B3524" t="s">
        <v>7033</v>
      </c>
      <c r="C3524" t="s">
        <v>212</v>
      </c>
      <c r="D3524" t="s">
        <v>260</v>
      </c>
      <c r="E3524" t="s">
        <v>9400</v>
      </c>
    </row>
    <row r="3525" spans="1:5" x14ac:dyDescent="0.2">
      <c r="A3525" t="s">
        <v>7034</v>
      </c>
      <c r="B3525" t="s">
        <v>7035</v>
      </c>
      <c r="C3525" t="s">
        <v>322</v>
      </c>
      <c r="D3525" t="s">
        <v>241</v>
      </c>
      <c r="E3525" t="s">
        <v>9148</v>
      </c>
    </row>
    <row r="3526" spans="1:5" x14ac:dyDescent="0.2">
      <c r="A3526" t="s">
        <v>7037</v>
      </c>
      <c r="B3526" t="s">
        <v>7038</v>
      </c>
      <c r="C3526" t="s">
        <v>742</v>
      </c>
      <c r="D3526" t="s">
        <v>254</v>
      </c>
      <c r="E3526" t="s">
        <v>9148</v>
      </c>
    </row>
    <row r="3527" spans="1:5" x14ac:dyDescent="0.2">
      <c r="A3527" t="s">
        <v>7039</v>
      </c>
      <c r="B3527" t="s">
        <v>7040</v>
      </c>
      <c r="C3527" t="s">
        <v>2471</v>
      </c>
      <c r="D3527" t="s">
        <v>456</v>
      </c>
      <c r="E3527" t="s">
        <v>8880</v>
      </c>
    </row>
    <row r="3528" spans="1:5" x14ac:dyDescent="0.2">
      <c r="A3528" t="s">
        <v>7041</v>
      </c>
      <c r="B3528" t="s">
        <v>7042</v>
      </c>
      <c r="C3528" t="s">
        <v>2471</v>
      </c>
      <c r="D3528" t="s">
        <v>845</v>
      </c>
      <c r="E3528" t="s">
        <v>8880</v>
      </c>
    </row>
    <row r="3529" spans="1:5" x14ac:dyDescent="0.2">
      <c r="A3529" t="s">
        <v>7043</v>
      </c>
      <c r="B3529" t="s">
        <v>7044</v>
      </c>
      <c r="C3529" t="s">
        <v>2471</v>
      </c>
      <c r="D3529" t="s">
        <v>126</v>
      </c>
      <c r="E3529" t="s">
        <v>8880</v>
      </c>
    </row>
    <row r="3530" spans="1:5" x14ac:dyDescent="0.2">
      <c r="A3530" t="s">
        <v>7045</v>
      </c>
      <c r="B3530" t="s">
        <v>7046</v>
      </c>
      <c r="C3530" t="s">
        <v>131</v>
      </c>
      <c r="D3530" t="s">
        <v>622</v>
      </c>
      <c r="E3530" t="s">
        <v>9228</v>
      </c>
    </row>
    <row r="3531" spans="1:5" x14ac:dyDescent="0.2">
      <c r="A3531" t="s">
        <v>7047</v>
      </c>
      <c r="B3531" t="s">
        <v>7048</v>
      </c>
      <c r="C3531" t="s">
        <v>376</v>
      </c>
      <c r="D3531" t="s">
        <v>604</v>
      </c>
      <c r="E3531" t="s">
        <v>9148</v>
      </c>
    </row>
    <row r="3532" spans="1:5" x14ac:dyDescent="0.2">
      <c r="A3532" t="s">
        <v>7049</v>
      </c>
      <c r="B3532" t="s">
        <v>7050</v>
      </c>
      <c r="C3532" t="s">
        <v>287</v>
      </c>
      <c r="D3532" t="s">
        <v>710</v>
      </c>
      <c r="E3532" t="s">
        <v>9148</v>
      </c>
    </row>
    <row r="3533" spans="1:5" x14ac:dyDescent="0.2">
      <c r="A3533" t="s">
        <v>7036</v>
      </c>
      <c r="B3533" t="s">
        <v>9401</v>
      </c>
      <c r="C3533" t="s">
        <v>2471</v>
      </c>
      <c r="D3533" t="s">
        <v>213</v>
      </c>
      <c r="E3533" t="s">
        <v>8880</v>
      </c>
    </row>
    <row r="3534" spans="1:5" x14ac:dyDescent="0.2">
      <c r="A3534" t="s">
        <v>7026</v>
      </c>
      <c r="B3534" t="s">
        <v>9402</v>
      </c>
      <c r="C3534" t="s">
        <v>244</v>
      </c>
      <c r="D3534" t="s">
        <v>248</v>
      </c>
      <c r="E3534" t="s">
        <v>9403</v>
      </c>
    </row>
    <row r="3535" spans="1:5" x14ac:dyDescent="0.2">
      <c r="A3535" t="s">
        <v>7027</v>
      </c>
      <c r="B3535" t="s">
        <v>9404</v>
      </c>
      <c r="C3535" t="s">
        <v>244</v>
      </c>
      <c r="D3535" t="s">
        <v>248</v>
      </c>
      <c r="E3535" t="s">
        <v>9403</v>
      </c>
    </row>
    <row r="3536" spans="1:5" x14ac:dyDescent="0.2">
      <c r="A3536" t="s">
        <v>7051</v>
      </c>
      <c r="B3536" t="s">
        <v>7052</v>
      </c>
      <c r="C3536" t="s">
        <v>345</v>
      </c>
      <c r="D3536" t="s">
        <v>825</v>
      </c>
      <c r="E3536" t="s">
        <v>1785</v>
      </c>
    </row>
    <row r="3537" spans="1:5" x14ac:dyDescent="0.2">
      <c r="A3537" t="s">
        <v>7053</v>
      </c>
      <c r="B3537" t="s">
        <v>7054</v>
      </c>
      <c r="C3537" t="s">
        <v>345</v>
      </c>
      <c r="D3537" t="s">
        <v>825</v>
      </c>
      <c r="E3537" t="s">
        <v>1785</v>
      </c>
    </row>
    <row r="3538" spans="1:5" x14ac:dyDescent="0.2">
      <c r="A3538" t="s">
        <v>7055</v>
      </c>
      <c r="B3538" t="s">
        <v>7056</v>
      </c>
      <c r="C3538" t="s">
        <v>251</v>
      </c>
      <c r="D3538" t="s">
        <v>145</v>
      </c>
      <c r="E3538" t="s">
        <v>9148</v>
      </c>
    </row>
    <row r="3539" spans="1:5" x14ac:dyDescent="0.2">
      <c r="A3539" t="s">
        <v>7057</v>
      </c>
      <c r="B3539" t="s">
        <v>7058</v>
      </c>
      <c r="C3539" t="s">
        <v>251</v>
      </c>
      <c r="D3539" t="s">
        <v>110</v>
      </c>
      <c r="E3539" t="s">
        <v>9405</v>
      </c>
    </row>
    <row r="3540" spans="1:5" x14ac:dyDescent="0.2">
      <c r="A3540" t="s">
        <v>7059</v>
      </c>
      <c r="B3540" t="s">
        <v>7060</v>
      </c>
      <c r="C3540" t="s">
        <v>399</v>
      </c>
      <c r="D3540" t="s">
        <v>1006</v>
      </c>
      <c r="E3540" t="s">
        <v>9148</v>
      </c>
    </row>
    <row r="3541" spans="1:5" x14ac:dyDescent="0.2">
      <c r="A3541" t="s">
        <v>7061</v>
      </c>
      <c r="B3541" t="s">
        <v>7062</v>
      </c>
      <c r="C3541" t="s">
        <v>1183</v>
      </c>
      <c r="D3541" t="s">
        <v>193</v>
      </c>
      <c r="E3541" t="s">
        <v>8984</v>
      </c>
    </row>
    <row r="3542" spans="1:5" x14ac:dyDescent="0.2">
      <c r="A3542" t="s">
        <v>7063</v>
      </c>
      <c r="B3542" t="s">
        <v>7064</v>
      </c>
      <c r="C3542" t="s">
        <v>1183</v>
      </c>
      <c r="D3542" t="s">
        <v>193</v>
      </c>
      <c r="E3542" t="s">
        <v>8984</v>
      </c>
    </row>
    <row r="3543" spans="1:5" x14ac:dyDescent="0.2">
      <c r="A3543" t="s">
        <v>7065</v>
      </c>
      <c r="B3543" t="s">
        <v>7066</v>
      </c>
      <c r="C3543" t="s">
        <v>1183</v>
      </c>
      <c r="D3543" t="s">
        <v>335</v>
      </c>
      <c r="E3543" t="s">
        <v>8984</v>
      </c>
    </row>
    <row r="3544" spans="1:5" x14ac:dyDescent="0.2">
      <c r="A3544" t="s">
        <v>7067</v>
      </c>
      <c r="B3544" t="s">
        <v>7068</v>
      </c>
      <c r="C3544" t="s">
        <v>1183</v>
      </c>
      <c r="D3544" t="s">
        <v>335</v>
      </c>
      <c r="E3544" t="s">
        <v>8984</v>
      </c>
    </row>
    <row r="3545" spans="1:5" x14ac:dyDescent="0.2">
      <c r="A3545" t="s">
        <v>7069</v>
      </c>
      <c r="B3545" t="s">
        <v>7070</v>
      </c>
      <c r="C3545" t="s">
        <v>591</v>
      </c>
      <c r="D3545" t="s">
        <v>377</v>
      </c>
      <c r="E3545" t="s">
        <v>8984</v>
      </c>
    </row>
    <row r="3546" spans="1:5" x14ac:dyDescent="0.2">
      <c r="A3546" t="s">
        <v>7071</v>
      </c>
      <c r="B3546" t="s">
        <v>7072</v>
      </c>
      <c r="C3546" t="s">
        <v>591</v>
      </c>
      <c r="D3546" t="s">
        <v>377</v>
      </c>
      <c r="E3546" t="s">
        <v>8984</v>
      </c>
    </row>
    <row r="3547" spans="1:5" x14ac:dyDescent="0.2">
      <c r="A3547" t="s">
        <v>7073</v>
      </c>
      <c r="B3547" t="s">
        <v>7074</v>
      </c>
      <c r="C3547" t="s">
        <v>591</v>
      </c>
      <c r="D3547" t="s">
        <v>363</v>
      </c>
      <c r="E3547" t="s">
        <v>8984</v>
      </c>
    </row>
    <row r="3548" spans="1:5" x14ac:dyDescent="0.2">
      <c r="A3548" t="s">
        <v>7075</v>
      </c>
      <c r="B3548" t="s">
        <v>7076</v>
      </c>
      <c r="C3548" t="s">
        <v>591</v>
      </c>
      <c r="D3548" t="s">
        <v>363</v>
      </c>
      <c r="E3548" t="s">
        <v>8984</v>
      </c>
    </row>
    <row r="3549" spans="1:5" x14ac:dyDescent="0.2">
      <c r="A3549" t="s">
        <v>7077</v>
      </c>
      <c r="B3549" t="s">
        <v>7078</v>
      </c>
      <c r="C3549" t="s">
        <v>421</v>
      </c>
      <c r="D3549" t="s">
        <v>363</v>
      </c>
      <c r="E3549" t="s">
        <v>8984</v>
      </c>
    </row>
    <row r="3550" spans="1:5" x14ac:dyDescent="0.2">
      <c r="A3550" t="s">
        <v>7079</v>
      </c>
      <c r="B3550" t="s">
        <v>7080</v>
      </c>
      <c r="C3550" t="s">
        <v>421</v>
      </c>
      <c r="D3550" t="s">
        <v>363</v>
      </c>
      <c r="E3550" t="s">
        <v>8984</v>
      </c>
    </row>
    <row r="3551" spans="1:5" x14ac:dyDescent="0.2">
      <c r="A3551" t="s">
        <v>7081</v>
      </c>
      <c r="B3551" t="s">
        <v>7082</v>
      </c>
      <c r="C3551" t="s">
        <v>131</v>
      </c>
      <c r="D3551" t="s">
        <v>377</v>
      </c>
      <c r="E3551" t="s">
        <v>8984</v>
      </c>
    </row>
    <row r="3552" spans="1:5" x14ac:dyDescent="0.2">
      <c r="A3552" t="s">
        <v>7083</v>
      </c>
      <c r="B3552" t="s">
        <v>7084</v>
      </c>
      <c r="C3552" t="s">
        <v>131</v>
      </c>
      <c r="D3552" t="s">
        <v>377</v>
      </c>
      <c r="E3552" t="s">
        <v>8984</v>
      </c>
    </row>
    <row r="3553" spans="1:5" x14ac:dyDescent="0.2">
      <c r="A3553" t="s">
        <v>7085</v>
      </c>
      <c r="B3553" t="s">
        <v>7086</v>
      </c>
      <c r="C3553" t="s">
        <v>131</v>
      </c>
      <c r="D3553" t="s">
        <v>363</v>
      </c>
      <c r="E3553" t="s">
        <v>8984</v>
      </c>
    </row>
    <row r="3554" spans="1:5" x14ac:dyDescent="0.2">
      <c r="A3554" t="s">
        <v>7087</v>
      </c>
      <c r="B3554" t="s">
        <v>7088</v>
      </c>
      <c r="C3554" t="s">
        <v>131</v>
      </c>
      <c r="D3554" t="s">
        <v>363</v>
      </c>
      <c r="E3554" t="s">
        <v>8984</v>
      </c>
    </row>
    <row r="3555" spans="1:5" x14ac:dyDescent="0.2">
      <c r="A3555" t="s">
        <v>7089</v>
      </c>
      <c r="B3555" t="s">
        <v>7090</v>
      </c>
      <c r="C3555" t="s">
        <v>421</v>
      </c>
      <c r="D3555" t="s">
        <v>377</v>
      </c>
      <c r="E3555" t="s">
        <v>8984</v>
      </c>
    </row>
    <row r="3556" spans="1:5" x14ac:dyDescent="0.2">
      <c r="A3556" t="s">
        <v>7091</v>
      </c>
      <c r="B3556" t="s">
        <v>7092</v>
      </c>
      <c r="C3556" t="s">
        <v>421</v>
      </c>
      <c r="D3556" t="s">
        <v>377</v>
      </c>
      <c r="E3556" t="s">
        <v>8984</v>
      </c>
    </row>
    <row r="3557" spans="1:5" x14ac:dyDescent="0.2">
      <c r="A3557" t="s">
        <v>7093</v>
      </c>
      <c r="B3557" t="s">
        <v>7094</v>
      </c>
      <c r="C3557" t="s">
        <v>421</v>
      </c>
      <c r="D3557" t="s">
        <v>363</v>
      </c>
      <c r="E3557" t="s">
        <v>8984</v>
      </c>
    </row>
    <row r="3558" spans="1:5" x14ac:dyDescent="0.2">
      <c r="A3558" t="s">
        <v>7095</v>
      </c>
      <c r="B3558" t="s">
        <v>7096</v>
      </c>
      <c r="C3558" t="s">
        <v>421</v>
      </c>
      <c r="D3558" t="s">
        <v>363</v>
      </c>
      <c r="E3558" t="s">
        <v>8984</v>
      </c>
    </row>
    <row r="3559" spans="1:5" x14ac:dyDescent="0.2">
      <c r="A3559" t="s">
        <v>7097</v>
      </c>
      <c r="B3559" t="s">
        <v>7098</v>
      </c>
      <c r="C3559" t="s">
        <v>421</v>
      </c>
      <c r="D3559" t="s">
        <v>363</v>
      </c>
      <c r="E3559" t="s">
        <v>8984</v>
      </c>
    </row>
    <row r="3560" spans="1:5" x14ac:dyDescent="0.2">
      <c r="A3560" t="s">
        <v>7099</v>
      </c>
      <c r="B3560" t="s">
        <v>9406</v>
      </c>
      <c r="C3560" t="s">
        <v>104</v>
      </c>
      <c r="D3560" t="s">
        <v>3699</v>
      </c>
      <c r="E3560" t="s">
        <v>8984</v>
      </c>
    </row>
    <row r="3561" spans="1:5" x14ac:dyDescent="0.2">
      <c r="A3561" t="s">
        <v>7100</v>
      </c>
      <c r="B3561" t="s">
        <v>9407</v>
      </c>
      <c r="C3561" t="s">
        <v>104</v>
      </c>
      <c r="D3561" t="s">
        <v>701</v>
      </c>
      <c r="E3561" t="s">
        <v>8984</v>
      </c>
    </row>
    <row r="3562" spans="1:5" x14ac:dyDescent="0.2">
      <c r="A3562" t="s">
        <v>7101</v>
      </c>
      <c r="B3562" t="s">
        <v>9408</v>
      </c>
      <c r="C3562" t="s">
        <v>104</v>
      </c>
      <c r="D3562" t="s">
        <v>701</v>
      </c>
      <c r="E3562" t="s">
        <v>8984</v>
      </c>
    </row>
    <row r="3563" spans="1:5" x14ac:dyDescent="0.2">
      <c r="A3563" t="s">
        <v>7102</v>
      </c>
      <c r="B3563" t="s">
        <v>7103</v>
      </c>
      <c r="C3563" t="s">
        <v>244</v>
      </c>
      <c r="D3563" t="s">
        <v>635</v>
      </c>
      <c r="E3563" t="s">
        <v>8984</v>
      </c>
    </row>
    <row r="3564" spans="1:5" x14ac:dyDescent="0.2">
      <c r="A3564" t="s">
        <v>7104</v>
      </c>
      <c r="B3564" t="s">
        <v>7105</v>
      </c>
      <c r="C3564" t="s">
        <v>244</v>
      </c>
      <c r="D3564" t="s">
        <v>635</v>
      </c>
      <c r="E3564" t="s">
        <v>8984</v>
      </c>
    </row>
    <row r="3565" spans="1:5" x14ac:dyDescent="0.2">
      <c r="A3565" t="s">
        <v>7106</v>
      </c>
      <c r="B3565" t="s">
        <v>7107</v>
      </c>
      <c r="C3565" t="s">
        <v>219</v>
      </c>
      <c r="D3565" t="s">
        <v>681</v>
      </c>
      <c r="E3565" t="s">
        <v>8984</v>
      </c>
    </row>
    <row r="3566" spans="1:5" x14ac:dyDescent="0.2">
      <c r="A3566" t="s">
        <v>7108</v>
      </c>
      <c r="B3566" t="s">
        <v>7109</v>
      </c>
      <c r="C3566" t="s">
        <v>219</v>
      </c>
      <c r="D3566" t="s">
        <v>335</v>
      </c>
      <c r="E3566" t="s">
        <v>8984</v>
      </c>
    </row>
    <row r="3567" spans="1:5" x14ac:dyDescent="0.2">
      <c r="A3567" t="s">
        <v>7110</v>
      </c>
      <c r="B3567" t="s">
        <v>7111</v>
      </c>
      <c r="C3567" t="s">
        <v>219</v>
      </c>
      <c r="D3567" t="s">
        <v>335</v>
      </c>
      <c r="E3567" t="s">
        <v>8984</v>
      </c>
    </row>
    <row r="3568" spans="1:5" x14ac:dyDescent="0.2">
      <c r="A3568" t="s">
        <v>7112</v>
      </c>
      <c r="B3568" t="s">
        <v>9409</v>
      </c>
      <c r="C3568" t="s">
        <v>219</v>
      </c>
      <c r="D3568" t="s">
        <v>335</v>
      </c>
      <c r="E3568" t="s">
        <v>8984</v>
      </c>
    </row>
    <row r="3569" spans="1:5" x14ac:dyDescent="0.2">
      <c r="A3569" t="s">
        <v>7113</v>
      </c>
      <c r="B3569" t="s">
        <v>7114</v>
      </c>
      <c r="C3569" t="s">
        <v>287</v>
      </c>
      <c r="D3569" t="s">
        <v>193</v>
      </c>
      <c r="E3569" t="s">
        <v>8984</v>
      </c>
    </row>
    <row r="3570" spans="1:5" x14ac:dyDescent="0.2">
      <c r="A3570" t="s">
        <v>7115</v>
      </c>
      <c r="B3570" t="s">
        <v>7116</v>
      </c>
      <c r="C3570" t="s">
        <v>287</v>
      </c>
      <c r="D3570" t="s">
        <v>193</v>
      </c>
      <c r="E3570" t="s">
        <v>8984</v>
      </c>
    </row>
    <row r="3571" spans="1:5" x14ac:dyDescent="0.2">
      <c r="A3571" t="s">
        <v>7117</v>
      </c>
      <c r="B3571" t="s">
        <v>7118</v>
      </c>
      <c r="C3571" t="s">
        <v>219</v>
      </c>
      <c r="D3571" t="s">
        <v>783</v>
      </c>
      <c r="E3571" t="s">
        <v>8984</v>
      </c>
    </row>
    <row r="3572" spans="1:5" x14ac:dyDescent="0.2">
      <c r="A3572" t="s">
        <v>7119</v>
      </c>
      <c r="B3572" t="s">
        <v>7120</v>
      </c>
      <c r="C3572" t="s">
        <v>219</v>
      </c>
      <c r="D3572" t="s">
        <v>783</v>
      </c>
      <c r="E3572" t="s">
        <v>8984</v>
      </c>
    </row>
    <row r="3573" spans="1:5" x14ac:dyDescent="0.2">
      <c r="A3573" t="s">
        <v>7121</v>
      </c>
      <c r="B3573" t="s">
        <v>7122</v>
      </c>
      <c r="C3573" t="s">
        <v>219</v>
      </c>
      <c r="D3573" t="s">
        <v>380</v>
      </c>
      <c r="E3573" t="s">
        <v>8984</v>
      </c>
    </row>
    <row r="3574" spans="1:5" x14ac:dyDescent="0.2">
      <c r="A3574" t="s">
        <v>7123</v>
      </c>
      <c r="B3574" t="s">
        <v>7124</v>
      </c>
      <c r="C3574" t="s">
        <v>219</v>
      </c>
      <c r="D3574" t="s">
        <v>335</v>
      </c>
      <c r="E3574" t="s">
        <v>8984</v>
      </c>
    </row>
    <row r="3575" spans="1:5" x14ac:dyDescent="0.2">
      <c r="A3575" t="s">
        <v>7125</v>
      </c>
      <c r="B3575" t="s">
        <v>7126</v>
      </c>
      <c r="C3575" t="s">
        <v>219</v>
      </c>
      <c r="D3575" t="s">
        <v>335</v>
      </c>
      <c r="E3575" t="s">
        <v>8984</v>
      </c>
    </row>
    <row r="3576" spans="1:5" x14ac:dyDescent="0.2">
      <c r="A3576" t="s">
        <v>7127</v>
      </c>
      <c r="B3576" t="s">
        <v>7128</v>
      </c>
      <c r="C3576" t="s">
        <v>219</v>
      </c>
      <c r="D3576" t="s">
        <v>335</v>
      </c>
      <c r="E3576" t="s">
        <v>8984</v>
      </c>
    </row>
    <row r="3577" spans="1:5" x14ac:dyDescent="0.2">
      <c r="A3577" t="s">
        <v>7129</v>
      </c>
      <c r="B3577" t="s">
        <v>7130</v>
      </c>
      <c r="C3577" t="s">
        <v>227</v>
      </c>
      <c r="D3577" t="s">
        <v>335</v>
      </c>
      <c r="E3577" t="s">
        <v>8984</v>
      </c>
    </row>
    <row r="3578" spans="1:5" x14ac:dyDescent="0.2">
      <c r="A3578" t="s">
        <v>7131</v>
      </c>
      <c r="B3578" t="s">
        <v>7132</v>
      </c>
      <c r="C3578" t="s">
        <v>227</v>
      </c>
      <c r="D3578" t="s">
        <v>335</v>
      </c>
      <c r="E3578" t="s">
        <v>8984</v>
      </c>
    </row>
    <row r="3579" spans="1:5" x14ac:dyDescent="0.2">
      <c r="A3579" t="s">
        <v>7133</v>
      </c>
      <c r="B3579" t="s">
        <v>7134</v>
      </c>
      <c r="C3579" t="s">
        <v>199</v>
      </c>
      <c r="D3579" t="s">
        <v>489</v>
      </c>
      <c r="E3579" t="s">
        <v>1775</v>
      </c>
    </row>
    <row r="3580" spans="1:5" x14ac:dyDescent="0.2">
      <c r="A3580" t="s">
        <v>7135</v>
      </c>
      <c r="B3580" t="s">
        <v>7136</v>
      </c>
      <c r="C3580" t="s">
        <v>199</v>
      </c>
      <c r="D3580" t="s">
        <v>489</v>
      </c>
      <c r="E3580" t="s">
        <v>1775</v>
      </c>
    </row>
    <row r="3581" spans="1:5" x14ac:dyDescent="0.2">
      <c r="A3581" t="s">
        <v>7137</v>
      </c>
      <c r="B3581" t="s">
        <v>7138</v>
      </c>
      <c r="C3581" t="s">
        <v>199</v>
      </c>
      <c r="D3581" t="s">
        <v>301</v>
      </c>
      <c r="E3581" t="s">
        <v>9410</v>
      </c>
    </row>
    <row r="3582" spans="1:5" x14ac:dyDescent="0.2">
      <c r="A3582" t="s">
        <v>7139</v>
      </c>
      <c r="B3582" t="s">
        <v>7140</v>
      </c>
      <c r="C3582" t="s">
        <v>199</v>
      </c>
      <c r="D3582" t="s">
        <v>99</v>
      </c>
      <c r="E3582" t="s">
        <v>1775</v>
      </c>
    </row>
    <row r="3583" spans="1:5" x14ac:dyDescent="0.2">
      <c r="A3583" t="s">
        <v>7141</v>
      </c>
      <c r="B3583" t="s">
        <v>7142</v>
      </c>
      <c r="C3583" t="s">
        <v>244</v>
      </c>
      <c r="D3583" t="s">
        <v>991</v>
      </c>
      <c r="E3583" t="s">
        <v>9411</v>
      </c>
    </row>
    <row r="3584" spans="1:5" x14ac:dyDescent="0.2">
      <c r="A3584" t="s">
        <v>7143</v>
      </c>
      <c r="B3584" t="s">
        <v>7144</v>
      </c>
      <c r="C3584" t="s">
        <v>244</v>
      </c>
      <c r="D3584" t="s">
        <v>396</v>
      </c>
      <c r="E3584" t="s">
        <v>9411</v>
      </c>
    </row>
    <row r="3585" spans="1:5" x14ac:dyDescent="0.2">
      <c r="A3585" t="s">
        <v>7145</v>
      </c>
      <c r="B3585" t="s">
        <v>7146</v>
      </c>
      <c r="C3585" t="s">
        <v>244</v>
      </c>
      <c r="D3585" t="s">
        <v>396</v>
      </c>
      <c r="E3585" t="s">
        <v>9411</v>
      </c>
    </row>
    <row r="3586" spans="1:5" x14ac:dyDescent="0.2">
      <c r="A3586" t="s">
        <v>7147</v>
      </c>
      <c r="B3586" t="s">
        <v>7148</v>
      </c>
      <c r="C3586" t="s">
        <v>376</v>
      </c>
      <c r="D3586" t="s">
        <v>1566</v>
      </c>
      <c r="E3586" t="s">
        <v>9411</v>
      </c>
    </row>
    <row r="3587" spans="1:5" x14ac:dyDescent="0.2">
      <c r="A3587" t="s">
        <v>7149</v>
      </c>
      <c r="B3587" t="s">
        <v>7150</v>
      </c>
      <c r="C3587" t="s">
        <v>376</v>
      </c>
      <c r="D3587" t="s">
        <v>1566</v>
      </c>
      <c r="E3587" t="s">
        <v>9411</v>
      </c>
    </row>
    <row r="3588" spans="1:5" x14ac:dyDescent="0.2">
      <c r="A3588" t="s">
        <v>7151</v>
      </c>
      <c r="B3588" t="s">
        <v>7152</v>
      </c>
      <c r="C3588" t="s">
        <v>376</v>
      </c>
      <c r="D3588" t="s">
        <v>394</v>
      </c>
      <c r="E3588" t="s">
        <v>9411</v>
      </c>
    </row>
    <row r="3589" spans="1:5" x14ac:dyDescent="0.2">
      <c r="A3589" t="s">
        <v>7153</v>
      </c>
      <c r="B3589" t="s">
        <v>7154</v>
      </c>
      <c r="C3589" t="s">
        <v>376</v>
      </c>
      <c r="D3589" t="s">
        <v>394</v>
      </c>
      <c r="E3589" t="s">
        <v>9411</v>
      </c>
    </row>
    <row r="3590" spans="1:5" x14ac:dyDescent="0.2">
      <c r="A3590" t="s">
        <v>7155</v>
      </c>
      <c r="B3590" t="s">
        <v>7156</v>
      </c>
      <c r="C3590" t="s">
        <v>376</v>
      </c>
      <c r="D3590" t="s">
        <v>171</v>
      </c>
      <c r="E3590" t="s">
        <v>9411</v>
      </c>
    </row>
    <row r="3591" spans="1:5" x14ac:dyDescent="0.2">
      <c r="A3591" t="s">
        <v>7157</v>
      </c>
      <c r="B3591" t="s">
        <v>7158</v>
      </c>
      <c r="C3591" t="s">
        <v>376</v>
      </c>
      <c r="D3591" t="s">
        <v>171</v>
      </c>
      <c r="E3591" t="s">
        <v>9411</v>
      </c>
    </row>
    <row r="3592" spans="1:5" x14ac:dyDescent="0.2">
      <c r="A3592" t="s">
        <v>7159</v>
      </c>
      <c r="B3592" t="s">
        <v>7160</v>
      </c>
      <c r="C3592" t="s">
        <v>376</v>
      </c>
      <c r="D3592" t="s">
        <v>433</v>
      </c>
      <c r="E3592" t="s">
        <v>9411</v>
      </c>
    </row>
    <row r="3593" spans="1:5" x14ac:dyDescent="0.2">
      <c r="A3593" t="s">
        <v>7161</v>
      </c>
      <c r="B3593" t="s">
        <v>7162</v>
      </c>
      <c r="C3593" t="s">
        <v>376</v>
      </c>
      <c r="D3593" t="s">
        <v>433</v>
      </c>
      <c r="E3593" t="s">
        <v>9411</v>
      </c>
    </row>
    <row r="3594" spans="1:5" x14ac:dyDescent="0.2">
      <c r="A3594" t="s">
        <v>7163</v>
      </c>
      <c r="B3594" t="s">
        <v>7164</v>
      </c>
      <c r="C3594" t="s">
        <v>376</v>
      </c>
      <c r="D3594" t="s">
        <v>422</v>
      </c>
      <c r="E3594" t="s">
        <v>1775</v>
      </c>
    </row>
    <row r="3595" spans="1:5" x14ac:dyDescent="0.2">
      <c r="A3595" t="s">
        <v>7165</v>
      </c>
      <c r="B3595" t="s">
        <v>7166</v>
      </c>
      <c r="C3595" t="s">
        <v>376</v>
      </c>
      <c r="D3595" t="s">
        <v>422</v>
      </c>
      <c r="E3595" t="s">
        <v>1775</v>
      </c>
    </row>
    <row r="3596" spans="1:5" x14ac:dyDescent="0.2">
      <c r="A3596" t="s">
        <v>7167</v>
      </c>
      <c r="B3596" t="s">
        <v>7168</v>
      </c>
      <c r="C3596" t="s">
        <v>376</v>
      </c>
      <c r="D3596" t="s">
        <v>500</v>
      </c>
      <c r="E3596" t="s">
        <v>1775</v>
      </c>
    </row>
    <row r="3597" spans="1:5" x14ac:dyDescent="0.2">
      <c r="A3597" t="s">
        <v>7169</v>
      </c>
      <c r="B3597" t="s">
        <v>7170</v>
      </c>
      <c r="C3597" t="s">
        <v>376</v>
      </c>
      <c r="D3597" t="s">
        <v>500</v>
      </c>
      <c r="E3597" t="s">
        <v>1775</v>
      </c>
    </row>
    <row r="3598" spans="1:5" x14ac:dyDescent="0.2">
      <c r="A3598" t="s">
        <v>7171</v>
      </c>
      <c r="B3598" t="s">
        <v>7172</v>
      </c>
      <c r="C3598" t="s">
        <v>376</v>
      </c>
      <c r="D3598" t="s">
        <v>456</v>
      </c>
      <c r="E3598" t="s">
        <v>9411</v>
      </c>
    </row>
    <row r="3599" spans="1:5" x14ac:dyDescent="0.2">
      <c r="A3599" t="s">
        <v>7173</v>
      </c>
      <c r="B3599" t="s">
        <v>7174</v>
      </c>
      <c r="C3599" t="s">
        <v>376</v>
      </c>
      <c r="D3599" t="s">
        <v>462</v>
      </c>
      <c r="E3599" t="s">
        <v>1775</v>
      </c>
    </row>
    <row r="3600" spans="1:5" x14ac:dyDescent="0.2">
      <c r="A3600" t="s">
        <v>7175</v>
      </c>
      <c r="B3600" t="s">
        <v>7176</v>
      </c>
      <c r="C3600" t="s">
        <v>376</v>
      </c>
      <c r="D3600" t="s">
        <v>462</v>
      </c>
      <c r="E3600" t="s">
        <v>1775</v>
      </c>
    </row>
    <row r="3601" spans="1:5" x14ac:dyDescent="0.2">
      <c r="A3601" t="s">
        <v>64</v>
      </c>
      <c r="B3601" t="s">
        <v>7177</v>
      </c>
      <c r="C3601" t="s">
        <v>376</v>
      </c>
      <c r="D3601" t="s">
        <v>224</v>
      </c>
      <c r="E3601" t="s">
        <v>9411</v>
      </c>
    </row>
    <row r="3602" spans="1:5" x14ac:dyDescent="0.2">
      <c r="A3602" t="s">
        <v>7178</v>
      </c>
      <c r="B3602" t="s">
        <v>7179</v>
      </c>
      <c r="C3602" t="s">
        <v>376</v>
      </c>
      <c r="D3602" t="s">
        <v>224</v>
      </c>
      <c r="E3602" t="s">
        <v>9411</v>
      </c>
    </row>
    <row r="3603" spans="1:5" x14ac:dyDescent="0.2">
      <c r="A3603" t="s">
        <v>7374</v>
      </c>
      <c r="B3603" t="s">
        <v>9412</v>
      </c>
      <c r="C3603" t="s">
        <v>120</v>
      </c>
      <c r="D3603" t="s">
        <v>290</v>
      </c>
      <c r="E3603" t="s">
        <v>9372</v>
      </c>
    </row>
    <row r="3604" spans="1:5" x14ac:dyDescent="0.2">
      <c r="A3604" t="s">
        <v>7375</v>
      </c>
      <c r="B3604" t="s">
        <v>9413</v>
      </c>
      <c r="C3604" t="s">
        <v>104</v>
      </c>
      <c r="D3604" t="s">
        <v>301</v>
      </c>
      <c r="E3604" t="s">
        <v>9372</v>
      </c>
    </row>
    <row r="3605" spans="1:5" x14ac:dyDescent="0.2">
      <c r="A3605" t="s">
        <v>7376</v>
      </c>
      <c r="B3605" t="s">
        <v>9414</v>
      </c>
      <c r="C3605" t="s">
        <v>104</v>
      </c>
      <c r="D3605" t="s">
        <v>99</v>
      </c>
      <c r="E3605" t="s">
        <v>9372</v>
      </c>
    </row>
    <row r="3606" spans="1:5" x14ac:dyDescent="0.2">
      <c r="A3606" t="s">
        <v>7377</v>
      </c>
      <c r="B3606" t="s">
        <v>9415</v>
      </c>
      <c r="C3606" t="s">
        <v>131</v>
      </c>
      <c r="D3606" t="s">
        <v>193</v>
      </c>
      <c r="E3606" t="s">
        <v>9372</v>
      </c>
    </row>
    <row r="3607" spans="1:5" x14ac:dyDescent="0.2">
      <c r="A3607" t="s">
        <v>7378</v>
      </c>
      <c r="B3607" t="s">
        <v>9416</v>
      </c>
      <c r="C3607" t="s">
        <v>131</v>
      </c>
      <c r="D3607" t="s">
        <v>805</v>
      </c>
      <c r="E3607" t="s">
        <v>9372</v>
      </c>
    </row>
    <row r="3608" spans="1:5" x14ac:dyDescent="0.2">
      <c r="A3608" t="s">
        <v>7379</v>
      </c>
      <c r="B3608" t="s">
        <v>9417</v>
      </c>
      <c r="C3608" t="s">
        <v>92</v>
      </c>
      <c r="D3608" t="s">
        <v>734</v>
      </c>
      <c r="E3608" t="s">
        <v>9372</v>
      </c>
    </row>
    <row r="3609" spans="1:5" x14ac:dyDescent="0.2">
      <c r="A3609" t="s">
        <v>7184</v>
      </c>
      <c r="B3609" t="s">
        <v>7185</v>
      </c>
      <c r="C3609" t="s">
        <v>92</v>
      </c>
      <c r="D3609" t="s">
        <v>3771</v>
      </c>
      <c r="E3609" t="s">
        <v>9418</v>
      </c>
    </row>
    <row r="3610" spans="1:5" x14ac:dyDescent="0.2">
      <c r="A3610" t="s">
        <v>7186</v>
      </c>
      <c r="B3610" t="s">
        <v>7187</v>
      </c>
      <c r="C3610" t="s">
        <v>92</v>
      </c>
      <c r="D3610" t="s">
        <v>3771</v>
      </c>
      <c r="E3610" t="s">
        <v>9418</v>
      </c>
    </row>
    <row r="3611" spans="1:5" x14ac:dyDescent="0.2">
      <c r="A3611" t="s">
        <v>7188</v>
      </c>
      <c r="B3611" t="s">
        <v>7189</v>
      </c>
      <c r="C3611" t="s">
        <v>322</v>
      </c>
      <c r="D3611" t="s">
        <v>433</v>
      </c>
      <c r="E3611" t="s">
        <v>9411</v>
      </c>
    </row>
    <row r="3612" spans="1:5" x14ac:dyDescent="0.2">
      <c r="A3612" t="s">
        <v>7195</v>
      </c>
      <c r="B3612" t="s">
        <v>7196</v>
      </c>
      <c r="C3612" t="s">
        <v>322</v>
      </c>
      <c r="D3612" t="s">
        <v>1534</v>
      </c>
      <c r="E3612" t="s">
        <v>1775</v>
      </c>
    </row>
    <row r="3613" spans="1:5" x14ac:dyDescent="0.2">
      <c r="A3613" t="s">
        <v>7197</v>
      </c>
      <c r="B3613" t="s">
        <v>7198</v>
      </c>
      <c r="C3613" t="s">
        <v>322</v>
      </c>
      <c r="D3613" t="s">
        <v>1534</v>
      </c>
      <c r="E3613" t="s">
        <v>1775</v>
      </c>
    </row>
    <row r="3614" spans="1:5" x14ac:dyDescent="0.2">
      <c r="A3614" t="s">
        <v>7199</v>
      </c>
      <c r="B3614" t="s">
        <v>7200</v>
      </c>
      <c r="C3614" t="s">
        <v>322</v>
      </c>
      <c r="D3614" t="s">
        <v>1831</v>
      </c>
      <c r="E3614" t="s">
        <v>1775</v>
      </c>
    </row>
    <row r="3615" spans="1:5" x14ac:dyDescent="0.2">
      <c r="A3615" t="s">
        <v>7201</v>
      </c>
      <c r="B3615" t="s">
        <v>7202</v>
      </c>
      <c r="C3615" t="s">
        <v>322</v>
      </c>
      <c r="D3615" t="s">
        <v>681</v>
      </c>
      <c r="E3615" t="s">
        <v>1775</v>
      </c>
    </row>
    <row r="3616" spans="1:5" x14ac:dyDescent="0.2">
      <c r="A3616" t="s">
        <v>7203</v>
      </c>
      <c r="B3616" t="s">
        <v>7204</v>
      </c>
      <c r="C3616" t="s">
        <v>322</v>
      </c>
      <c r="D3616" t="s">
        <v>681</v>
      </c>
      <c r="E3616" t="s">
        <v>1775</v>
      </c>
    </row>
    <row r="3617" spans="1:5" x14ac:dyDescent="0.2">
      <c r="A3617" t="s">
        <v>7205</v>
      </c>
      <c r="B3617" t="s">
        <v>7206</v>
      </c>
      <c r="C3617" t="s">
        <v>322</v>
      </c>
      <c r="D3617" t="s">
        <v>1831</v>
      </c>
      <c r="E3617" t="s">
        <v>1775</v>
      </c>
    </row>
    <row r="3618" spans="1:5" x14ac:dyDescent="0.2">
      <c r="A3618" t="s">
        <v>7207</v>
      </c>
      <c r="B3618" t="s">
        <v>7208</v>
      </c>
      <c r="C3618" t="s">
        <v>322</v>
      </c>
      <c r="D3618" t="s">
        <v>422</v>
      </c>
      <c r="E3618" t="s">
        <v>1775</v>
      </c>
    </row>
    <row r="3619" spans="1:5" x14ac:dyDescent="0.2">
      <c r="A3619" t="s">
        <v>7209</v>
      </c>
      <c r="B3619" t="s">
        <v>7210</v>
      </c>
      <c r="C3619" t="s">
        <v>322</v>
      </c>
      <c r="D3619" t="s">
        <v>853</v>
      </c>
      <c r="E3619" t="s">
        <v>1775</v>
      </c>
    </row>
    <row r="3620" spans="1:5" x14ac:dyDescent="0.2">
      <c r="A3620" t="s">
        <v>7211</v>
      </c>
      <c r="B3620" t="s">
        <v>7212</v>
      </c>
      <c r="C3620" t="s">
        <v>322</v>
      </c>
      <c r="D3620" t="s">
        <v>535</v>
      </c>
      <c r="E3620" t="s">
        <v>1775</v>
      </c>
    </row>
    <row r="3621" spans="1:5" x14ac:dyDescent="0.2">
      <c r="A3621" t="s">
        <v>7213</v>
      </c>
      <c r="B3621" t="s">
        <v>7214</v>
      </c>
      <c r="C3621" t="s">
        <v>322</v>
      </c>
      <c r="D3621" t="s">
        <v>535</v>
      </c>
      <c r="E3621" t="s">
        <v>1775</v>
      </c>
    </row>
    <row r="3622" spans="1:5" x14ac:dyDescent="0.2">
      <c r="A3622" t="s">
        <v>7215</v>
      </c>
      <c r="B3622" t="s">
        <v>7216</v>
      </c>
      <c r="C3622" t="s">
        <v>322</v>
      </c>
      <c r="D3622" t="s">
        <v>535</v>
      </c>
      <c r="E3622" t="s">
        <v>1775</v>
      </c>
    </row>
    <row r="3623" spans="1:5" x14ac:dyDescent="0.2">
      <c r="A3623" t="s">
        <v>7217</v>
      </c>
      <c r="B3623" t="s">
        <v>7218</v>
      </c>
      <c r="C3623" t="s">
        <v>659</v>
      </c>
      <c r="D3623" t="s">
        <v>500</v>
      </c>
      <c r="E3623" t="s">
        <v>9411</v>
      </c>
    </row>
    <row r="3624" spans="1:5" x14ac:dyDescent="0.2">
      <c r="A3624" t="s">
        <v>7219</v>
      </c>
      <c r="B3624" t="s">
        <v>7220</v>
      </c>
      <c r="C3624" t="s">
        <v>659</v>
      </c>
      <c r="D3624" t="s">
        <v>462</v>
      </c>
      <c r="E3624" t="s">
        <v>9411</v>
      </c>
    </row>
    <row r="3625" spans="1:5" x14ac:dyDescent="0.2">
      <c r="A3625" t="s">
        <v>7221</v>
      </c>
      <c r="B3625" t="s">
        <v>7222</v>
      </c>
      <c r="C3625" t="s">
        <v>659</v>
      </c>
      <c r="D3625" t="s">
        <v>462</v>
      </c>
      <c r="E3625" t="s">
        <v>9411</v>
      </c>
    </row>
    <row r="3626" spans="1:5" x14ac:dyDescent="0.2">
      <c r="A3626" t="s">
        <v>7190</v>
      </c>
      <c r="B3626" t="s">
        <v>9419</v>
      </c>
      <c r="C3626" t="s">
        <v>322</v>
      </c>
      <c r="D3626" t="s">
        <v>400</v>
      </c>
      <c r="E3626" t="s">
        <v>9410</v>
      </c>
    </row>
    <row r="3627" spans="1:5" x14ac:dyDescent="0.2">
      <c r="A3627" t="s">
        <v>7191</v>
      </c>
      <c r="B3627" t="s">
        <v>9420</v>
      </c>
      <c r="C3627" t="s">
        <v>322</v>
      </c>
      <c r="D3627" t="s">
        <v>400</v>
      </c>
      <c r="E3627" t="s">
        <v>9410</v>
      </c>
    </row>
    <row r="3628" spans="1:5" x14ac:dyDescent="0.2">
      <c r="A3628" t="s">
        <v>7192</v>
      </c>
      <c r="B3628" t="s">
        <v>9421</v>
      </c>
      <c r="C3628" t="s">
        <v>322</v>
      </c>
      <c r="D3628" t="s">
        <v>126</v>
      </c>
      <c r="E3628" t="s">
        <v>1775</v>
      </c>
    </row>
    <row r="3629" spans="1:5" x14ac:dyDescent="0.2">
      <c r="A3629" t="s">
        <v>7193</v>
      </c>
      <c r="B3629" t="s">
        <v>9422</v>
      </c>
      <c r="C3629" t="s">
        <v>322</v>
      </c>
      <c r="D3629" t="s">
        <v>335</v>
      </c>
      <c r="E3629" t="s">
        <v>9410</v>
      </c>
    </row>
    <row r="3630" spans="1:5" x14ac:dyDescent="0.2">
      <c r="A3630" t="s">
        <v>7194</v>
      </c>
      <c r="B3630" t="s">
        <v>9423</v>
      </c>
      <c r="C3630" t="s">
        <v>322</v>
      </c>
      <c r="D3630" t="s">
        <v>126</v>
      </c>
      <c r="E3630" t="s">
        <v>1775</v>
      </c>
    </row>
    <row r="3631" spans="1:5" x14ac:dyDescent="0.2">
      <c r="A3631" t="s">
        <v>7223</v>
      </c>
      <c r="B3631" t="s">
        <v>7224</v>
      </c>
      <c r="C3631" t="s">
        <v>322</v>
      </c>
      <c r="D3631" t="s">
        <v>622</v>
      </c>
      <c r="E3631" t="s">
        <v>1775</v>
      </c>
    </row>
    <row r="3632" spans="1:5" x14ac:dyDescent="0.2">
      <c r="A3632" t="s">
        <v>7225</v>
      </c>
      <c r="B3632" t="s">
        <v>7226</v>
      </c>
      <c r="C3632" t="s">
        <v>322</v>
      </c>
      <c r="D3632" t="s">
        <v>126</v>
      </c>
      <c r="E3632" t="s">
        <v>9411</v>
      </c>
    </row>
    <row r="3633" spans="1:5" x14ac:dyDescent="0.2">
      <c r="A3633" t="s">
        <v>7227</v>
      </c>
      <c r="B3633" t="s">
        <v>7228</v>
      </c>
      <c r="C3633" t="s">
        <v>322</v>
      </c>
      <c r="D3633" t="s">
        <v>126</v>
      </c>
      <c r="E3633" t="s">
        <v>9411</v>
      </c>
    </row>
    <row r="3634" spans="1:5" x14ac:dyDescent="0.2">
      <c r="A3634" t="s">
        <v>7229</v>
      </c>
      <c r="B3634" t="s">
        <v>7230</v>
      </c>
      <c r="C3634" t="s">
        <v>322</v>
      </c>
      <c r="D3634" t="s">
        <v>622</v>
      </c>
      <c r="E3634" t="s">
        <v>1775</v>
      </c>
    </row>
    <row r="3635" spans="1:5" x14ac:dyDescent="0.2">
      <c r="A3635" t="s">
        <v>7231</v>
      </c>
      <c r="B3635" t="s">
        <v>7232</v>
      </c>
      <c r="C3635" t="s">
        <v>345</v>
      </c>
      <c r="D3635" t="s">
        <v>233</v>
      </c>
      <c r="E3635" t="s">
        <v>9411</v>
      </c>
    </row>
    <row r="3636" spans="1:5" x14ac:dyDescent="0.2">
      <c r="A3636" t="s">
        <v>7233</v>
      </c>
      <c r="B3636" t="s">
        <v>7234</v>
      </c>
      <c r="C3636" t="s">
        <v>345</v>
      </c>
      <c r="D3636" t="s">
        <v>233</v>
      </c>
      <c r="E3636" t="s">
        <v>9411</v>
      </c>
    </row>
    <row r="3637" spans="1:5" x14ac:dyDescent="0.2">
      <c r="A3637" t="s">
        <v>7235</v>
      </c>
      <c r="B3637" t="s">
        <v>7236</v>
      </c>
      <c r="C3637" t="s">
        <v>345</v>
      </c>
      <c r="D3637" t="s">
        <v>6665</v>
      </c>
      <c r="E3637" t="s">
        <v>9411</v>
      </c>
    </row>
    <row r="3638" spans="1:5" x14ac:dyDescent="0.2">
      <c r="A3638" t="s">
        <v>7237</v>
      </c>
      <c r="B3638" t="s">
        <v>7238</v>
      </c>
      <c r="C3638" t="s">
        <v>345</v>
      </c>
      <c r="D3638" t="s">
        <v>6665</v>
      </c>
      <c r="E3638" t="s">
        <v>9411</v>
      </c>
    </row>
    <row r="3639" spans="1:5" x14ac:dyDescent="0.2">
      <c r="A3639" t="s">
        <v>7239</v>
      </c>
      <c r="B3639" t="s">
        <v>7240</v>
      </c>
      <c r="C3639" t="s">
        <v>669</v>
      </c>
      <c r="D3639" t="s">
        <v>433</v>
      </c>
      <c r="E3639" t="s">
        <v>9424</v>
      </c>
    </row>
    <row r="3640" spans="1:5" x14ac:dyDescent="0.2">
      <c r="A3640" t="s">
        <v>7241</v>
      </c>
      <c r="B3640" t="s">
        <v>7242</v>
      </c>
      <c r="C3640" t="s">
        <v>669</v>
      </c>
      <c r="D3640" t="s">
        <v>433</v>
      </c>
      <c r="E3640" t="s">
        <v>9424</v>
      </c>
    </row>
    <row r="3641" spans="1:5" x14ac:dyDescent="0.2">
      <c r="A3641" t="s">
        <v>7243</v>
      </c>
      <c r="B3641" t="s">
        <v>7244</v>
      </c>
      <c r="C3641" t="s">
        <v>669</v>
      </c>
      <c r="D3641" t="s">
        <v>853</v>
      </c>
      <c r="E3641" t="s">
        <v>9411</v>
      </c>
    </row>
    <row r="3642" spans="1:5" x14ac:dyDescent="0.2">
      <c r="A3642" t="s">
        <v>7245</v>
      </c>
      <c r="B3642" t="s">
        <v>7246</v>
      </c>
      <c r="C3642" t="s">
        <v>669</v>
      </c>
      <c r="D3642" t="s">
        <v>853</v>
      </c>
      <c r="E3642" t="s">
        <v>9411</v>
      </c>
    </row>
    <row r="3643" spans="1:5" x14ac:dyDescent="0.2">
      <c r="A3643" t="s">
        <v>7247</v>
      </c>
      <c r="B3643" t="s">
        <v>7248</v>
      </c>
      <c r="C3643" t="s">
        <v>669</v>
      </c>
      <c r="D3643" t="s">
        <v>604</v>
      </c>
      <c r="E3643" t="s">
        <v>9411</v>
      </c>
    </row>
    <row r="3644" spans="1:5" x14ac:dyDescent="0.2">
      <c r="A3644" t="s">
        <v>7249</v>
      </c>
      <c r="B3644" t="s">
        <v>7250</v>
      </c>
      <c r="C3644" t="s">
        <v>669</v>
      </c>
      <c r="D3644" t="s">
        <v>535</v>
      </c>
      <c r="E3644" t="s">
        <v>9411</v>
      </c>
    </row>
    <row r="3645" spans="1:5" x14ac:dyDescent="0.2">
      <c r="A3645" t="s">
        <v>7251</v>
      </c>
      <c r="B3645" t="s">
        <v>7252</v>
      </c>
      <c r="C3645" t="s">
        <v>669</v>
      </c>
      <c r="D3645" t="s">
        <v>535</v>
      </c>
      <c r="E3645" t="s">
        <v>9411</v>
      </c>
    </row>
    <row r="3646" spans="1:5" x14ac:dyDescent="0.2">
      <c r="A3646" t="s">
        <v>7253</v>
      </c>
      <c r="B3646" t="s">
        <v>7254</v>
      </c>
      <c r="C3646" t="s">
        <v>669</v>
      </c>
      <c r="D3646" t="s">
        <v>422</v>
      </c>
      <c r="E3646" t="s">
        <v>1775</v>
      </c>
    </row>
    <row r="3647" spans="1:5" x14ac:dyDescent="0.2">
      <c r="A3647" t="s">
        <v>7255</v>
      </c>
      <c r="B3647" t="s">
        <v>7256</v>
      </c>
      <c r="C3647" t="s">
        <v>669</v>
      </c>
      <c r="D3647" t="s">
        <v>412</v>
      </c>
      <c r="E3647" t="s">
        <v>1775</v>
      </c>
    </row>
    <row r="3648" spans="1:5" x14ac:dyDescent="0.2">
      <c r="A3648" t="s">
        <v>7257</v>
      </c>
      <c r="B3648" t="s">
        <v>7258</v>
      </c>
      <c r="C3648" t="s">
        <v>669</v>
      </c>
      <c r="D3648" t="s">
        <v>422</v>
      </c>
      <c r="E3648" t="s">
        <v>1775</v>
      </c>
    </row>
    <row r="3649" spans="1:5" x14ac:dyDescent="0.2">
      <c r="A3649" t="s">
        <v>7259</v>
      </c>
      <c r="B3649" t="s">
        <v>7260</v>
      </c>
      <c r="C3649" t="s">
        <v>669</v>
      </c>
      <c r="D3649" t="s">
        <v>224</v>
      </c>
      <c r="E3649" t="s">
        <v>9424</v>
      </c>
    </row>
    <row r="3650" spans="1:5" x14ac:dyDescent="0.2">
      <c r="A3650" t="s">
        <v>7261</v>
      </c>
      <c r="B3650" t="s">
        <v>7262</v>
      </c>
      <c r="C3650" t="s">
        <v>669</v>
      </c>
      <c r="D3650" t="s">
        <v>224</v>
      </c>
      <c r="E3650" t="s">
        <v>9424</v>
      </c>
    </row>
    <row r="3651" spans="1:5" x14ac:dyDescent="0.2">
      <c r="A3651" t="s">
        <v>7263</v>
      </c>
      <c r="B3651" t="s">
        <v>7264</v>
      </c>
      <c r="C3651" t="s">
        <v>331</v>
      </c>
      <c r="D3651" t="s">
        <v>783</v>
      </c>
      <c r="E3651" t="s">
        <v>1775</v>
      </c>
    </row>
    <row r="3652" spans="1:5" x14ac:dyDescent="0.2">
      <c r="A3652" t="s">
        <v>7265</v>
      </c>
      <c r="B3652" t="s">
        <v>7266</v>
      </c>
      <c r="C3652" t="s">
        <v>331</v>
      </c>
      <c r="D3652" t="s">
        <v>783</v>
      </c>
      <c r="E3652" t="s">
        <v>1775</v>
      </c>
    </row>
    <row r="3653" spans="1:5" x14ac:dyDescent="0.2">
      <c r="A3653" t="s">
        <v>7267</v>
      </c>
      <c r="B3653" t="s">
        <v>7268</v>
      </c>
      <c r="C3653" t="s">
        <v>331</v>
      </c>
      <c r="D3653" t="s">
        <v>535</v>
      </c>
      <c r="E3653" t="s">
        <v>1775</v>
      </c>
    </row>
    <row r="3654" spans="1:5" x14ac:dyDescent="0.2">
      <c r="A3654" t="s">
        <v>7269</v>
      </c>
      <c r="B3654" t="s">
        <v>7270</v>
      </c>
      <c r="C3654" t="s">
        <v>331</v>
      </c>
      <c r="D3654" t="s">
        <v>535</v>
      </c>
      <c r="E3654" t="s">
        <v>1775</v>
      </c>
    </row>
    <row r="3655" spans="1:5" x14ac:dyDescent="0.2">
      <c r="A3655" t="s">
        <v>7271</v>
      </c>
      <c r="B3655" t="s">
        <v>9425</v>
      </c>
      <c r="C3655" t="s">
        <v>219</v>
      </c>
      <c r="D3655" t="s">
        <v>436</v>
      </c>
      <c r="E3655" t="s">
        <v>234</v>
      </c>
    </row>
    <row r="3656" spans="1:5" x14ac:dyDescent="0.2">
      <c r="A3656" t="s">
        <v>7272</v>
      </c>
      <c r="B3656" t="s">
        <v>9426</v>
      </c>
      <c r="C3656" t="s">
        <v>219</v>
      </c>
      <c r="D3656" t="s">
        <v>1831</v>
      </c>
      <c r="E3656" t="s">
        <v>234</v>
      </c>
    </row>
    <row r="3657" spans="1:5" x14ac:dyDescent="0.2">
      <c r="A3657" t="s">
        <v>7273</v>
      </c>
      <c r="B3657" t="s">
        <v>9427</v>
      </c>
      <c r="C3657" t="s">
        <v>219</v>
      </c>
      <c r="D3657" t="s">
        <v>1351</v>
      </c>
      <c r="E3657" t="s">
        <v>9411</v>
      </c>
    </row>
    <row r="3658" spans="1:5" x14ac:dyDescent="0.2">
      <c r="A3658" t="s">
        <v>7274</v>
      </c>
      <c r="B3658" t="s">
        <v>9428</v>
      </c>
      <c r="C3658" t="s">
        <v>219</v>
      </c>
      <c r="D3658" t="s">
        <v>1351</v>
      </c>
      <c r="E3658" t="s">
        <v>9411</v>
      </c>
    </row>
    <row r="3659" spans="1:5" x14ac:dyDescent="0.2">
      <c r="A3659" t="s">
        <v>7278</v>
      </c>
      <c r="B3659" t="s">
        <v>7279</v>
      </c>
      <c r="C3659" t="s">
        <v>421</v>
      </c>
      <c r="D3659" t="s">
        <v>500</v>
      </c>
      <c r="E3659" t="s">
        <v>1775</v>
      </c>
    </row>
    <row r="3660" spans="1:5" x14ac:dyDescent="0.2">
      <c r="A3660" t="s">
        <v>7280</v>
      </c>
      <c r="B3660" t="s">
        <v>7281</v>
      </c>
      <c r="C3660" t="s">
        <v>421</v>
      </c>
      <c r="D3660" t="s">
        <v>500</v>
      </c>
      <c r="E3660" t="s">
        <v>1775</v>
      </c>
    </row>
    <row r="3661" spans="1:5" x14ac:dyDescent="0.2">
      <c r="A3661" t="s">
        <v>7282</v>
      </c>
      <c r="B3661" t="s">
        <v>7283</v>
      </c>
      <c r="C3661" t="s">
        <v>421</v>
      </c>
      <c r="D3661" t="s">
        <v>456</v>
      </c>
      <c r="E3661" t="s">
        <v>9411</v>
      </c>
    </row>
    <row r="3662" spans="1:5" x14ac:dyDescent="0.2">
      <c r="A3662" t="s">
        <v>7284</v>
      </c>
      <c r="B3662" t="s">
        <v>7285</v>
      </c>
      <c r="C3662" t="s">
        <v>421</v>
      </c>
      <c r="D3662" t="s">
        <v>462</v>
      </c>
      <c r="E3662" t="s">
        <v>1775</v>
      </c>
    </row>
    <row r="3663" spans="1:5" x14ac:dyDescent="0.2">
      <c r="A3663" t="s">
        <v>7286</v>
      </c>
      <c r="B3663" t="s">
        <v>7287</v>
      </c>
      <c r="C3663" t="s">
        <v>421</v>
      </c>
      <c r="D3663" t="s">
        <v>462</v>
      </c>
      <c r="E3663" t="s">
        <v>1775</v>
      </c>
    </row>
    <row r="3664" spans="1:5" x14ac:dyDescent="0.2">
      <c r="A3664" t="s">
        <v>7275</v>
      </c>
      <c r="B3664" t="s">
        <v>9429</v>
      </c>
      <c r="C3664" t="s">
        <v>219</v>
      </c>
      <c r="D3664" t="s">
        <v>233</v>
      </c>
      <c r="E3664" t="s">
        <v>9411</v>
      </c>
    </row>
    <row r="3665" spans="1:5" x14ac:dyDescent="0.2">
      <c r="A3665" t="s">
        <v>7276</v>
      </c>
      <c r="B3665" t="s">
        <v>9430</v>
      </c>
      <c r="C3665" t="s">
        <v>219</v>
      </c>
      <c r="D3665" t="s">
        <v>583</v>
      </c>
      <c r="E3665" t="s">
        <v>9411</v>
      </c>
    </row>
    <row r="3666" spans="1:5" x14ac:dyDescent="0.2">
      <c r="A3666" t="s">
        <v>7277</v>
      </c>
      <c r="B3666" t="s">
        <v>9431</v>
      </c>
      <c r="C3666" t="s">
        <v>219</v>
      </c>
      <c r="D3666" t="s">
        <v>583</v>
      </c>
      <c r="E3666" t="s">
        <v>9411</v>
      </c>
    </row>
    <row r="3667" spans="1:5" x14ac:dyDescent="0.2">
      <c r="A3667" t="s">
        <v>7288</v>
      </c>
      <c r="B3667" t="s">
        <v>7289</v>
      </c>
      <c r="C3667" t="s">
        <v>219</v>
      </c>
      <c r="D3667" t="s">
        <v>1566</v>
      </c>
      <c r="E3667" t="s">
        <v>9411</v>
      </c>
    </row>
    <row r="3668" spans="1:5" x14ac:dyDescent="0.2">
      <c r="A3668" t="s">
        <v>7290</v>
      </c>
      <c r="B3668" t="s">
        <v>7291</v>
      </c>
      <c r="C3668" t="s">
        <v>219</v>
      </c>
      <c r="D3668" t="s">
        <v>1566</v>
      </c>
      <c r="E3668" t="s">
        <v>9411</v>
      </c>
    </row>
    <row r="3669" spans="1:5" x14ac:dyDescent="0.2">
      <c r="A3669" t="s">
        <v>7292</v>
      </c>
      <c r="B3669" t="s">
        <v>7293</v>
      </c>
      <c r="C3669" t="s">
        <v>219</v>
      </c>
      <c r="D3669" t="s">
        <v>171</v>
      </c>
      <c r="E3669" t="s">
        <v>9411</v>
      </c>
    </row>
    <row r="3670" spans="1:5" x14ac:dyDescent="0.2">
      <c r="A3670" t="s">
        <v>7294</v>
      </c>
      <c r="B3670" t="s">
        <v>7295</v>
      </c>
      <c r="C3670" t="s">
        <v>219</v>
      </c>
      <c r="D3670" t="s">
        <v>171</v>
      </c>
      <c r="E3670" t="s">
        <v>9411</v>
      </c>
    </row>
    <row r="3671" spans="1:5" x14ac:dyDescent="0.2">
      <c r="A3671" t="s">
        <v>7296</v>
      </c>
      <c r="B3671" t="s">
        <v>7297</v>
      </c>
      <c r="C3671" t="s">
        <v>219</v>
      </c>
      <c r="D3671" t="s">
        <v>412</v>
      </c>
      <c r="E3671" t="s">
        <v>1775</v>
      </c>
    </row>
    <row r="3672" spans="1:5" x14ac:dyDescent="0.2">
      <c r="A3672" t="s">
        <v>7298</v>
      </c>
      <c r="B3672" t="s">
        <v>7299</v>
      </c>
      <c r="C3672" t="s">
        <v>219</v>
      </c>
      <c r="D3672" t="s">
        <v>126</v>
      </c>
      <c r="E3672" t="s">
        <v>1775</v>
      </c>
    </row>
    <row r="3673" spans="1:5" x14ac:dyDescent="0.2">
      <c r="A3673" t="s">
        <v>7300</v>
      </c>
      <c r="B3673" t="s">
        <v>7301</v>
      </c>
      <c r="C3673" t="s">
        <v>219</v>
      </c>
      <c r="D3673" t="s">
        <v>126</v>
      </c>
      <c r="E3673" t="s">
        <v>1775</v>
      </c>
    </row>
    <row r="3674" spans="1:5" x14ac:dyDescent="0.2">
      <c r="A3674" t="s">
        <v>7302</v>
      </c>
      <c r="B3674" t="s">
        <v>7303</v>
      </c>
      <c r="C3674" t="s">
        <v>219</v>
      </c>
      <c r="D3674" t="s">
        <v>394</v>
      </c>
      <c r="E3674" t="s">
        <v>7304</v>
      </c>
    </row>
    <row r="3675" spans="1:5" x14ac:dyDescent="0.2">
      <c r="A3675" t="s">
        <v>7305</v>
      </c>
      <c r="B3675" t="s">
        <v>9432</v>
      </c>
      <c r="C3675" t="s">
        <v>219</v>
      </c>
      <c r="D3675" t="s">
        <v>394</v>
      </c>
      <c r="E3675" t="s">
        <v>7304</v>
      </c>
    </row>
    <row r="3676" spans="1:5" x14ac:dyDescent="0.2">
      <c r="A3676" t="s">
        <v>7406</v>
      </c>
      <c r="B3676" t="s">
        <v>9433</v>
      </c>
      <c r="C3676" t="s">
        <v>219</v>
      </c>
      <c r="D3676" t="s">
        <v>535</v>
      </c>
      <c r="E3676" t="s">
        <v>1775</v>
      </c>
    </row>
    <row r="3677" spans="1:5" x14ac:dyDescent="0.2">
      <c r="A3677" t="s">
        <v>7306</v>
      </c>
      <c r="B3677" t="s">
        <v>7307</v>
      </c>
      <c r="C3677" t="s">
        <v>261</v>
      </c>
      <c r="D3677" t="s">
        <v>338</v>
      </c>
      <c r="E3677" t="s">
        <v>9418</v>
      </c>
    </row>
    <row r="3678" spans="1:5" x14ac:dyDescent="0.2">
      <c r="A3678" t="s">
        <v>7308</v>
      </c>
      <c r="B3678" t="s">
        <v>7309</v>
      </c>
      <c r="C3678" t="s">
        <v>261</v>
      </c>
      <c r="D3678" t="s">
        <v>338</v>
      </c>
      <c r="E3678" t="s">
        <v>9418</v>
      </c>
    </row>
    <row r="3679" spans="1:5" x14ac:dyDescent="0.2">
      <c r="A3679" t="s">
        <v>7310</v>
      </c>
      <c r="B3679" t="s">
        <v>7311</v>
      </c>
      <c r="C3679" t="s">
        <v>261</v>
      </c>
      <c r="D3679" t="s">
        <v>436</v>
      </c>
      <c r="E3679" t="s">
        <v>9418</v>
      </c>
    </row>
    <row r="3680" spans="1:5" x14ac:dyDescent="0.2">
      <c r="A3680" t="s">
        <v>7312</v>
      </c>
      <c r="B3680" t="s">
        <v>7313</v>
      </c>
      <c r="C3680" t="s">
        <v>261</v>
      </c>
      <c r="D3680" t="s">
        <v>436</v>
      </c>
      <c r="E3680" t="s">
        <v>9418</v>
      </c>
    </row>
    <row r="3681" spans="1:5" x14ac:dyDescent="0.2">
      <c r="A3681" t="s">
        <v>7314</v>
      </c>
      <c r="B3681" t="s">
        <v>7315</v>
      </c>
      <c r="C3681" t="s">
        <v>212</v>
      </c>
      <c r="D3681" t="s">
        <v>296</v>
      </c>
      <c r="E3681" t="s">
        <v>9411</v>
      </c>
    </row>
    <row r="3682" spans="1:5" x14ac:dyDescent="0.2">
      <c r="A3682" t="s">
        <v>7316</v>
      </c>
      <c r="B3682" t="s">
        <v>7317</v>
      </c>
      <c r="C3682" t="s">
        <v>212</v>
      </c>
      <c r="D3682" t="s">
        <v>296</v>
      </c>
      <c r="E3682" t="s">
        <v>9411</v>
      </c>
    </row>
    <row r="3683" spans="1:5" x14ac:dyDescent="0.2">
      <c r="A3683" t="s">
        <v>7318</v>
      </c>
      <c r="B3683" t="s">
        <v>7319</v>
      </c>
      <c r="C3683" t="s">
        <v>212</v>
      </c>
      <c r="D3683" t="s">
        <v>1493</v>
      </c>
      <c r="E3683" t="s">
        <v>9411</v>
      </c>
    </row>
    <row r="3684" spans="1:5" x14ac:dyDescent="0.2">
      <c r="A3684" t="s">
        <v>7320</v>
      </c>
      <c r="B3684" t="s">
        <v>7321</v>
      </c>
      <c r="C3684" t="s">
        <v>212</v>
      </c>
      <c r="D3684" t="s">
        <v>1493</v>
      </c>
      <c r="E3684" t="s">
        <v>9411</v>
      </c>
    </row>
    <row r="3685" spans="1:5" x14ac:dyDescent="0.2">
      <c r="A3685" t="s">
        <v>7322</v>
      </c>
      <c r="B3685" t="s">
        <v>7323</v>
      </c>
      <c r="C3685" t="s">
        <v>212</v>
      </c>
      <c r="D3685" t="s">
        <v>394</v>
      </c>
      <c r="E3685" t="s">
        <v>9411</v>
      </c>
    </row>
    <row r="3686" spans="1:5" x14ac:dyDescent="0.2">
      <c r="A3686" t="s">
        <v>7324</v>
      </c>
      <c r="B3686" t="s">
        <v>7325</v>
      </c>
      <c r="C3686" t="s">
        <v>212</v>
      </c>
      <c r="D3686" t="s">
        <v>622</v>
      </c>
      <c r="E3686" t="s">
        <v>9411</v>
      </c>
    </row>
    <row r="3687" spans="1:5" x14ac:dyDescent="0.2">
      <c r="A3687" t="s">
        <v>7326</v>
      </c>
      <c r="B3687" t="s">
        <v>7327</v>
      </c>
      <c r="C3687" t="s">
        <v>212</v>
      </c>
      <c r="D3687" t="s">
        <v>622</v>
      </c>
      <c r="E3687" t="s">
        <v>9411</v>
      </c>
    </row>
    <row r="3688" spans="1:5" x14ac:dyDescent="0.2">
      <c r="A3688" t="s">
        <v>7355</v>
      </c>
      <c r="B3688" t="s">
        <v>9434</v>
      </c>
      <c r="C3688" t="s">
        <v>104</v>
      </c>
      <c r="D3688" t="s">
        <v>266</v>
      </c>
      <c r="E3688" t="s">
        <v>9435</v>
      </c>
    </row>
    <row r="3689" spans="1:5" x14ac:dyDescent="0.2">
      <c r="A3689" t="s">
        <v>7356</v>
      </c>
      <c r="B3689" t="s">
        <v>9436</v>
      </c>
      <c r="C3689" t="s">
        <v>104</v>
      </c>
      <c r="D3689" t="s">
        <v>266</v>
      </c>
      <c r="E3689" t="s">
        <v>9435</v>
      </c>
    </row>
    <row r="3690" spans="1:5" x14ac:dyDescent="0.2">
      <c r="A3690" t="s">
        <v>7357</v>
      </c>
      <c r="B3690" t="s">
        <v>9437</v>
      </c>
      <c r="C3690" t="s">
        <v>104</v>
      </c>
      <c r="D3690" t="s">
        <v>266</v>
      </c>
      <c r="E3690" t="s">
        <v>9435</v>
      </c>
    </row>
    <row r="3691" spans="1:5" x14ac:dyDescent="0.2">
      <c r="A3691" t="s">
        <v>7358</v>
      </c>
      <c r="B3691" t="s">
        <v>9438</v>
      </c>
      <c r="C3691" t="s">
        <v>104</v>
      </c>
      <c r="D3691" t="s">
        <v>266</v>
      </c>
      <c r="E3691" t="s">
        <v>9435</v>
      </c>
    </row>
    <row r="3692" spans="1:5" x14ac:dyDescent="0.2">
      <c r="A3692" t="s">
        <v>7328</v>
      </c>
      <c r="B3692" t="s">
        <v>7329</v>
      </c>
      <c r="C3692" t="s">
        <v>212</v>
      </c>
      <c r="D3692" t="s">
        <v>299</v>
      </c>
      <c r="E3692" t="s">
        <v>9411</v>
      </c>
    </row>
    <row r="3693" spans="1:5" x14ac:dyDescent="0.2">
      <c r="A3693" t="s">
        <v>7330</v>
      </c>
      <c r="B3693" t="s">
        <v>7331</v>
      </c>
      <c r="C3693" t="s">
        <v>212</v>
      </c>
      <c r="D3693" t="s">
        <v>299</v>
      </c>
      <c r="E3693" t="s">
        <v>9411</v>
      </c>
    </row>
    <row r="3694" spans="1:5" x14ac:dyDescent="0.2">
      <c r="A3694" t="s">
        <v>65</v>
      </c>
      <c r="B3694" t="s">
        <v>7332</v>
      </c>
      <c r="C3694" t="s">
        <v>376</v>
      </c>
      <c r="D3694" t="s">
        <v>260</v>
      </c>
      <c r="E3694" t="s">
        <v>1775</v>
      </c>
    </row>
    <row r="3695" spans="1:5" x14ac:dyDescent="0.2">
      <c r="A3695" t="s">
        <v>7333</v>
      </c>
      <c r="B3695" t="s">
        <v>7334</v>
      </c>
      <c r="C3695" t="s">
        <v>244</v>
      </c>
      <c r="D3695" t="s">
        <v>1302</v>
      </c>
      <c r="E3695" t="s">
        <v>9411</v>
      </c>
    </row>
    <row r="3696" spans="1:5" x14ac:dyDescent="0.2">
      <c r="A3696" t="s">
        <v>7335</v>
      </c>
      <c r="B3696" t="s">
        <v>7336</v>
      </c>
      <c r="C3696" t="s">
        <v>244</v>
      </c>
      <c r="D3696" t="s">
        <v>1691</v>
      </c>
      <c r="E3696" t="s">
        <v>9411</v>
      </c>
    </row>
    <row r="3697" spans="1:5" x14ac:dyDescent="0.2">
      <c r="A3697" t="s">
        <v>7337</v>
      </c>
      <c r="B3697" t="s">
        <v>7338</v>
      </c>
      <c r="C3697" t="s">
        <v>131</v>
      </c>
      <c r="D3697" t="s">
        <v>773</v>
      </c>
      <c r="E3697" t="s">
        <v>1775</v>
      </c>
    </row>
    <row r="3698" spans="1:5" x14ac:dyDescent="0.2">
      <c r="A3698" t="s">
        <v>7339</v>
      </c>
      <c r="B3698" t="s">
        <v>7340</v>
      </c>
      <c r="C3698" t="s">
        <v>131</v>
      </c>
      <c r="D3698" t="s">
        <v>363</v>
      </c>
      <c r="E3698" t="s">
        <v>9411</v>
      </c>
    </row>
    <row r="3699" spans="1:5" x14ac:dyDescent="0.2">
      <c r="A3699" t="s">
        <v>7341</v>
      </c>
      <c r="B3699" t="s">
        <v>7342</v>
      </c>
      <c r="C3699" t="s">
        <v>131</v>
      </c>
      <c r="D3699" t="s">
        <v>363</v>
      </c>
      <c r="E3699" t="s">
        <v>9411</v>
      </c>
    </row>
    <row r="3700" spans="1:5" x14ac:dyDescent="0.2">
      <c r="A3700" t="s">
        <v>7343</v>
      </c>
      <c r="B3700" t="s">
        <v>7344</v>
      </c>
      <c r="C3700" t="s">
        <v>104</v>
      </c>
      <c r="D3700" t="s">
        <v>2957</v>
      </c>
      <c r="E3700" t="s">
        <v>1775</v>
      </c>
    </row>
    <row r="3701" spans="1:5" x14ac:dyDescent="0.2">
      <c r="A3701" t="s">
        <v>7345</v>
      </c>
      <c r="B3701" t="s">
        <v>7346</v>
      </c>
      <c r="C3701" t="s">
        <v>104</v>
      </c>
      <c r="D3701" t="s">
        <v>2957</v>
      </c>
      <c r="E3701" t="s">
        <v>1775</v>
      </c>
    </row>
    <row r="3702" spans="1:5" x14ac:dyDescent="0.2">
      <c r="A3702" t="s">
        <v>7347</v>
      </c>
      <c r="B3702" t="s">
        <v>7348</v>
      </c>
      <c r="C3702" t="s">
        <v>104</v>
      </c>
      <c r="D3702" t="s">
        <v>778</v>
      </c>
      <c r="E3702" t="s">
        <v>1775</v>
      </c>
    </row>
    <row r="3703" spans="1:5" x14ac:dyDescent="0.2">
      <c r="A3703" t="s">
        <v>7349</v>
      </c>
      <c r="B3703" t="s">
        <v>7350</v>
      </c>
      <c r="C3703" t="s">
        <v>104</v>
      </c>
      <c r="D3703" t="s">
        <v>778</v>
      </c>
      <c r="E3703" t="s">
        <v>1775</v>
      </c>
    </row>
    <row r="3704" spans="1:5" x14ac:dyDescent="0.2">
      <c r="A3704" t="s">
        <v>7351</v>
      </c>
      <c r="B3704" t="s">
        <v>7352</v>
      </c>
      <c r="C3704" t="s">
        <v>104</v>
      </c>
      <c r="D3704" t="s">
        <v>2012</v>
      </c>
      <c r="E3704" t="s">
        <v>9418</v>
      </c>
    </row>
    <row r="3705" spans="1:5" x14ac:dyDescent="0.2">
      <c r="A3705" t="s">
        <v>7353</v>
      </c>
      <c r="B3705" t="s">
        <v>7354</v>
      </c>
      <c r="C3705" t="s">
        <v>104</v>
      </c>
      <c r="D3705" t="s">
        <v>2012</v>
      </c>
      <c r="E3705" t="s">
        <v>9418</v>
      </c>
    </row>
    <row r="3706" spans="1:5" x14ac:dyDescent="0.2">
      <c r="A3706" t="s">
        <v>7359</v>
      </c>
      <c r="B3706" t="s">
        <v>7360</v>
      </c>
      <c r="C3706" t="s">
        <v>104</v>
      </c>
      <c r="D3706" t="s">
        <v>223</v>
      </c>
      <c r="E3706" t="s">
        <v>9418</v>
      </c>
    </row>
    <row r="3707" spans="1:5" x14ac:dyDescent="0.2">
      <c r="A3707" t="s">
        <v>7361</v>
      </c>
      <c r="B3707" t="s">
        <v>7362</v>
      </c>
      <c r="C3707" t="s">
        <v>104</v>
      </c>
      <c r="D3707" t="s">
        <v>223</v>
      </c>
      <c r="E3707" t="s">
        <v>9418</v>
      </c>
    </row>
    <row r="3708" spans="1:5" x14ac:dyDescent="0.2">
      <c r="A3708" t="s">
        <v>7366</v>
      </c>
      <c r="B3708" t="s">
        <v>7367</v>
      </c>
      <c r="C3708" t="s">
        <v>104</v>
      </c>
      <c r="D3708" t="s">
        <v>622</v>
      </c>
      <c r="E3708" t="s">
        <v>9418</v>
      </c>
    </row>
    <row r="3709" spans="1:5" x14ac:dyDescent="0.2">
      <c r="A3709" t="s">
        <v>7368</v>
      </c>
      <c r="B3709" t="s">
        <v>7369</v>
      </c>
      <c r="C3709" t="s">
        <v>104</v>
      </c>
      <c r="D3709" t="s">
        <v>622</v>
      </c>
      <c r="E3709" t="s">
        <v>9418</v>
      </c>
    </row>
    <row r="3710" spans="1:5" x14ac:dyDescent="0.2">
      <c r="A3710" t="s">
        <v>7370</v>
      </c>
      <c r="B3710" t="s">
        <v>7371</v>
      </c>
      <c r="C3710" t="s">
        <v>199</v>
      </c>
      <c r="D3710" t="s">
        <v>456</v>
      </c>
      <c r="E3710" t="s">
        <v>1775</v>
      </c>
    </row>
    <row r="3711" spans="1:5" x14ac:dyDescent="0.2">
      <c r="A3711" t="s">
        <v>7372</v>
      </c>
      <c r="B3711" t="s">
        <v>7373</v>
      </c>
      <c r="C3711" t="s">
        <v>199</v>
      </c>
      <c r="D3711" t="s">
        <v>456</v>
      </c>
      <c r="E3711" t="s">
        <v>1775</v>
      </c>
    </row>
    <row r="3712" spans="1:5" x14ac:dyDescent="0.2">
      <c r="A3712" t="s">
        <v>7380</v>
      </c>
      <c r="B3712" t="s">
        <v>7381</v>
      </c>
      <c r="C3712" t="s">
        <v>219</v>
      </c>
      <c r="D3712" t="s">
        <v>1070</v>
      </c>
      <c r="E3712" t="s">
        <v>9411</v>
      </c>
    </row>
    <row r="3713" spans="1:5" x14ac:dyDescent="0.2">
      <c r="A3713" t="s">
        <v>7382</v>
      </c>
      <c r="B3713" t="s">
        <v>7383</v>
      </c>
      <c r="C3713" t="s">
        <v>219</v>
      </c>
      <c r="D3713" t="s">
        <v>400</v>
      </c>
      <c r="E3713" t="s">
        <v>9411</v>
      </c>
    </row>
    <row r="3714" spans="1:5" x14ac:dyDescent="0.2">
      <c r="A3714" t="s">
        <v>7384</v>
      </c>
      <c r="B3714" t="s">
        <v>7385</v>
      </c>
      <c r="C3714" t="s">
        <v>219</v>
      </c>
      <c r="D3714" t="s">
        <v>400</v>
      </c>
      <c r="E3714" t="s">
        <v>9411</v>
      </c>
    </row>
    <row r="3715" spans="1:5" x14ac:dyDescent="0.2">
      <c r="A3715" t="s">
        <v>7386</v>
      </c>
      <c r="B3715" t="s">
        <v>7387</v>
      </c>
      <c r="C3715" t="s">
        <v>219</v>
      </c>
      <c r="D3715" t="s">
        <v>346</v>
      </c>
      <c r="E3715" t="s">
        <v>9411</v>
      </c>
    </row>
    <row r="3716" spans="1:5" x14ac:dyDescent="0.2">
      <c r="A3716" t="s">
        <v>7388</v>
      </c>
      <c r="B3716" t="s">
        <v>7389</v>
      </c>
      <c r="C3716" t="s">
        <v>219</v>
      </c>
      <c r="D3716" t="s">
        <v>346</v>
      </c>
      <c r="E3716" t="s">
        <v>9411</v>
      </c>
    </row>
    <row r="3717" spans="1:5" x14ac:dyDescent="0.2">
      <c r="A3717" t="s">
        <v>7390</v>
      </c>
      <c r="B3717" t="s">
        <v>7391</v>
      </c>
      <c r="C3717" t="s">
        <v>331</v>
      </c>
      <c r="D3717" t="s">
        <v>400</v>
      </c>
      <c r="E3717" t="s">
        <v>9424</v>
      </c>
    </row>
    <row r="3718" spans="1:5" x14ac:dyDescent="0.2">
      <c r="A3718" t="s">
        <v>7392</v>
      </c>
      <c r="B3718" t="s">
        <v>7393</v>
      </c>
      <c r="C3718" t="s">
        <v>399</v>
      </c>
      <c r="D3718" t="s">
        <v>825</v>
      </c>
      <c r="E3718" t="s">
        <v>9411</v>
      </c>
    </row>
    <row r="3719" spans="1:5" x14ac:dyDescent="0.2">
      <c r="A3719" t="s">
        <v>7394</v>
      </c>
      <c r="B3719" t="s">
        <v>7395</v>
      </c>
      <c r="C3719" t="s">
        <v>399</v>
      </c>
      <c r="D3719" t="s">
        <v>825</v>
      </c>
      <c r="E3719" t="s">
        <v>9411</v>
      </c>
    </row>
    <row r="3720" spans="1:5" x14ac:dyDescent="0.2">
      <c r="A3720" t="s">
        <v>7396</v>
      </c>
      <c r="B3720" t="s">
        <v>7397</v>
      </c>
      <c r="C3720" t="s">
        <v>251</v>
      </c>
      <c r="D3720" t="s">
        <v>1493</v>
      </c>
      <c r="E3720" t="s">
        <v>9411</v>
      </c>
    </row>
    <row r="3721" spans="1:5" x14ac:dyDescent="0.2">
      <c r="A3721" t="s">
        <v>7398</v>
      </c>
      <c r="B3721" t="s">
        <v>7399</v>
      </c>
      <c r="C3721" t="s">
        <v>251</v>
      </c>
      <c r="D3721" t="s">
        <v>1493</v>
      </c>
      <c r="E3721" t="s">
        <v>9411</v>
      </c>
    </row>
    <row r="3722" spans="1:5" x14ac:dyDescent="0.2">
      <c r="A3722" t="s">
        <v>7400</v>
      </c>
      <c r="B3722" t="s">
        <v>7401</v>
      </c>
      <c r="C3722" t="s">
        <v>251</v>
      </c>
      <c r="D3722" t="s">
        <v>394</v>
      </c>
      <c r="E3722" t="s">
        <v>9411</v>
      </c>
    </row>
    <row r="3723" spans="1:5" x14ac:dyDescent="0.2">
      <c r="A3723" t="s">
        <v>7402</v>
      </c>
      <c r="B3723" t="s">
        <v>7403</v>
      </c>
      <c r="C3723" t="s">
        <v>251</v>
      </c>
      <c r="D3723" t="s">
        <v>622</v>
      </c>
      <c r="E3723" t="s">
        <v>9411</v>
      </c>
    </row>
    <row r="3724" spans="1:5" x14ac:dyDescent="0.2">
      <c r="A3724" t="s">
        <v>7404</v>
      </c>
      <c r="B3724" t="s">
        <v>7405</v>
      </c>
      <c r="C3724" t="s">
        <v>251</v>
      </c>
      <c r="D3724" t="s">
        <v>622</v>
      </c>
      <c r="E3724" t="s">
        <v>9411</v>
      </c>
    </row>
    <row r="3725" spans="1:5" x14ac:dyDescent="0.2">
      <c r="A3725" t="s">
        <v>7407</v>
      </c>
      <c r="B3725" t="s">
        <v>7408</v>
      </c>
      <c r="C3725" t="s">
        <v>591</v>
      </c>
      <c r="D3725" t="s">
        <v>853</v>
      </c>
      <c r="E3725" t="s">
        <v>9439</v>
      </c>
    </row>
    <row r="3726" spans="1:5" x14ac:dyDescent="0.2">
      <c r="A3726" t="s">
        <v>7409</v>
      </c>
      <c r="B3726" t="s">
        <v>7410</v>
      </c>
      <c r="C3726" t="s">
        <v>591</v>
      </c>
      <c r="D3726" t="s">
        <v>853</v>
      </c>
      <c r="E3726" t="s">
        <v>9043</v>
      </c>
    </row>
    <row r="3727" spans="1:5" x14ac:dyDescent="0.2">
      <c r="A3727" t="s">
        <v>7411</v>
      </c>
      <c r="B3727" t="s">
        <v>7412</v>
      </c>
      <c r="C3727" t="s">
        <v>591</v>
      </c>
      <c r="D3727" t="s">
        <v>535</v>
      </c>
      <c r="E3727" t="s">
        <v>9043</v>
      </c>
    </row>
    <row r="3728" spans="1:5" x14ac:dyDescent="0.2">
      <c r="A3728" t="s">
        <v>7413</v>
      </c>
      <c r="B3728" t="s">
        <v>7414</v>
      </c>
      <c r="C3728" t="s">
        <v>591</v>
      </c>
      <c r="D3728" t="s">
        <v>535</v>
      </c>
      <c r="E3728" t="s">
        <v>9043</v>
      </c>
    </row>
    <row r="3729" spans="1:5" x14ac:dyDescent="0.2">
      <c r="A3729" t="s">
        <v>7415</v>
      </c>
      <c r="B3729" t="s">
        <v>7416</v>
      </c>
      <c r="C3729" t="s">
        <v>244</v>
      </c>
      <c r="D3729" t="s">
        <v>991</v>
      </c>
      <c r="E3729" t="s">
        <v>1775</v>
      </c>
    </row>
    <row r="3730" spans="1:5" x14ac:dyDescent="0.2">
      <c r="A3730" t="s">
        <v>7417</v>
      </c>
      <c r="B3730" t="s">
        <v>7418</v>
      </c>
      <c r="C3730" t="s">
        <v>244</v>
      </c>
      <c r="D3730" t="s">
        <v>991</v>
      </c>
      <c r="E3730" t="s">
        <v>1775</v>
      </c>
    </row>
    <row r="3731" spans="1:5" x14ac:dyDescent="0.2">
      <c r="A3731" t="s">
        <v>7419</v>
      </c>
      <c r="B3731" t="s">
        <v>7420</v>
      </c>
      <c r="C3731" t="s">
        <v>244</v>
      </c>
      <c r="D3731" t="s">
        <v>290</v>
      </c>
      <c r="E3731" t="s">
        <v>1775</v>
      </c>
    </row>
    <row r="3732" spans="1:5" x14ac:dyDescent="0.2">
      <c r="A3732" t="s">
        <v>7421</v>
      </c>
      <c r="B3732" t="s">
        <v>7422</v>
      </c>
      <c r="C3732" t="s">
        <v>244</v>
      </c>
      <c r="D3732" t="s">
        <v>290</v>
      </c>
      <c r="E3732" t="s">
        <v>1775</v>
      </c>
    </row>
    <row r="3733" spans="1:5" x14ac:dyDescent="0.2">
      <c r="A3733" t="s">
        <v>7423</v>
      </c>
      <c r="B3733" t="s">
        <v>7424</v>
      </c>
      <c r="C3733" t="s">
        <v>244</v>
      </c>
      <c r="D3733" t="s">
        <v>290</v>
      </c>
      <c r="E3733" t="s">
        <v>1775</v>
      </c>
    </row>
    <row r="3734" spans="1:5" x14ac:dyDescent="0.2">
      <c r="A3734" t="s">
        <v>7425</v>
      </c>
      <c r="B3734" t="s">
        <v>7426</v>
      </c>
      <c r="C3734" t="s">
        <v>287</v>
      </c>
      <c r="D3734" t="s">
        <v>2199</v>
      </c>
      <c r="E3734" t="s">
        <v>9411</v>
      </c>
    </row>
    <row r="3735" spans="1:5" x14ac:dyDescent="0.2">
      <c r="A3735" t="s">
        <v>7427</v>
      </c>
      <c r="B3735" t="s">
        <v>7428</v>
      </c>
      <c r="C3735" t="s">
        <v>287</v>
      </c>
      <c r="D3735" t="s">
        <v>2199</v>
      </c>
      <c r="E3735" t="s">
        <v>9411</v>
      </c>
    </row>
    <row r="3736" spans="1:5" x14ac:dyDescent="0.2">
      <c r="A3736" t="s">
        <v>7429</v>
      </c>
      <c r="B3736" t="s">
        <v>7430</v>
      </c>
      <c r="C3736" t="s">
        <v>287</v>
      </c>
      <c r="D3736" t="s">
        <v>105</v>
      </c>
      <c r="E3736" t="s">
        <v>1775</v>
      </c>
    </row>
    <row r="3737" spans="1:5" x14ac:dyDescent="0.2">
      <c r="A3737" t="s">
        <v>7431</v>
      </c>
      <c r="B3737" t="s">
        <v>7432</v>
      </c>
      <c r="C3737" t="s">
        <v>287</v>
      </c>
      <c r="D3737" t="s">
        <v>105</v>
      </c>
      <c r="E3737" t="s">
        <v>1775</v>
      </c>
    </row>
    <row r="3738" spans="1:5" x14ac:dyDescent="0.2">
      <c r="A3738" t="s">
        <v>7433</v>
      </c>
      <c r="B3738" t="s">
        <v>7434</v>
      </c>
      <c r="C3738" t="s">
        <v>287</v>
      </c>
      <c r="D3738" t="s">
        <v>110</v>
      </c>
      <c r="E3738" t="s">
        <v>1775</v>
      </c>
    </row>
    <row r="3739" spans="1:5" x14ac:dyDescent="0.2">
      <c r="A3739" t="s">
        <v>7435</v>
      </c>
      <c r="B3739" t="s">
        <v>7436</v>
      </c>
      <c r="C3739" t="s">
        <v>287</v>
      </c>
      <c r="D3739" t="s">
        <v>110</v>
      </c>
      <c r="E3739" t="s">
        <v>1775</v>
      </c>
    </row>
    <row r="3740" spans="1:5" x14ac:dyDescent="0.2">
      <c r="A3740" t="s">
        <v>7437</v>
      </c>
      <c r="B3740" t="s">
        <v>7438</v>
      </c>
      <c r="C3740" t="s">
        <v>287</v>
      </c>
      <c r="D3740" t="s">
        <v>734</v>
      </c>
      <c r="E3740" t="s">
        <v>1775</v>
      </c>
    </row>
    <row r="3741" spans="1:5" x14ac:dyDescent="0.2">
      <c r="A3741" t="s">
        <v>7439</v>
      </c>
      <c r="B3741" t="s">
        <v>7440</v>
      </c>
      <c r="C3741" t="s">
        <v>287</v>
      </c>
      <c r="D3741" t="s">
        <v>734</v>
      </c>
      <c r="E3741" t="s">
        <v>1775</v>
      </c>
    </row>
    <row r="3742" spans="1:5" x14ac:dyDescent="0.2">
      <c r="A3742" t="s">
        <v>7180</v>
      </c>
      <c r="B3742" t="s">
        <v>9440</v>
      </c>
      <c r="C3742" t="s">
        <v>251</v>
      </c>
      <c r="D3742" t="s">
        <v>572</v>
      </c>
      <c r="E3742" t="s">
        <v>1775</v>
      </c>
    </row>
    <row r="3743" spans="1:5" x14ac:dyDescent="0.2">
      <c r="A3743" t="s">
        <v>7181</v>
      </c>
      <c r="B3743" t="s">
        <v>9441</v>
      </c>
      <c r="C3743" t="s">
        <v>251</v>
      </c>
      <c r="D3743" t="s">
        <v>572</v>
      </c>
      <c r="E3743" t="s">
        <v>1775</v>
      </c>
    </row>
    <row r="3744" spans="1:5" x14ac:dyDescent="0.2">
      <c r="A3744" t="s">
        <v>7182</v>
      </c>
      <c r="B3744" t="s">
        <v>9442</v>
      </c>
      <c r="C3744" t="s">
        <v>251</v>
      </c>
      <c r="D3744" t="s">
        <v>444</v>
      </c>
      <c r="E3744" t="s">
        <v>1775</v>
      </c>
    </row>
    <row r="3745" spans="1:5" x14ac:dyDescent="0.2">
      <c r="A3745" t="s">
        <v>7183</v>
      </c>
      <c r="B3745" t="s">
        <v>9443</v>
      </c>
      <c r="C3745" t="s">
        <v>251</v>
      </c>
      <c r="D3745" t="s">
        <v>444</v>
      </c>
      <c r="E3745" t="s">
        <v>1775</v>
      </c>
    </row>
    <row r="3746" spans="1:5" x14ac:dyDescent="0.2">
      <c r="A3746" t="s">
        <v>7441</v>
      </c>
      <c r="B3746" t="s">
        <v>7442</v>
      </c>
      <c r="C3746" t="s">
        <v>742</v>
      </c>
      <c r="D3746" t="s">
        <v>296</v>
      </c>
      <c r="E3746" t="s">
        <v>9411</v>
      </c>
    </row>
    <row r="3747" spans="1:5" x14ac:dyDescent="0.2">
      <c r="A3747" t="s">
        <v>7443</v>
      </c>
      <c r="B3747" t="s">
        <v>7444</v>
      </c>
      <c r="C3747" t="s">
        <v>742</v>
      </c>
      <c r="D3747" t="s">
        <v>296</v>
      </c>
      <c r="E3747" t="s">
        <v>9411</v>
      </c>
    </row>
    <row r="3748" spans="1:5" x14ac:dyDescent="0.2">
      <c r="A3748" t="s">
        <v>7445</v>
      </c>
      <c r="B3748" t="s">
        <v>7446</v>
      </c>
      <c r="C3748" t="s">
        <v>742</v>
      </c>
      <c r="D3748" t="s">
        <v>444</v>
      </c>
      <c r="E3748" t="s">
        <v>9411</v>
      </c>
    </row>
    <row r="3749" spans="1:5" x14ac:dyDescent="0.2">
      <c r="A3749" t="s">
        <v>7447</v>
      </c>
      <c r="B3749" t="s">
        <v>7448</v>
      </c>
      <c r="C3749" t="s">
        <v>742</v>
      </c>
      <c r="D3749" t="s">
        <v>299</v>
      </c>
      <c r="E3749" t="s">
        <v>1775</v>
      </c>
    </row>
    <row r="3750" spans="1:5" x14ac:dyDescent="0.2">
      <c r="A3750" t="s">
        <v>7449</v>
      </c>
      <c r="B3750" t="s">
        <v>7450</v>
      </c>
      <c r="C3750" t="s">
        <v>742</v>
      </c>
      <c r="D3750" t="s">
        <v>535</v>
      </c>
      <c r="E3750" t="s">
        <v>9444</v>
      </c>
    </row>
    <row r="3751" spans="1:5" x14ac:dyDescent="0.2">
      <c r="A3751" t="s">
        <v>7451</v>
      </c>
      <c r="B3751" t="s">
        <v>7452</v>
      </c>
      <c r="C3751" t="s">
        <v>742</v>
      </c>
      <c r="D3751" t="s">
        <v>535</v>
      </c>
      <c r="E3751" t="s">
        <v>9444</v>
      </c>
    </row>
    <row r="3752" spans="1:5" x14ac:dyDescent="0.2">
      <c r="A3752" t="s">
        <v>7453</v>
      </c>
      <c r="B3752" t="s">
        <v>7454</v>
      </c>
      <c r="C3752" t="s">
        <v>742</v>
      </c>
      <c r="D3752" t="s">
        <v>299</v>
      </c>
      <c r="E3752" t="s">
        <v>1775</v>
      </c>
    </row>
    <row r="3753" spans="1:5" x14ac:dyDescent="0.2">
      <c r="A3753" t="s">
        <v>7455</v>
      </c>
      <c r="B3753" t="s">
        <v>7456</v>
      </c>
      <c r="C3753" t="s">
        <v>212</v>
      </c>
      <c r="D3753" t="s">
        <v>572</v>
      </c>
      <c r="E3753" t="s">
        <v>9435</v>
      </c>
    </row>
    <row r="3754" spans="1:5" x14ac:dyDescent="0.2">
      <c r="A3754" t="s">
        <v>7457</v>
      </c>
      <c r="B3754" t="s">
        <v>7458</v>
      </c>
      <c r="C3754" t="s">
        <v>212</v>
      </c>
      <c r="D3754" t="s">
        <v>213</v>
      </c>
      <c r="E3754" t="s">
        <v>9435</v>
      </c>
    </row>
    <row r="3755" spans="1:5" x14ac:dyDescent="0.2">
      <c r="A3755" t="s">
        <v>7459</v>
      </c>
      <c r="B3755" t="s">
        <v>7460</v>
      </c>
      <c r="C3755" t="s">
        <v>212</v>
      </c>
      <c r="D3755" t="s">
        <v>213</v>
      </c>
      <c r="E3755" t="s">
        <v>9435</v>
      </c>
    </row>
    <row r="3756" spans="1:5" x14ac:dyDescent="0.2">
      <c r="A3756" t="s">
        <v>7461</v>
      </c>
      <c r="B3756" t="s">
        <v>7462</v>
      </c>
      <c r="C3756" t="s">
        <v>212</v>
      </c>
      <c r="D3756" t="s">
        <v>213</v>
      </c>
      <c r="E3756" t="s">
        <v>9435</v>
      </c>
    </row>
    <row r="3757" spans="1:5" x14ac:dyDescent="0.2">
      <c r="A3757" t="s">
        <v>7463</v>
      </c>
      <c r="B3757" t="s">
        <v>7464</v>
      </c>
      <c r="C3757" t="s">
        <v>251</v>
      </c>
      <c r="D3757" t="s">
        <v>1490</v>
      </c>
      <c r="E3757" t="s">
        <v>9435</v>
      </c>
    </row>
    <row r="3758" spans="1:5" x14ac:dyDescent="0.2">
      <c r="A3758" t="s">
        <v>7465</v>
      </c>
      <c r="B3758" t="s">
        <v>7466</v>
      </c>
      <c r="C3758" t="s">
        <v>251</v>
      </c>
      <c r="D3758" t="s">
        <v>1490</v>
      </c>
      <c r="E3758" t="s">
        <v>9435</v>
      </c>
    </row>
    <row r="3759" spans="1:5" x14ac:dyDescent="0.2">
      <c r="A3759" t="s">
        <v>7467</v>
      </c>
      <c r="B3759" t="s">
        <v>7468</v>
      </c>
      <c r="C3759" t="s">
        <v>251</v>
      </c>
      <c r="D3759" t="s">
        <v>386</v>
      </c>
      <c r="E3759" t="s">
        <v>9435</v>
      </c>
    </row>
    <row r="3760" spans="1:5" x14ac:dyDescent="0.2">
      <c r="A3760" t="s">
        <v>7469</v>
      </c>
      <c r="B3760" t="s">
        <v>7470</v>
      </c>
      <c r="C3760" t="s">
        <v>251</v>
      </c>
      <c r="D3760" t="s">
        <v>386</v>
      </c>
      <c r="E3760" t="s">
        <v>9435</v>
      </c>
    </row>
    <row r="3761" spans="1:5" x14ac:dyDescent="0.2">
      <c r="A3761" t="s">
        <v>7471</v>
      </c>
      <c r="B3761" t="s">
        <v>7472</v>
      </c>
      <c r="C3761" t="s">
        <v>199</v>
      </c>
      <c r="D3761" t="s">
        <v>622</v>
      </c>
      <c r="E3761" t="s">
        <v>9411</v>
      </c>
    </row>
    <row r="3762" spans="1:5" x14ac:dyDescent="0.2">
      <c r="A3762" t="s">
        <v>7473</v>
      </c>
      <c r="B3762" t="s">
        <v>7474</v>
      </c>
      <c r="C3762" t="s">
        <v>227</v>
      </c>
      <c r="D3762" t="s">
        <v>1566</v>
      </c>
      <c r="E3762" t="s">
        <v>9411</v>
      </c>
    </row>
    <row r="3763" spans="1:5" x14ac:dyDescent="0.2">
      <c r="A3763" t="s">
        <v>7475</v>
      </c>
      <c r="B3763" t="s">
        <v>7476</v>
      </c>
      <c r="C3763" t="s">
        <v>227</v>
      </c>
      <c r="D3763" t="s">
        <v>171</v>
      </c>
      <c r="E3763" t="s">
        <v>9411</v>
      </c>
    </row>
    <row r="3764" spans="1:5" x14ac:dyDescent="0.2">
      <c r="A3764" t="s">
        <v>7477</v>
      </c>
      <c r="B3764" t="s">
        <v>7478</v>
      </c>
      <c r="C3764" t="s">
        <v>227</v>
      </c>
      <c r="D3764" t="s">
        <v>171</v>
      </c>
      <c r="E3764" t="s">
        <v>9411</v>
      </c>
    </row>
    <row r="3765" spans="1:5" x14ac:dyDescent="0.2">
      <c r="A3765" t="s">
        <v>7479</v>
      </c>
      <c r="B3765" t="s">
        <v>7480</v>
      </c>
      <c r="C3765" t="s">
        <v>227</v>
      </c>
      <c r="D3765" t="s">
        <v>171</v>
      </c>
      <c r="E3765" t="s">
        <v>9411</v>
      </c>
    </row>
    <row r="3766" spans="1:5" x14ac:dyDescent="0.2">
      <c r="A3766" t="s">
        <v>7481</v>
      </c>
      <c r="B3766" t="s">
        <v>7482</v>
      </c>
      <c r="C3766" t="s">
        <v>227</v>
      </c>
      <c r="D3766" t="s">
        <v>171</v>
      </c>
      <c r="E3766" t="s">
        <v>9411</v>
      </c>
    </row>
    <row r="3767" spans="1:5" x14ac:dyDescent="0.2">
      <c r="A3767" t="s">
        <v>7483</v>
      </c>
      <c r="B3767" t="s">
        <v>7484</v>
      </c>
      <c r="C3767" t="s">
        <v>251</v>
      </c>
      <c r="D3767" t="s">
        <v>1490</v>
      </c>
      <c r="E3767" t="s">
        <v>9435</v>
      </c>
    </row>
    <row r="3768" spans="1:5" x14ac:dyDescent="0.2">
      <c r="A3768" t="s">
        <v>7485</v>
      </c>
      <c r="B3768" t="s">
        <v>7486</v>
      </c>
      <c r="C3768" t="s">
        <v>251</v>
      </c>
      <c r="D3768" t="s">
        <v>1490</v>
      </c>
      <c r="E3768" t="s">
        <v>9435</v>
      </c>
    </row>
    <row r="3769" spans="1:5" x14ac:dyDescent="0.2">
      <c r="A3769" t="s">
        <v>7487</v>
      </c>
      <c r="B3769" t="s">
        <v>7488</v>
      </c>
      <c r="C3769" t="s">
        <v>251</v>
      </c>
      <c r="D3769" t="s">
        <v>386</v>
      </c>
      <c r="E3769" t="s">
        <v>9435</v>
      </c>
    </row>
    <row r="3770" spans="1:5" x14ac:dyDescent="0.2">
      <c r="A3770" t="s">
        <v>7489</v>
      </c>
      <c r="B3770" t="s">
        <v>7490</v>
      </c>
      <c r="C3770" t="s">
        <v>251</v>
      </c>
      <c r="D3770" t="s">
        <v>386</v>
      </c>
      <c r="E3770" t="s">
        <v>9435</v>
      </c>
    </row>
    <row r="3771" spans="1:5" x14ac:dyDescent="0.2">
      <c r="A3771" t="s">
        <v>7491</v>
      </c>
      <c r="B3771" t="s">
        <v>7492</v>
      </c>
      <c r="C3771" t="s">
        <v>251</v>
      </c>
      <c r="D3771" t="s">
        <v>1493</v>
      </c>
      <c r="E3771" t="s">
        <v>9411</v>
      </c>
    </row>
    <row r="3772" spans="1:5" x14ac:dyDescent="0.2">
      <c r="A3772" t="s">
        <v>7493</v>
      </c>
      <c r="B3772" t="s">
        <v>7494</v>
      </c>
      <c r="C3772" t="s">
        <v>251</v>
      </c>
      <c r="D3772" t="s">
        <v>1493</v>
      </c>
      <c r="E3772" t="s">
        <v>9411</v>
      </c>
    </row>
    <row r="3773" spans="1:5" x14ac:dyDescent="0.2">
      <c r="A3773" t="s">
        <v>7495</v>
      </c>
      <c r="B3773" t="s">
        <v>7496</v>
      </c>
      <c r="C3773" t="s">
        <v>251</v>
      </c>
      <c r="D3773" t="s">
        <v>622</v>
      </c>
      <c r="E3773" t="s">
        <v>9411</v>
      </c>
    </row>
    <row r="3774" spans="1:5" x14ac:dyDescent="0.2">
      <c r="A3774" t="s">
        <v>7497</v>
      </c>
      <c r="B3774" t="s">
        <v>7498</v>
      </c>
      <c r="C3774" t="s">
        <v>251</v>
      </c>
      <c r="D3774" t="s">
        <v>622</v>
      </c>
      <c r="E3774" t="s">
        <v>9411</v>
      </c>
    </row>
    <row r="3775" spans="1:5" x14ac:dyDescent="0.2">
      <c r="A3775" t="s">
        <v>7363</v>
      </c>
      <c r="B3775" t="s">
        <v>9445</v>
      </c>
      <c r="C3775" t="s">
        <v>251</v>
      </c>
      <c r="D3775" t="s">
        <v>572</v>
      </c>
      <c r="E3775" t="s">
        <v>9446</v>
      </c>
    </row>
    <row r="3776" spans="1:5" x14ac:dyDescent="0.2">
      <c r="A3776" t="s">
        <v>7364</v>
      </c>
      <c r="B3776" t="s">
        <v>9447</v>
      </c>
      <c r="C3776" t="s">
        <v>251</v>
      </c>
      <c r="D3776" t="s">
        <v>213</v>
      </c>
      <c r="E3776" t="s">
        <v>9446</v>
      </c>
    </row>
    <row r="3777" spans="1:5" x14ac:dyDescent="0.2">
      <c r="A3777" t="s">
        <v>7365</v>
      </c>
      <c r="B3777" t="s">
        <v>9448</v>
      </c>
      <c r="C3777" t="s">
        <v>251</v>
      </c>
      <c r="D3777" t="s">
        <v>213</v>
      </c>
      <c r="E3777" t="s">
        <v>9446</v>
      </c>
    </row>
    <row r="3778" spans="1:5" x14ac:dyDescent="0.2">
      <c r="A3778" t="s">
        <v>7499</v>
      </c>
      <c r="B3778" t="s">
        <v>7500</v>
      </c>
      <c r="C3778" t="s">
        <v>251</v>
      </c>
      <c r="D3778" t="s">
        <v>1490</v>
      </c>
      <c r="E3778" t="s">
        <v>9435</v>
      </c>
    </row>
    <row r="3779" spans="1:5" x14ac:dyDescent="0.2">
      <c r="A3779" t="s">
        <v>7501</v>
      </c>
      <c r="B3779" t="s">
        <v>7502</v>
      </c>
      <c r="C3779" t="s">
        <v>251</v>
      </c>
      <c r="D3779" t="s">
        <v>386</v>
      </c>
      <c r="E3779" t="s">
        <v>9410</v>
      </c>
    </row>
    <row r="3780" spans="1:5" x14ac:dyDescent="0.2">
      <c r="A3780" t="s">
        <v>7503</v>
      </c>
      <c r="B3780" t="s">
        <v>7504</v>
      </c>
      <c r="C3780" t="s">
        <v>251</v>
      </c>
      <c r="D3780" t="s">
        <v>386</v>
      </c>
      <c r="E3780" t="s">
        <v>9435</v>
      </c>
    </row>
    <row r="3781" spans="1:5" x14ac:dyDescent="0.2">
      <c r="A3781" t="s">
        <v>7505</v>
      </c>
      <c r="B3781" t="s">
        <v>7506</v>
      </c>
      <c r="C3781" t="s">
        <v>227</v>
      </c>
      <c r="D3781" t="s">
        <v>1566</v>
      </c>
      <c r="E3781" t="s">
        <v>9411</v>
      </c>
    </row>
    <row r="3782" spans="1:5" x14ac:dyDescent="0.2">
      <c r="A3782" t="s">
        <v>7507</v>
      </c>
      <c r="B3782" t="s">
        <v>7508</v>
      </c>
      <c r="C3782" t="s">
        <v>227</v>
      </c>
      <c r="D3782" t="s">
        <v>1566</v>
      </c>
      <c r="E3782" t="s">
        <v>9411</v>
      </c>
    </row>
    <row r="3783" spans="1:5" x14ac:dyDescent="0.2">
      <c r="A3783" t="s">
        <v>7509</v>
      </c>
      <c r="B3783" t="s">
        <v>7510</v>
      </c>
      <c r="C3783" t="s">
        <v>227</v>
      </c>
      <c r="D3783" t="s">
        <v>171</v>
      </c>
      <c r="E3783" t="s">
        <v>1775</v>
      </c>
    </row>
    <row r="3784" spans="1:5" x14ac:dyDescent="0.2">
      <c r="A3784" t="s">
        <v>7511</v>
      </c>
      <c r="B3784" t="s">
        <v>7512</v>
      </c>
      <c r="C3784" t="s">
        <v>227</v>
      </c>
      <c r="D3784" t="s">
        <v>171</v>
      </c>
      <c r="E3784" t="s">
        <v>1775</v>
      </c>
    </row>
    <row r="3785" spans="1:5" x14ac:dyDescent="0.2">
      <c r="A3785" t="s">
        <v>7513</v>
      </c>
      <c r="B3785" t="s">
        <v>7514</v>
      </c>
      <c r="C3785" t="s">
        <v>399</v>
      </c>
      <c r="D3785" t="s">
        <v>1971</v>
      </c>
      <c r="E3785" t="s">
        <v>9411</v>
      </c>
    </row>
    <row r="3786" spans="1:5" x14ac:dyDescent="0.2">
      <c r="A3786" t="s">
        <v>7515</v>
      </c>
      <c r="B3786" t="s">
        <v>7516</v>
      </c>
      <c r="C3786" t="s">
        <v>399</v>
      </c>
      <c r="D3786" t="s">
        <v>295</v>
      </c>
      <c r="E3786" t="s">
        <v>9411</v>
      </c>
    </row>
    <row r="3787" spans="1:5" x14ac:dyDescent="0.2">
      <c r="A3787" t="s">
        <v>7517</v>
      </c>
      <c r="B3787" t="s">
        <v>7518</v>
      </c>
      <c r="C3787" t="s">
        <v>399</v>
      </c>
      <c r="D3787" t="s">
        <v>295</v>
      </c>
      <c r="E3787" t="s">
        <v>9411</v>
      </c>
    </row>
    <row r="3788" spans="1:5" x14ac:dyDescent="0.2">
      <c r="A3788" t="s">
        <v>7519</v>
      </c>
      <c r="B3788" t="s">
        <v>7520</v>
      </c>
      <c r="C3788" t="s">
        <v>399</v>
      </c>
      <c r="D3788" t="s">
        <v>296</v>
      </c>
      <c r="E3788" t="s">
        <v>9411</v>
      </c>
    </row>
    <row r="3789" spans="1:5" x14ac:dyDescent="0.2">
      <c r="A3789" t="s">
        <v>7521</v>
      </c>
      <c r="B3789" t="s">
        <v>7522</v>
      </c>
      <c r="C3789" t="s">
        <v>399</v>
      </c>
      <c r="D3789" t="s">
        <v>296</v>
      </c>
      <c r="E3789" t="s">
        <v>9411</v>
      </c>
    </row>
    <row r="3790" spans="1:5" x14ac:dyDescent="0.2">
      <c r="A3790" t="s">
        <v>7523</v>
      </c>
      <c r="B3790" t="s">
        <v>7524</v>
      </c>
      <c r="C3790" t="s">
        <v>399</v>
      </c>
      <c r="D3790" t="s">
        <v>258</v>
      </c>
      <c r="E3790" t="s">
        <v>9411</v>
      </c>
    </row>
    <row r="3791" spans="1:5" x14ac:dyDescent="0.2">
      <c r="A3791" t="s">
        <v>7525</v>
      </c>
      <c r="B3791" t="s">
        <v>7526</v>
      </c>
      <c r="C3791" t="s">
        <v>399</v>
      </c>
      <c r="D3791" t="s">
        <v>258</v>
      </c>
      <c r="E3791" t="s">
        <v>9411</v>
      </c>
    </row>
    <row r="3792" spans="1:5" x14ac:dyDescent="0.2">
      <c r="A3792" t="s">
        <v>7527</v>
      </c>
      <c r="B3792" t="s">
        <v>7528</v>
      </c>
      <c r="C3792" t="s">
        <v>399</v>
      </c>
      <c r="D3792" t="s">
        <v>299</v>
      </c>
      <c r="E3792" t="s">
        <v>9411</v>
      </c>
    </row>
    <row r="3793" spans="1:5" x14ac:dyDescent="0.2">
      <c r="A3793" t="s">
        <v>7529</v>
      </c>
      <c r="B3793" t="s">
        <v>7530</v>
      </c>
      <c r="C3793" t="s">
        <v>399</v>
      </c>
      <c r="D3793" t="s">
        <v>299</v>
      </c>
      <c r="E3793" t="s">
        <v>9411</v>
      </c>
    </row>
    <row r="3794" spans="1:5" x14ac:dyDescent="0.2">
      <c r="A3794" t="s">
        <v>7531</v>
      </c>
      <c r="B3794" t="s">
        <v>7532</v>
      </c>
      <c r="C3794" t="s">
        <v>522</v>
      </c>
      <c r="D3794" t="s">
        <v>1493</v>
      </c>
      <c r="E3794" t="s">
        <v>1775</v>
      </c>
    </row>
    <row r="3795" spans="1:5" x14ac:dyDescent="0.2">
      <c r="A3795" t="s">
        <v>7533</v>
      </c>
      <c r="B3795" t="s">
        <v>7534</v>
      </c>
      <c r="C3795" t="s">
        <v>522</v>
      </c>
      <c r="D3795" t="s">
        <v>1493</v>
      </c>
      <c r="E3795" t="s">
        <v>1775</v>
      </c>
    </row>
    <row r="3796" spans="1:5" x14ac:dyDescent="0.2">
      <c r="A3796" t="s">
        <v>7535</v>
      </c>
      <c r="B3796" t="s">
        <v>7536</v>
      </c>
      <c r="C3796" t="s">
        <v>522</v>
      </c>
      <c r="D3796" t="s">
        <v>622</v>
      </c>
      <c r="E3796" t="s">
        <v>1775</v>
      </c>
    </row>
    <row r="3797" spans="1:5" x14ac:dyDescent="0.2">
      <c r="A3797" t="s">
        <v>7537</v>
      </c>
      <c r="B3797" t="s">
        <v>7538</v>
      </c>
      <c r="C3797" t="s">
        <v>522</v>
      </c>
      <c r="D3797" t="s">
        <v>622</v>
      </c>
      <c r="E3797" t="s">
        <v>1775</v>
      </c>
    </row>
    <row r="3798" spans="1:5" x14ac:dyDescent="0.2">
      <c r="A3798" t="s">
        <v>7539</v>
      </c>
      <c r="B3798" t="s">
        <v>7540</v>
      </c>
      <c r="C3798" t="s">
        <v>251</v>
      </c>
      <c r="D3798" t="s">
        <v>323</v>
      </c>
      <c r="E3798" t="s">
        <v>7541</v>
      </c>
    </row>
    <row r="3799" spans="1:5" x14ac:dyDescent="0.2">
      <c r="A3799" t="s">
        <v>7542</v>
      </c>
      <c r="B3799" t="s">
        <v>7543</v>
      </c>
      <c r="C3799" t="s">
        <v>251</v>
      </c>
      <c r="D3799" t="s">
        <v>380</v>
      </c>
      <c r="E3799" t="s">
        <v>7541</v>
      </c>
    </row>
    <row r="3800" spans="1:5" x14ac:dyDescent="0.2">
      <c r="A3800" t="s">
        <v>22</v>
      </c>
      <c r="B3800" t="s">
        <v>7544</v>
      </c>
      <c r="C3800" t="s">
        <v>251</v>
      </c>
      <c r="D3800" t="s">
        <v>258</v>
      </c>
      <c r="E3800" t="s">
        <v>7541</v>
      </c>
    </row>
    <row r="3801" spans="1:5" x14ac:dyDescent="0.2">
      <c r="A3801" t="s">
        <v>7545</v>
      </c>
      <c r="B3801" t="s">
        <v>7546</v>
      </c>
      <c r="C3801" t="s">
        <v>212</v>
      </c>
      <c r="D3801" t="s">
        <v>473</v>
      </c>
      <c r="E3801" t="s">
        <v>7541</v>
      </c>
    </row>
    <row r="3802" spans="1:5" x14ac:dyDescent="0.2">
      <c r="A3802" t="s">
        <v>7547</v>
      </c>
      <c r="B3802" t="s">
        <v>7548</v>
      </c>
      <c r="C3802" t="s">
        <v>212</v>
      </c>
      <c r="D3802" t="s">
        <v>258</v>
      </c>
      <c r="E3802" t="s">
        <v>7541</v>
      </c>
    </row>
    <row r="3803" spans="1:5" x14ac:dyDescent="0.2">
      <c r="A3803" t="s">
        <v>7549</v>
      </c>
      <c r="B3803" t="s">
        <v>7550</v>
      </c>
      <c r="C3803" t="s">
        <v>212</v>
      </c>
      <c r="D3803" t="s">
        <v>258</v>
      </c>
      <c r="E3803" t="s">
        <v>7541</v>
      </c>
    </row>
    <row r="3804" spans="1:5" x14ac:dyDescent="0.2">
      <c r="A3804" t="s">
        <v>7551</v>
      </c>
      <c r="B3804" t="s">
        <v>7552</v>
      </c>
      <c r="C3804" t="s">
        <v>251</v>
      </c>
      <c r="D3804" t="s">
        <v>427</v>
      </c>
      <c r="E3804" t="s">
        <v>7541</v>
      </c>
    </row>
    <row r="3805" spans="1:5" x14ac:dyDescent="0.2">
      <c r="A3805" t="s">
        <v>7553</v>
      </c>
      <c r="B3805" t="s">
        <v>7554</v>
      </c>
      <c r="C3805" t="s">
        <v>251</v>
      </c>
      <c r="D3805" t="s">
        <v>258</v>
      </c>
      <c r="E3805" t="s">
        <v>7541</v>
      </c>
    </row>
    <row r="3806" spans="1:5" x14ac:dyDescent="0.2">
      <c r="A3806" t="s">
        <v>7557</v>
      </c>
      <c r="B3806" t="s">
        <v>7558</v>
      </c>
      <c r="C3806" t="s">
        <v>131</v>
      </c>
      <c r="D3806" t="s">
        <v>427</v>
      </c>
      <c r="E3806" t="s">
        <v>9148</v>
      </c>
    </row>
    <row r="3807" spans="1:5" x14ac:dyDescent="0.2">
      <c r="A3807" t="s">
        <v>7559</v>
      </c>
      <c r="B3807" t="s">
        <v>7560</v>
      </c>
      <c r="C3807" t="s">
        <v>92</v>
      </c>
      <c r="D3807" t="s">
        <v>121</v>
      </c>
      <c r="E3807" t="s">
        <v>9449</v>
      </c>
    </row>
    <row r="3808" spans="1:5" x14ac:dyDescent="0.2">
      <c r="A3808" t="s">
        <v>7561</v>
      </c>
      <c r="B3808" t="s">
        <v>9450</v>
      </c>
      <c r="C3808" t="s">
        <v>222</v>
      </c>
      <c r="D3808" t="s">
        <v>400</v>
      </c>
      <c r="E3808" t="s">
        <v>234</v>
      </c>
    </row>
    <row r="3809" spans="1:5" x14ac:dyDescent="0.2">
      <c r="A3809" t="s">
        <v>7562</v>
      </c>
      <c r="B3809" t="s">
        <v>9451</v>
      </c>
      <c r="C3809" t="s">
        <v>222</v>
      </c>
      <c r="D3809" t="s">
        <v>224</v>
      </c>
      <c r="E3809" t="s">
        <v>234</v>
      </c>
    </row>
    <row r="3810" spans="1:5" x14ac:dyDescent="0.2">
      <c r="A3810" t="s">
        <v>7563</v>
      </c>
      <c r="B3810" t="s">
        <v>9452</v>
      </c>
      <c r="C3810" t="s">
        <v>222</v>
      </c>
      <c r="D3810" t="s">
        <v>547</v>
      </c>
      <c r="E3810" t="s">
        <v>234</v>
      </c>
    </row>
    <row r="3811" spans="1:5" x14ac:dyDescent="0.2">
      <c r="A3811" t="s">
        <v>7564</v>
      </c>
      <c r="B3811" t="s">
        <v>7565</v>
      </c>
      <c r="C3811" t="s">
        <v>376</v>
      </c>
      <c r="D3811" t="s">
        <v>1070</v>
      </c>
      <c r="E3811" t="s">
        <v>9155</v>
      </c>
    </row>
    <row r="3812" spans="1:5" x14ac:dyDescent="0.2">
      <c r="A3812" t="s">
        <v>7566</v>
      </c>
      <c r="B3812" t="s">
        <v>7567</v>
      </c>
      <c r="C3812" t="s">
        <v>376</v>
      </c>
      <c r="D3812" t="s">
        <v>427</v>
      </c>
      <c r="E3812" t="s">
        <v>9155</v>
      </c>
    </row>
    <row r="3813" spans="1:5" x14ac:dyDescent="0.2">
      <c r="A3813" t="s">
        <v>52</v>
      </c>
      <c r="B3813" t="s">
        <v>7568</v>
      </c>
      <c r="C3813" t="s">
        <v>376</v>
      </c>
      <c r="D3813" t="s">
        <v>394</v>
      </c>
      <c r="E3813" t="s">
        <v>9155</v>
      </c>
    </row>
    <row r="3814" spans="1:5" x14ac:dyDescent="0.2">
      <c r="A3814" t="s">
        <v>7569</v>
      </c>
      <c r="B3814" t="s">
        <v>7570</v>
      </c>
      <c r="C3814" t="s">
        <v>376</v>
      </c>
      <c r="D3814" t="s">
        <v>400</v>
      </c>
      <c r="E3814" t="s">
        <v>9155</v>
      </c>
    </row>
    <row r="3815" spans="1:5" x14ac:dyDescent="0.2">
      <c r="A3815" t="s">
        <v>7571</v>
      </c>
      <c r="B3815" t="s">
        <v>7572</v>
      </c>
      <c r="C3815" t="s">
        <v>376</v>
      </c>
      <c r="D3815" t="s">
        <v>1566</v>
      </c>
      <c r="E3815" t="s">
        <v>9155</v>
      </c>
    </row>
    <row r="3816" spans="1:5" x14ac:dyDescent="0.2">
      <c r="A3816" t="s">
        <v>7573</v>
      </c>
      <c r="B3816" t="s">
        <v>7574</v>
      </c>
      <c r="C3816" t="s">
        <v>376</v>
      </c>
      <c r="D3816" t="s">
        <v>535</v>
      </c>
      <c r="E3816" t="s">
        <v>9155</v>
      </c>
    </row>
    <row r="3817" spans="1:5" x14ac:dyDescent="0.2">
      <c r="A3817" t="s">
        <v>7575</v>
      </c>
      <c r="B3817" t="s">
        <v>7576</v>
      </c>
      <c r="C3817" t="s">
        <v>557</v>
      </c>
      <c r="D3817" t="s">
        <v>473</v>
      </c>
      <c r="E3817" t="s">
        <v>9155</v>
      </c>
    </row>
    <row r="3818" spans="1:5" x14ac:dyDescent="0.2">
      <c r="A3818" t="s">
        <v>7577</v>
      </c>
      <c r="B3818" t="s">
        <v>7578</v>
      </c>
      <c r="C3818" t="s">
        <v>557</v>
      </c>
      <c r="D3818" t="s">
        <v>433</v>
      </c>
      <c r="E3818" t="s">
        <v>9155</v>
      </c>
    </row>
    <row r="3819" spans="1:5" x14ac:dyDescent="0.2">
      <c r="A3819" t="s">
        <v>7579</v>
      </c>
      <c r="B3819" t="s">
        <v>7580</v>
      </c>
      <c r="C3819" t="s">
        <v>557</v>
      </c>
      <c r="D3819" t="s">
        <v>622</v>
      </c>
      <c r="E3819" t="s">
        <v>9155</v>
      </c>
    </row>
    <row r="3820" spans="1:5" x14ac:dyDescent="0.2">
      <c r="A3820" t="s">
        <v>7581</v>
      </c>
      <c r="B3820" t="s">
        <v>7582</v>
      </c>
      <c r="C3820" t="s">
        <v>557</v>
      </c>
      <c r="D3820" t="s">
        <v>171</v>
      </c>
      <c r="E3820" t="s">
        <v>9155</v>
      </c>
    </row>
    <row r="3821" spans="1:5" x14ac:dyDescent="0.2">
      <c r="A3821" t="s">
        <v>7583</v>
      </c>
      <c r="B3821" t="s">
        <v>7584</v>
      </c>
      <c r="C3821" t="s">
        <v>591</v>
      </c>
      <c r="D3821" t="s">
        <v>2012</v>
      </c>
      <c r="E3821" t="s">
        <v>9155</v>
      </c>
    </row>
    <row r="3822" spans="1:5" x14ac:dyDescent="0.2">
      <c r="A3822" t="s">
        <v>7585</v>
      </c>
      <c r="B3822" t="s">
        <v>7586</v>
      </c>
      <c r="C3822" t="s">
        <v>591</v>
      </c>
      <c r="D3822" t="s">
        <v>681</v>
      </c>
      <c r="E3822" t="s">
        <v>9155</v>
      </c>
    </row>
    <row r="3823" spans="1:5" x14ac:dyDescent="0.2">
      <c r="A3823" t="s">
        <v>7587</v>
      </c>
      <c r="B3823" t="s">
        <v>7588</v>
      </c>
      <c r="C3823" t="s">
        <v>591</v>
      </c>
      <c r="D3823" t="s">
        <v>955</v>
      </c>
      <c r="E3823" t="s">
        <v>9155</v>
      </c>
    </row>
    <row r="3824" spans="1:5" x14ac:dyDescent="0.2">
      <c r="A3824" t="s">
        <v>7589</v>
      </c>
      <c r="B3824" t="s">
        <v>7590</v>
      </c>
      <c r="C3824" t="s">
        <v>591</v>
      </c>
      <c r="D3824" t="s">
        <v>412</v>
      </c>
      <c r="E3824" t="s">
        <v>9155</v>
      </c>
    </row>
    <row r="3825" spans="1:5" x14ac:dyDescent="0.2">
      <c r="A3825" t="s">
        <v>7591</v>
      </c>
      <c r="B3825" t="s">
        <v>7592</v>
      </c>
      <c r="C3825" t="s">
        <v>591</v>
      </c>
      <c r="D3825" t="s">
        <v>604</v>
      </c>
      <c r="E3825" t="s">
        <v>9155</v>
      </c>
    </row>
    <row r="3826" spans="1:5" x14ac:dyDescent="0.2">
      <c r="A3826" t="s">
        <v>7593</v>
      </c>
      <c r="B3826" t="s">
        <v>7594</v>
      </c>
      <c r="C3826" t="s">
        <v>591</v>
      </c>
      <c r="D3826" t="s">
        <v>766</v>
      </c>
      <c r="E3826" t="s">
        <v>9155</v>
      </c>
    </row>
    <row r="3827" spans="1:5" x14ac:dyDescent="0.2">
      <c r="A3827" t="s">
        <v>7595</v>
      </c>
      <c r="B3827" t="s">
        <v>7596</v>
      </c>
      <c r="C3827" t="s">
        <v>591</v>
      </c>
      <c r="D3827" t="s">
        <v>462</v>
      </c>
      <c r="E3827" t="s">
        <v>9155</v>
      </c>
    </row>
    <row r="3828" spans="1:5" x14ac:dyDescent="0.2">
      <c r="A3828" t="s">
        <v>7597</v>
      </c>
      <c r="B3828" t="s">
        <v>7598</v>
      </c>
      <c r="C3828" t="s">
        <v>9325</v>
      </c>
      <c r="D3828" t="s">
        <v>2012</v>
      </c>
      <c r="E3828" t="s">
        <v>9155</v>
      </c>
    </row>
    <row r="3829" spans="1:5" x14ac:dyDescent="0.2">
      <c r="A3829" t="s">
        <v>7599</v>
      </c>
      <c r="B3829" t="s">
        <v>7600</v>
      </c>
      <c r="C3829" t="s">
        <v>9325</v>
      </c>
      <c r="D3829" t="s">
        <v>1793</v>
      </c>
      <c r="E3829" t="s">
        <v>9155</v>
      </c>
    </row>
    <row r="3830" spans="1:5" x14ac:dyDescent="0.2">
      <c r="A3830" t="s">
        <v>7601</v>
      </c>
      <c r="B3830" t="s">
        <v>7602</v>
      </c>
      <c r="C3830" t="s">
        <v>8980</v>
      </c>
      <c r="D3830" t="s">
        <v>1909</v>
      </c>
      <c r="E3830" t="s">
        <v>9155</v>
      </c>
    </row>
    <row r="3831" spans="1:5" x14ac:dyDescent="0.2">
      <c r="A3831" t="s">
        <v>7603</v>
      </c>
      <c r="B3831" t="s">
        <v>7604</v>
      </c>
      <c r="C3831" t="s">
        <v>8980</v>
      </c>
      <c r="D3831" t="s">
        <v>200</v>
      </c>
      <c r="E3831" t="s">
        <v>9155</v>
      </c>
    </row>
    <row r="3832" spans="1:5" x14ac:dyDescent="0.2">
      <c r="A3832" t="s">
        <v>7605</v>
      </c>
      <c r="B3832" t="s">
        <v>7606</v>
      </c>
      <c r="C3832" t="s">
        <v>219</v>
      </c>
      <c r="D3832" t="s">
        <v>1374</v>
      </c>
      <c r="E3832" t="s">
        <v>9155</v>
      </c>
    </row>
    <row r="3833" spans="1:5" x14ac:dyDescent="0.2">
      <c r="A3833" t="s">
        <v>7607</v>
      </c>
      <c r="B3833" t="s">
        <v>7608</v>
      </c>
      <c r="C3833" t="s">
        <v>219</v>
      </c>
      <c r="D3833" t="s">
        <v>2199</v>
      </c>
      <c r="E3833" t="s">
        <v>9155</v>
      </c>
    </row>
    <row r="3834" spans="1:5" x14ac:dyDescent="0.2">
      <c r="A3834" t="s">
        <v>7609</v>
      </c>
      <c r="B3834" t="s">
        <v>7610</v>
      </c>
      <c r="C3834" t="s">
        <v>219</v>
      </c>
      <c r="D3834" t="s">
        <v>99</v>
      </c>
      <c r="E3834" t="s">
        <v>9155</v>
      </c>
    </row>
    <row r="3835" spans="1:5" x14ac:dyDescent="0.2">
      <c r="A3835" t="s">
        <v>7611</v>
      </c>
      <c r="B3835" t="s">
        <v>7612</v>
      </c>
      <c r="C3835" t="s">
        <v>219</v>
      </c>
      <c r="D3835" t="s">
        <v>99</v>
      </c>
      <c r="E3835" t="s">
        <v>9155</v>
      </c>
    </row>
    <row r="3836" spans="1:5" x14ac:dyDescent="0.2">
      <c r="A3836" t="s">
        <v>7613</v>
      </c>
      <c r="B3836" t="s">
        <v>7614</v>
      </c>
      <c r="C3836" t="s">
        <v>5841</v>
      </c>
      <c r="D3836" t="s">
        <v>153</v>
      </c>
      <c r="E3836" t="s">
        <v>2537</v>
      </c>
    </row>
    <row r="3837" spans="1:5" x14ac:dyDescent="0.2">
      <c r="A3837" t="s">
        <v>7615</v>
      </c>
      <c r="B3837" t="s">
        <v>7616</v>
      </c>
      <c r="C3837" t="s">
        <v>5841</v>
      </c>
      <c r="D3837" t="s">
        <v>718</v>
      </c>
      <c r="E3837" t="s">
        <v>2537</v>
      </c>
    </row>
    <row r="3838" spans="1:5" x14ac:dyDescent="0.2">
      <c r="A3838" t="s">
        <v>7617</v>
      </c>
      <c r="B3838" t="s">
        <v>7618</v>
      </c>
      <c r="C3838" t="s">
        <v>322</v>
      </c>
      <c r="D3838" t="s">
        <v>718</v>
      </c>
      <c r="E3838" t="s">
        <v>2537</v>
      </c>
    </row>
    <row r="3839" spans="1:5" x14ac:dyDescent="0.2">
      <c r="A3839" t="s">
        <v>7619</v>
      </c>
      <c r="B3839" t="s">
        <v>7620</v>
      </c>
      <c r="C3839" t="s">
        <v>251</v>
      </c>
      <c r="D3839" t="s">
        <v>1534</v>
      </c>
      <c r="E3839" t="s">
        <v>2537</v>
      </c>
    </row>
    <row r="3840" spans="1:5" x14ac:dyDescent="0.2">
      <c r="A3840" t="s">
        <v>7621</v>
      </c>
      <c r="B3840" t="s">
        <v>7622</v>
      </c>
      <c r="C3840" t="s">
        <v>251</v>
      </c>
      <c r="D3840" t="s">
        <v>1831</v>
      </c>
      <c r="E3840" t="s">
        <v>2537</v>
      </c>
    </row>
    <row r="3841" spans="1:5" x14ac:dyDescent="0.2">
      <c r="A3841" t="s">
        <v>7623</v>
      </c>
      <c r="B3841" t="s">
        <v>7624</v>
      </c>
      <c r="C3841" t="s">
        <v>251</v>
      </c>
      <c r="D3841" t="s">
        <v>766</v>
      </c>
      <c r="E3841" t="s">
        <v>2537</v>
      </c>
    </row>
    <row r="3842" spans="1:5" x14ac:dyDescent="0.2">
      <c r="A3842" t="s">
        <v>7625</v>
      </c>
      <c r="B3842" t="s">
        <v>7626</v>
      </c>
      <c r="C3842" t="s">
        <v>251</v>
      </c>
      <c r="D3842" t="s">
        <v>358</v>
      </c>
      <c r="E3842" t="s">
        <v>2537</v>
      </c>
    </row>
    <row r="3843" spans="1:5" x14ac:dyDescent="0.2">
      <c r="A3843" t="s">
        <v>7627</v>
      </c>
      <c r="B3843" t="s">
        <v>7628</v>
      </c>
      <c r="C3843" t="s">
        <v>219</v>
      </c>
      <c r="D3843" t="s">
        <v>1524</v>
      </c>
      <c r="E3843" t="s">
        <v>2537</v>
      </c>
    </row>
    <row r="3844" spans="1:5" x14ac:dyDescent="0.2">
      <c r="A3844" t="s">
        <v>7629</v>
      </c>
      <c r="B3844" t="s">
        <v>7630</v>
      </c>
      <c r="C3844" t="s">
        <v>219</v>
      </c>
      <c r="D3844" t="s">
        <v>596</v>
      </c>
      <c r="E3844" t="s">
        <v>2537</v>
      </c>
    </row>
    <row r="3845" spans="1:5" x14ac:dyDescent="0.2">
      <c r="A3845" t="s">
        <v>990</v>
      </c>
      <c r="B3845" t="s">
        <v>9453</v>
      </c>
      <c r="C3845" t="s">
        <v>219</v>
      </c>
      <c r="D3845" t="s">
        <v>991</v>
      </c>
      <c r="E3845" t="s">
        <v>9301</v>
      </c>
    </row>
    <row r="3846" spans="1:5" x14ac:dyDescent="0.2">
      <c r="A3846" t="s">
        <v>7632</v>
      </c>
      <c r="B3846" t="s">
        <v>7633</v>
      </c>
      <c r="C3846" t="s">
        <v>376</v>
      </c>
      <c r="D3846" t="s">
        <v>412</v>
      </c>
      <c r="E3846" t="s">
        <v>7631</v>
      </c>
    </row>
    <row r="3847" spans="1:5" x14ac:dyDescent="0.2">
      <c r="A3847" t="s">
        <v>7634</v>
      </c>
      <c r="B3847" t="s">
        <v>7635</v>
      </c>
      <c r="C3847" t="s">
        <v>557</v>
      </c>
      <c r="D3847" t="s">
        <v>254</v>
      </c>
      <c r="E3847" t="s">
        <v>7636</v>
      </c>
    </row>
    <row r="3848" spans="1:5" x14ac:dyDescent="0.2">
      <c r="A3848" t="s">
        <v>1760</v>
      </c>
      <c r="B3848" t="s">
        <v>9454</v>
      </c>
      <c r="C3848" t="s">
        <v>131</v>
      </c>
      <c r="D3848" t="s">
        <v>690</v>
      </c>
      <c r="E3848" t="s">
        <v>9455</v>
      </c>
    </row>
    <row r="3849" spans="1:5" x14ac:dyDescent="0.2">
      <c r="A3849" t="s">
        <v>1761</v>
      </c>
      <c r="B3849" t="s">
        <v>9456</v>
      </c>
      <c r="C3849" t="s">
        <v>131</v>
      </c>
      <c r="D3849" t="s">
        <v>1947</v>
      </c>
      <c r="E3849" t="s">
        <v>9455</v>
      </c>
    </row>
    <row r="3850" spans="1:5" x14ac:dyDescent="0.2">
      <c r="A3850" t="s">
        <v>1762</v>
      </c>
      <c r="B3850" t="s">
        <v>9457</v>
      </c>
      <c r="C3850" t="s">
        <v>104</v>
      </c>
      <c r="D3850" t="s">
        <v>701</v>
      </c>
      <c r="E3850" t="s">
        <v>8879</v>
      </c>
    </row>
    <row r="3851" spans="1:5" x14ac:dyDescent="0.2">
      <c r="A3851" t="s">
        <v>1763</v>
      </c>
      <c r="B3851" t="s">
        <v>9458</v>
      </c>
      <c r="C3851" t="s">
        <v>104</v>
      </c>
      <c r="D3851" t="s">
        <v>282</v>
      </c>
      <c r="E3851" t="s">
        <v>9455</v>
      </c>
    </row>
    <row r="3852" spans="1:5" x14ac:dyDescent="0.2">
      <c r="A3852" t="s">
        <v>1764</v>
      </c>
      <c r="B3852" t="s">
        <v>9459</v>
      </c>
      <c r="C3852" t="s">
        <v>104</v>
      </c>
      <c r="D3852" t="s">
        <v>3699</v>
      </c>
      <c r="E3852" t="s">
        <v>8879</v>
      </c>
    </row>
    <row r="3853" spans="1:5" x14ac:dyDescent="0.2">
      <c r="A3853" t="s">
        <v>1768</v>
      </c>
      <c r="B3853" t="s">
        <v>9460</v>
      </c>
      <c r="C3853" t="s">
        <v>120</v>
      </c>
      <c r="D3853" t="s">
        <v>358</v>
      </c>
      <c r="E3853" t="s">
        <v>9455</v>
      </c>
    </row>
    <row r="3854" spans="1:5" x14ac:dyDescent="0.2">
      <c r="A3854" t="s">
        <v>1769</v>
      </c>
      <c r="B3854" t="s">
        <v>9461</v>
      </c>
      <c r="C3854" t="s">
        <v>120</v>
      </c>
      <c r="D3854" t="s">
        <v>766</v>
      </c>
      <c r="E3854" t="s">
        <v>9455</v>
      </c>
    </row>
    <row r="3855" spans="1:5" x14ac:dyDescent="0.2">
      <c r="A3855" t="s">
        <v>1771</v>
      </c>
      <c r="B3855" t="s">
        <v>9462</v>
      </c>
      <c r="C3855" t="s">
        <v>92</v>
      </c>
      <c r="D3855" t="s">
        <v>1772</v>
      </c>
      <c r="E3855" t="s">
        <v>9455</v>
      </c>
    </row>
    <row r="3856" spans="1:5" x14ac:dyDescent="0.2">
      <c r="A3856" t="s">
        <v>1765</v>
      </c>
      <c r="B3856" t="s">
        <v>9463</v>
      </c>
      <c r="C3856" t="s">
        <v>199</v>
      </c>
      <c r="D3856" t="s">
        <v>547</v>
      </c>
      <c r="E3856" t="s">
        <v>9455</v>
      </c>
    </row>
    <row r="3857" spans="1:5" x14ac:dyDescent="0.2">
      <c r="A3857" t="s">
        <v>1766</v>
      </c>
      <c r="B3857" t="s">
        <v>9464</v>
      </c>
      <c r="C3857" t="s">
        <v>199</v>
      </c>
      <c r="D3857" t="s">
        <v>2472</v>
      </c>
      <c r="E3857" t="s">
        <v>9455</v>
      </c>
    </row>
    <row r="3858" spans="1:5" x14ac:dyDescent="0.2">
      <c r="A3858" t="s">
        <v>1767</v>
      </c>
      <c r="B3858" t="s">
        <v>9465</v>
      </c>
      <c r="C3858" t="s">
        <v>199</v>
      </c>
      <c r="D3858" t="s">
        <v>690</v>
      </c>
      <c r="E3858" t="s">
        <v>9455</v>
      </c>
    </row>
    <row r="3859" spans="1:5" x14ac:dyDescent="0.2">
      <c r="A3859" t="s">
        <v>7637</v>
      </c>
      <c r="B3859" t="s">
        <v>7638</v>
      </c>
      <c r="C3859" t="s">
        <v>131</v>
      </c>
      <c r="D3859" t="s">
        <v>845</v>
      </c>
      <c r="E3859" t="s">
        <v>8984</v>
      </c>
    </row>
    <row r="3860" spans="1:5" x14ac:dyDescent="0.2">
      <c r="A3860" t="s">
        <v>7640</v>
      </c>
      <c r="B3860" t="s">
        <v>7641</v>
      </c>
      <c r="C3860" t="s">
        <v>131</v>
      </c>
      <c r="D3860" t="s">
        <v>845</v>
      </c>
      <c r="E3860" t="s">
        <v>8984</v>
      </c>
    </row>
    <row r="3861" spans="1:5" x14ac:dyDescent="0.2">
      <c r="A3861" t="s">
        <v>7642</v>
      </c>
      <c r="B3861" t="s">
        <v>7643</v>
      </c>
      <c r="C3861" t="s">
        <v>219</v>
      </c>
      <c r="D3861" t="s">
        <v>126</v>
      </c>
      <c r="E3861" t="s">
        <v>9466</v>
      </c>
    </row>
    <row r="3862" spans="1:5" x14ac:dyDescent="0.2">
      <c r="A3862" t="s">
        <v>7644</v>
      </c>
      <c r="B3862" t="s">
        <v>7645</v>
      </c>
      <c r="C3862" t="s">
        <v>219</v>
      </c>
      <c r="D3862" t="s">
        <v>126</v>
      </c>
      <c r="E3862" t="s">
        <v>9466</v>
      </c>
    </row>
    <row r="3863" spans="1:5" x14ac:dyDescent="0.2">
      <c r="A3863" t="s">
        <v>7648</v>
      </c>
      <c r="B3863" t="s">
        <v>7649</v>
      </c>
      <c r="C3863" t="s">
        <v>244</v>
      </c>
      <c r="D3863" t="s">
        <v>422</v>
      </c>
      <c r="E3863" t="s">
        <v>9366</v>
      </c>
    </row>
    <row r="3864" spans="1:5" x14ac:dyDescent="0.2">
      <c r="A3864" t="s">
        <v>7646</v>
      </c>
      <c r="B3864" t="s">
        <v>7647</v>
      </c>
      <c r="C3864" t="s">
        <v>244</v>
      </c>
      <c r="D3864" t="s">
        <v>422</v>
      </c>
      <c r="E3864" t="s">
        <v>9366</v>
      </c>
    </row>
    <row r="3865" spans="1:5" x14ac:dyDescent="0.2">
      <c r="A3865" t="s">
        <v>7650</v>
      </c>
      <c r="B3865" t="s">
        <v>7651</v>
      </c>
      <c r="C3865" t="s">
        <v>199</v>
      </c>
      <c r="D3865" t="s">
        <v>358</v>
      </c>
      <c r="E3865" t="s">
        <v>9467</v>
      </c>
    </row>
    <row r="3866" spans="1:5" x14ac:dyDescent="0.2">
      <c r="A3866" t="s">
        <v>7652</v>
      </c>
      <c r="B3866" t="s">
        <v>7653</v>
      </c>
      <c r="C3866" t="s">
        <v>199</v>
      </c>
      <c r="D3866" t="s">
        <v>456</v>
      </c>
      <c r="E3866" t="s">
        <v>9467</v>
      </c>
    </row>
    <row r="3867" spans="1:5" x14ac:dyDescent="0.2">
      <c r="A3867" t="s">
        <v>7654</v>
      </c>
      <c r="B3867" t="s">
        <v>7655</v>
      </c>
      <c r="C3867" t="s">
        <v>199</v>
      </c>
      <c r="D3867" t="s">
        <v>456</v>
      </c>
      <c r="E3867" t="s">
        <v>9467</v>
      </c>
    </row>
    <row r="3868" spans="1:5" x14ac:dyDescent="0.2">
      <c r="A3868" t="s">
        <v>7656</v>
      </c>
      <c r="B3868" t="s">
        <v>7657</v>
      </c>
      <c r="C3868" t="s">
        <v>251</v>
      </c>
      <c r="D3868" t="s">
        <v>126</v>
      </c>
      <c r="E3868" t="s">
        <v>8984</v>
      </c>
    </row>
    <row r="3869" spans="1:5" x14ac:dyDescent="0.2">
      <c r="A3869" t="s">
        <v>7658</v>
      </c>
      <c r="B3869" t="s">
        <v>7659</v>
      </c>
      <c r="C3869" t="s">
        <v>251</v>
      </c>
      <c r="D3869" t="s">
        <v>126</v>
      </c>
      <c r="E3869" t="s">
        <v>8984</v>
      </c>
    </row>
    <row r="3870" spans="1:5" x14ac:dyDescent="0.2">
      <c r="A3870" t="s">
        <v>7660</v>
      </c>
      <c r="B3870" t="s">
        <v>7661</v>
      </c>
      <c r="C3870" t="s">
        <v>227</v>
      </c>
      <c r="D3870" t="s">
        <v>245</v>
      </c>
      <c r="E3870" t="s">
        <v>9467</v>
      </c>
    </row>
    <row r="3871" spans="1:5" x14ac:dyDescent="0.2">
      <c r="A3871" t="s">
        <v>7662</v>
      </c>
      <c r="B3871" t="s">
        <v>7663</v>
      </c>
      <c r="C3871" t="s">
        <v>322</v>
      </c>
      <c r="D3871" t="s">
        <v>539</v>
      </c>
      <c r="E3871" t="s">
        <v>8984</v>
      </c>
    </row>
    <row r="3872" spans="1:5" x14ac:dyDescent="0.2">
      <c r="A3872" t="s">
        <v>7664</v>
      </c>
      <c r="B3872" t="s">
        <v>7665</v>
      </c>
      <c r="C3872" t="s">
        <v>322</v>
      </c>
      <c r="D3872" t="s">
        <v>213</v>
      </c>
      <c r="E3872" t="s">
        <v>8984</v>
      </c>
    </row>
    <row r="3873" spans="1:5" x14ac:dyDescent="0.2">
      <c r="A3873" t="s">
        <v>7666</v>
      </c>
      <c r="B3873" t="s">
        <v>7667</v>
      </c>
      <c r="C3873" t="s">
        <v>244</v>
      </c>
      <c r="D3873" t="s">
        <v>1793</v>
      </c>
      <c r="E3873" t="s">
        <v>8984</v>
      </c>
    </row>
    <row r="3874" spans="1:5" x14ac:dyDescent="0.2">
      <c r="A3874" t="s">
        <v>7668</v>
      </c>
      <c r="B3874" t="s">
        <v>7669</v>
      </c>
      <c r="C3874" t="s">
        <v>244</v>
      </c>
      <c r="D3874" t="s">
        <v>110</v>
      </c>
      <c r="E3874" t="s">
        <v>8984</v>
      </c>
    </row>
    <row r="3875" spans="1:5" x14ac:dyDescent="0.2">
      <c r="A3875" t="s">
        <v>7670</v>
      </c>
      <c r="B3875" t="s">
        <v>7671</v>
      </c>
      <c r="C3875" t="s">
        <v>244</v>
      </c>
      <c r="D3875" t="s">
        <v>110</v>
      </c>
      <c r="E3875" t="s">
        <v>8984</v>
      </c>
    </row>
    <row r="3876" spans="1:5" x14ac:dyDescent="0.2">
      <c r="A3876" t="s">
        <v>7555</v>
      </c>
      <c r="B3876" t="s">
        <v>9468</v>
      </c>
      <c r="C3876" t="s">
        <v>591</v>
      </c>
      <c r="D3876" t="s">
        <v>193</v>
      </c>
      <c r="E3876" t="s">
        <v>7556</v>
      </c>
    </row>
    <row r="3877" spans="1:5" x14ac:dyDescent="0.2">
      <c r="A3877" t="s">
        <v>7672</v>
      </c>
      <c r="B3877" t="s">
        <v>7673</v>
      </c>
      <c r="C3877" t="s">
        <v>399</v>
      </c>
      <c r="D3877" t="s">
        <v>282</v>
      </c>
      <c r="E3877" t="s">
        <v>8984</v>
      </c>
    </row>
    <row r="3878" spans="1:5" x14ac:dyDescent="0.2">
      <c r="A3878" t="s">
        <v>7674</v>
      </c>
      <c r="B3878" t="s">
        <v>7675</v>
      </c>
      <c r="C3878" t="s">
        <v>399</v>
      </c>
      <c r="D3878" t="s">
        <v>2199</v>
      </c>
      <c r="E3878" t="s">
        <v>8984</v>
      </c>
    </row>
    <row r="3879" spans="1:5" x14ac:dyDescent="0.2">
      <c r="A3879" t="s">
        <v>7676</v>
      </c>
      <c r="B3879" t="s">
        <v>7677</v>
      </c>
      <c r="C3879" t="s">
        <v>251</v>
      </c>
      <c r="D3879" t="s">
        <v>213</v>
      </c>
      <c r="E3879" t="s">
        <v>8984</v>
      </c>
    </row>
    <row r="3880" spans="1:5" x14ac:dyDescent="0.2">
      <c r="A3880" t="s">
        <v>7678</v>
      </c>
      <c r="B3880" t="s">
        <v>7679</v>
      </c>
      <c r="C3880" t="s">
        <v>251</v>
      </c>
      <c r="D3880" t="s">
        <v>213</v>
      </c>
      <c r="E3880" t="s">
        <v>8984</v>
      </c>
    </row>
    <row r="3881" spans="1:5" x14ac:dyDescent="0.2">
      <c r="A3881" t="s">
        <v>7680</v>
      </c>
      <c r="B3881" t="s">
        <v>7681</v>
      </c>
      <c r="C3881" t="s">
        <v>104</v>
      </c>
      <c r="D3881" t="s">
        <v>380</v>
      </c>
      <c r="E3881" t="s">
        <v>2571</v>
      </c>
    </row>
    <row r="3882" spans="1:5" x14ac:dyDescent="0.2">
      <c r="A3882" t="s">
        <v>7682</v>
      </c>
      <c r="B3882" t="s">
        <v>7683</v>
      </c>
      <c r="C3882" t="s">
        <v>104</v>
      </c>
      <c r="D3882" t="s">
        <v>380</v>
      </c>
      <c r="E3882" t="s">
        <v>2571</v>
      </c>
    </row>
    <row r="3883" spans="1:5" x14ac:dyDescent="0.2">
      <c r="A3883" t="s">
        <v>7699</v>
      </c>
      <c r="B3883" t="s">
        <v>7700</v>
      </c>
      <c r="C3883" t="s">
        <v>219</v>
      </c>
      <c r="D3883" t="s">
        <v>547</v>
      </c>
      <c r="E3883" t="s">
        <v>2571</v>
      </c>
    </row>
    <row r="3884" spans="1:5" x14ac:dyDescent="0.2">
      <c r="A3884" t="s">
        <v>7684</v>
      </c>
      <c r="B3884" t="s">
        <v>7685</v>
      </c>
      <c r="C3884" t="s">
        <v>421</v>
      </c>
      <c r="D3884" t="s">
        <v>2559</v>
      </c>
      <c r="E3884" t="s">
        <v>8984</v>
      </c>
    </row>
    <row r="3885" spans="1:5" x14ac:dyDescent="0.2">
      <c r="A3885" t="s">
        <v>7686</v>
      </c>
      <c r="B3885" t="s">
        <v>7687</v>
      </c>
      <c r="C3885" t="s">
        <v>421</v>
      </c>
      <c r="D3885" t="s">
        <v>2559</v>
      </c>
      <c r="E3885" t="s">
        <v>8984</v>
      </c>
    </row>
    <row r="3886" spans="1:5" x14ac:dyDescent="0.2">
      <c r="A3886" t="s">
        <v>7688</v>
      </c>
      <c r="B3886" t="s">
        <v>9469</v>
      </c>
      <c r="C3886" t="s">
        <v>219</v>
      </c>
      <c r="D3886" t="s">
        <v>2073</v>
      </c>
      <c r="E3886" t="s">
        <v>8894</v>
      </c>
    </row>
    <row r="3887" spans="1:5" x14ac:dyDescent="0.2">
      <c r="A3887" t="s">
        <v>7690</v>
      </c>
      <c r="B3887" t="s">
        <v>7691</v>
      </c>
      <c r="C3887" t="s">
        <v>131</v>
      </c>
      <c r="D3887" t="s">
        <v>5250</v>
      </c>
      <c r="E3887" t="s">
        <v>563</v>
      </c>
    </row>
    <row r="3888" spans="1:5" x14ac:dyDescent="0.2">
      <c r="A3888" t="s">
        <v>7692</v>
      </c>
      <c r="B3888" t="s">
        <v>7693</v>
      </c>
      <c r="C3888" t="s">
        <v>104</v>
      </c>
      <c r="D3888" t="s">
        <v>336</v>
      </c>
      <c r="E3888" t="s">
        <v>563</v>
      </c>
    </row>
    <row r="3889" spans="1:5" x14ac:dyDescent="0.2">
      <c r="A3889" t="s">
        <v>7694</v>
      </c>
      <c r="B3889" t="s">
        <v>7695</v>
      </c>
      <c r="C3889" t="s">
        <v>104</v>
      </c>
      <c r="D3889" t="s">
        <v>2478</v>
      </c>
      <c r="E3889" t="s">
        <v>563</v>
      </c>
    </row>
    <row r="3890" spans="1:5" x14ac:dyDescent="0.2">
      <c r="A3890" t="s">
        <v>7697</v>
      </c>
      <c r="B3890" t="s">
        <v>7698</v>
      </c>
      <c r="C3890" t="s">
        <v>104</v>
      </c>
      <c r="D3890" t="s">
        <v>2478</v>
      </c>
      <c r="E3890" t="s">
        <v>563</v>
      </c>
    </row>
    <row r="3891" spans="1:5" x14ac:dyDescent="0.2">
      <c r="A3891" t="s">
        <v>7701</v>
      </c>
      <c r="B3891" t="s">
        <v>7702</v>
      </c>
      <c r="C3891" t="s">
        <v>376</v>
      </c>
      <c r="D3891" t="s">
        <v>171</v>
      </c>
      <c r="E3891" t="s">
        <v>8879</v>
      </c>
    </row>
    <row r="3892" spans="1:5" x14ac:dyDescent="0.2">
      <c r="A3892" t="s">
        <v>7703</v>
      </c>
      <c r="B3892" t="s">
        <v>7704</v>
      </c>
      <c r="C3892" t="s">
        <v>322</v>
      </c>
      <c r="D3892" t="s">
        <v>444</v>
      </c>
      <c r="E3892" t="s">
        <v>8879</v>
      </c>
    </row>
    <row r="3893" spans="1:5" x14ac:dyDescent="0.2">
      <c r="A3893" t="s">
        <v>7705</v>
      </c>
      <c r="B3893" t="s">
        <v>7706</v>
      </c>
      <c r="C3893" t="s">
        <v>322</v>
      </c>
      <c r="D3893" t="s">
        <v>480</v>
      </c>
      <c r="E3893" t="s">
        <v>8879</v>
      </c>
    </row>
    <row r="3894" spans="1:5" x14ac:dyDescent="0.2">
      <c r="A3894" t="s">
        <v>7707</v>
      </c>
      <c r="B3894" t="s">
        <v>7708</v>
      </c>
      <c r="C3894" t="s">
        <v>199</v>
      </c>
      <c r="D3894" t="s">
        <v>99</v>
      </c>
      <c r="E3894" t="s">
        <v>8879</v>
      </c>
    </row>
    <row r="3895" spans="1:5" x14ac:dyDescent="0.2">
      <c r="A3895" t="s">
        <v>7709</v>
      </c>
      <c r="B3895" t="s">
        <v>7710</v>
      </c>
      <c r="C3895" t="s">
        <v>219</v>
      </c>
      <c r="D3895" t="s">
        <v>622</v>
      </c>
      <c r="E3895" t="s">
        <v>8879</v>
      </c>
    </row>
    <row r="3896" spans="1:5" x14ac:dyDescent="0.2">
      <c r="A3896" t="s">
        <v>7711</v>
      </c>
      <c r="B3896" t="s">
        <v>7712</v>
      </c>
      <c r="C3896" t="s">
        <v>219</v>
      </c>
      <c r="D3896" t="s">
        <v>368</v>
      </c>
      <c r="E3896" t="s">
        <v>8879</v>
      </c>
    </row>
    <row r="3897" spans="1:5" x14ac:dyDescent="0.2">
      <c r="A3897" t="s">
        <v>7713</v>
      </c>
      <c r="B3897" t="s">
        <v>7714</v>
      </c>
      <c r="C3897" t="s">
        <v>9105</v>
      </c>
      <c r="D3897" t="s">
        <v>171</v>
      </c>
      <c r="E3897" t="s">
        <v>8879</v>
      </c>
    </row>
    <row r="3898" spans="1:5" x14ac:dyDescent="0.2">
      <c r="A3898" t="s">
        <v>7715</v>
      </c>
      <c r="B3898" t="s">
        <v>7716</v>
      </c>
      <c r="C3898" t="s">
        <v>1183</v>
      </c>
      <c r="D3898" t="s">
        <v>200</v>
      </c>
      <c r="E3898" t="s">
        <v>8879</v>
      </c>
    </row>
    <row r="3899" spans="1:5" x14ac:dyDescent="0.2">
      <c r="A3899" t="s">
        <v>7717</v>
      </c>
      <c r="B3899" t="s">
        <v>7718</v>
      </c>
      <c r="C3899" t="s">
        <v>742</v>
      </c>
      <c r="D3899" t="s">
        <v>1458</v>
      </c>
      <c r="E3899" t="s">
        <v>8879</v>
      </c>
    </row>
    <row r="3900" spans="1:5" x14ac:dyDescent="0.2">
      <c r="A3900" t="s">
        <v>7719</v>
      </c>
      <c r="B3900" t="s">
        <v>7720</v>
      </c>
      <c r="C3900" t="s">
        <v>742</v>
      </c>
      <c r="D3900" t="s">
        <v>1458</v>
      </c>
      <c r="E3900" t="s">
        <v>8879</v>
      </c>
    </row>
    <row r="3901" spans="1:5" x14ac:dyDescent="0.2">
      <c r="A3901" t="s">
        <v>7721</v>
      </c>
      <c r="B3901" t="s">
        <v>7722</v>
      </c>
      <c r="C3901" t="s">
        <v>742</v>
      </c>
      <c r="D3901" t="s">
        <v>299</v>
      </c>
      <c r="E3901" t="s">
        <v>8879</v>
      </c>
    </row>
    <row r="3902" spans="1:5" x14ac:dyDescent="0.2">
      <c r="A3902" t="s">
        <v>7723</v>
      </c>
      <c r="B3902" t="s">
        <v>7724</v>
      </c>
      <c r="C3902" t="s">
        <v>399</v>
      </c>
      <c r="D3902" t="s">
        <v>444</v>
      </c>
      <c r="E3902" t="s">
        <v>8879</v>
      </c>
    </row>
    <row r="3903" spans="1:5" x14ac:dyDescent="0.2">
      <c r="A3903" t="s">
        <v>7725</v>
      </c>
      <c r="B3903" t="s">
        <v>7726</v>
      </c>
      <c r="C3903" t="s">
        <v>399</v>
      </c>
      <c r="D3903" t="s">
        <v>444</v>
      </c>
      <c r="E3903" t="s">
        <v>8879</v>
      </c>
    </row>
    <row r="3904" spans="1:5" x14ac:dyDescent="0.2">
      <c r="A3904" t="s">
        <v>7727</v>
      </c>
      <c r="B3904" t="s">
        <v>7728</v>
      </c>
      <c r="C3904" t="s">
        <v>399</v>
      </c>
      <c r="D3904" t="s">
        <v>480</v>
      </c>
      <c r="E3904" t="s">
        <v>8879</v>
      </c>
    </row>
    <row r="3905" spans="1:5" x14ac:dyDescent="0.2">
      <c r="A3905" t="s">
        <v>7729</v>
      </c>
      <c r="B3905" t="s">
        <v>7730</v>
      </c>
      <c r="C3905" t="s">
        <v>399</v>
      </c>
      <c r="D3905" t="s">
        <v>444</v>
      </c>
      <c r="E3905" t="s">
        <v>8879</v>
      </c>
    </row>
    <row r="3906" spans="1:5" x14ac:dyDescent="0.2">
      <c r="A3906" t="s">
        <v>7731</v>
      </c>
      <c r="B3906" t="s">
        <v>7732</v>
      </c>
      <c r="C3906" t="s">
        <v>522</v>
      </c>
      <c r="D3906" t="s">
        <v>690</v>
      </c>
      <c r="E3906" t="s">
        <v>8879</v>
      </c>
    </row>
    <row r="3907" spans="1:5" x14ac:dyDescent="0.2">
      <c r="A3907" t="s">
        <v>7733</v>
      </c>
      <c r="B3907" t="s">
        <v>7734</v>
      </c>
      <c r="C3907" t="s">
        <v>104</v>
      </c>
      <c r="D3907" t="s">
        <v>813</v>
      </c>
      <c r="E3907" t="s">
        <v>9148</v>
      </c>
    </row>
    <row r="3908" spans="1:5" x14ac:dyDescent="0.2">
      <c r="A3908" t="s">
        <v>7735</v>
      </c>
      <c r="B3908" t="s">
        <v>7736</v>
      </c>
      <c r="C3908" t="s">
        <v>104</v>
      </c>
      <c r="D3908" t="s">
        <v>813</v>
      </c>
      <c r="E3908" t="s">
        <v>9148</v>
      </c>
    </row>
    <row r="3909" spans="1:5" x14ac:dyDescent="0.2">
      <c r="A3909" t="s">
        <v>7737</v>
      </c>
      <c r="B3909" t="s">
        <v>7738</v>
      </c>
      <c r="C3909" t="s">
        <v>120</v>
      </c>
      <c r="D3909" t="s">
        <v>560</v>
      </c>
      <c r="E3909" t="s">
        <v>9148</v>
      </c>
    </row>
    <row r="3910" spans="1:5" x14ac:dyDescent="0.2">
      <c r="A3910" t="s">
        <v>7739</v>
      </c>
      <c r="B3910" t="s">
        <v>7740</v>
      </c>
      <c r="C3910" t="s">
        <v>104</v>
      </c>
      <c r="D3910" t="s">
        <v>380</v>
      </c>
      <c r="E3910" t="s">
        <v>9148</v>
      </c>
    </row>
    <row r="3911" spans="1:5" x14ac:dyDescent="0.2">
      <c r="A3911" t="s">
        <v>7741</v>
      </c>
      <c r="B3911" t="s">
        <v>7742</v>
      </c>
      <c r="C3911" t="s">
        <v>104</v>
      </c>
      <c r="D3911" t="s">
        <v>489</v>
      </c>
      <c r="E3911" t="s">
        <v>9148</v>
      </c>
    </row>
    <row r="3912" spans="1:5" x14ac:dyDescent="0.2">
      <c r="A3912" t="s">
        <v>7743</v>
      </c>
      <c r="B3912" t="s">
        <v>7744</v>
      </c>
      <c r="C3912" t="s">
        <v>131</v>
      </c>
      <c r="D3912" t="s">
        <v>991</v>
      </c>
      <c r="E3912" t="s">
        <v>9148</v>
      </c>
    </row>
    <row r="3913" spans="1:5" x14ac:dyDescent="0.2">
      <c r="A3913" t="s">
        <v>7745</v>
      </c>
      <c r="B3913" t="s">
        <v>7746</v>
      </c>
      <c r="C3913" t="s">
        <v>131</v>
      </c>
      <c r="D3913" t="s">
        <v>690</v>
      </c>
      <c r="E3913" t="s">
        <v>9148</v>
      </c>
    </row>
    <row r="3914" spans="1:5" x14ac:dyDescent="0.2">
      <c r="A3914" t="s">
        <v>7747</v>
      </c>
      <c r="B3914" t="s">
        <v>7748</v>
      </c>
      <c r="C3914" t="s">
        <v>92</v>
      </c>
      <c r="D3914" t="s">
        <v>1772</v>
      </c>
      <c r="E3914" t="s">
        <v>9148</v>
      </c>
    </row>
    <row r="3915" spans="1:5" x14ac:dyDescent="0.2">
      <c r="A3915" t="s">
        <v>7749</v>
      </c>
      <c r="B3915" t="s">
        <v>7750</v>
      </c>
      <c r="C3915" t="s">
        <v>421</v>
      </c>
      <c r="D3915" t="s">
        <v>400</v>
      </c>
      <c r="E3915" t="s">
        <v>806</v>
      </c>
    </row>
    <row r="3916" spans="1:5" x14ac:dyDescent="0.2">
      <c r="A3916" t="s">
        <v>7751</v>
      </c>
      <c r="B3916" t="s">
        <v>7752</v>
      </c>
      <c r="C3916" t="s">
        <v>421</v>
      </c>
      <c r="D3916" t="s">
        <v>400</v>
      </c>
      <c r="E3916" t="s">
        <v>806</v>
      </c>
    </row>
    <row r="3917" spans="1:5" x14ac:dyDescent="0.2">
      <c r="A3917" t="s">
        <v>7753</v>
      </c>
      <c r="B3917" t="s">
        <v>7754</v>
      </c>
      <c r="C3917" t="s">
        <v>421</v>
      </c>
      <c r="D3917" t="s">
        <v>710</v>
      </c>
      <c r="E3917" t="s">
        <v>806</v>
      </c>
    </row>
    <row r="3918" spans="1:5" x14ac:dyDescent="0.2">
      <c r="A3918" t="s">
        <v>7755</v>
      </c>
      <c r="B3918" t="s">
        <v>7756</v>
      </c>
      <c r="C3918" t="s">
        <v>421</v>
      </c>
      <c r="D3918" t="s">
        <v>710</v>
      </c>
      <c r="E3918" t="s">
        <v>806</v>
      </c>
    </row>
    <row r="3919" spans="1:5" x14ac:dyDescent="0.2">
      <c r="A3919" t="s">
        <v>7757</v>
      </c>
      <c r="B3919" t="s">
        <v>7758</v>
      </c>
      <c r="C3919" t="s">
        <v>251</v>
      </c>
      <c r="D3919" t="s">
        <v>456</v>
      </c>
      <c r="E3919" t="s">
        <v>806</v>
      </c>
    </row>
    <row r="3920" spans="1:5" x14ac:dyDescent="0.2">
      <c r="A3920" t="s">
        <v>7759</v>
      </c>
      <c r="B3920" t="s">
        <v>7760</v>
      </c>
      <c r="C3920" t="s">
        <v>251</v>
      </c>
      <c r="D3920" t="s">
        <v>456</v>
      </c>
      <c r="E3920" t="s">
        <v>806</v>
      </c>
    </row>
    <row r="3921" spans="1:5" x14ac:dyDescent="0.2">
      <c r="A3921" t="s">
        <v>7761</v>
      </c>
      <c r="B3921" t="s">
        <v>7762</v>
      </c>
      <c r="C3921" t="s">
        <v>251</v>
      </c>
      <c r="D3921" t="s">
        <v>254</v>
      </c>
      <c r="E3921" t="s">
        <v>806</v>
      </c>
    </row>
    <row r="3922" spans="1:5" x14ac:dyDescent="0.2">
      <c r="A3922" t="s">
        <v>7763</v>
      </c>
      <c r="B3922" t="s">
        <v>7764</v>
      </c>
      <c r="C3922" t="s">
        <v>251</v>
      </c>
      <c r="D3922" t="s">
        <v>254</v>
      </c>
      <c r="E3922" t="s">
        <v>806</v>
      </c>
    </row>
    <row r="3923" spans="1:5" x14ac:dyDescent="0.2">
      <c r="A3923" t="s">
        <v>7765</v>
      </c>
      <c r="B3923" t="s">
        <v>7766</v>
      </c>
      <c r="C3923" t="s">
        <v>9105</v>
      </c>
      <c r="D3923" t="s">
        <v>335</v>
      </c>
      <c r="E3923" t="s">
        <v>8894</v>
      </c>
    </row>
    <row r="3924" spans="1:5" x14ac:dyDescent="0.2">
      <c r="A3924" t="s">
        <v>7767</v>
      </c>
      <c r="B3924" t="s">
        <v>7768</v>
      </c>
      <c r="C3924" t="s">
        <v>9105</v>
      </c>
      <c r="D3924" t="s">
        <v>783</v>
      </c>
      <c r="E3924" t="s">
        <v>8894</v>
      </c>
    </row>
    <row r="3925" spans="1:5" x14ac:dyDescent="0.2">
      <c r="A3925" t="s">
        <v>7778</v>
      </c>
      <c r="B3925" t="s">
        <v>7779</v>
      </c>
      <c r="C3925" t="s">
        <v>227</v>
      </c>
      <c r="D3925" t="s">
        <v>296</v>
      </c>
      <c r="E3925" t="s">
        <v>563</v>
      </c>
    </row>
    <row r="3926" spans="1:5" x14ac:dyDescent="0.2">
      <c r="A3926" t="s">
        <v>7780</v>
      </c>
      <c r="B3926" t="s">
        <v>7781</v>
      </c>
      <c r="C3926" t="s">
        <v>227</v>
      </c>
      <c r="D3926" t="s">
        <v>299</v>
      </c>
      <c r="E3926" t="s">
        <v>563</v>
      </c>
    </row>
    <row r="3927" spans="1:5" x14ac:dyDescent="0.2">
      <c r="A3927" t="s">
        <v>7769</v>
      </c>
      <c r="B3927" t="s">
        <v>7770</v>
      </c>
      <c r="C3927" t="s">
        <v>421</v>
      </c>
      <c r="D3927" t="s">
        <v>383</v>
      </c>
      <c r="E3927" t="s">
        <v>8984</v>
      </c>
    </row>
    <row r="3928" spans="1:5" x14ac:dyDescent="0.2">
      <c r="A3928" t="s">
        <v>7771</v>
      </c>
      <c r="B3928" t="s">
        <v>7772</v>
      </c>
      <c r="C3928" t="s">
        <v>421</v>
      </c>
      <c r="D3928" t="s">
        <v>383</v>
      </c>
      <c r="E3928" t="s">
        <v>8984</v>
      </c>
    </row>
    <row r="3929" spans="1:5" x14ac:dyDescent="0.2">
      <c r="A3929" t="s">
        <v>7773</v>
      </c>
      <c r="B3929" t="s">
        <v>7774</v>
      </c>
      <c r="C3929" t="s">
        <v>251</v>
      </c>
      <c r="D3929" t="s">
        <v>690</v>
      </c>
      <c r="E3929" t="s">
        <v>8984</v>
      </c>
    </row>
    <row r="3930" spans="1:5" x14ac:dyDescent="0.2">
      <c r="A3930" t="s">
        <v>7775</v>
      </c>
      <c r="B3930" t="s">
        <v>7776</v>
      </c>
      <c r="C3930" t="s">
        <v>212</v>
      </c>
      <c r="D3930" t="s">
        <v>473</v>
      </c>
      <c r="E3930" t="s">
        <v>8984</v>
      </c>
    </row>
    <row r="3931" spans="1:5" x14ac:dyDescent="0.2">
      <c r="A3931" t="s">
        <v>7777</v>
      </c>
      <c r="B3931" t="s">
        <v>9470</v>
      </c>
      <c r="C3931" t="s">
        <v>212</v>
      </c>
      <c r="D3931" t="s">
        <v>473</v>
      </c>
      <c r="E3931" t="s">
        <v>8984</v>
      </c>
    </row>
    <row r="3932" spans="1:5" x14ac:dyDescent="0.2">
      <c r="A3932" t="s">
        <v>7790</v>
      </c>
      <c r="B3932" t="s">
        <v>7791</v>
      </c>
      <c r="C3932" t="s">
        <v>131</v>
      </c>
      <c r="D3932" t="s">
        <v>1070</v>
      </c>
      <c r="E3932" t="s">
        <v>9384</v>
      </c>
    </row>
    <row r="3933" spans="1:5" x14ac:dyDescent="0.2">
      <c r="A3933" t="s">
        <v>7792</v>
      </c>
      <c r="B3933" t="s">
        <v>7793</v>
      </c>
      <c r="C3933" t="s">
        <v>131</v>
      </c>
      <c r="D3933" t="s">
        <v>1070</v>
      </c>
      <c r="E3933" t="s">
        <v>9384</v>
      </c>
    </row>
    <row r="3934" spans="1:5" x14ac:dyDescent="0.2">
      <c r="A3934" t="s">
        <v>7794</v>
      </c>
      <c r="B3934" t="s">
        <v>7795</v>
      </c>
      <c r="C3934" t="s">
        <v>120</v>
      </c>
      <c r="D3934" t="s">
        <v>207</v>
      </c>
      <c r="E3934" t="s">
        <v>9471</v>
      </c>
    </row>
    <row r="3935" spans="1:5" x14ac:dyDescent="0.2">
      <c r="A3935" t="s">
        <v>7796</v>
      </c>
      <c r="B3935" t="s">
        <v>7797</v>
      </c>
      <c r="C3935" t="s">
        <v>120</v>
      </c>
      <c r="D3935" t="s">
        <v>207</v>
      </c>
      <c r="E3935" t="s">
        <v>9471</v>
      </c>
    </row>
    <row r="3936" spans="1:5" x14ac:dyDescent="0.2">
      <c r="A3936" t="s">
        <v>7798</v>
      </c>
      <c r="B3936" t="s">
        <v>7799</v>
      </c>
      <c r="C3936" t="s">
        <v>131</v>
      </c>
      <c r="D3936" t="s">
        <v>263</v>
      </c>
      <c r="E3936" t="s">
        <v>9384</v>
      </c>
    </row>
    <row r="3937" spans="1:5" x14ac:dyDescent="0.2">
      <c r="A3937" t="s">
        <v>7800</v>
      </c>
      <c r="B3937" t="s">
        <v>7801</v>
      </c>
      <c r="C3937" t="s">
        <v>131</v>
      </c>
      <c r="D3937" t="s">
        <v>263</v>
      </c>
      <c r="E3937" t="s">
        <v>9384</v>
      </c>
    </row>
    <row r="3938" spans="1:5" x14ac:dyDescent="0.2">
      <c r="A3938" t="s">
        <v>7802</v>
      </c>
      <c r="B3938" t="s">
        <v>7803</v>
      </c>
      <c r="C3938" t="s">
        <v>227</v>
      </c>
      <c r="D3938" t="s">
        <v>99</v>
      </c>
      <c r="E3938" t="s">
        <v>9467</v>
      </c>
    </row>
    <row r="3939" spans="1:5" x14ac:dyDescent="0.2">
      <c r="A3939" t="s">
        <v>7804</v>
      </c>
      <c r="B3939" t="s">
        <v>7805</v>
      </c>
      <c r="C3939" t="s">
        <v>92</v>
      </c>
      <c r="D3939" t="s">
        <v>301</v>
      </c>
      <c r="E3939" t="s">
        <v>9467</v>
      </c>
    </row>
    <row r="3940" spans="1:5" x14ac:dyDescent="0.2">
      <c r="A3940" t="s">
        <v>7806</v>
      </c>
      <c r="B3940" t="s">
        <v>7807</v>
      </c>
      <c r="C3940" t="s">
        <v>251</v>
      </c>
      <c r="D3940" t="s">
        <v>99</v>
      </c>
      <c r="E3940" t="s">
        <v>9467</v>
      </c>
    </row>
    <row r="3941" spans="1:5" x14ac:dyDescent="0.2">
      <c r="A3941" t="s">
        <v>7808</v>
      </c>
      <c r="B3941" t="s">
        <v>7809</v>
      </c>
      <c r="C3941" t="s">
        <v>251</v>
      </c>
      <c r="D3941" t="s">
        <v>99</v>
      </c>
      <c r="E3941" t="s">
        <v>9467</v>
      </c>
    </row>
    <row r="3942" spans="1:5" x14ac:dyDescent="0.2">
      <c r="A3942" t="s">
        <v>7810</v>
      </c>
      <c r="B3942" t="s">
        <v>7811</v>
      </c>
      <c r="C3942" t="s">
        <v>219</v>
      </c>
      <c r="D3942" t="s">
        <v>290</v>
      </c>
      <c r="E3942" t="s">
        <v>9384</v>
      </c>
    </row>
    <row r="3943" spans="1:5" x14ac:dyDescent="0.2">
      <c r="A3943" t="s">
        <v>7812</v>
      </c>
      <c r="B3943" t="s">
        <v>7813</v>
      </c>
      <c r="C3943" t="s">
        <v>199</v>
      </c>
      <c r="D3943" t="s">
        <v>386</v>
      </c>
      <c r="E3943" t="s">
        <v>9472</v>
      </c>
    </row>
    <row r="3944" spans="1:5" x14ac:dyDescent="0.2">
      <c r="A3944" t="s">
        <v>7814</v>
      </c>
      <c r="B3944" t="s">
        <v>7815</v>
      </c>
      <c r="C3944" t="s">
        <v>199</v>
      </c>
      <c r="D3944" t="s">
        <v>386</v>
      </c>
      <c r="E3944" t="s">
        <v>9472</v>
      </c>
    </row>
    <row r="3945" spans="1:5" x14ac:dyDescent="0.2">
      <c r="A3945" t="s">
        <v>7816</v>
      </c>
      <c r="B3945" t="s">
        <v>7817</v>
      </c>
      <c r="C3945" t="s">
        <v>199</v>
      </c>
      <c r="D3945" t="s">
        <v>611</v>
      </c>
      <c r="E3945" t="s">
        <v>9472</v>
      </c>
    </row>
    <row r="3946" spans="1:5" x14ac:dyDescent="0.2">
      <c r="A3946" t="s">
        <v>7818</v>
      </c>
      <c r="B3946" t="s">
        <v>7819</v>
      </c>
      <c r="C3946" t="s">
        <v>92</v>
      </c>
      <c r="D3946" t="s">
        <v>263</v>
      </c>
      <c r="E3946" t="s">
        <v>9384</v>
      </c>
    </row>
    <row r="3947" spans="1:5" x14ac:dyDescent="0.2">
      <c r="A3947" t="s">
        <v>7820</v>
      </c>
      <c r="B3947" t="s">
        <v>7821</v>
      </c>
      <c r="C3947" t="s">
        <v>92</v>
      </c>
      <c r="D3947" t="s">
        <v>263</v>
      </c>
      <c r="E3947" t="s">
        <v>9384</v>
      </c>
    </row>
    <row r="3948" spans="1:5" x14ac:dyDescent="0.2">
      <c r="A3948" t="s">
        <v>7822</v>
      </c>
      <c r="B3948" t="s">
        <v>7823</v>
      </c>
      <c r="C3948" t="s">
        <v>131</v>
      </c>
      <c r="D3948" t="s">
        <v>1070</v>
      </c>
      <c r="E3948" t="s">
        <v>6284</v>
      </c>
    </row>
    <row r="3949" spans="1:5" x14ac:dyDescent="0.2">
      <c r="A3949" t="s">
        <v>7824</v>
      </c>
      <c r="B3949" t="s">
        <v>7825</v>
      </c>
      <c r="C3949" t="s">
        <v>131</v>
      </c>
      <c r="D3949" t="s">
        <v>1070</v>
      </c>
      <c r="E3949" t="s">
        <v>6284</v>
      </c>
    </row>
    <row r="3950" spans="1:5" x14ac:dyDescent="0.2">
      <c r="A3950" t="s">
        <v>7826</v>
      </c>
      <c r="B3950" t="s">
        <v>7827</v>
      </c>
      <c r="C3950" t="s">
        <v>421</v>
      </c>
      <c r="D3950" t="s">
        <v>2199</v>
      </c>
      <c r="E3950" t="s">
        <v>9473</v>
      </c>
    </row>
    <row r="3951" spans="1:5" x14ac:dyDescent="0.2">
      <c r="A3951" t="s">
        <v>7828</v>
      </c>
      <c r="B3951" t="s">
        <v>7829</v>
      </c>
      <c r="C3951" t="s">
        <v>421</v>
      </c>
      <c r="D3951" t="s">
        <v>2199</v>
      </c>
      <c r="E3951" t="s">
        <v>9473</v>
      </c>
    </row>
    <row r="3952" spans="1:5" x14ac:dyDescent="0.2">
      <c r="A3952" t="s">
        <v>7830</v>
      </c>
      <c r="B3952" t="s">
        <v>7831</v>
      </c>
      <c r="C3952" t="s">
        <v>199</v>
      </c>
      <c r="D3952" t="s">
        <v>822</v>
      </c>
      <c r="E3952" t="s">
        <v>9473</v>
      </c>
    </row>
    <row r="3953" spans="1:5" x14ac:dyDescent="0.2">
      <c r="A3953" t="s">
        <v>7832</v>
      </c>
      <c r="B3953" t="s">
        <v>7833</v>
      </c>
      <c r="C3953" t="s">
        <v>199</v>
      </c>
      <c r="D3953" t="s">
        <v>822</v>
      </c>
      <c r="E3953" t="s">
        <v>9473</v>
      </c>
    </row>
    <row r="3954" spans="1:5" x14ac:dyDescent="0.2">
      <c r="A3954" t="s">
        <v>7834</v>
      </c>
      <c r="B3954" t="s">
        <v>7835</v>
      </c>
      <c r="C3954" t="s">
        <v>399</v>
      </c>
      <c r="D3954" t="s">
        <v>400</v>
      </c>
      <c r="E3954" t="s">
        <v>9148</v>
      </c>
    </row>
    <row r="3955" spans="1:5" x14ac:dyDescent="0.2">
      <c r="A3955" t="s">
        <v>7837</v>
      </c>
      <c r="B3955" t="s">
        <v>7838</v>
      </c>
      <c r="C3955" t="s">
        <v>399</v>
      </c>
      <c r="D3955" t="s">
        <v>1493</v>
      </c>
      <c r="E3955" t="s">
        <v>9148</v>
      </c>
    </row>
    <row r="3956" spans="1:5" x14ac:dyDescent="0.2">
      <c r="A3956" t="s">
        <v>7839</v>
      </c>
      <c r="B3956" t="s">
        <v>7840</v>
      </c>
      <c r="C3956" t="s">
        <v>399</v>
      </c>
      <c r="D3956" t="s">
        <v>1319</v>
      </c>
      <c r="E3956" t="s">
        <v>4845</v>
      </c>
    </row>
    <row r="3957" spans="1:5" x14ac:dyDescent="0.2">
      <c r="A3957" t="s">
        <v>7841</v>
      </c>
      <c r="B3957" t="s">
        <v>7842</v>
      </c>
      <c r="C3957" t="s">
        <v>399</v>
      </c>
      <c r="D3957" t="s">
        <v>1319</v>
      </c>
      <c r="E3957" t="s">
        <v>9043</v>
      </c>
    </row>
    <row r="3958" spans="1:5" x14ac:dyDescent="0.2">
      <c r="A3958" t="s">
        <v>7844</v>
      </c>
      <c r="B3958" t="s">
        <v>7845</v>
      </c>
      <c r="C3958" t="s">
        <v>399</v>
      </c>
      <c r="D3958" t="s">
        <v>380</v>
      </c>
      <c r="E3958" t="s">
        <v>9474</v>
      </c>
    </row>
    <row r="3959" spans="1:5" x14ac:dyDescent="0.2">
      <c r="A3959" t="s">
        <v>7846</v>
      </c>
      <c r="B3959" t="s">
        <v>7847</v>
      </c>
      <c r="C3959" t="s">
        <v>399</v>
      </c>
      <c r="D3959" t="s">
        <v>150</v>
      </c>
      <c r="E3959" t="s">
        <v>9043</v>
      </c>
    </row>
    <row r="3960" spans="1:5" x14ac:dyDescent="0.2">
      <c r="A3960" t="s">
        <v>7848</v>
      </c>
      <c r="B3960" t="s">
        <v>7849</v>
      </c>
      <c r="C3960" t="s">
        <v>399</v>
      </c>
      <c r="D3960" t="s">
        <v>150</v>
      </c>
      <c r="E3960" t="s">
        <v>9043</v>
      </c>
    </row>
    <row r="3961" spans="1:5" x14ac:dyDescent="0.2">
      <c r="A3961" t="s">
        <v>7850</v>
      </c>
      <c r="B3961" t="s">
        <v>7851</v>
      </c>
      <c r="C3961" t="s">
        <v>399</v>
      </c>
      <c r="D3961" t="s">
        <v>444</v>
      </c>
      <c r="E3961" t="s">
        <v>9474</v>
      </c>
    </row>
    <row r="3962" spans="1:5" x14ac:dyDescent="0.2">
      <c r="A3962" t="s">
        <v>7852</v>
      </c>
      <c r="B3962" t="s">
        <v>7853</v>
      </c>
      <c r="C3962" t="s">
        <v>399</v>
      </c>
      <c r="D3962" t="s">
        <v>444</v>
      </c>
      <c r="E3962" t="s">
        <v>9474</v>
      </c>
    </row>
    <row r="3963" spans="1:5" x14ac:dyDescent="0.2">
      <c r="A3963" t="s">
        <v>7855</v>
      </c>
      <c r="B3963" t="s">
        <v>7856</v>
      </c>
      <c r="C3963" t="s">
        <v>522</v>
      </c>
      <c r="D3963" t="s">
        <v>380</v>
      </c>
      <c r="E3963" t="s">
        <v>9474</v>
      </c>
    </row>
    <row r="3964" spans="1:5" x14ac:dyDescent="0.2">
      <c r="A3964" t="s">
        <v>7857</v>
      </c>
      <c r="B3964" t="s">
        <v>7858</v>
      </c>
      <c r="C3964" t="s">
        <v>522</v>
      </c>
      <c r="D3964" t="s">
        <v>389</v>
      </c>
      <c r="E3964" t="s">
        <v>9474</v>
      </c>
    </row>
    <row r="3965" spans="1:5" x14ac:dyDescent="0.2">
      <c r="A3965" t="s">
        <v>7859</v>
      </c>
      <c r="B3965" t="s">
        <v>7860</v>
      </c>
      <c r="C3965" t="s">
        <v>522</v>
      </c>
      <c r="D3965" t="s">
        <v>389</v>
      </c>
      <c r="E3965" t="s">
        <v>9474</v>
      </c>
    </row>
    <row r="3966" spans="1:5" x14ac:dyDescent="0.2">
      <c r="A3966" t="s">
        <v>7861</v>
      </c>
      <c r="B3966" t="s">
        <v>7862</v>
      </c>
      <c r="C3966" t="s">
        <v>522</v>
      </c>
      <c r="D3966" t="s">
        <v>604</v>
      </c>
      <c r="E3966" t="s">
        <v>9474</v>
      </c>
    </row>
    <row r="3967" spans="1:5" x14ac:dyDescent="0.2">
      <c r="A3967" t="s">
        <v>7863</v>
      </c>
      <c r="B3967" t="s">
        <v>7864</v>
      </c>
      <c r="C3967" t="s">
        <v>522</v>
      </c>
      <c r="D3967" t="s">
        <v>604</v>
      </c>
      <c r="E3967" t="s">
        <v>9474</v>
      </c>
    </row>
    <row r="3968" spans="1:5" x14ac:dyDescent="0.2">
      <c r="A3968" t="s">
        <v>7865</v>
      </c>
      <c r="B3968" t="s">
        <v>7866</v>
      </c>
      <c r="C3968" t="s">
        <v>399</v>
      </c>
      <c r="D3968" t="s">
        <v>444</v>
      </c>
      <c r="E3968" t="s">
        <v>9474</v>
      </c>
    </row>
    <row r="3969" spans="1:5" x14ac:dyDescent="0.2">
      <c r="A3969" t="s">
        <v>7867</v>
      </c>
      <c r="B3969" t="s">
        <v>7868</v>
      </c>
      <c r="C3969" t="s">
        <v>399</v>
      </c>
      <c r="D3969" t="s">
        <v>444</v>
      </c>
      <c r="E3969" t="s">
        <v>9474</v>
      </c>
    </row>
    <row r="3970" spans="1:5" x14ac:dyDescent="0.2">
      <c r="A3970" t="s">
        <v>7869</v>
      </c>
      <c r="B3970" t="s">
        <v>7870</v>
      </c>
      <c r="C3970" t="s">
        <v>376</v>
      </c>
      <c r="D3970" t="s">
        <v>845</v>
      </c>
      <c r="E3970" t="s">
        <v>9474</v>
      </c>
    </row>
    <row r="3971" spans="1:5" x14ac:dyDescent="0.2">
      <c r="A3971" t="s">
        <v>7871</v>
      </c>
      <c r="B3971" t="s">
        <v>7872</v>
      </c>
      <c r="C3971" t="s">
        <v>376</v>
      </c>
      <c r="D3971" t="s">
        <v>296</v>
      </c>
      <c r="E3971" t="s">
        <v>9474</v>
      </c>
    </row>
    <row r="3972" spans="1:5" x14ac:dyDescent="0.2">
      <c r="A3972" t="s">
        <v>7873</v>
      </c>
      <c r="B3972" t="s">
        <v>7874</v>
      </c>
      <c r="C3972" t="s">
        <v>376</v>
      </c>
      <c r="D3972" t="s">
        <v>224</v>
      </c>
      <c r="E3972" t="s">
        <v>9474</v>
      </c>
    </row>
    <row r="3973" spans="1:5" x14ac:dyDescent="0.2">
      <c r="A3973" t="s">
        <v>7875</v>
      </c>
      <c r="B3973" t="s">
        <v>7876</v>
      </c>
      <c r="C3973" t="s">
        <v>318</v>
      </c>
      <c r="D3973" t="s">
        <v>1566</v>
      </c>
      <c r="E3973" t="s">
        <v>9148</v>
      </c>
    </row>
    <row r="3974" spans="1:5" x14ac:dyDescent="0.2">
      <c r="A3974" t="s">
        <v>7877</v>
      </c>
      <c r="B3974" t="s">
        <v>7878</v>
      </c>
      <c r="C3974" t="s">
        <v>318</v>
      </c>
      <c r="D3974" t="s">
        <v>171</v>
      </c>
      <c r="E3974" t="s">
        <v>9148</v>
      </c>
    </row>
    <row r="3975" spans="1:5" x14ac:dyDescent="0.2">
      <c r="A3975" t="s">
        <v>7879</v>
      </c>
      <c r="B3975" t="s">
        <v>7880</v>
      </c>
      <c r="C3975" t="s">
        <v>705</v>
      </c>
      <c r="D3975" t="s">
        <v>99</v>
      </c>
      <c r="E3975" t="s">
        <v>9474</v>
      </c>
    </row>
    <row r="3976" spans="1:5" x14ac:dyDescent="0.2">
      <c r="A3976" t="s">
        <v>7881</v>
      </c>
      <c r="B3976" t="s">
        <v>7882</v>
      </c>
      <c r="C3976" t="s">
        <v>705</v>
      </c>
      <c r="D3976" t="s">
        <v>99</v>
      </c>
      <c r="E3976" t="s">
        <v>9474</v>
      </c>
    </row>
    <row r="3977" spans="1:5" x14ac:dyDescent="0.2">
      <c r="A3977" t="s">
        <v>7883</v>
      </c>
      <c r="B3977" t="s">
        <v>7884</v>
      </c>
      <c r="C3977" t="s">
        <v>199</v>
      </c>
      <c r="D3977" t="s">
        <v>525</v>
      </c>
      <c r="E3977" t="s">
        <v>9475</v>
      </c>
    </row>
    <row r="3978" spans="1:5" x14ac:dyDescent="0.2">
      <c r="A3978" t="s">
        <v>7885</v>
      </c>
      <c r="B3978" t="s">
        <v>7886</v>
      </c>
      <c r="C3978" t="s">
        <v>199</v>
      </c>
      <c r="D3978" t="s">
        <v>171</v>
      </c>
      <c r="E3978" t="s">
        <v>9475</v>
      </c>
    </row>
    <row r="3979" spans="1:5" x14ac:dyDescent="0.2">
      <c r="A3979" t="s">
        <v>7887</v>
      </c>
      <c r="B3979" t="s">
        <v>7888</v>
      </c>
      <c r="C3979" t="s">
        <v>199</v>
      </c>
      <c r="D3979" t="s">
        <v>171</v>
      </c>
      <c r="E3979" t="s">
        <v>9475</v>
      </c>
    </row>
    <row r="3980" spans="1:5" x14ac:dyDescent="0.2">
      <c r="A3980" t="s">
        <v>7889</v>
      </c>
      <c r="B3980" t="s">
        <v>7890</v>
      </c>
      <c r="C3980" t="s">
        <v>2833</v>
      </c>
      <c r="D3980" t="s">
        <v>1058</v>
      </c>
      <c r="E3980" t="s">
        <v>9474</v>
      </c>
    </row>
    <row r="3981" spans="1:5" x14ac:dyDescent="0.2">
      <c r="A3981" t="s">
        <v>7891</v>
      </c>
      <c r="B3981" t="s">
        <v>7892</v>
      </c>
      <c r="C3981" t="s">
        <v>2833</v>
      </c>
      <c r="D3981" t="s">
        <v>1058</v>
      </c>
      <c r="E3981" t="s">
        <v>9474</v>
      </c>
    </row>
    <row r="3982" spans="1:5" x14ac:dyDescent="0.2">
      <c r="A3982" t="s">
        <v>7893</v>
      </c>
      <c r="B3982" t="s">
        <v>7894</v>
      </c>
      <c r="C3982" t="s">
        <v>2833</v>
      </c>
      <c r="D3982" t="s">
        <v>1058</v>
      </c>
      <c r="E3982" t="s">
        <v>9474</v>
      </c>
    </row>
    <row r="3983" spans="1:5" x14ac:dyDescent="0.2">
      <c r="A3983" t="s">
        <v>7895</v>
      </c>
      <c r="B3983" t="s">
        <v>7896</v>
      </c>
      <c r="C3983" t="s">
        <v>2833</v>
      </c>
      <c r="D3983" t="s">
        <v>213</v>
      </c>
      <c r="E3983" t="s">
        <v>9474</v>
      </c>
    </row>
    <row r="3984" spans="1:5" x14ac:dyDescent="0.2">
      <c r="A3984" t="s">
        <v>7897</v>
      </c>
      <c r="B3984" t="s">
        <v>7898</v>
      </c>
      <c r="C3984" t="s">
        <v>2833</v>
      </c>
      <c r="D3984" t="s">
        <v>213</v>
      </c>
      <c r="E3984" t="s">
        <v>9474</v>
      </c>
    </row>
    <row r="3985" spans="1:5" x14ac:dyDescent="0.2">
      <c r="A3985" t="s">
        <v>7899</v>
      </c>
      <c r="B3985" t="s">
        <v>7900</v>
      </c>
      <c r="C3985" t="s">
        <v>2833</v>
      </c>
      <c r="D3985" t="s">
        <v>213</v>
      </c>
      <c r="E3985" t="s">
        <v>9474</v>
      </c>
    </row>
    <row r="3986" spans="1:5" x14ac:dyDescent="0.2">
      <c r="A3986" t="s">
        <v>7901</v>
      </c>
      <c r="B3986" t="s">
        <v>7902</v>
      </c>
      <c r="C3986" t="s">
        <v>1347</v>
      </c>
      <c r="D3986" t="s">
        <v>459</v>
      </c>
      <c r="E3986" t="s">
        <v>9148</v>
      </c>
    </row>
    <row r="3987" spans="1:5" x14ac:dyDescent="0.2">
      <c r="A3987" t="s">
        <v>7904</v>
      </c>
      <c r="B3987" t="s">
        <v>7905</v>
      </c>
      <c r="C3987" t="s">
        <v>1347</v>
      </c>
      <c r="D3987" t="s">
        <v>254</v>
      </c>
      <c r="E3987" t="s">
        <v>9148</v>
      </c>
    </row>
    <row r="3988" spans="1:5" x14ac:dyDescent="0.2">
      <c r="A3988" t="s">
        <v>7906</v>
      </c>
      <c r="B3988" t="s">
        <v>7907</v>
      </c>
      <c r="C3988" t="s">
        <v>1347</v>
      </c>
      <c r="D3988" t="s">
        <v>254</v>
      </c>
      <c r="E3988" t="s">
        <v>9148</v>
      </c>
    </row>
    <row r="3989" spans="1:5" x14ac:dyDescent="0.2">
      <c r="A3989" t="s">
        <v>7908</v>
      </c>
      <c r="B3989" t="s">
        <v>7909</v>
      </c>
      <c r="C3989" t="s">
        <v>705</v>
      </c>
      <c r="D3989" t="s">
        <v>301</v>
      </c>
      <c r="E3989" t="s">
        <v>9474</v>
      </c>
    </row>
    <row r="3990" spans="1:5" x14ac:dyDescent="0.2">
      <c r="A3990" t="s">
        <v>7910</v>
      </c>
      <c r="B3990" t="s">
        <v>7911</v>
      </c>
      <c r="C3990" t="s">
        <v>322</v>
      </c>
      <c r="D3990" t="s">
        <v>635</v>
      </c>
      <c r="E3990" t="s">
        <v>9474</v>
      </c>
    </row>
    <row r="3991" spans="1:5" x14ac:dyDescent="0.2">
      <c r="A3991" t="s">
        <v>7912</v>
      </c>
      <c r="B3991" t="s">
        <v>7913</v>
      </c>
      <c r="C3991" t="s">
        <v>322</v>
      </c>
      <c r="D3991" t="s">
        <v>389</v>
      </c>
      <c r="E3991" t="s">
        <v>9474</v>
      </c>
    </row>
    <row r="3992" spans="1:5" x14ac:dyDescent="0.2">
      <c r="A3992" t="s">
        <v>7914</v>
      </c>
      <c r="B3992" t="s">
        <v>7915</v>
      </c>
      <c r="C3992" t="s">
        <v>322</v>
      </c>
      <c r="D3992" t="s">
        <v>380</v>
      </c>
      <c r="E3992" t="s">
        <v>9474</v>
      </c>
    </row>
    <row r="3993" spans="1:5" x14ac:dyDescent="0.2">
      <c r="A3993" t="s">
        <v>7916</v>
      </c>
      <c r="B3993" t="s">
        <v>7917</v>
      </c>
      <c r="C3993" t="s">
        <v>322</v>
      </c>
      <c r="D3993" t="s">
        <v>1058</v>
      </c>
      <c r="E3993" t="s">
        <v>9474</v>
      </c>
    </row>
    <row r="3994" spans="1:5" x14ac:dyDescent="0.2">
      <c r="A3994" t="s">
        <v>7918</v>
      </c>
      <c r="B3994" t="s">
        <v>7919</v>
      </c>
      <c r="C3994" t="s">
        <v>322</v>
      </c>
      <c r="D3994" t="s">
        <v>386</v>
      </c>
      <c r="E3994" t="s">
        <v>9474</v>
      </c>
    </row>
    <row r="3995" spans="1:5" x14ac:dyDescent="0.2">
      <c r="A3995" t="s">
        <v>7920</v>
      </c>
      <c r="B3995" t="s">
        <v>7921</v>
      </c>
      <c r="C3995" t="s">
        <v>322</v>
      </c>
      <c r="D3995" t="s">
        <v>386</v>
      </c>
      <c r="E3995" t="s">
        <v>9474</v>
      </c>
    </row>
    <row r="3996" spans="1:5" x14ac:dyDescent="0.2">
      <c r="A3996" t="s">
        <v>7922</v>
      </c>
      <c r="B3996" t="s">
        <v>7923</v>
      </c>
      <c r="C3996" t="s">
        <v>659</v>
      </c>
      <c r="D3996" t="s">
        <v>380</v>
      </c>
      <c r="E3996" t="s">
        <v>9474</v>
      </c>
    </row>
    <row r="3997" spans="1:5" x14ac:dyDescent="0.2">
      <c r="A3997" t="s">
        <v>7924</v>
      </c>
      <c r="B3997" t="s">
        <v>7925</v>
      </c>
      <c r="C3997" t="s">
        <v>659</v>
      </c>
      <c r="D3997" t="s">
        <v>1566</v>
      </c>
      <c r="E3997" t="s">
        <v>9474</v>
      </c>
    </row>
    <row r="3998" spans="1:5" x14ac:dyDescent="0.2">
      <c r="A3998" t="s">
        <v>7926</v>
      </c>
      <c r="B3998" t="s">
        <v>7927</v>
      </c>
      <c r="C3998" t="s">
        <v>659</v>
      </c>
      <c r="D3998" t="s">
        <v>1566</v>
      </c>
      <c r="E3998" t="s">
        <v>9474</v>
      </c>
    </row>
    <row r="3999" spans="1:5" x14ac:dyDescent="0.2">
      <c r="A3999" t="s">
        <v>7928</v>
      </c>
      <c r="B3999" t="s">
        <v>7929</v>
      </c>
      <c r="C3999" t="s">
        <v>659</v>
      </c>
      <c r="D3999" t="s">
        <v>604</v>
      </c>
      <c r="E3999" t="s">
        <v>9474</v>
      </c>
    </row>
    <row r="4000" spans="1:5" x14ac:dyDescent="0.2">
      <c r="A4000" t="s">
        <v>7930</v>
      </c>
      <c r="B4000" t="s">
        <v>7931</v>
      </c>
      <c r="C4000" t="s">
        <v>659</v>
      </c>
      <c r="D4000" t="s">
        <v>604</v>
      </c>
      <c r="E4000" t="s">
        <v>9474</v>
      </c>
    </row>
    <row r="4001" spans="1:5" x14ac:dyDescent="0.2">
      <c r="A4001" t="s">
        <v>7932</v>
      </c>
      <c r="B4001" t="s">
        <v>7933</v>
      </c>
      <c r="C4001" t="s">
        <v>322</v>
      </c>
      <c r="D4001" t="s">
        <v>604</v>
      </c>
      <c r="E4001" t="s">
        <v>9474</v>
      </c>
    </row>
    <row r="4002" spans="1:5" x14ac:dyDescent="0.2">
      <c r="A4002" t="s">
        <v>7934</v>
      </c>
      <c r="B4002" t="s">
        <v>7935</v>
      </c>
      <c r="C4002" t="s">
        <v>705</v>
      </c>
      <c r="D4002" t="s">
        <v>560</v>
      </c>
      <c r="E4002" t="s">
        <v>7843</v>
      </c>
    </row>
    <row r="4003" spans="1:5" x14ac:dyDescent="0.2">
      <c r="A4003" t="s">
        <v>7936</v>
      </c>
      <c r="B4003" t="s">
        <v>7937</v>
      </c>
      <c r="C4003" t="s">
        <v>705</v>
      </c>
      <c r="D4003" t="s">
        <v>560</v>
      </c>
      <c r="E4003" t="s">
        <v>7854</v>
      </c>
    </row>
    <row r="4004" spans="1:5" x14ac:dyDescent="0.2">
      <c r="A4004" t="s">
        <v>7938</v>
      </c>
      <c r="B4004" t="s">
        <v>7939</v>
      </c>
      <c r="C4004" t="s">
        <v>705</v>
      </c>
      <c r="D4004" t="s">
        <v>368</v>
      </c>
      <c r="E4004" t="s">
        <v>9474</v>
      </c>
    </row>
    <row r="4005" spans="1:5" x14ac:dyDescent="0.2">
      <c r="A4005" t="s">
        <v>7940</v>
      </c>
      <c r="B4005" t="s">
        <v>7941</v>
      </c>
      <c r="C4005" t="s">
        <v>705</v>
      </c>
      <c r="D4005" t="s">
        <v>368</v>
      </c>
      <c r="E4005" t="s">
        <v>9474</v>
      </c>
    </row>
    <row r="4006" spans="1:5" x14ac:dyDescent="0.2">
      <c r="A4006" t="s">
        <v>7942</v>
      </c>
      <c r="B4006" t="s">
        <v>7943</v>
      </c>
      <c r="C4006" t="s">
        <v>331</v>
      </c>
      <c r="D4006" t="s">
        <v>389</v>
      </c>
      <c r="E4006" t="s">
        <v>9148</v>
      </c>
    </row>
    <row r="4007" spans="1:5" x14ac:dyDescent="0.2">
      <c r="A4007" t="s">
        <v>73</v>
      </c>
      <c r="B4007" t="s">
        <v>7944</v>
      </c>
      <c r="C4007" t="s">
        <v>331</v>
      </c>
      <c r="D4007" t="s">
        <v>224</v>
      </c>
      <c r="E4007" t="s">
        <v>9148</v>
      </c>
    </row>
    <row r="4008" spans="1:5" x14ac:dyDescent="0.2">
      <c r="A4008" t="s">
        <v>7945</v>
      </c>
      <c r="B4008" t="s">
        <v>7946</v>
      </c>
      <c r="C4008" t="s">
        <v>421</v>
      </c>
      <c r="D4008" t="s">
        <v>845</v>
      </c>
      <c r="E4008" t="s">
        <v>9148</v>
      </c>
    </row>
    <row r="4009" spans="1:5" x14ac:dyDescent="0.2">
      <c r="A4009" t="s">
        <v>7947</v>
      </c>
      <c r="B4009" t="s">
        <v>7948</v>
      </c>
      <c r="C4009" t="s">
        <v>421</v>
      </c>
      <c r="D4009" t="s">
        <v>389</v>
      </c>
      <c r="E4009" t="s">
        <v>9148</v>
      </c>
    </row>
    <row r="4010" spans="1:5" x14ac:dyDescent="0.2">
      <c r="A4010" t="s">
        <v>7949</v>
      </c>
      <c r="B4010" t="s">
        <v>7950</v>
      </c>
      <c r="C4010" t="s">
        <v>421</v>
      </c>
      <c r="D4010" t="s">
        <v>433</v>
      </c>
      <c r="E4010" t="s">
        <v>9148</v>
      </c>
    </row>
    <row r="4011" spans="1:5" x14ac:dyDescent="0.2">
      <c r="A4011" t="s">
        <v>7951</v>
      </c>
      <c r="B4011" t="s">
        <v>7952</v>
      </c>
      <c r="C4011" t="s">
        <v>421</v>
      </c>
      <c r="D4011" t="s">
        <v>224</v>
      </c>
      <c r="E4011" t="s">
        <v>9148</v>
      </c>
    </row>
    <row r="4012" spans="1:5" x14ac:dyDescent="0.2">
      <c r="A4012" t="s">
        <v>7953</v>
      </c>
      <c r="B4012" t="s">
        <v>7954</v>
      </c>
      <c r="C4012" t="s">
        <v>421</v>
      </c>
      <c r="D4012" t="s">
        <v>224</v>
      </c>
      <c r="E4012" t="s">
        <v>9148</v>
      </c>
    </row>
    <row r="4013" spans="1:5" x14ac:dyDescent="0.2">
      <c r="A4013" t="s">
        <v>7955</v>
      </c>
      <c r="B4013" t="s">
        <v>7956</v>
      </c>
      <c r="C4013" t="s">
        <v>219</v>
      </c>
      <c r="D4013" t="s">
        <v>444</v>
      </c>
      <c r="E4013" t="s">
        <v>9148</v>
      </c>
    </row>
    <row r="4014" spans="1:5" x14ac:dyDescent="0.2">
      <c r="A4014" t="s">
        <v>7957</v>
      </c>
      <c r="B4014" t="s">
        <v>7958</v>
      </c>
      <c r="C4014" t="s">
        <v>219</v>
      </c>
      <c r="D4014" t="s">
        <v>459</v>
      </c>
      <c r="E4014" t="s">
        <v>9148</v>
      </c>
    </row>
    <row r="4015" spans="1:5" x14ac:dyDescent="0.2">
      <c r="A4015" t="s">
        <v>7959</v>
      </c>
      <c r="B4015" t="s">
        <v>7960</v>
      </c>
      <c r="C4015" t="s">
        <v>219</v>
      </c>
      <c r="D4015" t="s">
        <v>224</v>
      </c>
      <c r="E4015" t="s">
        <v>9148</v>
      </c>
    </row>
    <row r="4016" spans="1:5" x14ac:dyDescent="0.2">
      <c r="A4016" t="s">
        <v>7961</v>
      </c>
      <c r="B4016" t="s">
        <v>7962</v>
      </c>
      <c r="C4016" t="s">
        <v>104</v>
      </c>
      <c r="D4016" t="s">
        <v>299</v>
      </c>
      <c r="E4016" t="s">
        <v>9475</v>
      </c>
    </row>
    <row r="4017" spans="1:5" x14ac:dyDescent="0.2">
      <c r="A4017" t="s">
        <v>7963</v>
      </c>
      <c r="B4017" t="s">
        <v>7964</v>
      </c>
      <c r="C4017" t="s">
        <v>104</v>
      </c>
      <c r="D4017" t="s">
        <v>299</v>
      </c>
      <c r="E4017" t="s">
        <v>9475</v>
      </c>
    </row>
    <row r="4018" spans="1:5" x14ac:dyDescent="0.2">
      <c r="A4018" t="s">
        <v>7965</v>
      </c>
      <c r="B4018" t="s">
        <v>7966</v>
      </c>
      <c r="C4018" t="s">
        <v>219</v>
      </c>
      <c r="D4018" t="s">
        <v>389</v>
      </c>
      <c r="E4018" t="s">
        <v>9474</v>
      </c>
    </row>
    <row r="4019" spans="1:5" x14ac:dyDescent="0.2">
      <c r="A4019" t="s">
        <v>7967</v>
      </c>
      <c r="B4019" t="s">
        <v>7968</v>
      </c>
      <c r="C4019" t="s">
        <v>219</v>
      </c>
      <c r="D4019" t="s">
        <v>400</v>
      </c>
      <c r="E4019" t="s">
        <v>9474</v>
      </c>
    </row>
    <row r="4020" spans="1:5" x14ac:dyDescent="0.2">
      <c r="A4020" t="s">
        <v>7969</v>
      </c>
      <c r="B4020" t="s">
        <v>7970</v>
      </c>
      <c r="C4020" t="s">
        <v>261</v>
      </c>
      <c r="D4020" t="s">
        <v>258</v>
      </c>
      <c r="E4020" t="s">
        <v>9474</v>
      </c>
    </row>
    <row r="4021" spans="1:5" x14ac:dyDescent="0.2">
      <c r="A4021" t="s">
        <v>7971</v>
      </c>
      <c r="B4021" t="s">
        <v>7972</v>
      </c>
      <c r="C4021" t="s">
        <v>261</v>
      </c>
      <c r="D4021" t="s">
        <v>258</v>
      </c>
      <c r="E4021" t="s">
        <v>9474</v>
      </c>
    </row>
    <row r="4022" spans="1:5" x14ac:dyDescent="0.2">
      <c r="A4022" t="s">
        <v>7973</v>
      </c>
      <c r="B4022" t="s">
        <v>7974</v>
      </c>
      <c r="C4022" t="s">
        <v>261</v>
      </c>
      <c r="D4022" t="s">
        <v>258</v>
      </c>
      <c r="E4022" t="s">
        <v>9474</v>
      </c>
    </row>
    <row r="4023" spans="1:5" x14ac:dyDescent="0.2">
      <c r="A4023" t="s">
        <v>7975</v>
      </c>
      <c r="B4023" t="s">
        <v>7976</v>
      </c>
      <c r="C4023" t="s">
        <v>261</v>
      </c>
      <c r="D4023" t="s">
        <v>654</v>
      </c>
      <c r="E4023" t="s">
        <v>9474</v>
      </c>
    </row>
    <row r="4024" spans="1:5" x14ac:dyDescent="0.2">
      <c r="A4024" t="s">
        <v>7977</v>
      </c>
      <c r="B4024" t="s">
        <v>7978</v>
      </c>
      <c r="C4024" t="s">
        <v>261</v>
      </c>
      <c r="D4024" t="s">
        <v>654</v>
      </c>
      <c r="E4024" t="s">
        <v>9474</v>
      </c>
    </row>
    <row r="4025" spans="1:5" x14ac:dyDescent="0.2">
      <c r="A4025" t="s">
        <v>7979</v>
      </c>
      <c r="B4025" t="s">
        <v>7980</v>
      </c>
      <c r="C4025" t="s">
        <v>261</v>
      </c>
      <c r="D4025" t="s">
        <v>1006</v>
      </c>
      <c r="E4025" t="s">
        <v>9474</v>
      </c>
    </row>
    <row r="4026" spans="1:5" x14ac:dyDescent="0.2">
      <c r="A4026" t="s">
        <v>7981</v>
      </c>
      <c r="B4026" t="s">
        <v>7982</v>
      </c>
      <c r="C4026" t="s">
        <v>261</v>
      </c>
      <c r="D4026" t="s">
        <v>1006</v>
      </c>
      <c r="E4026" t="s">
        <v>9474</v>
      </c>
    </row>
    <row r="4027" spans="1:5" x14ac:dyDescent="0.2">
      <c r="A4027" t="s">
        <v>7983</v>
      </c>
      <c r="B4027" t="s">
        <v>7984</v>
      </c>
      <c r="C4027" t="s">
        <v>261</v>
      </c>
      <c r="D4027" t="s">
        <v>1006</v>
      </c>
      <c r="E4027" t="s">
        <v>9474</v>
      </c>
    </row>
    <row r="4028" spans="1:5" x14ac:dyDescent="0.2">
      <c r="A4028" t="s">
        <v>7985</v>
      </c>
      <c r="B4028" t="s">
        <v>7986</v>
      </c>
      <c r="C4028" t="s">
        <v>742</v>
      </c>
      <c r="D4028" t="s">
        <v>389</v>
      </c>
      <c r="E4028" t="s">
        <v>9474</v>
      </c>
    </row>
    <row r="4029" spans="1:5" x14ac:dyDescent="0.2">
      <c r="A4029" t="s">
        <v>7987</v>
      </c>
      <c r="B4029" t="s">
        <v>7988</v>
      </c>
      <c r="C4029" t="s">
        <v>742</v>
      </c>
      <c r="D4029" t="s">
        <v>604</v>
      </c>
      <c r="E4029" t="s">
        <v>9474</v>
      </c>
    </row>
    <row r="4030" spans="1:5" x14ac:dyDescent="0.2">
      <c r="A4030" t="s">
        <v>7989</v>
      </c>
      <c r="B4030" t="s">
        <v>7990</v>
      </c>
      <c r="C4030" t="s">
        <v>8980</v>
      </c>
      <c r="D4030" t="s">
        <v>853</v>
      </c>
      <c r="E4030" t="s">
        <v>9474</v>
      </c>
    </row>
    <row r="4031" spans="1:5" x14ac:dyDescent="0.2">
      <c r="A4031" t="s">
        <v>7991</v>
      </c>
      <c r="B4031" t="s">
        <v>7992</v>
      </c>
      <c r="C4031" t="s">
        <v>8980</v>
      </c>
      <c r="D4031" t="s">
        <v>622</v>
      </c>
      <c r="E4031" t="s">
        <v>9474</v>
      </c>
    </row>
    <row r="4032" spans="1:5" x14ac:dyDescent="0.2">
      <c r="A4032" t="s">
        <v>7993</v>
      </c>
      <c r="B4032" t="s">
        <v>7994</v>
      </c>
      <c r="C4032" t="s">
        <v>131</v>
      </c>
      <c r="D4032" t="s">
        <v>262</v>
      </c>
      <c r="E4032" t="s">
        <v>7854</v>
      </c>
    </row>
    <row r="4033" spans="1:5" x14ac:dyDescent="0.2">
      <c r="A4033" t="s">
        <v>7995</v>
      </c>
      <c r="B4033" t="s">
        <v>7996</v>
      </c>
      <c r="C4033" t="s">
        <v>131</v>
      </c>
      <c r="D4033" t="s">
        <v>805</v>
      </c>
      <c r="E4033" t="s">
        <v>9474</v>
      </c>
    </row>
    <row r="4034" spans="1:5" x14ac:dyDescent="0.2">
      <c r="A4034" t="s">
        <v>7997</v>
      </c>
      <c r="B4034" t="s">
        <v>7998</v>
      </c>
      <c r="C4034" t="s">
        <v>131</v>
      </c>
      <c r="D4034" t="s">
        <v>805</v>
      </c>
      <c r="E4034" t="s">
        <v>9474</v>
      </c>
    </row>
    <row r="4035" spans="1:5" x14ac:dyDescent="0.2">
      <c r="A4035" t="s">
        <v>7999</v>
      </c>
      <c r="B4035" t="s">
        <v>8000</v>
      </c>
      <c r="C4035" t="s">
        <v>5841</v>
      </c>
      <c r="D4035" t="s">
        <v>1493</v>
      </c>
      <c r="E4035" t="s">
        <v>9148</v>
      </c>
    </row>
    <row r="4036" spans="1:5" x14ac:dyDescent="0.2">
      <c r="A4036" t="s">
        <v>8001</v>
      </c>
      <c r="B4036" t="s">
        <v>8002</v>
      </c>
      <c r="C4036" t="s">
        <v>5841</v>
      </c>
      <c r="D4036" t="s">
        <v>622</v>
      </c>
      <c r="E4036" t="s">
        <v>9148</v>
      </c>
    </row>
    <row r="4037" spans="1:5" x14ac:dyDescent="0.2">
      <c r="A4037" t="s">
        <v>8003</v>
      </c>
      <c r="B4037" t="s">
        <v>8004</v>
      </c>
      <c r="C4037" t="s">
        <v>345</v>
      </c>
      <c r="D4037" t="s">
        <v>260</v>
      </c>
      <c r="E4037" t="s">
        <v>9474</v>
      </c>
    </row>
    <row r="4038" spans="1:5" x14ac:dyDescent="0.2">
      <c r="A4038" t="s">
        <v>8005</v>
      </c>
      <c r="B4038" t="s">
        <v>8006</v>
      </c>
      <c r="C4038" t="s">
        <v>345</v>
      </c>
      <c r="D4038" t="s">
        <v>260</v>
      </c>
      <c r="E4038" t="s">
        <v>9474</v>
      </c>
    </row>
    <row r="4039" spans="1:5" x14ac:dyDescent="0.2">
      <c r="A4039" t="s">
        <v>8007</v>
      </c>
      <c r="B4039" t="s">
        <v>8008</v>
      </c>
      <c r="C4039" t="s">
        <v>345</v>
      </c>
      <c r="D4039" t="s">
        <v>1081</v>
      </c>
      <c r="E4039" t="s">
        <v>9474</v>
      </c>
    </row>
    <row r="4040" spans="1:5" x14ac:dyDescent="0.2">
      <c r="A4040" t="s">
        <v>8009</v>
      </c>
      <c r="B4040" t="s">
        <v>8010</v>
      </c>
      <c r="C4040" t="s">
        <v>345</v>
      </c>
      <c r="D4040" t="s">
        <v>1081</v>
      </c>
      <c r="E4040" t="s">
        <v>9474</v>
      </c>
    </row>
    <row r="4041" spans="1:5" x14ac:dyDescent="0.2">
      <c r="A4041" t="s">
        <v>8011</v>
      </c>
      <c r="B4041" t="s">
        <v>8012</v>
      </c>
      <c r="C4041" t="s">
        <v>244</v>
      </c>
      <c r="D4041" t="s">
        <v>1458</v>
      </c>
      <c r="E4041" t="s">
        <v>9474</v>
      </c>
    </row>
    <row r="4042" spans="1:5" x14ac:dyDescent="0.2">
      <c r="A4042" t="s">
        <v>8013</v>
      </c>
      <c r="B4042" t="s">
        <v>8014</v>
      </c>
      <c r="C4042" t="s">
        <v>244</v>
      </c>
      <c r="D4042" t="s">
        <v>1458</v>
      </c>
      <c r="E4042" t="s">
        <v>9474</v>
      </c>
    </row>
    <row r="4043" spans="1:5" x14ac:dyDescent="0.2">
      <c r="A4043" t="s">
        <v>8015</v>
      </c>
      <c r="B4043" t="s">
        <v>8016</v>
      </c>
      <c r="C4043" t="s">
        <v>244</v>
      </c>
      <c r="D4043" t="s">
        <v>604</v>
      </c>
      <c r="E4043" t="s">
        <v>9474</v>
      </c>
    </row>
    <row r="4044" spans="1:5" x14ac:dyDescent="0.2">
      <c r="A4044" t="s">
        <v>8017</v>
      </c>
      <c r="B4044" t="s">
        <v>8018</v>
      </c>
      <c r="C4044" t="s">
        <v>244</v>
      </c>
      <c r="D4044" t="s">
        <v>604</v>
      </c>
      <c r="E4044" t="s">
        <v>9474</v>
      </c>
    </row>
    <row r="4045" spans="1:5" x14ac:dyDescent="0.2">
      <c r="A4045" t="s">
        <v>8019</v>
      </c>
      <c r="B4045" t="s">
        <v>8020</v>
      </c>
      <c r="C4045" t="s">
        <v>244</v>
      </c>
      <c r="D4045" t="s">
        <v>871</v>
      </c>
      <c r="E4045" t="s">
        <v>9148</v>
      </c>
    </row>
    <row r="4046" spans="1:5" x14ac:dyDescent="0.2">
      <c r="A4046" t="s">
        <v>8021</v>
      </c>
      <c r="B4046" t="s">
        <v>8022</v>
      </c>
      <c r="C4046" t="s">
        <v>244</v>
      </c>
      <c r="D4046" t="s">
        <v>871</v>
      </c>
      <c r="E4046" t="s">
        <v>9148</v>
      </c>
    </row>
    <row r="4047" spans="1:5" x14ac:dyDescent="0.2">
      <c r="A4047" t="s">
        <v>8023</v>
      </c>
      <c r="B4047" t="s">
        <v>8024</v>
      </c>
      <c r="C4047" t="s">
        <v>244</v>
      </c>
      <c r="D4047" t="s">
        <v>871</v>
      </c>
      <c r="E4047" t="s">
        <v>9148</v>
      </c>
    </row>
    <row r="4048" spans="1:5" x14ac:dyDescent="0.2">
      <c r="A4048" t="s">
        <v>8025</v>
      </c>
      <c r="B4048" t="s">
        <v>8026</v>
      </c>
      <c r="C4048" t="s">
        <v>887</v>
      </c>
      <c r="D4048" t="s">
        <v>550</v>
      </c>
      <c r="E4048" t="s">
        <v>9474</v>
      </c>
    </row>
    <row r="4049" spans="1:5" x14ac:dyDescent="0.2">
      <c r="A4049" t="s">
        <v>8027</v>
      </c>
      <c r="B4049" t="s">
        <v>8028</v>
      </c>
      <c r="C4049" t="s">
        <v>287</v>
      </c>
      <c r="D4049" t="s">
        <v>237</v>
      </c>
      <c r="E4049" t="s">
        <v>7854</v>
      </c>
    </row>
    <row r="4050" spans="1:5" x14ac:dyDescent="0.2">
      <c r="A4050" t="s">
        <v>8029</v>
      </c>
      <c r="B4050" t="s">
        <v>8030</v>
      </c>
      <c r="C4050" t="s">
        <v>287</v>
      </c>
      <c r="D4050" t="s">
        <v>237</v>
      </c>
      <c r="E4050" t="s">
        <v>7903</v>
      </c>
    </row>
    <row r="4051" spans="1:5" x14ac:dyDescent="0.2">
      <c r="A4051" t="s">
        <v>8031</v>
      </c>
      <c r="B4051" t="s">
        <v>8032</v>
      </c>
      <c r="C4051" t="s">
        <v>287</v>
      </c>
      <c r="D4051" t="s">
        <v>805</v>
      </c>
      <c r="E4051" t="s">
        <v>9474</v>
      </c>
    </row>
    <row r="4052" spans="1:5" x14ac:dyDescent="0.2">
      <c r="A4052" t="s">
        <v>8033</v>
      </c>
      <c r="B4052" t="s">
        <v>8034</v>
      </c>
      <c r="C4052" t="s">
        <v>287</v>
      </c>
      <c r="D4052" t="s">
        <v>805</v>
      </c>
      <c r="E4052" t="s">
        <v>9474</v>
      </c>
    </row>
    <row r="4053" spans="1:5" x14ac:dyDescent="0.2">
      <c r="A4053" t="s">
        <v>8035</v>
      </c>
      <c r="B4053" t="s">
        <v>8036</v>
      </c>
      <c r="C4053" t="s">
        <v>287</v>
      </c>
      <c r="D4053" t="s">
        <v>805</v>
      </c>
      <c r="E4053" t="s">
        <v>9474</v>
      </c>
    </row>
    <row r="4054" spans="1:5" x14ac:dyDescent="0.2">
      <c r="A4054" t="s">
        <v>8037</v>
      </c>
      <c r="B4054" t="s">
        <v>8038</v>
      </c>
      <c r="C4054" t="s">
        <v>212</v>
      </c>
      <c r="D4054" t="s">
        <v>380</v>
      </c>
      <c r="E4054" t="s">
        <v>9148</v>
      </c>
    </row>
    <row r="4055" spans="1:5" x14ac:dyDescent="0.2">
      <c r="A4055" t="s">
        <v>8039</v>
      </c>
      <c r="B4055" t="s">
        <v>8040</v>
      </c>
      <c r="C4055" t="s">
        <v>212</v>
      </c>
      <c r="D4055" t="s">
        <v>389</v>
      </c>
      <c r="E4055" t="s">
        <v>9148</v>
      </c>
    </row>
    <row r="4056" spans="1:5" x14ac:dyDescent="0.2">
      <c r="A4056" t="s">
        <v>8041</v>
      </c>
      <c r="B4056" t="s">
        <v>8042</v>
      </c>
      <c r="C4056" t="s">
        <v>212</v>
      </c>
      <c r="D4056" t="s">
        <v>604</v>
      </c>
      <c r="E4056" t="s">
        <v>9148</v>
      </c>
    </row>
    <row r="4057" spans="1:5" x14ac:dyDescent="0.2">
      <c r="A4057" t="s">
        <v>8043</v>
      </c>
      <c r="B4057" t="s">
        <v>8044</v>
      </c>
      <c r="C4057" t="s">
        <v>212</v>
      </c>
      <c r="D4057" t="s">
        <v>282</v>
      </c>
      <c r="E4057" t="s">
        <v>9474</v>
      </c>
    </row>
    <row r="4058" spans="1:5" x14ac:dyDescent="0.2">
      <c r="A4058" t="s">
        <v>8045</v>
      </c>
      <c r="B4058" t="s">
        <v>8046</v>
      </c>
      <c r="C4058" t="s">
        <v>212</v>
      </c>
      <c r="D4058" t="s">
        <v>266</v>
      </c>
      <c r="E4058" t="s">
        <v>9474</v>
      </c>
    </row>
    <row r="4059" spans="1:5" x14ac:dyDescent="0.2">
      <c r="A4059" t="s">
        <v>8047</v>
      </c>
      <c r="B4059" t="s">
        <v>8048</v>
      </c>
      <c r="C4059" t="s">
        <v>212</v>
      </c>
      <c r="D4059" t="s">
        <v>150</v>
      </c>
      <c r="E4059" t="s">
        <v>9474</v>
      </c>
    </row>
    <row r="4060" spans="1:5" x14ac:dyDescent="0.2">
      <c r="A4060" t="s">
        <v>8049</v>
      </c>
      <c r="B4060" t="s">
        <v>8050</v>
      </c>
      <c r="C4060" t="s">
        <v>212</v>
      </c>
      <c r="D4060" t="s">
        <v>150</v>
      </c>
      <c r="E4060" t="s">
        <v>9474</v>
      </c>
    </row>
    <row r="4061" spans="1:5" x14ac:dyDescent="0.2">
      <c r="A4061" t="s">
        <v>8051</v>
      </c>
      <c r="B4061" t="s">
        <v>8052</v>
      </c>
      <c r="C4061" t="s">
        <v>212</v>
      </c>
      <c r="D4061" t="s">
        <v>444</v>
      </c>
      <c r="E4061" t="s">
        <v>9474</v>
      </c>
    </row>
    <row r="4062" spans="1:5" x14ac:dyDescent="0.2">
      <c r="A4062" t="s">
        <v>8053</v>
      </c>
      <c r="B4062" t="s">
        <v>8054</v>
      </c>
      <c r="C4062" t="s">
        <v>212</v>
      </c>
      <c r="D4062" t="s">
        <v>444</v>
      </c>
      <c r="E4062" t="s">
        <v>9474</v>
      </c>
    </row>
    <row r="4063" spans="1:5" x14ac:dyDescent="0.2">
      <c r="A4063" t="s">
        <v>8055</v>
      </c>
      <c r="B4063" t="s">
        <v>8056</v>
      </c>
      <c r="C4063" t="s">
        <v>251</v>
      </c>
      <c r="D4063" t="s">
        <v>422</v>
      </c>
      <c r="E4063" t="s">
        <v>9148</v>
      </c>
    </row>
    <row r="4064" spans="1:5" x14ac:dyDescent="0.2">
      <c r="A4064" t="s">
        <v>8057</v>
      </c>
      <c r="B4064" t="s">
        <v>8058</v>
      </c>
      <c r="C4064" t="s">
        <v>251</v>
      </c>
      <c r="D4064" t="s">
        <v>611</v>
      </c>
      <c r="E4064" t="s">
        <v>9148</v>
      </c>
    </row>
    <row r="4065" spans="1:5" x14ac:dyDescent="0.2">
      <c r="A4065" t="s">
        <v>8059</v>
      </c>
      <c r="B4065" t="s">
        <v>8060</v>
      </c>
      <c r="C4065" t="s">
        <v>251</v>
      </c>
      <c r="D4065" t="s">
        <v>380</v>
      </c>
      <c r="E4065" t="s">
        <v>9474</v>
      </c>
    </row>
    <row r="4066" spans="1:5" x14ac:dyDescent="0.2">
      <c r="A4066" t="s">
        <v>8061</v>
      </c>
      <c r="B4066" t="s">
        <v>8062</v>
      </c>
      <c r="C4066" t="s">
        <v>251</v>
      </c>
      <c r="D4066" t="s">
        <v>389</v>
      </c>
      <c r="E4066" t="s">
        <v>9474</v>
      </c>
    </row>
    <row r="4067" spans="1:5" x14ac:dyDescent="0.2">
      <c r="A4067" t="s">
        <v>8063</v>
      </c>
      <c r="B4067" t="s">
        <v>8064</v>
      </c>
      <c r="C4067" t="s">
        <v>251</v>
      </c>
      <c r="D4067" t="s">
        <v>604</v>
      </c>
      <c r="E4067" t="s">
        <v>9474</v>
      </c>
    </row>
    <row r="4068" spans="1:5" x14ac:dyDescent="0.2">
      <c r="A4068" t="s">
        <v>8065</v>
      </c>
      <c r="B4068" t="s">
        <v>8066</v>
      </c>
      <c r="C4068" t="s">
        <v>251</v>
      </c>
      <c r="D4068" t="s">
        <v>604</v>
      </c>
      <c r="E4068" t="s">
        <v>9474</v>
      </c>
    </row>
    <row r="4069" spans="1:5" x14ac:dyDescent="0.2">
      <c r="A4069" t="s">
        <v>8067</v>
      </c>
      <c r="B4069" t="s">
        <v>8068</v>
      </c>
      <c r="C4069" t="s">
        <v>251</v>
      </c>
      <c r="D4069" t="s">
        <v>282</v>
      </c>
      <c r="E4069" t="s">
        <v>9229</v>
      </c>
    </row>
    <row r="4070" spans="1:5" x14ac:dyDescent="0.2">
      <c r="A4070" t="s">
        <v>8069</v>
      </c>
      <c r="B4070" t="s">
        <v>8070</v>
      </c>
      <c r="C4070" t="s">
        <v>251</v>
      </c>
      <c r="D4070" t="s">
        <v>258</v>
      </c>
      <c r="E4070" t="s">
        <v>9474</v>
      </c>
    </row>
    <row r="4071" spans="1:5" x14ac:dyDescent="0.2">
      <c r="A4071" t="s">
        <v>8071</v>
      </c>
      <c r="B4071" t="s">
        <v>8072</v>
      </c>
      <c r="C4071" t="s">
        <v>251</v>
      </c>
      <c r="D4071" t="s">
        <v>2559</v>
      </c>
      <c r="E4071" t="s">
        <v>7556</v>
      </c>
    </row>
    <row r="4072" spans="1:5" x14ac:dyDescent="0.2">
      <c r="A4072" t="s">
        <v>8073</v>
      </c>
      <c r="B4072" t="s">
        <v>8074</v>
      </c>
      <c r="C4072" t="s">
        <v>251</v>
      </c>
      <c r="D4072" t="s">
        <v>323</v>
      </c>
      <c r="E4072" t="s">
        <v>4489</v>
      </c>
    </row>
    <row r="4073" spans="1:5" x14ac:dyDescent="0.2">
      <c r="A4073" t="s">
        <v>8075</v>
      </c>
      <c r="B4073" t="s">
        <v>8076</v>
      </c>
      <c r="C4073" t="s">
        <v>251</v>
      </c>
      <c r="D4073" t="s">
        <v>171</v>
      </c>
      <c r="E4073" t="s">
        <v>9148</v>
      </c>
    </row>
    <row r="4074" spans="1:5" x14ac:dyDescent="0.2">
      <c r="A4074" t="s">
        <v>8077</v>
      </c>
      <c r="B4074" t="s">
        <v>8078</v>
      </c>
      <c r="C4074" t="s">
        <v>212</v>
      </c>
      <c r="D4074" t="s">
        <v>252</v>
      </c>
      <c r="E4074" t="s">
        <v>7854</v>
      </c>
    </row>
    <row r="4075" spans="1:5" x14ac:dyDescent="0.2">
      <c r="A4075" t="s">
        <v>8079</v>
      </c>
      <c r="B4075" t="s">
        <v>8080</v>
      </c>
      <c r="C4075" t="s">
        <v>212</v>
      </c>
      <c r="D4075" t="s">
        <v>604</v>
      </c>
      <c r="E4075" t="s">
        <v>9474</v>
      </c>
    </row>
    <row r="4076" spans="1:5" x14ac:dyDescent="0.2">
      <c r="A4076" t="s">
        <v>8081</v>
      </c>
      <c r="B4076" t="s">
        <v>8082</v>
      </c>
      <c r="C4076" t="s">
        <v>222</v>
      </c>
      <c r="D4076" t="s">
        <v>309</v>
      </c>
      <c r="E4076" t="s">
        <v>9228</v>
      </c>
    </row>
    <row r="4077" spans="1:5" x14ac:dyDescent="0.2">
      <c r="A4077" t="s">
        <v>8083</v>
      </c>
      <c r="B4077" t="s">
        <v>8084</v>
      </c>
      <c r="C4077" t="s">
        <v>222</v>
      </c>
      <c r="D4077" t="s">
        <v>309</v>
      </c>
      <c r="E4077" t="s">
        <v>9228</v>
      </c>
    </row>
    <row r="4078" spans="1:5" x14ac:dyDescent="0.2">
      <c r="A4078" t="s">
        <v>8085</v>
      </c>
      <c r="B4078" t="s">
        <v>8086</v>
      </c>
      <c r="C4078" t="s">
        <v>222</v>
      </c>
      <c r="D4078" t="s">
        <v>427</v>
      </c>
      <c r="E4078" t="s">
        <v>9228</v>
      </c>
    </row>
    <row r="4079" spans="1:5" x14ac:dyDescent="0.2">
      <c r="A4079" t="s">
        <v>8087</v>
      </c>
      <c r="B4079" t="s">
        <v>8088</v>
      </c>
      <c r="C4079" t="s">
        <v>222</v>
      </c>
      <c r="D4079" t="s">
        <v>427</v>
      </c>
      <c r="E4079" t="s">
        <v>9228</v>
      </c>
    </row>
    <row r="4080" spans="1:5" x14ac:dyDescent="0.2">
      <c r="A4080" t="s">
        <v>8089</v>
      </c>
      <c r="B4080" t="s">
        <v>8090</v>
      </c>
      <c r="C4080" t="s">
        <v>251</v>
      </c>
      <c r="D4080" t="s">
        <v>459</v>
      </c>
      <c r="E4080" t="s">
        <v>9229</v>
      </c>
    </row>
    <row r="4081" spans="1:5" x14ac:dyDescent="0.2">
      <c r="A4081" t="s">
        <v>8091</v>
      </c>
      <c r="B4081" t="s">
        <v>8092</v>
      </c>
      <c r="C4081" t="s">
        <v>227</v>
      </c>
      <c r="D4081" t="s">
        <v>150</v>
      </c>
      <c r="E4081" t="s">
        <v>7836</v>
      </c>
    </row>
    <row r="4082" spans="1:5" x14ac:dyDescent="0.2">
      <c r="A4082" t="s">
        <v>8093</v>
      </c>
      <c r="B4082" t="s">
        <v>8094</v>
      </c>
      <c r="C4082" t="s">
        <v>227</v>
      </c>
      <c r="D4082" t="s">
        <v>299</v>
      </c>
      <c r="E4082" t="s">
        <v>9474</v>
      </c>
    </row>
    <row r="4083" spans="1:5" x14ac:dyDescent="0.2">
      <c r="A4083" t="s">
        <v>8095</v>
      </c>
      <c r="B4083" t="s">
        <v>8096</v>
      </c>
      <c r="C4083" t="s">
        <v>244</v>
      </c>
      <c r="D4083" t="s">
        <v>346</v>
      </c>
      <c r="E4083" t="s">
        <v>9210</v>
      </c>
    </row>
    <row r="4084" spans="1:5" x14ac:dyDescent="0.2">
      <c r="A4084" t="s">
        <v>8097</v>
      </c>
      <c r="B4084" t="s">
        <v>8098</v>
      </c>
      <c r="C4084" t="s">
        <v>244</v>
      </c>
      <c r="D4084" t="s">
        <v>346</v>
      </c>
      <c r="E4084" t="s">
        <v>9210</v>
      </c>
    </row>
    <row r="4085" spans="1:5" x14ac:dyDescent="0.2">
      <c r="A4085" t="s">
        <v>8099</v>
      </c>
      <c r="B4085" t="s">
        <v>8100</v>
      </c>
      <c r="C4085" t="s">
        <v>244</v>
      </c>
      <c r="D4085" t="s">
        <v>1994</v>
      </c>
      <c r="E4085" t="s">
        <v>9210</v>
      </c>
    </row>
    <row r="4086" spans="1:5" x14ac:dyDescent="0.2">
      <c r="A4086" t="s">
        <v>8101</v>
      </c>
      <c r="B4086" t="s">
        <v>8102</v>
      </c>
      <c r="C4086" t="s">
        <v>244</v>
      </c>
      <c r="D4086" t="s">
        <v>1994</v>
      </c>
      <c r="E4086" t="s">
        <v>9210</v>
      </c>
    </row>
    <row r="4087" spans="1:5" x14ac:dyDescent="0.2">
      <c r="A4087" t="s">
        <v>8103</v>
      </c>
      <c r="B4087" t="s">
        <v>8104</v>
      </c>
      <c r="C4087" t="s">
        <v>244</v>
      </c>
      <c r="D4087" t="s">
        <v>1994</v>
      </c>
      <c r="E4087" t="s">
        <v>9210</v>
      </c>
    </row>
    <row r="4088" spans="1:5" x14ac:dyDescent="0.2">
      <c r="A4088" t="s">
        <v>8105</v>
      </c>
      <c r="B4088" t="s">
        <v>8106</v>
      </c>
      <c r="C4088" t="s">
        <v>244</v>
      </c>
      <c r="D4088" t="s">
        <v>1994</v>
      </c>
      <c r="E4088" t="s">
        <v>9210</v>
      </c>
    </row>
    <row r="4089" spans="1:5" x14ac:dyDescent="0.2">
      <c r="A4089" t="s">
        <v>8107</v>
      </c>
      <c r="B4089" t="s">
        <v>8108</v>
      </c>
      <c r="C4089" t="s">
        <v>251</v>
      </c>
      <c r="D4089" t="s">
        <v>171</v>
      </c>
      <c r="E4089" t="s">
        <v>9148</v>
      </c>
    </row>
    <row r="4090" spans="1:5" x14ac:dyDescent="0.2">
      <c r="A4090" t="s">
        <v>8109</v>
      </c>
      <c r="B4090" t="s">
        <v>8110</v>
      </c>
      <c r="C4090" t="s">
        <v>251</v>
      </c>
      <c r="D4090" t="s">
        <v>422</v>
      </c>
      <c r="E4090" t="s">
        <v>9474</v>
      </c>
    </row>
    <row r="4091" spans="1:5" x14ac:dyDescent="0.2">
      <c r="A4091" t="s">
        <v>8111</v>
      </c>
      <c r="B4091" t="s">
        <v>8112</v>
      </c>
      <c r="C4091" t="s">
        <v>251</v>
      </c>
      <c r="D4091" t="s">
        <v>422</v>
      </c>
      <c r="E4091" t="s">
        <v>9474</v>
      </c>
    </row>
    <row r="4092" spans="1:5" x14ac:dyDescent="0.2">
      <c r="A4092" t="s">
        <v>8113</v>
      </c>
      <c r="B4092" t="s">
        <v>8114</v>
      </c>
      <c r="C4092" t="s">
        <v>399</v>
      </c>
      <c r="D4092" t="s">
        <v>145</v>
      </c>
      <c r="E4092" t="s">
        <v>9148</v>
      </c>
    </row>
    <row r="4093" spans="1:5" x14ac:dyDescent="0.2">
      <c r="A4093" t="s">
        <v>8115</v>
      </c>
      <c r="B4093" t="s">
        <v>8116</v>
      </c>
      <c r="C4093" t="s">
        <v>399</v>
      </c>
      <c r="D4093" t="s">
        <v>622</v>
      </c>
      <c r="E4093" t="s">
        <v>9148</v>
      </c>
    </row>
    <row r="4094" spans="1:5" x14ac:dyDescent="0.2">
      <c r="A4094" t="s">
        <v>8117</v>
      </c>
      <c r="B4094" t="s">
        <v>8118</v>
      </c>
      <c r="C4094" t="s">
        <v>222</v>
      </c>
      <c r="D4094" t="s">
        <v>441</v>
      </c>
      <c r="E4094" t="s">
        <v>234</v>
      </c>
    </row>
    <row r="4095" spans="1:5" x14ac:dyDescent="0.2">
      <c r="A4095" t="s">
        <v>8119</v>
      </c>
      <c r="B4095" t="s">
        <v>8120</v>
      </c>
      <c r="C4095" t="s">
        <v>222</v>
      </c>
      <c r="D4095" t="s">
        <v>441</v>
      </c>
      <c r="E4095" t="s">
        <v>234</v>
      </c>
    </row>
    <row r="4096" spans="1:5" x14ac:dyDescent="0.2">
      <c r="A4096" t="s">
        <v>8121</v>
      </c>
      <c r="B4096" t="s">
        <v>8122</v>
      </c>
      <c r="C4096" t="s">
        <v>222</v>
      </c>
      <c r="D4096" t="s">
        <v>991</v>
      </c>
      <c r="E4096" t="s">
        <v>234</v>
      </c>
    </row>
    <row r="4097" spans="1:5" x14ac:dyDescent="0.2">
      <c r="A4097" t="s">
        <v>8123</v>
      </c>
      <c r="B4097" t="s">
        <v>8124</v>
      </c>
      <c r="C4097" t="s">
        <v>222</v>
      </c>
      <c r="D4097" t="s">
        <v>991</v>
      </c>
      <c r="E4097" t="s">
        <v>234</v>
      </c>
    </row>
    <row r="4098" spans="1:5" x14ac:dyDescent="0.2">
      <c r="A4098" t="s">
        <v>8125</v>
      </c>
      <c r="B4098" t="s">
        <v>8126</v>
      </c>
      <c r="C4098" t="s">
        <v>669</v>
      </c>
      <c r="D4098" t="s">
        <v>1566</v>
      </c>
      <c r="E4098" t="s">
        <v>234</v>
      </c>
    </row>
    <row r="4099" spans="1:5" x14ac:dyDescent="0.2">
      <c r="A4099" t="s">
        <v>8127</v>
      </c>
      <c r="B4099" t="s">
        <v>8128</v>
      </c>
      <c r="C4099" t="s">
        <v>669</v>
      </c>
      <c r="D4099" t="s">
        <v>1566</v>
      </c>
      <c r="E4099" t="s">
        <v>234</v>
      </c>
    </row>
    <row r="4100" spans="1:5" x14ac:dyDescent="0.2">
      <c r="A4100" t="s">
        <v>8129</v>
      </c>
      <c r="B4100" t="s">
        <v>8130</v>
      </c>
      <c r="C4100" t="s">
        <v>669</v>
      </c>
      <c r="D4100" t="s">
        <v>2787</v>
      </c>
      <c r="E4100" t="s">
        <v>234</v>
      </c>
    </row>
    <row r="4101" spans="1:5" x14ac:dyDescent="0.2">
      <c r="A4101" t="s">
        <v>8131</v>
      </c>
      <c r="B4101" t="s">
        <v>8132</v>
      </c>
      <c r="C4101" t="s">
        <v>669</v>
      </c>
      <c r="D4101" t="s">
        <v>2787</v>
      </c>
      <c r="E4101" t="s">
        <v>234</v>
      </c>
    </row>
    <row r="4102" spans="1:5" x14ac:dyDescent="0.2">
      <c r="A4102" t="s">
        <v>8133</v>
      </c>
      <c r="B4102" t="s">
        <v>8134</v>
      </c>
      <c r="C4102" t="s">
        <v>222</v>
      </c>
      <c r="D4102" t="s">
        <v>1374</v>
      </c>
      <c r="E4102" t="s">
        <v>234</v>
      </c>
    </row>
    <row r="4103" spans="1:5" x14ac:dyDescent="0.2">
      <c r="A4103" t="s">
        <v>8135</v>
      </c>
      <c r="B4103" t="s">
        <v>8136</v>
      </c>
      <c r="C4103" t="s">
        <v>9124</v>
      </c>
      <c r="D4103" t="s">
        <v>110</v>
      </c>
      <c r="E4103" t="s">
        <v>1694</v>
      </c>
    </row>
    <row r="4104" spans="1:5" x14ac:dyDescent="0.2">
      <c r="A4104" t="s">
        <v>8137</v>
      </c>
      <c r="B4104" t="s">
        <v>8138</v>
      </c>
      <c r="C4104" t="s">
        <v>219</v>
      </c>
      <c r="D4104" t="s">
        <v>394</v>
      </c>
      <c r="E4104" t="s">
        <v>9384</v>
      </c>
    </row>
    <row r="4105" spans="1:5" x14ac:dyDescent="0.2">
      <c r="A4105" t="s">
        <v>8139</v>
      </c>
      <c r="B4105" t="s">
        <v>8140</v>
      </c>
      <c r="C4105" t="s">
        <v>219</v>
      </c>
      <c r="D4105" t="s">
        <v>394</v>
      </c>
      <c r="E4105" t="s">
        <v>9384</v>
      </c>
    </row>
    <row r="4106" spans="1:5" x14ac:dyDescent="0.2">
      <c r="A4106" t="s">
        <v>8141</v>
      </c>
      <c r="B4106" t="s">
        <v>8142</v>
      </c>
      <c r="C4106" t="s">
        <v>557</v>
      </c>
      <c r="D4106" t="s">
        <v>335</v>
      </c>
      <c r="E4106" t="s">
        <v>9384</v>
      </c>
    </row>
    <row r="4107" spans="1:5" x14ac:dyDescent="0.2">
      <c r="A4107" t="s">
        <v>8143</v>
      </c>
      <c r="B4107" t="s">
        <v>8144</v>
      </c>
      <c r="C4107" t="s">
        <v>557</v>
      </c>
      <c r="D4107" t="s">
        <v>335</v>
      </c>
      <c r="E4107" t="s">
        <v>9384</v>
      </c>
    </row>
    <row r="4108" spans="1:5" x14ac:dyDescent="0.2">
      <c r="A4108" t="s">
        <v>8145</v>
      </c>
      <c r="B4108" t="s">
        <v>8146</v>
      </c>
      <c r="C4108" t="s">
        <v>92</v>
      </c>
      <c r="D4108" t="s">
        <v>223</v>
      </c>
      <c r="E4108" t="s">
        <v>9384</v>
      </c>
    </row>
    <row r="4109" spans="1:5" x14ac:dyDescent="0.2">
      <c r="A4109" t="s">
        <v>8155</v>
      </c>
      <c r="B4109" t="s">
        <v>8156</v>
      </c>
      <c r="C4109" t="s">
        <v>251</v>
      </c>
      <c r="D4109" t="s">
        <v>805</v>
      </c>
      <c r="E4109" t="s">
        <v>5009</v>
      </c>
    </row>
    <row r="4110" spans="1:5" x14ac:dyDescent="0.2">
      <c r="A4110" t="s">
        <v>8157</v>
      </c>
      <c r="B4110" t="s">
        <v>8158</v>
      </c>
      <c r="C4110" t="s">
        <v>251</v>
      </c>
      <c r="D4110" t="s">
        <v>805</v>
      </c>
      <c r="E4110" t="s">
        <v>5009</v>
      </c>
    </row>
    <row r="4111" spans="1:5" x14ac:dyDescent="0.2">
      <c r="A4111" t="s">
        <v>8175</v>
      </c>
      <c r="B4111" t="s">
        <v>8176</v>
      </c>
      <c r="C4111" t="s">
        <v>669</v>
      </c>
      <c r="D4111" t="s">
        <v>500</v>
      </c>
      <c r="E4111" t="s">
        <v>9301</v>
      </c>
    </row>
    <row r="4112" spans="1:5" x14ac:dyDescent="0.2">
      <c r="A4112" t="s">
        <v>8177</v>
      </c>
      <c r="B4112" t="s">
        <v>9476</v>
      </c>
      <c r="C4112" t="s">
        <v>212</v>
      </c>
      <c r="D4112" t="s">
        <v>266</v>
      </c>
      <c r="E4112" t="s">
        <v>9473</v>
      </c>
    </row>
    <row r="4113" spans="1:5" x14ac:dyDescent="0.2">
      <c r="A4113" t="s">
        <v>8178</v>
      </c>
      <c r="B4113" t="s">
        <v>9477</v>
      </c>
      <c r="C4113" t="s">
        <v>212</v>
      </c>
      <c r="D4113" t="s">
        <v>266</v>
      </c>
      <c r="E4113" t="s">
        <v>9473</v>
      </c>
    </row>
    <row r="4114" spans="1:5" x14ac:dyDescent="0.2">
      <c r="A4114" t="s">
        <v>8179</v>
      </c>
      <c r="B4114" t="s">
        <v>9478</v>
      </c>
      <c r="C4114" t="s">
        <v>212</v>
      </c>
      <c r="D4114" t="s">
        <v>386</v>
      </c>
      <c r="E4114" t="s">
        <v>9473</v>
      </c>
    </row>
    <row r="4115" spans="1:5" x14ac:dyDescent="0.2">
      <c r="A4115" t="s">
        <v>8180</v>
      </c>
      <c r="B4115" t="s">
        <v>9479</v>
      </c>
      <c r="C4115" t="s">
        <v>212</v>
      </c>
      <c r="D4115" t="s">
        <v>386</v>
      </c>
      <c r="E4115" t="s">
        <v>9473</v>
      </c>
    </row>
    <row r="4116" spans="1:5" x14ac:dyDescent="0.2">
      <c r="A4116" t="s">
        <v>8181</v>
      </c>
      <c r="B4116" t="s">
        <v>9480</v>
      </c>
      <c r="C4116" t="s">
        <v>212</v>
      </c>
      <c r="D4116" t="s">
        <v>2199</v>
      </c>
      <c r="E4116" t="s">
        <v>9473</v>
      </c>
    </row>
    <row r="4117" spans="1:5" x14ac:dyDescent="0.2">
      <c r="A4117" t="s">
        <v>8182</v>
      </c>
      <c r="B4117" t="s">
        <v>9481</v>
      </c>
      <c r="C4117" t="s">
        <v>212</v>
      </c>
      <c r="D4117" t="s">
        <v>2199</v>
      </c>
      <c r="E4117" t="s">
        <v>9473</v>
      </c>
    </row>
    <row r="4118" spans="1:5" x14ac:dyDescent="0.2">
      <c r="A4118" t="s">
        <v>8201</v>
      </c>
      <c r="B4118" t="s">
        <v>9482</v>
      </c>
      <c r="C4118" t="s">
        <v>104</v>
      </c>
      <c r="D4118" t="s">
        <v>809</v>
      </c>
      <c r="E4118" t="s">
        <v>9483</v>
      </c>
    </row>
    <row r="4119" spans="1:5" x14ac:dyDescent="0.2">
      <c r="A4119" t="s">
        <v>8183</v>
      </c>
      <c r="B4119" t="s">
        <v>8184</v>
      </c>
      <c r="C4119" t="s">
        <v>104</v>
      </c>
      <c r="D4119" t="s">
        <v>237</v>
      </c>
      <c r="E4119" t="s">
        <v>9384</v>
      </c>
    </row>
    <row r="4120" spans="1:5" x14ac:dyDescent="0.2">
      <c r="A4120" t="s">
        <v>8185</v>
      </c>
      <c r="B4120" t="s">
        <v>8186</v>
      </c>
      <c r="C4120" t="s">
        <v>104</v>
      </c>
      <c r="D4120" t="s">
        <v>237</v>
      </c>
      <c r="E4120" t="s">
        <v>9384</v>
      </c>
    </row>
    <row r="4121" spans="1:5" x14ac:dyDescent="0.2">
      <c r="A4121" t="s">
        <v>8187</v>
      </c>
      <c r="B4121" t="s">
        <v>8188</v>
      </c>
      <c r="C4121" t="s">
        <v>219</v>
      </c>
      <c r="D4121" t="s">
        <v>840</v>
      </c>
      <c r="E4121" t="s">
        <v>9384</v>
      </c>
    </row>
    <row r="4122" spans="1:5" x14ac:dyDescent="0.2">
      <c r="A4122" t="s">
        <v>8189</v>
      </c>
      <c r="B4122" t="s">
        <v>8190</v>
      </c>
      <c r="C4122" t="s">
        <v>705</v>
      </c>
      <c r="D4122" t="s">
        <v>539</v>
      </c>
      <c r="E4122" t="s">
        <v>9384</v>
      </c>
    </row>
    <row r="4123" spans="1:5" x14ac:dyDescent="0.2">
      <c r="A4123" t="s">
        <v>8191</v>
      </c>
      <c r="B4123" t="s">
        <v>8192</v>
      </c>
      <c r="C4123" t="s">
        <v>705</v>
      </c>
      <c r="D4123" t="s">
        <v>539</v>
      </c>
      <c r="E4123" t="s">
        <v>9384</v>
      </c>
    </row>
    <row r="4124" spans="1:5" x14ac:dyDescent="0.2">
      <c r="A4124" t="s">
        <v>8193</v>
      </c>
      <c r="B4124" t="s">
        <v>8194</v>
      </c>
      <c r="C4124" t="s">
        <v>131</v>
      </c>
      <c r="D4124" t="s">
        <v>441</v>
      </c>
      <c r="E4124" t="s">
        <v>9384</v>
      </c>
    </row>
    <row r="4125" spans="1:5" x14ac:dyDescent="0.2">
      <c r="A4125" t="s">
        <v>8195</v>
      </c>
      <c r="B4125" t="s">
        <v>8196</v>
      </c>
      <c r="C4125" t="s">
        <v>131</v>
      </c>
      <c r="D4125" t="s">
        <v>441</v>
      </c>
      <c r="E4125" t="s">
        <v>9384</v>
      </c>
    </row>
    <row r="4126" spans="1:5" x14ac:dyDescent="0.2">
      <c r="A4126" t="s">
        <v>8197</v>
      </c>
      <c r="B4126" t="s">
        <v>8198</v>
      </c>
      <c r="C4126" t="s">
        <v>120</v>
      </c>
      <c r="D4126" t="s">
        <v>778</v>
      </c>
      <c r="E4126" t="s">
        <v>9384</v>
      </c>
    </row>
    <row r="4127" spans="1:5" x14ac:dyDescent="0.2">
      <c r="A4127" t="s">
        <v>8199</v>
      </c>
      <c r="B4127" t="s">
        <v>8200</v>
      </c>
      <c r="C4127" t="s">
        <v>120</v>
      </c>
      <c r="D4127" t="s">
        <v>778</v>
      </c>
      <c r="E4127" t="s">
        <v>9384</v>
      </c>
    </row>
    <row r="4128" spans="1:5" x14ac:dyDescent="0.2">
      <c r="A4128" t="s">
        <v>8204</v>
      </c>
      <c r="B4128" t="s">
        <v>9484</v>
      </c>
      <c r="C4128" t="s">
        <v>131</v>
      </c>
      <c r="D4128" t="s">
        <v>842</v>
      </c>
      <c r="E4128" t="s">
        <v>9483</v>
      </c>
    </row>
    <row r="4129" spans="1:5" x14ac:dyDescent="0.2">
      <c r="A4129" t="s">
        <v>8205</v>
      </c>
      <c r="B4129" t="s">
        <v>9485</v>
      </c>
      <c r="C4129" t="s">
        <v>131</v>
      </c>
      <c r="D4129" t="s">
        <v>200</v>
      </c>
      <c r="E4129" t="s">
        <v>9483</v>
      </c>
    </row>
    <row r="4130" spans="1:5" x14ac:dyDescent="0.2">
      <c r="A4130" t="s">
        <v>8206</v>
      </c>
      <c r="B4130" t="s">
        <v>9486</v>
      </c>
      <c r="C4130" t="s">
        <v>131</v>
      </c>
      <c r="D4130" t="s">
        <v>200</v>
      </c>
      <c r="E4130" t="s">
        <v>9483</v>
      </c>
    </row>
    <row r="4131" spans="1:5" x14ac:dyDescent="0.2">
      <c r="A4131" t="s">
        <v>8202</v>
      </c>
      <c r="B4131" t="s">
        <v>8203</v>
      </c>
      <c r="C4131" t="s">
        <v>251</v>
      </c>
      <c r="D4131" t="s">
        <v>1793</v>
      </c>
      <c r="E4131" t="s">
        <v>9384</v>
      </c>
    </row>
    <row r="4132" spans="1:5" x14ac:dyDescent="0.2">
      <c r="A4132" t="s">
        <v>8147</v>
      </c>
      <c r="B4132" t="s">
        <v>8148</v>
      </c>
      <c r="C4132" t="s">
        <v>322</v>
      </c>
      <c r="D4132" t="s">
        <v>462</v>
      </c>
      <c r="E4132" t="s">
        <v>5009</v>
      </c>
    </row>
    <row r="4133" spans="1:5" x14ac:dyDescent="0.2">
      <c r="A4133" t="s">
        <v>8149</v>
      </c>
      <c r="B4133" t="s">
        <v>8150</v>
      </c>
      <c r="C4133" t="s">
        <v>322</v>
      </c>
      <c r="D4133" t="s">
        <v>462</v>
      </c>
      <c r="E4133" t="s">
        <v>5009</v>
      </c>
    </row>
    <row r="4134" spans="1:5" x14ac:dyDescent="0.2">
      <c r="A4134" t="s">
        <v>8151</v>
      </c>
      <c r="B4134" t="s">
        <v>8152</v>
      </c>
      <c r="C4134" t="s">
        <v>322</v>
      </c>
      <c r="D4134" t="s">
        <v>604</v>
      </c>
      <c r="E4134" t="s">
        <v>5009</v>
      </c>
    </row>
    <row r="4135" spans="1:5" x14ac:dyDescent="0.2">
      <c r="A4135" t="s">
        <v>8153</v>
      </c>
      <c r="B4135" t="s">
        <v>8154</v>
      </c>
      <c r="C4135" t="s">
        <v>322</v>
      </c>
      <c r="D4135" t="s">
        <v>604</v>
      </c>
      <c r="E4135" t="s">
        <v>5009</v>
      </c>
    </row>
    <row r="4136" spans="1:5" x14ac:dyDescent="0.2">
      <c r="A4136" t="s">
        <v>8159</v>
      </c>
      <c r="B4136" t="s">
        <v>8160</v>
      </c>
      <c r="C4136" t="s">
        <v>251</v>
      </c>
      <c r="D4136" t="s">
        <v>422</v>
      </c>
      <c r="E4136" t="s">
        <v>5009</v>
      </c>
    </row>
    <row r="4137" spans="1:5" x14ac:dyDescent="0.2">
      <c r="A4137" t="s">
        <v>8161</v>
      </c>
      <c r="B4137" t="s">
        <v>8162</v>
      </c>
      <c r="C4137" t="s">
        <v>251</v>
      </c>
      <c r="D4137" t="s">
        <v>422</v>
      </c>
      <c r="E4137" t="s">
        <v>5009</v>
      </c>
    </row>
    <row r="4138" spans="1:5" x14ac:dyDescent="0.2">
      <c r="A4138" t="s">
        <v>8163</v>
      </c>
      <c r="B4138" t="s">
        <v>8164</v>
      </c>
      <c r="C4138" t="s">
        <v>251</v>
      </c>
      <c r="D4138" t="s">
        <v>99</v>
      </c>
      <c r="E4138" t="s">
        <v>5009</v>
      </c>
    </row>
    <row r="4139" spans="1:5" x14ac:dyDescent="0.2">
      <c r="A4139" t="s">
        <v>8165</v>
      </c>
      <c r="B4139" t="s">
        <v>8166</v>
      </c>
      <c r="C4139" t="s">
        <v>199</v>
      </c>
      <c r="D4139" t="s">
        <v>809</v>
      </c>
      <c r="E4139" t="s">
        <v>9384</v>
      </c>
    </row>
    <row r="4140" spans="1:5" x14ac:dyDescent="0.2">
      <c r="A4140" t="s">
        <v>8167</v>
      </c>
      <c r="B4140" t="s">
        <v>8168</v>
      </c>
      <c r="C4140" t="s">
        <v>199</v>
      </c>
      <c r="D4140" t="s">
        <v>535</v>
      </c>
      <c r="E4140" t="s">
        <v>9384</v>
      </c>
    </row>
    <row r="4141" spans="1:5" x14ac:dyDescent="0.2">
      <c r="A4141" t="s">
        <v>8169</v>
      </c>
      <c r="B4141" t="s">
        <v>8170</v>
      </c>
      <c r="C4141" t="s">
        <v>92</v>
      </c>
      <c r="D4141" t="s">
        <v>778</v>
      </c>
      <c r="E4141" t="s">
        <v>9384</v>
      </c>
    </row>
    <row r="4142" spans="1:5" x14ac:dyDescent="0.2">
      <c r="A4142" t="s">
        <v>8171</v>
      </c>
      <c r="B4142" t="s">
        <v>8172</v>
      </c>
      <c r="C4142" t="s">
        <v>199</v>
      </c>
      <c r="D4142" t="s">
        <v>710</v>
      </c>
      <c r="E4142" t="s">
        <v>9384</v>
      </c>
    </row>
    <row r="4143" spans="1:5" x14ac:dyDescent="0.2">
      <c r="A4143" t="s">
        <v>8173</v>
      </c>
      <c r="B4143" t="s">
        <v>8174</v>
      </c>
      <c r="C4143" t="s">
        <v>199</v>
      </c>
      <c r="D4143" t="s">
        <v>710</v>
      </c>
      <c r="E4143" t="s">
        <v>9384</v>
      </c>
    </row>
    <row r="4144" spans="1:5" x14ac:dyDescent="0.2">
      <c r="A4144" t="s">
        <v>8207</v>
      </c>
      <c r="B4144" t="s">
        <v>8208</v>
      </c>
      <c r="C4144" t="s">
        <v>92</v>
      </c>
      <c r="D4144" t="s">
        <v>156</v>
      </c>
      <c r="E4144" t="s">
        <v>2473</v>
      </c>
    </row>
    <row r="4145" spans="1:5" x14ac:dyDescent="0.2">
      <c r="A4145" t="s">
        <v>8209</v>
      </c>
      <c r="B4145" t="s">
        <v>8210</v>
      </c>
      <c r="C4145" t="s">
        <v>92</v>
      </c>
      <c r="D4145" t="s">
        <v>156</v>
      </c>
      <c r="E4145" t="s">
        <v>2473</v>
      </c>
    </row>
    <row r="4146" spans="1:5" x14ac:dyDescent="0.2">
      <c r="A4146" t="s">
        <v>8211</v>
      </c>
      <c r="B4146" t="s">
        <v>8212</v>
      </c>
      <c r="C4146" t="s">
        <v>2471</v>
      </c>
      <c r="D4146" t="s">
        <v>200</v>
      </c>
      <c r="E4146" t="s">
        <v>2473</v>
      </c>
    </row>
    <row r="4147" spans="1:5" x14ac:dyDescent="0.2">
      <c r="A4147" t="s">
        <v>8213</v>
      </c>
      <c r="B4147" t="s">
        <v>8214</v>
      </c>
      <c r="C4147" t="s">
        <v>2471</v>
      </c>
      <c r="D4147" t="s">
        <v>200</v>
      </c>
      <c r="E4147" t="s">
        <v>2473</v>
      </c>
    </row>
    <row r="4148" spans="1:5" x14ac:dyDescent="0.2">
      <c r="A4148" t="s">
        <v>8215</v>
      </c>
      <c r="B4148" t="s">
        <v>8216</v>
      </c>
      <c r="C4148" t="s">
        <v>2471</v>
      </c>
      <c r="D4148" t="s">
        <v>456</v>
      </c>
      <c r="E4148" t="s">
        <v>2473</v>
      </c>
    </row>
    <row r="4149" spans="1:5" x14ac:dyDescent="0.2">
      <c r="A4149" t="s">
        <v>8217</v>
      </c>
      <c r="B4149" t="s">
        <v>8218</v>
      </c>
      <c r="C4149" t="s">
        <v>2471</v>
      </c>
      <c r="D4149" t="s">
        <v>456</v>
      </c>
      <c r="E4149" t="s">
        <v>2473</v>
      </c>
    </row>
    <row r="4150" spans="1:5" x14ac:dyDescent="0.2">
      <c r="A4150" t="s">
        <v>8219</v>
      </c>
      <c r="B4150" t="s">
        <v>8220</v>
      </c>
      <c r="C4150" t="s">
        <v>92</v>
      </c>
      <c r="D4150" t="s">
        <v>200</v>
      </c>
      <c r="E4150" t="s">
        <v>2473</v>
      </c>
    </row>
    <row r="4151" spans="1:5" x14ac:dyDescent="0.2">
      <c r="A4151" t="s">
        <v>8221</v>
      </c>
      <c r="B4151" t="s">
        <v>8222</v>
      </c>
      <c r="C4151" t="s">
        <v>92</v>
      </c>
      <c r="D4151" t="s">
        <v>200</v>
      </c>
      <c r="E4151" t="s">
        <v>2473</v>
      </c>
    </row>
    <row r="4152" spans="1:5" x14ac:dyDescent="0.2">
      <c r="A4152" t="s">
        <v>8223</v>
      </c>
      <c r="B4152" t="s">
        <v>8224</v>
      </c>
      <c r="C4152" t="s">
        <v>92</v>
      </c>
      <c r="D4152" t="s">
        <v>456</v>
      </c>
      <c r="E4152" t="s">
        <v>2473</v>
      </c>
    </row>
    <row r="4153" spans="1:5" x14ac:dyDescent="0.2">
      <c r="A4153" t="s">
        <v>8225</v>
      </c>
      <c r="B4153" t="s">
        <v>8226</v>
      </c>
      <c r="C4153" t="s">
        <v>92</v>
      </c>
      <c r="D4153" t="s">
        <v>456</v>
      </c>
      <c r="E4153" t="s">
        <v>2473</v>
      </c>
    </row>
    <row r="4154" spans="1:5" x14ac:dyDescent="0.2">
      <c r="A4154" t="s">
        <v>8227</v>
      </c>
      <c r="B4154" t="s">
        <v>8228</v>
      </c>
      <c r="C4154" t="s">
        <v>219</v>
      </c>
      <c r="D4154" t="s">
        <v>840</v>
      </c>
      <c r="E4154" t="s">
        <v>2473</v>
      </c>
    </row>
    <row r="4155" spans="1:5" x14ac:dyDescent="0.2">
      <c r="A4155" t="s">
        <v>8229</v>
      </c>
      <c r="B4155" t="s">
        <v>8230</v>
      </c>
      <c r="C4155" t="s">
        <v>219</v>
      </c>
      <c r="D4155" t="s">
        <v>171</v>
      </c>
      <c r="E4155" t="s">
        <v>2473</v>
      </c>
    </row>
    <row r="4156" spans="1:5" x14ac:dyDescent="0.2">
      <c r="A4156" t="s">
        <v>8231</v>
      </c>
      <c r="B4156" t="s">
        <v>8232</v>
      </c>
      <c r="C4156" t="s">
        <v>219</v>
      </c>
      <c r="D4156" t="s">
        <v>171</v>
      </c>
      <c r="E4156" t="s">
        <v>2473</v>
      </c>
    </row>
    <row r="4157" spans="1:5" x14ac:dyDescent="0.2">
      <c r="A4157" t="s">
        <v>8233</v>
      </c>
      <c r="B4157" t="s">
        <v>8234</v>
      </c>
      <c r="C4157" t="s">
        <v>421</v>
      </c>
      <c r="D4157" t="s">
        <v>126</v>
      </c>
      <c r="E4157" t="s">
        <v>1348</v>
      </c>
    </row>
    <row r="4158" spans="1:5" x14ac:dyDescent="0.2">
      <c r="A4158" t="s">
        <v>8235</v>
      </c>
      <c r="B4158" t="s">
        <v>8236</v>
      </c>
      <c r="C4158" t="s">
        <v>421</v>
      </c>
      <c r="D4158" t="s">
        <v>126</v>
      </c>
      <c r="E4158" t="s">
        <v>1348</v>
      </c>
    </row>
    <row r="4159" spans="1:5" x14ac:dyDescent="0.2">
      <c r="A4159" t="s">
        <v>8237</v>
      </c>
      <c r="B4159" t="s">
        <v>8238</v>
      </c>
      <c r="C4159" t="s">
        <v>92</v>
      </c>
      <c r="D4159" t="s">
        <v>1319</v>
      </c>
      <c r="E4159" t="s">
        <v>2473</v>
      </c>
    </row>
    <row r="4160" spans="1:5" x14ac:dyDescent="0.2">
      <c r="A4160" t="s">
        <v>8239</v>
      </c>
      <c r="B4160" t="s">
        <v>8240</v>
      </c>
      <c r="C4160" t="s">
        <v>92</v>
      </c>
      <c r="D4160" t="s">
        <v>1319</v>
      </c>
      <c r="E4160" t="s">
        <v>2473</v>
      </c>
    </row>
    <row r="4161" spans="1:5" x14ac:dyDescent="0.2">
      <c r="A4161" t="s">
        <v>8241</v>
      </c>
      <c r="B4161" t="s">
        <v>8242</v>
      </c>
      <c r="C4161" t="s">
        <v>212</v>
      </c>
      <c r="D4161" t="s">
        <v>1319</v>
      </c>
      <c r="E4161" t="s">
        <v>2473</v>
      </c>
    </row>
    <row r="4162" spans="1:5" x14ac:dyDescent="0.2">
      <c r="A4162" t="s">
        <v>8243</v>
      </c>
      <c r="B4162" t="s">
        <v>8244</v>
      </c>
      <c r="C4162" t="s">
        <v>212</v>
      </c>
      <c r="D4162" t="s">
        <v>1319</v>
      </c>
      <c r="E4162" t="s">
        <v>2473</v>
      </c>
    </row>
    <row r="4163" spans="1:5" x14ac:dyDescent="0.2">
      <c r="A4163" t="s">
        <v>8245</v>
      </c>
      <c r="B4163" t="s">
        <v>8246</v>
      </c>
      <c r="C4163" t="s">
        <v>212</v>
      </c>
      <c r="D4163" t="s">
        <v>383</v>
      </c>
      <c r="E4163" t="s">
        <v>2473</v>
      </c>
    </row>
    <row r="4164" spans="1:5" x14ac:dyDescent="0.2">
      <c r="A4164" t="s">
        <v>8247</v>
      </c>
      <c r="B4164" t="s">
        <v>8248</v>
      </c>
      <c r="C4164" t="s">
        <v>212</v>
      </c>
      <c r="D4164" t="s">
        <v>383</v>
      </c>
      <c r="E4164" t="s">
        <v>2473</v>
      </c>
    </row>
    <row r="4165" spans="1:5" x14ac:dyDescent="0.2">
      <c r="A4165" t="s">
        <v>8249</v>
      </c>
      <c r="B4165" t="s">
        <v>8250</v>
      </c>
      <c r="C4165" t="s">
        <v>212</v>
      </c>
      <c r="D4165" t="s">
        <v>412</v>
      </c>
      <c r="E4165" t="s">
        <v>2473</v>
      </c>
    </row>
    <row r="4166" spans="1:5" x14ac:dyDescent="0.2">
      <c r="A4166" t="s">
        <v>8251</v>
      </c>
      <c r="B4166" t="s">
        <v>8252</v>
      </c>
      <c r="C4166" t="s">
        <v>212</v>
      </c>
      <c r="D4166" t="s">
        <v>412</v>
      </c>
      <c r="E4166" t="s">
        <v>2473</v>
      </c>
    </row>
    <row r="4167" spans="1:5" x14ac:dyDescent="0.2">
      <c r="A4167" t="s">
        <v>8253</v>
      </c>
      <c r="B4167" t="s">
        <v>8254</v>
      </c>
      <c r="C4167" t="s">
        <v>92</v>
      </c>
      <c r="D4167" t="s">
        <v>383</v>
      </c>
      <c r="E4167" t="s">
        <v>2473</v>
      </c>
    </row>
    <row r="4168" spans="1:5" x14ac:dyDescent="0.2">
      <c r="A4168" t="s">
        <v>8255</v>
      </c>
      <c r="B4168" t="s">
        <v>8256</v>
      </c>
      <c r="C4168" t="s">
        <v>92</v>
      </c>
      <c r="D4168" t="s">
        <v>383</v>
      </c>
      <c r="E4168" t="s">
        <v>2473</v>
      </c>
    </row>
    <row r="4169" spans="1:5" x14ac:dyDescent="0.2">
      <c r="A4169" t="s">
        <v>8257</v>
      </c>
      <c r="B4169" t="s">
        <v>8258</v>
      </c>
      <c r="C4169" t="s">
        <v>92</v>
      </c>
      <c r="D4169" t="s">
        <v>412</v>
      </c>
      <c r="E4169" t="s">
        <v>2473</v>
      </c>
    </row>
    <row r="4170" spans="1:5" x14ac:dyDescent="0.2">
      <c r="A4170" t="s">
        <v>8259</v>
      </c>
      <c r="B4170" t="s">
        <v>8260</v>
      </c>
      <c r="C4170" t="s">
        <v>92</v>
      </c>
      <c r="D4170" t="s">
        <v>412</v>
      </c>
      <c r="E4170" t="s">
        <v>2473</v>
      </c>
    </row>
    <row r="4171" spans="1:5" x14ac:dyDescent="0.2">
      <c r="A4171" t="s">
        <v>8261</v>
      </c>
      <c r="B4171" t="s">
        <v>8262</v>
      </c>
      <c r="C4171" t="s">
        <v>287</v>
      </c>
      <c r="D4171" t="s">
        <v>262</v>
      </c>
      <c r="E4171" t="s">
        <v>2316</v>
      </c>
    </row>
    <row r="4172" spans="1:5" x14ac:dyDescent="0.2">
      <c r="A4172" t="s">
        <v>8263</v>
      </c>
      <c r="B4172" t="s">
        <v>8264</v>
      </c>
      <c r="C4172" t="s">
        <v>287</v>
      </c>
      <c r="D4172" t="s">
        <v>262</v>
      </c>
      <c r="E4172" t="s">
        <v>2316</v>
      </c>
    </row>
    <row r="4173" spans="1:5" x14ac:dyDescent="0.2">
      <c r="A4173" t="s">
        <v>8265</v>
      </c>
      <c r="B4173" t="s">
        <v>8266</v>
      </c>
      <c r="C4173" t="s">
        <v>287</v>
      </c>
      <c r="D4173" t="s">
        <v>241</v>
      </c>
      <c r="E4173" t="s">
        <v>1348</v>
      </c>
    </row>
    <row r="4174" spans="1:5" x14ac:dyDescent="0.2">
      <c r="A4174" t="s">
        <v>8267</v>
      </c>
      <c r="B4174" t="s">
        <v>8268</v>
      </c>
      <c r="C4174" t="s">
        <v>287</v>
      </c>
      <c r="D4174" t="s">
        <v>241</v>
      </c>
      <c r="E4174" t="s">
        <v>1348</v>
      </c>
    </row>
    <row r="4175" spans="1:5" x14ac:dyDescent="0.2">
      <c r="A4175" t="s">
        <v>8269</v>
      </c>
      <c r="B4175" t="s">
        <v>8270</v>
      </c>
      <c r="C4175" t="s">
        <v>287</v>
      </c>
      <c r="D4175" t="s">
        <v>241</v>
      </c>
      <c r="E4175" t="s">
        <v>1348</v>
      </c>
    </row>
    <row r="4176" spans="1:5" x14ac:dyDescent="0.2">
      <c r="A4176" t="s">
        <v>8271</v>
      </c>
      <c r="B4176" t="s">
        <v>8272</v>
      </c>
      <c r="C4176" t="s">
        <v>287</v>
      </c>
      <c r="D4176" t="s">
        <v>241</v>
      </c>
      <c r="E4176" t="s">
        <v>1348</v>
      </c>
    </row>
    <row r="4177" spans="1:5" x14ac:dyDescent="0.2">
      <c r="A4177" t="s">
        <v>8273</v>
      </c>
      <c r="B4177" t="s">
        <v>8274</v>
      </c>
      <c r="C4177" t="s">
        <v>287</v>
      </c>
      <c r="D4177" t="s">
        <v>241</v>
      </c>
      <c r="E4177" t="s">
        <v>1348</v>
      </c>
    </row>
    <row r="4178" spans="1:5" x14ac:dyDescent="0.2">
      <c r="A4178" t="s">
        <v>8275</v>
      </c>
      <c r="B4178" t="s">
        <v>8276</v>
      </c>
      <c r="C4178" t="s">
        <v>591</v>
      </c>
      <c r="D4178" t="s">
        <v>845</v>
      </c>
      <c r="E4178" t="s">
        <v>1348</v>
      </c>
    </row>
    <row r="4179" spans="1:5" x14ac:dyDescent="0.2">
      <c r="A4179" t="s">
        <v>8277</v>
      </c>
      <c r="B4179" t="s">
        <v>8278</v>
      </c>
      <c r="C4179" t="s">
        <v>591</v>
      </c>
      <c r="D4179" t="s">
        <v>368</v>
      </c>
      <c r="E4179" t="s">
        <v>1348</v>
      </c>
    </row>
    <row r="4180" spans="1:5" x14ac:dyDescent="0.2">
      <c r="A4180" t="s">
        <v>8279</v>
      </c>
      <c r="B4180" t="s">
        <v>8280</v>
      </c>
      <c r="C4180" t="s">
        <v>591</v>
      </c>
      <c r="D4180" t="s">
        <v>368</v>
      </c>
      <c r="E4180" t="s">
        <v>1348</v>
      </c>
    </row>
    <row r="4181" spans="1:5" x14ac:dyDescent="0.2">
      <c r="A4181" t="s">
        <v>8281</v>
      </c>
      <c r="B4181" t="s">
        <v>8282</v>
      </c>
      <c r="C4181" t="s">
        <v>591</v>
      </c>
      <c r="D4181" t="s">
        <v>368</v>
      </c>
      <c r="E4181" t="s">
        <v>1348</v>
      </c>
    </row>
    <row r="4182" spans="1:5" x14ac:dyDescent="0.2">
      <c r="A4182" t="s">
        <v>8283</v>
      </c>
      <c r="B4182" t="s">
        <v>8284</v>
      </c>
      <c r="C4182" t="s">
        <v>591</v>
      </c>
      <c r="D4182" t="s">
        <v>368</v>
      </c>
      <c r="E4182" t="s">
        <v>1348</v>
      </c>
    </row>
    <row r="4183" spans="1:5" x14ac:dyDescent="0.2">
      <c r="A4183" t="s">
        <v>8285</v>
      </c>
      <c r="B4183" t="s">
        <v>8286</v>
      </c>
      <c r="C4183" t="s">
        <v>591</v>
      </c>
      <c r="D4183" t="s">
        <v>6665</v>
      </c>
      <c r="E4183" t="s">
        <v>1348</v>
      </c>
    </row>
    <row r="4184" spans="1:5" x14ac:dyDescent="0.2">
      <c r="A4184" t="s">
        <v>8287</v>
      </c>
      <c r="B4184" t="s">
        <v>8288</v>
      </c>
      <c r="C4184" t="s">
        <v>591</v>
      </c>
      <c r="D4184" t="s">
        <v>6665</v>
      </c>
      <c r="E4184" t="s">
        <v>1348</v>
      </c>
    </row>
    <row r="4185" spans="1:5" x14ac:dyDescent="0.2">
      <c r="A4185" t="s">
        <v>8289</v>
      </c>
      <c r="B4185" t="s">
        <v>8290</v>
      </c>
      <c r="C4185" t="s">
        <v>591</v>
      </c>
      <c r="D4185" t="s">
        <v>6665</v>
      </c>
      <c r="E4185" t="s">
        <v>1348</v>
      </c>
    </row>
    <row r="4186" spans="1:5" x14ac:dyDescent="0.2">
      <c r="A4186" t="s">
        <v>8291</v>
      </c>
      <c r="B4186" t="s">
        <v>8292</v>
      </c>
      <c r="C4186" t="s">
        <v>591</v>
      </c>
      <c r="D4186" t="s">
        <v>6665</v>
      </c>
      <c r="E4186" t="s">
        <v>1348</v>
      </c>
    </row>
    <row r="4187" spans="1:5" x14ac:dyDescent="0.2">
      <c r="A4187" t="s">
        <v>8294</v>
      </c>
      <c r="B4187" t="s">
        <v>8295</v>
      </c>
      <c r="C4187" t="s">
        <v>219</v>
      </c>
      <c r="D4187" t="s">
        <v>888</v>
      </c>
      <c r="E4187" t="s">
        <v>8293</v>
      </c>
    </row>
    <row r="4188" spans="1:5" x14ac:dyDescent="0.2">
      <c r="A4188" t="s">
        <v>8296</v>
      </c>
      <c r="B4188" t="s">
        <v>8297</v>
      </c>
      <c r="C4188" t="s">
        <v>131</v>
      </c>
      <c r="D4188" t="s">
        <v>422</v>
      </c>
      <c r="E4188" t="s">
        <v>8293</v>
      </c>
    </row>
    <row r="4189" spans="1:5" x14ac:dyDescent="0.2">
      <c r="A4189" t="s">
        <v>8298</v>
      </c>
      <c r="B4189" t="s">
        <v>8299</v>
      </c>
      <c r="C4189" t="s">
        <v>104</v>
      </c>
      <c r="D4189" t="s">
        <v>480</v>
      </c>
      <c r="E4189" t="s">
        <v>9487</v>
      </c>
    </row>
    <row r="4190" spans="1:5" x14ac:dyDescent="0.2">
      <c r="A4190" t="s">
        <v>8300</v>
      </c>
      <c r="B4190" t="s">
        <v>8301</v>
      </c>
      <c r="C4190" t="s">
        <v>104</v>
      </c>
      <c r="D4190" t="s">
        <v>480</v>
      </c>
      <c r="E4190" t="s">
        <v>9487</v>
      </c>
    </row>
    <row r="4191" spans="1:5" x14ac:dyDescent="0.2">
      <c r="A4191" t="s">
        <v>67</v>
      </c>
      <c r="B4191" t="s">
        <v>8302</v>
      </c>
      <c r="C4191" t="s">
        <v>331</v>
      </c>
      <c r="D4191" t="s">
        <v>299</v>
      </c>
      <c r="E4191" t="s">
        <v>8293</v>
      </c>
    </row>
    <row r="4192" spans="1:5" x14ac:dyDescent="0.2">
      <c r="A4192" t="s">
        <v>8303</v>
      </c>
      <c r="B4192" t="s">
        <v>9488</v>
      </c>
      <c r="C4192" t="s">
        <v>421</v>
      </c>
      <c r="D4192" t="s">
        <v>734</v>
      </c>
      <c r="E4192" t="s">
        <v>8293</v>
      </c>
    </row>
    <row r="4193" spans="1:5" x14ac:dyDescent="0.2">
      <c r="A4193" t="s">
        <v>8304</v>
      </c>
      <c r="B4193" t="s">
        <v>9489</v>
      </c>
      <c r="C4193" t="s">
        <v>421</v>
      </c>
      <c r="D4193" t="s">
        <v>734</v>
      </c>
      <c r="E4193" t="s">
        <v>8293</v>
      </c>
    </row>
    <row r="4194" spans="1:5" x14ac:dyDescent="0.2">
      <c r="A4194" t="s">
        <v>8305</v>
      </c>
      <c r="B4194" t="s">
        <v>8306</v>
      </c>
      <c r="C4194" t="s">
        <v>219</v>
      </c>
      <c r="D4194" t="s">
        <v>681</v>
      </c>
      <c r="E4194" t="s">
        <v>8293</v>
      </c>
    </row>
    <row r="4195" spans="1:5" x14ac:dyDescent="0.2">
      <c r="A4195" t="s">
        <v>8307</v>
      </c>
      <c r="B4195" t="s">
        <v>8308</v>
      </c>
      <c r="C4195" t="s">
        <v>219</v>
      </c>
      <c r="D4195" t="s">
        <v>350</v>
      </c>
      <c r="E4195" t="s">
        <v>8293</v>
      </c>
    </row>
    <row r="4196" spans="1:5" x14ac:dyDescent="0.2">
      <c r="A4196" t="s">
        <v>8309</v>
      </c>
      <c r="B4196" t="s">
        <v>8310</v>
      </c>
      <c r="C4196" t="s">
        <v>104</v>
      </c>
      <c r="D4196" t="s">
        <v>394</v>
      </c>
      <c r="E4196" t="s">
        <v>9490</v>
      </c>
    </row>
    <row r="4197" spans="1:5" x14ac:dyDescent="0.2">
      <c r="A4197" t="s">
        <v>8311</v>
      </c>
      <c r="B4197" t="s">
        <v>8312</v>
      </c>
      <c r="C4197" t="s">
        <v>104</v>
      </c>
      <c r="D4197" t="s">
        <v>299</v>
      </c>
      <c r="E4197" t="s">
        <v>8293</v>
      </c>
    </row>
    <row r="4198" spans="1:5" x14ac:dyDescent="0.2">
      <c r="A4198" t="s">
        <v>8313</v>
      </c>
      <c r="B4198" t="s">
        <v>8314</v>
      </c>
      <c r="C4198" t="s">
        <v>399</v>
      </c>
      <c r="D4198" t="s">
        <v>3100</v>
      </c>
      <c r="E4198" t="s">
        <v>8293</v>
      </c>
    </row>
    <row r="4199" spans="1:5" x14ac:dyDescent="0.2">
      <c r="A4199" t="s">
        <v>8315</v>
      </c>
      <c r="B4199" t="s">
        <v>8316</v>
      </c>
      <c r="C4199" t="s">
        <v>399</v>
      </c>
      <c r="D4199" t="s">
        <v>3100</v>
      </c>
      <c r="E4199" t="s">
        <v>8293</v>
      </c>
    </row>
    <row r="4200" spans="1:5" x14ac:dyDescent="0.2">
      <c r="A4200" t="s">
        <v>8317</v>
      </c>
      <c r="B4200" t="s">
        <v>8318</v>
      </c>
      <c r="C4200" t="s">
        <v>244</v>
      </c>
      <c r="D4200" t="s">
        <v>1587</v>
      </c>
      <c r="E4200" t="s">
        <v>9411</v>
      </c>
    </row>
    <row r="4201" spans="1:5" x14ac:dyDescent="0.2">
      <c r="A4201" t="s">
        <v>8319</v>
      </c>
      <c r="B4201" t="s">
        <v>8320</v>
      </c>
      <c r="C4201" t="s">
        <v>244</v>
      </c>
      <c r="D4201" t="s">
        <v>1587</v>
      </c>
      <c r="E4201" t="s">
        <v>9411</v>
      </c>
    </row>
    <row r="4202" spans="1:5" x14ac:dyDescent="0.2">
      <c r="A4202" t="s">
        <v>8321</v>
      </c>
      <c r="B4202" t="s">
        <v>8322</v>
      </c>
      <c r="C4202" t="s">
        <v>212</v>
      </c>
      <c r="D4202" t="s">
        <v>394</v>
      </c>
      <c r="E4202" t="s">
        <v>8293</v>
      </c>
    </row>
    <row r="4203" spans="1:5" x14ac:dyDescent="0.2">
      <c r="A4203" t="s">
        <v>8323</v>
      </c>
      <c r="B4203" t="s">
        <v>8324</v>
      </c>
      <c r="C4203" t="s">
        <v>212</v>
      </c>
      <c r="D4203" t="s">
        <v>394</v>
      </c>
      <c r="E4203" t="s">
        <v>8293</v>
      </c>
    </row>
    <row r="4204" spans="1:5" x14ac:dyDescent="0.2">
      <c r="A4204" t="s">
        <v>8325</v>
      </c>
      <c r="B4204" t="s">
        <v>8326</v>
      </c>
      <c r="C4204" t="s">
        <v>399</v>
      </c>
      <c r="D4204" t="s">
        <v>400</v>
      </c>
      <c r="E4204" t="s">
        <v>8293</v>
      </c>
    </row>
    <row r="4205" spans="1:5" x14ac:dyDescent="0.2">
      <c r="A4205" t="s">
        <v>8327</v>
      </c>
      <c r="B4205" t="s">
        <v>8328</v>
      </c>
      <c r="C4205" t="s">
        <v>399</v>
      </c>
      <c r="D4205" t="s">
        <v>422</v>
      </c>
      <c r="E4205" t="s">
        <v>8293</v>
      </c>
    </row>
    <row r="4206" spans="1:5" x14ac:dyDescent="0.2">
      <c r="A4206" t="s">
        <v>8329</v>
      </c>
      <c r="B4206" t="s">
        <v>8330</v>
      </c>
      <c r="C4206" t="s">
        <v>92</v>
      </c>
      <c r="D4206" t="s">
        <v>427</v>
      </c>
      <c r="E4206" t="s">
        <v>8331</v>
      </c>
    </row>
    <row r="4207" spans="1:5" x14ac:dyDescent="0.2">
      <c r="A4207" t="s">
        <v>8332</v>
      </c>
      <c r="B4207" t="s">
        <v>8333</v>
      </c>
      <c r="C4207" t="s">
        <v>92</v>
      </c>
      <c r="D4207" t="s">
        <v>422</v>
      </c>
      <c r="E4207" t="s">
        <v>8331</v>
      </c>
    </row>
    <row r="4208" spans="1:5" x14ac:dyDescent="0.2">
      <c r="A4208" t="s">
        <v>8334</v>
      </c>
      <c r="B4208" t="s">
        <v>8335</v>
      </c>
      <c r="C4208" t="s">
        <v>251</v>
      </c>
      <c r="D4208" t="s">
        <v>323</v>
      </c>
      <c r="E4208" t="s">
        <v>8331</v>
      </c>
    </row>
    <row r="4209" spans="1:5" x14ac:dyDescent="0.2">
      <c r="A4209" t="s">
        <v>8336</v>
      </c>
      <c r="B4209" t="s">
        <v>8337</v>
      </c>
      <c r="C4209" t="s">
        <v>251</v>
      </c>
      <c r="D4209" t="s">
        <v>444</v>
      </c>
      <c r="E4209" t="s">
        <v>8331</v>
      </c>
    </row>
    <row r="4210" spans="1:5" x14ac:dyDescent="0.2">
      <c r="A4210" t="s">
        <v>8338</v>
      </c>
      <c r="B4210" t="s">
        <v>8339</v>
      </c>
      <c r="C4210" t="s">
        <v>212</v>
      </c>
      <c r="D4210" t="s">
        <v>258</v>
      </c>
      <c r="E4210" t="s">
        <v>8331</v>
      </c>
    </row>
    <row r="4211" spans="1:5" x14ac:dyDescent="0.2">
      <c r="A4211" t="s">
        <v>8340</v>
      </c>
      <c r="B4211" t="s">
        <v>8341</v>
      </c>
      <c r="C4211" t="s">
        <v>212</v>
      </c>
      <c r="D4211" t="s">
        <v>258</v>
      </c>
      <c r="E4211" t="s">
        <v>8331</v>
      </c>
    </row>
    <row r="4212" spans="1:5" x14ac:dyDescent="0.2">
      <c r="A4212" t="s">
        <v>8342</v>
      </c>
      <c r="B4212" t="s">
        <v>8343</v>
      </c>
      <c r="C4212" t="s">
        <v>251</v>
      </c>
      <c r="D4212" t="s">
        <v>323</v>
      </c>
      <c r="E4212" t="s">
        <v>8331</v>
      </c>
    </row>
    <row r="4213" spans="1:5" x14ac:dyDescent="0.2">
      <c r="A4213" t="s">
        <v>8344</v>
      </c>
      <c r="B4213" t="s">
        <v>8345</v>
      </c>
      <c r="C4213" t="s">
        <v>251</v>
      </c>
      <c r="D4213" t="s">
        <v>444</v>
      </c>
      <c r="E4213" t="s">
        <v>8331</v>
      </c>
    </row>
    <row r="4214" spans="1:5" x14ac:dyDescent="0.2">
      <c r="A4214" t="s">
        <v>8346</v>
      </c>
      <c r="B4214" t="s">
        <v>8347</v>
      </c>
      <c r="C4214" t="s">
        <v>212</v>
      </c>
      <c r="D4214" t="s">
        <v>115</v>
      </c>
      <c r="E4214" t="s">
        <v>8331</v>
      </c>
    </row>
    <row r="4215" spans="1:5" x14ac:dyDescent="0.2">
      <c r="A4215" t="s">
        <v>8348</v>
      </c>
      <c r="B4215" t="s">
        <v>8349</v>
      </c>
      <c r="C4215" t="s">
        <v>212</v>
      </c>
      <c r="D4215" t="s">
        <v>258</v>
      </c>
      <c r="E4215" t="s">
        <v>8331</v>
      </c>
    </row>
    <row r="4216" spans="1:5" x14ac:dyDescent="0.2">
      <c r="A4216" t="s">
        <v>8350</v>
      </c>
      <c r="B4216" t="s">
        <v>8351</v>
      </c>
      <c r="C4216" t="s">
        <v>212</v>
      </c>
      <c r="D4216" t="s">
        <v>258</v>
      </c>
      <c r="E4216" t="s">
        <v>8331</v>
      </c>
    </row>
    <row r="4217" spans="1:5" x14ac:dyDescent="0.2">
      <c r="A4217" t="s">
        <v>8352</v>
      </c>
      <c r="B4217" t="s">
        <v>8353</v>
      </c>
      <c r="C4217" t="s">
        <v>227</v>
      </c>
      <c r="D4217" t="s">
        <v>459</v>
      </c>
      <c r="E4217" t="s">
        <v>8331</v>
      </c>
    </row>
    <row r="4218" spans="1:5" x14ac:dyDescent="0.2">
      <c r="A4218" t="s">
        <v>8354</v>
      </c>
      <c r="B4218" t="s">
        <v>8355</v>
      </c>
      <c r="C4218" t="s">
        <v>227</v>
      </c>
      <c r="D4218" t="s">
        <v>456</v>
      </c>
      <c r="E4218" t="s">
        <v>8331</v>
      </c>
    </row>
    <row r="4219" spans="1:5" x14ac:dyDescent="0.2">
      <c r="A4219" t="s">
        <v>8356</v>
      </c>
      <c r="B4219" t="s">
        <v>8357</v>
      </c>
      <c r="C4219" t="s">
        <v>251</v>
      </c>
      <c r="D4219" t="s">
        <v>588</v>
      </c>
      <c r="E4219" t="s">
        <v>8358</v>
      </c>
    </row>
    <row r="4220" spans="1:5" x14ac:dyDescent="0.2">
      <c r="A4220" t="s">
        <v>8359</v>
      </c>
      <c r="B4220" t="s">
        <v>8360</v>
      </c>
      <c r="C4220" t="s">
        <v>219</v>
      </c>
      <c r="D4220" t="s">
        <v>350</v>
      </c>
      <c r="E4220" t="s">
        <v>7639</v>
      </c>
    </row>
    <row r="4221" spans="1:5" x14ac:dyDescent="0.2">
      <c r="A4221" t="s">
        <v>8361</v>
      </c>
      <c r="B4221" t="s">
        <v>8362</v>
      </c>
      <c r="C4221" t="s">
        <v>219</v>
      </c>
      <c r="D4221" t="s">
        <v>350</v>
      </c>
      <c r="E4221" t="s">
        <v>7639</v>
      </c>
    </row>
    <row r="4222" spans="1:5" x14ac:dyDescent="0.2">
      <c r="A4222" t="s">
        <v>8363</v>
      </c>
      <c r="B4222" t="s">
        <v>8364</v>
      </c>
      <c r="C4222" t="s">
        <v>219</v>
      </c>
      <c r="D4222" t="s">
        <v>714</v>
      </c>
      <c r="E4222" t="s">
        <v>7639</v>
      </c>
    </row>
    <row r="4223" spans="1:5" x14ac:dyDescent="0.2">
      <c r="A4223" t="s">
        <v>8365</v>
      </c>
      <c r="B4223" t="s">
        <v>8366</v>
      </c>
      <c r="C4223" t="s">
        <v>251</v>
      </c>
      <c r="D4223" t="s">
        <v>2699</v>
      </c>
      <c r="E4223" t="s">
        <v>2537</v>
      </c>
    </row>
    <row r="4224" spans="1:5" x14ac:dyDescent="0.2">
      <c r="A4224" t="s">
        <v>8368</v>
      </c>
      <c r="B4224" t="s">
        <v>8369</v>
      </c>
      <c r="C4224" t="s">
        <v>251</v>
      </c>
      <c r="D4224" t="s">
        <v>2699</v>
      </c>
      <c r="E4224" t="s">
        <v>8367</v>
      </c>
    </row>
    <row r="4225" spans="1:5" x14ac:dyDescent="0.2">
      <c r="A4225" t="s">
        <v>8370</v>
      </c>
      <c r="B4225" t="s">
        <v>8371</v>
      </c>
      <c r="C4225" t="s">
        <v>322</v>
      </c>
      <c r="D4225" t="s">
        <v>2712</v>
      </c>
      <c r="E4225" t="s">
        <v>8367</v>
      </c>
    </row>
    <row r="4226" spans="1:5" x14ac:dyDescent="0.2">
      <c r="A4226" t="s">
        <v>8372</v>
      </c>
      <c r="B4226" t="s">
        <v>8373</v>
      </c>
      <c r="C4226" t="s">
        <v>322</v>
      </c>
      <c r="D4226" t="s">
        <v>2712</v>
      </c>
      <c r="E4226" t="s">
        <v>8367</v>
      </c>
    </row>
    <row r="4227" spans="1:5" x14ac:dyDescent="0.2">
      <c r="A4227" t="s">
        <v>8374</v>
      </c>
      <c r="B4227" t="s">
        <v>8375</v>
      </c>
      <c r="C4227" t="s">
        <v>322</v>
      </c>
      <c r="D4227" t="s">
        <v>3118</v>
      </c>
      <c r="E4227" t="s">
        <v>8376</v>
      </c>
    </row>
    <row r="4228" spans="1:5" x14ac:dyDescent="0.2">
      <c r="A4228" t="s">
        <v>8377</v>
      </c>
      <c r="B4228" t="s">
        <v>8378</v>
      </c>
      <c r="C4228" t="s">
        <v>219</v>
      </c>
      <c r="D4228" t="s">
        <v>3237</v>
      </c>
      <c r="E4228" t="s">
        <v>8376</v>
      </c>
    </row>
    <row r="4229" spans="1:5" x14ac:dyDescent="0.2">
      <c r="A4229" t="s">
        <v>8379</v>
      </c>
      <c r="B4229" t="s">
        <v>8380</v>
      </c>
      <c r="C4229" t="s">
        <v>219</v>
      </c>
      <c r="D4229" t="s">
        <v>3237</v>
      </c>
      <c r="E4229" t="s">
        <v>8376</v>
      </c>
    </row>
    <row r="4230" spans="1:5" x14ac:dyDescent="0.2">
      <c r="A4230" t="s">
        <v>8381</v>
      </c>
      <c r="B4230" t="s">
        <v>8382</v>
      </c>
      <c r="C4230" t="s">
        <v>219</v>
      </c>
      <c r="D4230" t="s">
        <v>3118</v>
      </c>
      <c r="E4230" t="s">
        <v>8376</v>
      </c>
    </row>
    <row r="4231" spans="1:5" x14ac:dyDescent="0.2">
      <c r="A4231" t="s">
        <v>8383</v>
      </c>
      <c r="B4231" t="s">
        <v>8384</v>
      </c>
      <c r="C4231" t="s">
        <v>219</v>
      </c>
      <c r="D4231" t="s">
        <v>3118</v>
      </c>
      <c r="E4231" t="s">
        <v>8376</v>
      </c>
    </row>
    <row r="4232" spans="1:5" x14ac:dyDescent="0.2">
      <c r="A4232" t="s">
        <v>8385</v>
      </c>
      <c r="B4232" t="s">
        <v>8386</v>
      </c>
      <c r="C4232" t="s">
        <v>219</v>
      </c>
      <c r="D4232" t="s">
        <v>550</v>
      </c>
      <c r="E4232" t="s">
        <v>8376</v>
      </c>
    </row>
    <row r="4233" spans="1:5" x14ac:dyDescent="0.2">
      <c r="A4233" t="s">
        <v>8387</v>
      </c>
      <c r="B4233" t="s">
        <v>8388</v>
      </c>
      <c r="C4233" t="s">
        <v>219</v>
      </c>
      <c r="D4233" t="s">
        <v>550</v>
      </c>
      <c r="E4233" t="s">
        <v>8376</v>
      </c>
    </row>
    <row r="4234" spans="1:5" x14ac:dyDescent="0.2">
      <c r="A4234" t="s">
        <v>8389</v>
      </c>
      <c r="B4234" t="s">
        <v>8390</v>
      </c>
      <c r="C4234" t="s">
        <v>251</v>
      </c>
      <c r="D4234" t="s">
        <v>2699</v>
      </c>
      <c r="E4234" t="s">
        <v>8376</v>
      </c>
    </row>
    <row r="4235" spans="1:5" x14ac:dyDescent="0.2">
      <c r="A4235" t="s">
        <v>8391</v>
      </c>
      <c r="B4235" t="s">
        <v>8392</v>
      </c>
      <c r="C4235" t="s">
        <v>251</v>
      </c>
      <c r="D4235" t="s">
        <v>2699</v>
      </c>
      <c r="E4235" t="s">
        <v>8376</v>
      </c>
    </row>
    <row r="4236" spans="1:5" x14ac:dyDescent="0.2">
      <c r="A4236" t="s">
        <v>8393</v>
      </c>
      <c r="B4236" t="s">
        <v>8394</v>
      </c>
      <c r="C4236" t="s">
        <v>251</v>
      </c>
      <c r="D4236" t="s">
        <v>3636</v>
      </c>
      <c r="E4236" t="s">
        <v>8367</v>
      </c>
    </row>
    <row r="4237" spans="1:5" x14ac:dyDescent="0.2">
      <c r="A4237" t="s">
        <v>8395</v>
      </c>
      <c r="B4237" t="s">
        <v>8396</v>
      </c>
      <c r="C4237" t="s">
        <v>251</v>
      </c>
      <c r="D4237" t="s">
        <v>3636</v>
      </c>
      <c r="E4237" t="s">
        <v>8367</v>
      </c>
    </row>
    <row r="4238" spans="1:5" x14ac:dyDescent="0.2">
      <c r="A4238" t="s">
        <v>8397</v>
      </c>
      <c r="B4238" t="s">
        <v>8398</v>
      </c>
      <c r="C4238" t="s">
        <v>212</v>
      </c>
      <c r="D4238" t="s">
        <v>3237</v>
      </c>
      <c r="E4238" t="s">
        <v>8376</v>
      </c>
    </row>
    <row r="4239" spans="1:5" x14ac:dyDescent="0.2">
      <c r="A4239" t="s">
        <v>8399</v>
      </c>
      <c r="B4239" t="s">
        <v>8400</v>
      </c>
      <c r="C4239" t="s">
        <v>212</v>
      </c>
      <c r="D4239" t="s">
        <v>3237</v>
      </c>
      <c r="E4239" t="s">
        <v>8376</v>
      </c>
    </row>
    <row r="4240" spans="1:5" x14ac:dyDescent="0.2">
      <c r="A4240" t="s">
        <v>8404</v>
      </c>
      <c r="B4240" t="s">
        <v>8405</v>
      </c>
      <c r="C4240" t="s">
        <v>331</v>
      </c>
      <c r="D4240" t="s">
        <v>241</v>
      </c>
      <c r="E4240" t="s">
        <v>8402</v>
      </c>
    </row>
    <row r="4241" spans="1:5" x14ac:dyDescent="0.2">
      <c r="A4241" t="s">
        <v>8406</v>
      </c>
      <c r="B4241" t="s">
        <v>8407</v>
      </c>
      <c r="C4241" t="s">
        <v>331</v>
      </c>
      <c r="D4241" t="s">
        <v>241</v>
      </c>
      <c r="E4241" t="s">
        <v>8402</v>
      </c>
    </row>
    <row r="4242" spans="1:5" x14ac:dyDescent="0.2">
      <c r="A4242" t="s">
        <v>8408</v>
      </c>
      <c r="B4242" t="s">
        <v>8409</v>
      </c>
      <c r="C4242" t="s">
        <v>219</v>
      </c>
      <c r="D4242" t="s">
        <v>248</v>
      </c>
      <c r="E4242" t="s">
        <v>8402</v>
      </c>
    </row>
    <row r="4243" spans="1:5" x14ac:dyDescent="0.2">
      <c r="A4243" t="s">
        <v>8410</v>
      </c>
      <c r="B4243" t="s">
        <v>8411</v>
      </c>
      <c r="C4243" t="s">
        <v>219</v>
      </c>
      <c r="D4243" t="s">
        <v>248</v>
      </c>
      <c r="E4243" t="s">
        <v>8402</v>
      </c>
    </row>
    <row r="4244" spans="1:5" x14ac:dyDescent="0.2">
      <c r="A4244" t="s">
        <v>8412</v>
      </c>
      <c r="B4244" t="s">
        <v>8413</v>
      </c>
      <c r="C4244" t="s">
        <v>421</v>
      </c>
      <c r="D4244" t="s">
        <v>248</v>
      </c>
      <c r="E4244" t="s">
        <v>8402</v>
      </c>
    </row>
    <row r="4245" spans="1:5" x14ac:dyDescent="0.2">
      <c r="A4245" t="s">
        <v>8414</v>
      </c>
      <c r="B4245" t="s">
        <v>8415</v>
      </c>
      <c r="C4245" t="s">
        <v>421</v>
      </c>
      <c r="D4245" t="s">
        <v>248</v>
      </c>
      <c r="E4245" t="s">
        <v>8402</v>
      </c>
    </row>
    <row r="4246" spans="1:5" x14ac:dyDescent="0.2">
      <c r="A4246" t="s">
        <v>8416</v>
      </c>
      <c r="B4246" t="s">
        <v>8417</v>
      </c>
      <c r="C4246" t="s">
        <v>219</v>
      </c>
      <c r="D4246" t="s">
        <v>1691</v>
      </c>
      <c r="E4246" t="s">
        <v>8367</v>
      </c>
    </row>
    <row r="4247" spans="1:5" x14ac:dyDescent="0.2">
      <c r="A4247" t="s">
        <v>8418</v>
      </c>
      <c r="B4247" t="s">
        <v>8419</v>
      </c>
      <c r="C4247" t="s">
        <v>219</v>
      </c>
      <c r="D4247" t="s">
        <v>1691</v>
      </c>
      <c r="E4247" t="s">
        <v>8367</v>
      </c>
    </row>
    <row r="4248" spans="1:5" x14ac:dyDescent="0.2">
      <c r="A4248" t="s">
        <v>8420</v>
      </c>
      <c r="B4248" t="s">
        <v>8421</v>
      </c>
      <c r="C4248" t="s">
        <v>120</v>
      </c>
      <c r="D4248" t="s">
        <v>1691</v>
      </c>
      <c r="E4248" t="s">
        <v>8367</v>
      </c>
    </row>
    <row r="4249" spans="1:5" x14ac:dyDescent="0.2">
      <c r="A4249" t="s">
        <v>8422</v>
      </c>
      <c r="B4249" t="s">
        <v>8423</v>
      </c>
      <c r="C4249" t="s">
        <v>120</v>
      </c>
      <c r="D4249" t="s">
        <v>1691</v>
      </c>
      <c r="E4249" t="s">
        <v>8367</v>
      </c>
    </row>
    <row r="4250" spans="1:5" x14ac:dyDescent="0.2">
      <c r="A4250" t="s">
        <v>8424</v>
      </c>
      <c r="B4250" t="s">
        <v>8425</v>
      </c>
      <c r="C4250" t="s">
        <v>104</v>
      </c>
      <c r="D4250" t="s">
        <v>1691</v>
      </c>
      <c r="E4250" t="s">
        <v>8367</v>
      </c>
    </row>
    <row r="4251" spans="1:5" x14ac:dyDescent="0.2">
      <c r="A4251" t="s">
        <v>8426</v>
      </c>
      <c r="B4251" t="s">
        <v>8427</v>
      </c>
      <c r="C4251" t="s">
        <v>104</v>
      </c>
      <c r="D4251" t="s">
        <v>1691</v>
      </c>
      <c r="E4251" t="s">
        <v>8367</v>
      </c>
    </row>
    <row r="4252" spans="1:5" x14ac:dyDescent="0.2">
      <c r="A4252" t="s">
        <v>8428</v>
      </c>
      <c r="B4252" t="s">
        <v>8429</v>
      </c>
      <c r="C4252" t="s">
        <v>131</v>
      </c>
      <c r="D4252" t="s">
        <v>1691</v>
      </c>
      <c r="E4252" t="s">
        <v>8367</v>
      </c>
    </row>
    <row r="4253" spans="1:5" x14ac:dyDescent="0.2">
      <c r="A4253" t="s">
        <v>8430</v>
      </c>
      <c r="B4253" t="s">
        <v>8431</v>
      </c>
      <c r="C4253" t="s">
        <v>131</v>
      </c>
      <c r="D4253" t="s">
        <v>1691</v>
      </c>
      <c r="E4253" t="s">
        <v>8367</v>
      </c>
    </row>
    <row r="4254" spans="1:5" x14ac:dyDescent="0.2">
      <c r="A4254" t="s">
        <v>8432</v>
      </c>
      <c r="B4254" t="s">
        <v>8433</v>
      </c>
      <c r="C4254" t="s">
        <v>131</v>
      </c>
      <c r="D4254" t="s">
        <v>1691</v>
      </c>
      <c r="E4254" t="s">
        <v>8367</v>
      </c>
    </row>
    <row r="4255" spans="1:5" x14ac:dyDescent="0.2">
      <c r="A4255" t="s">
        <v>8434</v>
      </c>
      <c r="B4255" t="s">
        <v>8435</v>
      </c>
      <c r="C4255" t="s">
        <v>131</v>
      </c>
      <c r="D4255" t="s">
        <v>1691</v>
      </c>
      <c r="E4255" t="s">
        <v>8367</v>
      </c>
    </row>
    <row r="4256" spans="1:5" x14ac:dyDescent="0.2">
      <c r="A4256" t="s">
        <v>8401</v>
      </c>
      <c r="B4256" t="s">
        <v>9491</v>
      </c>
      <c r="C4256" t="s">
        <v>131</v>
      </c>
      <c r="D4256" t="s">
        <v>248</v>
      </c>
      <c r="E4256" t="s">
        <v>8402</v>
      </c>
    </row>
    <row r="4257" spans="1:5" x14ac:dyDescent="0.2">
      <c r="A4257" t="s">
        <v>8403</v>
      </c>
      <c r="B4257" t="s">
        <v>9492</v>
      </c>
      <c r="C4257" t="s">
        <v>131</v>
      </c>
      <c r="D4257" t="s">
        <v>248</v>
      </c>
      <c r="E4257" t="s">
        <v>8402</v>
      </c>
    </row>
    <row r="4258" spans="1:5" x14ac:dyDescent="0.2">
      <c r="A4258" t="s">
        <v>8436</v>
      </c>
      <c r="B4258" t="s">
        <v>8437</v>
      </c>
      <c r="C4258" t="s">
        <v>349</v>
      </c>
      <c r="D4258" t="s">
        <v>2712</v>
      </c>
      <c r="E4258" t="s">
        <v>8376</v>
      </c>
    </row>
    <row r="4259" spans="1:5" x14ac:dyDescent="0.2">
      <c r="A4259" t="s">
        <v>8438</v>
      </c>
      <c r="B4259" t="s">
        <v>8439</v>
      </c>
      <c r="C4259" t="s">
        <v>349</v>
      </c>
      <c r="D4259" t="s">
        <v>2712</v>
      </c>
      <c r="E4259" t="s">
        <v>8376</v>
      </c>
    </row>
    <row r="4260" spans="1:5" x14ac:dyDescent="0.2">
      <c r="A4260" t="s">
        <v>8440</v>
      </c>
      <c r="B4260" t="s">
        <v>8441</v>
      </c>
      <c r="C4260" t="s">
        <v>345</v>
      </c>
      <c r="D4260" t="s">
        <v>2712</v>
      </c>
      <c r="E4260" t="s">
        <v>8376</v>
      </c>
    </row>
    <row r="4261" spans="1:5" x14ac:dyDescent="0.2">
      <c r="A4261" t="s">
        <v>8442</v>
      </c>
      <c r="B4261" t="s">
        <v>8443</v>
      </c>
      <c r="C4261" t="s">
        <v>345</v>
      </c>
      <c r="D4261" t="s">
        <v>2712</v>
      </c>
      <c r="E4261" t="s">
        <v>8376</v>
      </c>
    </row>
    <row r="4262" spans="1:5" x14ac:dyDescent="0.2">
      <c r="A4262" t="s">
        <v>60</v>
      </c>
      <c r="B4262" t="s">
        <v>8444</v>
      </c>
      <c r="C4262" t="s">
        <v>399</v>
      </c>
      <c r="D4262" t="s">
        <v>2682</v>
      </c>
      <c r="E4262" t="s">
        <v>8367</v>
      </c>
    </row>
    <row r="4263" spans="1:5" x14ac:dyDescent="0.2">
      <c r="A4263" t="s">
        <v>8445</v>
      </c>
      <c r="B4263" t="s">
        <v>8446</v>
      </c>
      <c r="C4263" t="s">
        <v>399</v>
      </c>
      <c r="D4263" t="s">
        <v>2682</v>
      </c>
      <c r="E4263" t="s">
        <v>8367</v>
      </c>
    </row>
    <row r="4264" spans="1:5" x14ac:dyDescent="0.2">
      <c r="A4264" t="s">
        <v>8447</v>
      </c>
      <c r="B4264" t="s">
        <v>8448</v>
      </c>
      <c r="C4264" t="s">
        <v>399</v>
      </c>
      <c r="D4264" t="s">
        <v>2699</v>
      </c>
      <c r="E4264" t="s">
        <v>8367</v>
      </c>
    </row>
    <row r="4265" spans="1:5" x14ac:dyDescent="0.2">
      <c r="A4265" t="s">
        <v>8449</v>
      </c>
      <c r="B4265" t="s">
        <v>8450</v>
      </c>
      <c r="C4265" t="s">
        <v>2471</v>
      </c>
      <c r="D4265" t="s">
        <v>99</v>
      </c>
      <c r="E4265" t="s">
        <v>234</v>
      </c>
    </row>
    <row r="4266" spans="1:5" x14ac:dyDescent="0.2">
      <c r="A4266" t="s">
        <v>8451</v>
      </c>
      <c r="B4266" t="s">
        <v>8452</v>
      </c>
      <c r="C4266" t="s">
        <v>2471</v>
      </c>
      <c r="D4266" t="s">
        <v>301</v>
      </c>
      <c r="E4266" t="s">
        <v>234</v>
      </c>
    </row>
    <row r="4267" spans="1:5" x14ac:dyDescent="0.2">
      <c r="A4267" t="s">
        <v>8453</v>
      </c>
      <c r="B4267" t="s">
        <v>8454</v>
      </c>
      <c r="C4267" t="s">
        <v>199</v>
      </c>
      <c r="D4267" t="s">
        <v>433</v>
      </c>
      <c r="E4267" t="s">
        <v>9493</v>
      </c>
    </row>
    <row r="4268" spans="1:5" x14ac:dyDescent="0.2">
      <c r="A4268" t="s">
        <v>8455</v>
      </c>
      <c r="B4268" t="s">
        <v>8456</v>
      </c>
      <c r="C4268" t="s">
        <v>199</v>
      </c>
      <c r="D4268" t="s">
        <v>224</v>
      </c>
      <c r="E4268" t="s">
        <v>9493</v>
      </c>
    </row>
    <row r="4269" spans="1:5" x14ac:dyDescent="0.2">
      <c r="A4269" t="s">
        <v>8457</v>
      </c>
      <c r="B4269" t="s">
        <v>8458</v>
      </c>
      <c r="C4269" t="s">
        <v>199</v>
      </c>
      <c r="D4269" t="s">
        <v>224</v>
      </c>
      <c r="E4269" t="s">
        <v>9493</v>
      </c>
    </row>
    <row r="4270" spans="1:5" x14ac:dyDescent="0.2">
      <c r="A4270" t="s">
        <v>8469</v>
      </c>
      <c r="B4270" t="s">
        <v>9494</v>
      </c>
      <c r="C4270" t="s">
        <v>322</v>
      </c>
      <c r="D4270" t="s">
        <v>400</v>
      </c>
      <c r="E4270" t="s">
        <v>5070</v>
      </c>
    </row>
    <row r="4271" spans="1:5" x14ac:dyDescent="0.2">
      <c r="A4271" t="s">
        <v>8470</v>
      </c>
      <c r="B4271" t="s">
        <v>9495</v>
      </c>
      <c r="C4271" t="s">
        <v>322</v>
      </c>
      <c r="D4271" t="s">
        <v>400</v>
      </c>
      <c r="E4271" t="s">
        <v>5070</v>
      </c>
    </row>
    <row r="4272" spans="1:5" x14ac:dyDescent="0.2">
      <c r="A4272" t="s">
        <v>8459</v>
      </c>
      <c r="B4272" t="s">
        <v>8460</v>
      </c>
      <c r="C4272" t="s">
        <v>322</v>
      </c>
      <c r="D4272" t="s">
        <v>7689</v>
      </c>
      <c r="E4272" t="s">
        <v>5070</v>
      </c>
    </row>
    <row r="4273" spans="1:5" x14ac:dyDescent="0.2">
      <c r="A4273" t="s">
        <v>8461</v>
      </c>
      <c r="B4273" t="s">
        <v>8462</v>
      </c>
      <c r="C4273" t="s">
        <v>322</v>
      </c>
      <c r="D4273" t="s">
        <v>7689</v>
      </c>
      <c r="E4273" t="s">
        <v>5070</v>
      </c>
    </row>
    <row r="4274" spans="1:5" x14ac:dyDescent="0.2">
      <c r="A4274" t="s">
        <v>8463</v>
      </c>
      <c r="B4274" t="s">
        <v>8464</v>
      </c>
      <c r="C4274" t="s">
        <v>322</v>
      </c>
      <c r="D4274" t="s">
        <v>258</v>
      </c>
      <c r="E4274" t="s">
        <v>5070</v>
      </c>
    </row>
    <row r="4275" spans="1:5" x14ac:dyDescent="0.2">
      <c r="A4275" t="s">
        <v>8465</v>
      </c>
      <c r="B4275" t="s">
        <v>8466</v>
      </c>
      <c r="C4275" t="s">
        <v>322</v>
      </c>
      <c r="D4275" t="s">
        <v>258</v>
      </c>
      <c r="E4275" t="s">
        <v>5070</v>
      </c>
    </row>
    <row r="4276" spans="1:5" x14ac:dyDescent="0.2">
      <c r="A4276" t="s">
        <v>8467</v>
      </c>
      <c r="B4276" t="s">
        <v>8468</v>
      </c>
      <c r="C4276" t="s">
        <v>322</v>
      </c>
      <c r="D4276" t="s">
        <v>258</v>
      </c>
      <c r="E4276" t="s">
        <v>5070</v>
      </c>
    </row>
    <row r="4277" spans="1:5" x14ac:dyDescent="0.2">
      <c r="A4277" t="s">
        <v>8471</v>
      </c>
      <c r="B4277" t="s">
        <v>8472</v>
      </c>
      <c r="C4277" t="s">
        <v>104</v>
      </c>
      <c r="D4277" t="s">
        <v>412</v>
      </c>
      <c r="E4277" t="s">
        <v>234</v>
      </c>
    </row>
    <row r="4278" spans="1:5" x14ac:dyDescent="0.2">
      <c r="A4278" t="s">
        <v>8473</v>
      </c>
      <c r="B4278" t="s">
        <v>8474</v>
      </c>
      <c r="C4278" t="s">
        <v>120</v>
      </c>
      <c r="D4278" t="s">
        <v>456</v>
      </c>
      <c r="E4278" t="s">
        <v>8880</v>
      </c>
    </row>
    <row r="4279" spans="1:5" x14ac:dyDescent="0.2">
      <c r="A4279" t="s">
        <v>8475</v>
      </c>
      <c r="B4279" t="s">
        <v>8476</v>
      </c>
      <c r="C4279" t="s">
        <v>131</v>
      </c>
      <c r="D4279" t="s">
        <v>462</v>
      </c>
      <c r="E4279" t="s">
        <v>234</v>
      </c>
    </row>
    <row r="4280" spans="1:5" x14ac:dyDescent="0.2">
      <c r="A4280" t="s">
        <v>8477</v>
      </c>
      <c r="B4280" t="s">
        <v>8478</v>
      </c>
      <c r="C4280" t="s">
        <v>2471</v>
      </c>
      <c r="D4280" t="s">
        <v>110</v>
      </c>
      <c r="E4280" t="s">
        <v>234</v>
      </c>
    </row>
    <row r="4281" spans="1:5" x14ac:dyDescent="0.2">
      <c r="A4281" t="s">
        <v>8479</v>
      </c>
      <c r="B4281" t="s">
        <v>8480</v>
      </c>
      <c r="C4281" t="s">
        <v>131</v>
      </c>
      <c r="D4281" t="s">
        <v>842</v>
      </c>
      <c r="E4281" t="s">
        <v>9135</v>
      </c>
    </row>
    <row r="4282" spans="1:5" x14ac:dyDescent="0.2">
      <c r="A4282" t="s">
        <v>8481</v>
      </c>
      <c r="B4282" t="s">
        <v>8482</v>
      </c>
      <c r="C4282" t="s">
        <v>131</v>
      </c>
      <c r="D4282" t="s">
        <v>842</v>
      </c>
      <c r="E4282" t="s">
        <v>9135</v>
      </c>
    </row>
    <row r="4283" spans="1:5" x14ac:dyDescent="0.2">
      <c r="A4283" t="s">
        <v>8483</v>
      </c>
      <c r="B4283" t="s">
        <v>8484</v>
      </c>
      <c r="C4283" t="s">
        <v>104</v>
      </c>
      <c r="D4283" t="s">
        <v>539</v>
      </c>
      <c r="E4283" t="s">
        <v>234</v>
      </c>
    </row>
    <row r="4284" spans="1:5" x14ac:dyDescent="0.2">
      <c r="A4284" t="s">
        <v>8485</v>
      </c>
      <c r="B4284" t="s">
        <v>9496</v>
      </c>
      <c r="C4284" t="s">
        <v>104</v>
      </c>
      <c r="D4284" t="s">
        <v>539</v>
      </c>
      <c r="E4284" t="s">
        <v>234</v>
      </c>
    </row>
    <row r="4285" spans="1:5" x14ac:dyDescent="0.2">
      <c r="A4285" t="s">
        <v>8486</v>
      </c>
      <c r="B4285" t="s">
        <v>8487</v>
      </c>
      <c r="C4285" t="s">
        <v>120</v>
      </c>
      <c r="D4285" t="s">
        <v>93</v>
      </c>
      <c r="E4285" t="s">
        <v>234</v>
      </c>
    </row>
    <row r="4286" spans="1:5" x14ac:dyDescent="0.2">
      <c r="A4286" t="s">
        <v>8488</v>
      </c>
      <c r="B4286" t="s">
        <v>9497</v>
      </c>
      <c r="C4286" t="s">
        <v>120</v>
      </c>
      <c r="D4286" t="s">
        <v>93</v>
      </c>
      <c r="E4286" t="s">
        <v>234</v>
      </c>
    </row>
    <row r="4287" spans="1:5" x14ac:dyDescent="0.2">
      <c r="A4287" t="s">
        <v>8489</v>
      </c>
      <c r="B4287" t="s">
        <v>8490</v>
      </c>
      <c r="C4287" t="s">
        <v>92</v>
      </c>
      <c r="D4287" t="s">
        <v>813</v>
      </c>
      <c r="E4287" t="s">
        <v>8880</v>
      </c>
    </row>
    <row r="4288" spans="1:5" x14ac:dyDescent="0.2">
      <c r="A4288" t="s">
        <v>8491</v>
      </c>
      <c r="B4288" t="s">
        <v>8492</v>
      </c>
      <c r="C4288" t="s">
        <v>92</v>
      </c>
      <c r="D4288" t="s">
        <v>813</v>
      </c>
      <c r="E4288" t="s">
        <v>8880</v>
      </c>
    </row>
    <row r="4289" spans="1:5" x14ac:dyDescent="0.2">
      <c r="A4289" t="s">
        <v>8493</v>
      </c>
      <c r="B4289" t="s">
        <v>8494</v>
      </c>
      <c r="C4289" t="s">
        <v>131</v>
      </c>
      <c r="D4289" t="s">
        <v>809</v>
      </c>
      <c r="E4289" t="s">
        <v>234</v>
      </c>
    </row>
    <row r="4290" spans="1:5" x14ac:dyDescent="0.2">
      <c r="A4290" t="s">
        <v>8495</v>
      </c>
      <c r="B4290" t="s">
        <v>8496</v>
      </c>
      <c r="C4290" t="s">
        <v>131</v>
      </c>
      <c r="D4290" t="s">
        <v>809</v>
      </c>
      <c r="E4290" t="s">
        <v>234</v>
      </c>
    </row>
    <row r="4291" spans="1:5" x14ac:dyDescent="0.2">
      <c r="A4291" t="s">
        <v>8497</v>
      </c>
      <c r="B4291" t="s">
        <v>8498</v>
      </c>
      <c r="C4291" t="s">
        <v>131</v>
      </c>
      <c r="D4291" t="s">
        <v>991</v>
      </c>
      <c r="E4291" t="s">
        <v>234</v>
      </c>
    </row>
    <row r="4292" spans="1:5" x14ac:dyDescent="0.2">
      <c r="A4292" t="s">
        <v>8499</v>
      </c>
      <c r="B4292" t="s">
        <v>8500</v>
      </c>
      <c r="C4292" t="s">
        <v>131</v>
      </c>
      <c r="D4292" t="s">
        <v>991</v>
      </c>
      <c r="E4292" t="s">
        <v>234</v>
      </c>
    </row>
    <row r="4293" spans="1:5" x14ac:dyDescent="0.2">
      <c r="A4293" t="s">
        <v>8501</v>
      </c>
      <c r="B4293" t="s">
        <v>8502</v>
      </c>
      <c r="C4293" t="s">
        <v>219</v>
      </c>
      <c r="D4293" t="s">
        <v>681</v>
      </c>
      <c r="E4293" t="s">
        <v>8984</v>
      </c>
    </row>
    <row r="4294" spans="1:5" x14ac:dyDescent="0.2">
      <c r="A4294" t="s">
        <v>8503</v>
      </c>
      <c r="B4294" t="s">
        <v>8504</v>
      </c>
      <c r="C4294" t="s">
        <v>219</v>
      </c>
      <c r="D4294" t="s">
        <v>681</v>
      </c>
      <c r="E4294" t="s">
        <v>8984</v>
      </c>
    </row>
    <row r="4295" spans="1:5" x14ac:dyDescent="0.2">
      <c r="A4295" t="s">
        <v>8505</v>
      </c>
      <c r="B4295" t="s">
        <v>8506</v>
      </c>
      <c r="C4295" t="s">
        <v>251</v>
      </c>
      <c r="D4295" t="s">
        <v>681</v>
      </c>
      <c r="E4295" t="s">
        <v>234</v>
      </c>
    </row>
    <row r="4296" spans="1:5" x14ac:dyDescent="0.2">
      <c r="A4296" t="s">
        <v>8507</v>
      </c>
      <c r="B4296" t="s">
        <v>8508</v>
      </c>
      <c r="C4296" t="s">
        <v>251</v>
      </c>
      <c r="D4296" t="s">
        <v>681</v>
      </c>
      <c r="E4296" t="s">
        <v>234</v>
      </c>
    </row>
    <row r="4297" spans="1:5" x14ac:dyDescent="0.2">
      <c r="A4297" t="s">
        <v>8509</v>
      </c>
      <c r="B4297" t="s">
        <v>8510</v>
      </c>
      <c r="C4297" t="s">
        <v>251</v>
      </c>
      <c r="D4297" t="s">
        <v>266</v>
      </c>
      <c r="E4297" t="s">
        <v>234</v>
      </c>
    </row>
    <row r="4298" spans="1:5" x14ac:dyDescent="0.2">
      <c r="A4298" t="s">
        <v>8511</v>
      </c>
      <c r="B4298" t="s">
        <v>8512</v>
      </c>
      <c r="C4298" t="s">
        <v>251</v>
      </c>
      <c r="D4298" t="s">
        <v>266</v>
      </c>
      <c r="E4298" t="s">
        <v>234</v>
      </c>
    </row>
    <row r="4299" spans="1:5" x14ac:dyDescent="0.2">
      <c r="A4299" t="s">
        <v>8513</v>
      </c>
      <c r="B4299" t="s">
        <v>8514</v>
      </c>
      <c r="C4299" t="s">
        <v>2471</v>
      </c>
      <c r="D4299" t="s">
        <v>1025</v>
      </c>
      <c r="E4299" t="s">
        <v>234</v>
      </c>
    </row>
    <row r="4300" spans="1:5" x14ac:dyDescent="0.2">
      <c r="A4300" t="s">
        <v>8515</v>
      </c>
      <c r="B4300" t="s">
        <v>8516</v>
      </c>
      <c r="C4300" t="s">
        <v>399</v>
      </c>
      <c r="D4300" t="s">
        <v>539</v>
      </c>
      <c r="E4300" t="s">
        <v>9313</v>
      </c>
    </row>
    <row r="4301" spans="1:5" x14ac:dyDescent="0.2">
      <c r="A4301" t="s">
        <v>8517</v>
      </c>
      <c r="B4301" t="s">
        <v>8518</v>
      </c>
      <c r="C4301" t="s">
        <v>2471</v>
      </c>
      <c r="D4301" t="s">
        <v>635</v>
      </c>
      <c r="E4301" t="s">
        <v>234</v>
      </c>
    </row>
    <row r="4302" spans="1:5" x14ac:dyDescent="0.2">
      <c r="A4302" t="s">
        <v>8519</v>
      </c>
      <c r="B4302" t="s">
        <v>8520</v>
      </c>
      <c r="C4302" t="s">
        <v>131</v>
      </c>
      <c r="D4302" t="s">
        <v>568</v>
      </c>
      <c r="E4302" t="s">
        <v>234</v>
      </c>
    </row>
    <row r="4303" spans="1:5" x14ac:dyDescent="0.2">
      <c r="A4303" t="s">
        <v>8521</v>
      </c>
      <c r="B4303" t="s">
        <v>8522</v>
      </c>
      <c r="C4303" t="s">
        <v>131</v>
      </c>
      <c r="D4303" t="s">
        <v>568</v>
      </c>
      <c r="E4303" t="s">
        <v>234</v>
      </c>
    </row>
    <row r="4304" spans="1:5" x14ac:dyDescent="0.2">
      <c r="A4304" t="s">
        <v>8523</v>
      </c>
      <c r="B4304" t="s">
        <v>8524</v>
      </c>
      <c r="C4304" t="s">
        <v>92</v>
      </c>
      <c r="D4304" t="s">
        <v>813</v>
      </c>
      <c r="E4304" t="s">
        <v>234</v>
      </c>
    </row>
    <row r="4305" spans="1:5" x14ac:dyDescent="0.2">
      <c r="A4305" t="s">
        <v>8525</v>
      </c>
      <c r="B4305" t="s">
        <v>9498</v>
      </c>
      <c r="C4305" t="s">
        <v>212</v>
      </c>
      <c r="D4305" t="s">
        <v>456</v>
      </c>
      <c r="E4305" t="s">
        <v>234</v>
      </c>
    </row>
    <row r="4306" spans="1:5" x14ac:dyDescent="0.2">
      <c r="A4306" t="s">
        <v>8526</v>
      </c>
      <c r="B4306" t="s">
        <v>9499</v>
      </c>
      <c r="C4306" t="s">
        <v>212</v>
      </c>
      <c r="D4306" t="s">
        <v>456</v>
      </c>
      <c r="E4306" t="s">
        <v>234</v>
      </c>
    </row>
    <row r="4307" spans="1:5" x14ac:dyDescent="0.2">
      <c r="A4307" t="s">
        <v>8527</v>
      </c>
      <c r="B4307" t="s">
        <v>8528</v>
      </c>
      <c r="C4307" t="s">
        <v>104</v>
      </c>
      <c r="D4307" t="s">
        <v>2559</v>
      </c>
      <c r="E4307" t="s">
        <v>9077</v>
      </c>
    </row>
    <row r="4308" spans="1:5" x14ac:dyDescent="0.2">
      <c r="A4308" t="s">
        <v>8529</v>
      </c>
      <c r="B4308" t="s">
        <v>8530</v>
      </c>
      <c r="C4308" t="s">
        <v>104</v>
      </c>
      <c r="D4308" t="s">
        <v>2559</v>
      </c>
      <c r="E4308" t="s">
        <v>9077</v>
      </c>
    </row>
    <row r="4309" spans="1:5" x14ac:dyDescent="0.2">
      <c r="A4309" t="s">
        <v>8531</v>
      </c>
      <c r="B4309" t="s">
        <v>8532</v>
      </c>
      <c r="C4309" t="s">
        <v>287</v>
      </c>
      <c r="D4309" t="s">
        <v>93</v>
      </c>
      <c r="E4309" t="s">
        <v>234</v>
      </c>
    </row>
    <row r="4310" spans="1:5" x14ac:dyDescent="0.2">
      <c r="A4310" t="s">
        <v>8533</v>
      </c>
      <c r="B4310" t="s">
        <v>8534</v>
      </c>
      <c r="C4310" t="s">
        <v>287</v>
      </c>
      <c r="D4310" t="s">
        <v>93</v>
      </c>
      <c r="E4310" t="s">
        <v>234</v>
      </c>
    </row>
    <row r="4311" spans="1:5" x14ac:dyDescent="0.2">
      <c r="A4311" t="s">
        <v>8535</v>
      </c>
      <c r="B4311" t="s">
        <v>8536</v>
      </c>
      <c r="C4311" t="s">
        <v>104</v>
      </c>
      <c r="D4311" t="s">
        <v>8537</v>
      </c>
      <c r="E4311" t="s">
        <v>234</v>
      </c>
    </row>
    <row r="4312" spans="1:5" x14ac:dyDescent="0.2">
      <c r="A4312" t="s">
        <v>8538</v>
      </c>
      <c r="B4312" t="s">
        <v>8539</v>
      </c>
      <c r="C4312" t="s">
        <v>104</v>
      </c>
      <c r="D4312" t="s">
        <v>783</v>
      </c>
      <c r="E4312" t="s">
        <v>234</v>
      </c>
    </row>
    <row r="4313" spans="1:5" x14ac:dyDescent="0.2">
      <c r="A4313" t="s">
        <v>8540</v>
      </c>
      <c r="B4313" t="s">
        <v>8541</v>
      </c>
      <c r="C4313" t="s">
        <v>104</v>
      </c>
      <c r="D4313" t="s">
        <v>783</v>
      </c>
      <c r="E4313" t="s">
        <v>234</v>
      </c>
    </row>
    <row r="4314" spans="1:5" x14ac:dyDescent="0.2">
      <c r="A4314" t="s">
        <v>8542</v>
      </c>
      <c r="B4314" t="s">
        <v>8543</v>
      </c>
      <c r="C4314" t="s">
        <v>104</v>
      </c>
      <c r="D4314" t="s">
        <v>783</v>
      </c>
      <c r="E4314" t="s">
        <v>234</v>
      </c>
    </row>
    <row r="4315" spans="1:5" x14ac:dyDescent="0.2">
      <c r="A4315" t="s">
        <v>8544</v>
      </c>
      <c r="B4315" t="s">
        <v>8545</v>
      </c>
      <c r="C4315" t="s">
        <v>104</v>
      </c>
      <c r="D4315" t="s">
        <v>783</v>
      </c>
      <c r="E4315" t="s">
        <v>234</v>
      </c>
    </row>
    <row r="4316" spans="1:5" x14ac:dyDescent="0.2">
      <c r="A4316" t="s">
        <v>8546</v>
      </c>
      <c r="B4316" t="s">
        <v>8547</v>
      </c>
      <c r="C4316" t="s">
        <v>131</v>
      </c>
      <c r="D4316" t="s">
        <v>1566</v>
      </c>
      <c r="E4316" t="s">
        <v>234</v>
      </c>
    </row>
    <row r="4317" spans="1:5" x14ac:dyDescent="0.2">
      <c r="A4317" t="s">
        <v>8548</v>
      </c>
      <c r="B4317" t="s">
        <v>8549</v>
      </c>
      <c r="C4317" t="s">
        <v>131</v>
      </c>
      <c r="D4317" t="s">
        <v>1566</v>
      </c>
      <c r="E4317" t="s">
        <v>234</v>
      </c>
    </row>
    <row r="4318" spans="1:5" x14ac:dyDescent="0.2">
      <c r="A4318" t="s">
        <v>8550</v>
      </c>
      <c r="B4318" t="s">
        <v>8551</v>
      </c>
      <c r="C4318" t="s">
        <v>131</v>
      </c>
      <c r="D4318" t="s">
        <v>1566</v>
      </c>
      <c r="E4318" t="s">
        <v>234</v>
      </c>
    </row>
    <row r="4319" spans="1:5" x14ac:dyDescent="0.2">
      <c r="A4319" t="s">
        <v>8552</v>
      </c>
      <c r="B4319" t="s">
        <v>8553</v>
      </c>
      <c r="C4319" t="s">
        <v>131</v>
      </c>
      <c r="D4319" t="s">
        <v>1566</v>
      </c>
      <c r="E4319" t="s">
        <v>234</v>
      </c>
    </row>
    <row r="4320" spans="1:5" x14ac:dyDescent="0.2">
      <c r="A4320" t="s">
        <v>8554</v>
      </c>
      <c r="B4320" t="s">
        <v>8555</v>
      </c>
      <c r="C4320" t="s">
        <v>9124</v>
      </c>
      <c r="D4320" t="s">
        <v>258</v>
      </c>
      <c r="E4320" t="s">
        <v>234</v>
      </c>
    </row>
    <row r="4321" spans="1:5" x14ac:dyDescent="0.2">
      <c r="A4321" t="s">
        <v>8556</v>
      </c>
      <c r="B4321" t="s">
        <v>8557</v>
      </c>
      <c r="C4321" t="s">
        <v>9124</v>
      </c>
      <c r="D4321" t="s">
        <v>258</v>
      </c>
      <c r="E4321" t="s">
        <v>234</v>
      </c>
    </row>
    <row r="4322" spans="1:5" x14ac:dyDescent="0.2">
      <c r="A4322" t="s">
        <v>8558</v>
      </c>
      <c r="B4322" t="s">
        <v>8559</v>
      </c>
      <c r="C4322" t="s">
        <v>9124</v>
      </c>
      <c r="D4322" t="s">
        <v>193</v>
      </c>
      <c r="E4322" t="s">
        <v>234</v>
      </c>
    </row>
    <row r="4323" spans="1:5" x14ac:dyDescent="0.2">
      <c r="A4323" t="s">
        <v>8560</v>
      </c>
      <c r="B4323" t="s">
        <v>8561</v>
      </c>
      <c r="C4323" t="s">
        <v>9124</v>
      </c>
      <c r="D4323" t="s">
        <v>193</v>
      </c>
      <c r="E4323" t="s">
        <v>234</v>
      </c>
    </row>
    <row r="4324" spans="1:5" x14ac:dyDescent="0.2">
      <c r="A4324" t="s">
        <v>8562</v>
      </c>
      <c r="B4324" t="s">
        <v>8563</v>
      </c>
      <c r="C4324" t="s">
        <v>9124</v>
      </c>
      <c r="D4324" t="s">
        <v>734</v>
      </c>
      <c r="E4324" t="s">
        <v>234</v>
      </c>
    </row>
    <row r="4325" spans="1:5" x14ac:dyDescent="0.2">
      <c r="A4325" t="s">
        <v>8564</v>
      </c>
      <c r="B4325" t="s">
        <v>8565</v>
      </c>
      <c r="C4325" t="s">
        <v>9124</v>
      </c>
      <c r="D4325" t="s">
        <v>734</v>
      </c>
      <c r="E4325" t="s">
        <v>234</v>
      </c>
    </row>
    <row r="4326" spans="1:5" x14ac:dyDescent="0.2">
      <c r="A4326" t="s">
        <v>8566</v>
      </c>
      <c r="B4326" t="s">
        <v>8567</v>
      </c>
      <c r="C4326" t="s">
        <v>9124</v>
      </c>
      <c r="D4326" t="s">
        <v>110</v>
      </c>
      <c r="E4326" t="s">
        <v>234</v>
      </c>
    </row>
    <row r="4327" spans="1:5" x14ac:dyDescent="0.2">
      <c r="A4327" t="s">
        <v>8568</v>
      </c>
      <c r="B4327" t="s">
        <v>8569</v>
      </c>
      <c r="C4327" t="s">
        <v>9124</v>
      </c>
      <c r="D4327" t="s">
        <v>110</v>
      </c>
      <c r="E4327" t="s">
        <v>234</v>
      </c>
    </row>
    <row r="4328" spans="1:5" x14ac:dyDescent="0.2">
      <c r="A4328" t="s">
        <v>8570</v>
      </c>
      <c r="B4328" t="s">
        <v>8571</v>
      </c>
      <c r="C4328" t="s">
        <v>669</v>
      </c>
      <c r="D4328" t="s">
        <v>2199</v>
      </c>
      <c r="E4328" t="s">
        <v>234</v>
      </c>
    </row>
    <row r="4329" spans="1:5" x14ac:dyDescent="0.2">
      <c r="A4329" t="s">
        <v>8572</v>
      </c>
      <c r="B4329" t="s">
        <v>8573</v>
      </c>
      <c r="C4329" t="s">
        <v>669</v>
      </c>
      <c r="D4329" t="s">
        <v>2199</v>
      </c>
      <c r="E4329" t="s">
        <v>234</v>
      </c>
    </row>
    <row r="4330" spans="1:5" x14ac:dyDescent="0.2">
      <c r="A4330" t="s">
        <v>8574</v>
      </c>
      <c r="B4330" t="s">
        <v>8575</v>
      </c>
      <c r="C4330" t="s">
        <v>131</v>
      </c>
      <c r="D4330" t="s">
        <v>115</v>
      </c>
      <c r="E4330" t="s">
        <v>234</v>
      </c>
    </row>
    <row r="4331" spans="1:5" x14ac:dyDescent="0.2">
      <c r="A4331" t="s">
        <v>8576</v>
      </c>
      <c r="B4331" t="s">
        <v>8577</v>
      </c>
      <c r="C4331" t="s">
        <v>131</v>
      </c>
      <c r="D4331" t="s">
        <v>115</v>
      </c>
      <c r="E4331" t="s">
        <v>234</v>
      </c>
    </row>
    <row r="4332" spans="1:5" x14ac:dyDescent="0.2">
      <c r="A4332" t="s">
        <v>8578</v>
      </c>
      <c r="B4332" t="s">
        <v>8579</v>
      </c>
      <c r="C4332" t="s">
        <v>104</v>
      </c>
      <c r="D4332" t="s">
        <v>1070</v>
      </c>
      <c r="E4332" t="s">
        <v>234</v>
      </c>
    </row>
    <row r="4333" spans="1:5" x14ac:dyDescent="0.2">
      <c r="A4333" t="s">
        <v>8580</v>
      </c>
      <c r="B4333" t="s">
        <v>8581</v>
      </c>
      <c r="C4333" t="s">
        <v>104</v>
      </c>
      <c r="D4333" t="s">
        <v>1070</v>
      </c>
      <c r="E4333" t="s">
        <v>234</v>
      </c>
    </row>
    <row r="4334" spans="1:5" x14ac:dyDescent="0.2">
      <c r="A4334" t="s">
        <v>8582</v>
      </c>
      <c r="B4334" t="s">
        <v>8583</v>
      </c>
      <c r="C4334" t="s">
        <v>120</v>
      </c>
      <c r="D4334" t="s">
        <v>1319</v>
      </c>
      <c r="E4334" t="s">
        <v>234</v>
      </c>
    </row>
    <row r="4335" spans="1:5" x14ac:dyDescent="0.2">
      <c r="A4335" t="s">
        <v>8584</v>
      </c>
      <c r="B4335" t="s">
        <v>8585</v>
      </c>
      <c r="C4335" t="s">
        <v>219</v>
      </c>
      <c r="D4335" t="s">
        <v>389</v>
      </c>
      <c r="E4335" t="s">
        <v>234</v>
      </c>
    </row>
    <row r="4336" spans="1:5" x14ac:dyDescent="0.2">
      <c r="A4336" t="s">
        <v>8586</v>
      </c>
      <c r="B4336" t="s">
        <v>8587</v>
      </c>
      <c r="C4336" t="s">
        <v>131</v>
      </c>
      <c r="D4336" t="s">
        <v>2856</v>
      </c>
      <c r="E4336" t="s">
        <v>9500</v>
      </c>
    </row>
    <row r="4337" spans="1:5" x14ac:dyDescent="0.2">
      <c r="A4337" t="s">
        <v>8588</v>
      </c>
      <c r="B4337" t="s">
        <v>8589</v>
      </c>
      <c r="C4337" t="s">
        <v>131</v>
      </c>
      <c r="D4337" t="s">
        <v>822</v>
      </c>
      <c r="E4337" t="s">
        <v>9500</v>
      </c>
    </row>
    <row r="4338" spans="1:5" x14ac:dyDescent="0.2">
      <c r="A4338" t="s">
        <v>8590</v>
      </c>
      <c r="B4338" t="s">
        <v>8591</v>
      </c>
      <c r="C4338" t="s">
        <v>104</v>
      </c>
      <c r="D4338" t="s">
        <v>1944</v>
      </c>
      <c r="E4338" t="s">
        <v>9500</v>
      </c>
    </row>
    <row r="4339" spans="1:5" x14ac:dyDescent="0.2">
      <c r="A4339" t="s">
        <v>8592</v>
      </c>
      <c r="B4339" t="s">
        <v>8593</v>
      </c>
      <c r="C4339" t="s">
        <v>104</v>
      </c>
      <c r="D4339" t="s">
        <v>842</v>
      </c>
      <c r="E4339" t="s">
        <v>9500</v>
      </c>
    </row>
    <row r="4340" spans="1:5" x14ac:dyDescent="0.2">
      <c r="A4340" t="s">
        <v>8594</v>
      </c>
      <c r="B4340" t="s">
        <v>8595</v>
      </c>
      <c r="C4340" t="s">
        <v>251</v>
      </c>
      <c r="D4340" t="s">
        <v>335</v>
      </c>
      <c r="E4340" t="s">
        <v>234</v>
      </c>
    </row>
    <row r="4341" spans="1:5" x14ac:dyDescent="0.2">
      <c r="A4341" t="s">
        <v>8596</v>
      </c>
      <c r="B4341" t="s">
        <v>8597</v>
      </c>
      <c r="C4341" t="s">
        <v>251</v>
      </c>
      <c r="D4341" t="s">
        <v>335</v>
      </c>
      <c r="E4341" t="s">
        <v>234</v>
      </c>
    </row>
    <row r="4342" spans="1:5" x14ac:dyDescent="0.2">
      <c r="A4342" t="s">
        <v>8598</v>
      </c>
      <c r="B4342" t="s">
        <v>8599</v>
      </c>
      <c r="C4342" t="s">
        <v>92</v>
      </c>
      <c r="D4342" t="s">
        <v>156</v>
      </c>
      <c r="E4342" t="s">
        <v>8984</v>
      </c>
    </row>
    <row r="4343" spans="1:5" x14ac:dyDescent="0.2">
      <c r="A4343" t="s">
        <v>8600</v>
      </c>
      <c r="B4343" t="s">
        <v>8601</v>
      </c>
      <c r="C4343" t="s">
        <v>131</v>
      </c>
      <c r="D4343" t="s">
        <v>245</v>
      </c>
      <c r="E4343" t="s">
        <v>9135</v>
      </c>
    </row>
    <row r="4344" spans="1:5" x14ac:dyDescent="0.2">
      <c r="A4344" t="s">
        <v>8602</v>
      </c>
      <c r="B4344" t="s">
        <v>8603</v>
      </c>
      <c r="C4344" t="s">
        <v>104</v>
      </c>
      <c r="D4344" t="s">
        <v>363</v>
      </c>
      <c r="E4344" t="s">
        <v>9135</v>
      </c>
    </row>
    <row r="4345" spans="1:5" x14ac:dyDescent="0.2">
      <c r="A4345" t="s">
        <v>8604</v>
      </c>
      <c r="B4345" t="s">
        <v>8605</v>
      </c>
      <c r="C4345" t="s">
        <v>120</v>
      </c>
      <c r="D4345" t="s">
        <v>213</v>
      </c>
      <c r="E4345" t="s">
        <v>9135</v>
      </c>
    </row>
    <row r="4346" spans="1:5" x14ac:dyDescent="0.2">
      <c r="A4346" t="s">
        <v>8606</v>
      </c>
      <c r="B4346" t="s">
        <v>8607</v>
      </c>
      <c r="C4346" t="s">
        <v>219</v>
      </c>
      <c r="D4346" t="s">
        <v>617</v>
      </c>
      <c r="E4346" t="s">
        <v>234</v>
      </c>
    </row>
    <row r="4347" spans="1:5" x14ac:dyDescent="0.2">
      <c r="A4347" t="s">
        <v>8608</v>
      </c>
      <c r="B4347" t="s">
        <v>8609</v>
      </c>
      <c r="C4347" t="s">
        <v>219</v>
      </c>
      <c r="D4347" t="s">
        <v>617</v>
      </c>
      <c r="E4347" t="s">
        <v>234</v>
      </c>
    </row>
    <row r="4348" spans="1:5" x14ac:dyDescent="0.2">
      <c r="A4348" t="s">
        <v>8610</v>
      </c>
      <c r="B4348" t="s">
        <v>8611</v>
      </c>
      <c r="C4348" t="s">
        <v>219</v>
      </c>
      <c r="D4348" t="s">
        <v>1793</v>
      </c>
      <c r="E4348" t="s">
        <v>234</v>
      </c>
    </row>
    <row r="4349" spans="1:5" x14ac:dyDescent="0.2">
      <c r="A4349" t="s">
        <v>8612</v>
      </c>
      <c r="B4349" t="s">
        <v>8613</v>
      </c>
      <c r="C4349" t="s">
        <v>219</v>
      </c>
      <c r="D4349" t="s">
        <v>1793</v>
      </c>
      <c r="E4349" t="s">
        <v>234</v>
      </c>
    </row>
    <row r="4350" spans="1:5" x14ac:dyDescent="0.2">
      <c r="A4350" t="s">
        <v>8614</v>
      </c>
      <c r="B4350" t="s">
        <v>8615</v>
      </c>
      <c r="C4350" t="s">
        <v>591</v>
      </c>
      <c r="D4350" t="s">
        <v>583</v>
      </c>
      <c r="E4350" t="s">
        <v>234</v>
      </c>
    </row>
    <row r="4351" spans="1:5" x14ac:dyDescent="0.2">
      <c r="A4351" t="s">
        <v>8616</v>
      </c>
      <c r="B4351" t="s">
        <v>8617</v>
      </c>
      <c r="C4351" t="s">
        <v>219</v>
      </c>
      <c r="D4351" t="s">
        <v>266</v>
      </c>
      <c r="E4351" t="s">
        <v>234</v>
      </c>
    </row>
    <row r="4352" spans="1:5" x14ac:dyDescent="0.2">
      <c r="A4352" t="s">
        <v>8618</v>
      </c>
      <c r="B4352" t="s">
        <v>8619</v>
      </c>
      <c r="C4352" t="s">
        <v>705</v>
      </c>
      <c r="D4352" t="s">
        <v>635</v>
      </c>
      <c r="E4352" t="s">
        <v>234</v>
      </c>
    </row>
    <row r="4353" spans="1:5" x14ac:dyDescent="0.2">
      <c r="A4353" t="s">
        <v>8620</v>
      </c>
      <c r="B4353" t="s">
        <v>8621</v>
      </c>
      <c r="C4353" t="s">
        <v>92</v>
      </c>
      <c r="D4353" t="s">
        <v>258</v>
      </c>
      <c r="E4353" t="s">
        <v>234</v>
      </c>
    </row>
    <row r="4354" spans="1:5" x14ac:dyDescent="0.2">
      <c r="A4354" t="s">
        <v>8622</v>
      </c>
      <c r="B4354" t="s">
        <v>8623</v>
      </c>
      <c r="C4354" t="s">
        <v>222</v>
      </c>
      <c r="D4354" t="s">
        <v>126</v>
      </c>
      <c r="E4354" t="s">
        <v>234</v>
      </c>
    </row>
    <row r="4355" spans="1:5" x14ac:dyDescent="0.2">
      <c r="A4355" t="s">
        <v>8624</v>
      </c>
      <c r="B4355" t="s">
        <v>8625</v>
      </c>
      <c r="C4355" t="s">
        <v>9124</v>
      </c>
      <c r="D4355" t="s">
        <v>588</v>
      </c>
      <c r="E4355" t="s">
        <v>234</v>
      </c>
    </row>
    <row r="4356" spans="1:5" x14ac:dyDescent="0.2">
      <c r="A4356" t="s">
        <v>8626</v>
      </c>
      <c r="B4356" t="s">
        <v>8627</v>
      </c>
      <c r="C4356" t="s">
        <v>9124</v>
      </c>
      <c r="D4356" t="s">
        <v>588</v>
      </c>
      <c r="E4356" t="s">
        <v>234</v>
      </c>
    </row>
    <row r="4357" spans="1:5" x14ac:dyDescent="0.2">
      <c r="A4357" t="s">
        <v>8628</v>
      </c>
      <c r="B4357" t="s">
        <v>8629</v>
      </c>
      <c r="C4357" t="s">
        <v>591</v>
      </c>
      <c r="D4357" t="s">
        <v>396</v>
      </c>
      <c r="E4357" t="s">
        <v>234</v>
      </c>
    </row>
    <row r="4358" spans="1:5" x14ac:dyDescent="0.2">
      <c r="A4358" t="s">
        <v>3298</v>
      </c>
      <c r="B4358" t="s">
        <v>9501</v>
      </c>
      <c r="C4358" t="s">
        <v>131</v>
      </c>
      <c r="D4358" t="s">
        <v>200</v>
      </c>
      <c r="E4358" t="s">
        <v>9502</v>
      </c>
    </row>
    <row r="4359" spans="1:5" x14ac:dyDescent="0.2">
      <c r="A4359" t="s">
        <v>3299</v>
      </c>
      <c r="B4359" t="s">
        <v>9503</v>
      </c>
      <c r="C4359" t="s">
        <v>131</v>
      </c>
      <c r="D4359" t="s">
        <v>358</v>
      </c>
      <c r="E4359" t="s">
        <v>9502</v>
      </c>
    </row>
    <row r="4360" spans="1:5" x14ac:dyDescent="0.2">
      <c r="A4360" t="s">
        <v>3300</v>
      </c>
      <c r="B4360" t="s">
        <v>9504</v>
      </c>
      <c r="C4360" t="s">
        <v>131</v>
      </c>
      <c r="D4360" t="s">
        <v>336</v>
      </c>
      <c r="E4360" t="s">
        <v>9502</v>
      </c>
    </row>
    <row r="4361" spans="1:5" x14ac:dyDescent="0.2">
      <c r="A4361" t="s">
        <v>3301</v>
      </c>
      <c r="B4361" t="s">
        <v>9505</v>
      </c>
      <c r="C4361" t="s">
        <v>104</v>
      </c>
      <c r="D4361" t="s">
        <v>224</v>
      </c>
      <c r="E4361" t="s">
        <v>9502</v>
      </c>
    </row>
    <row r="4362" spans="1:5" x14ac:dyDescent="0.2">
      <c r="A4362" t="s">
        <v>3302</v>
      </c>
      <c r="B4362" t="s">
        <v>9506</v>
      </c>
      <c r="C4362" t="s">
        <v>104</v>
      </c>
      <c r="D4362" t="s">
        <v>2514</v>
      </c>
      <c r="E4362" t="s">
        <v>9502</v>
      </c>
    </row>
    <row r="4363" spans="1:5" x14ac:dyDescent="0.2">
      <c r="A4363" t="s">
        <v>3303</v>
      </c>
      <c r="B4363" t="s">
        <v>9507</v>
      </c>
      <c r="C4363" t="s">
        <v>104</v>
      </c>
      <c r="D4363" t="s">
        <v>126</v>
      </c>
      <c r="E4363" t="s">
        <v>9135</v>
      </c>
    </row>
    <row r="4364" spans="1:5" x14ac:dyDescent="0.2">
      <c r="A4364" t="s">
        <v>3304</v>
      </c>
      <c r="B4364" t="s">
        <v>9508</v>
      </c>
      <c r="C4364" t="s">
        <v>104</v>
      </c>
      <c r="D4364" t="s">
        <v>126</v>
      </c>
      <c r="E4364" t="s">
        <v>9135</v>
      </c>
    </row>
    <row r="4365" spans="1:5" x14ac:dyDescent="0.2">
      <c r="A4365" t="s">
        <v>3305</v>
      </c>
      <c r="B4365" t="s">
        <v>9509</v>
      </c>
      <c r="C4365" t="s">
        <v>104</v>
      </c>
      <c r="D4365" t="s">
        <v>1770</v>
      </c>
      <c r="E4365" t="s">
        <v>9135</v>
      </c>
    </row>
    <row r="4366" spans="1:5" x14ac:dyDescent="0.2">
      <c r="A4366" t="s">
        <v>3306</v>
      </c>
      <c r="B4366" t="s">
        <v>9510</v>
      </c>
      <c r="C4366" t="s">
        <v>120</v>
      </c>
      <c r="D4366" t="s">
        <v>171</v>
      </c>
      <c r="E4366" t="s">
        <v>9502</v>
      </c>
    </row>
    <row r="4367" spans="1:5" x14ac:dyDescent="0.2">
      <c r="A4367" t="s">
        <v>3307</v>
      </c>
      <c r="B4367" t="s">
        <v>9511</v>
      </c>
      <c r="C4367" t="s">
        <v>120</v>
      </c>
      <c r="D4367" t="s">
        <v>171</v>
      </c>
      <c r="E4367" t="s">
        <v>9502</v>
      </c>
    </row>
    <row r="4368" spans="1:5" x14ac:dyDescent="0.2">
      <c r="A4368" t="s">
        <v>3308</v>
      </c>
      <c r="B4368" t="s">
        <v>9512</v>
      </c>
      <c r="C4368" t="s">
        <v>120</v>
      </c>
      <c r="D4368" t="s">
        <v>2132</v>
      </c>
      <c r="E4368" t="s">
        <v>9502</v>
      </c>
    </row>
    <row r="4369" spans="1:5" x14ac:dyDescent="0.2">
      <c r="A4369" t="s">
        <v>3309</v>
      </c>
      <c r="B4369" t="s">
        <v>9513</v>
      </c>
      <c r="C4369" t="s">
        <v>120</v>
      </c>
      <c r="D4369" t="s">
        <v>2132</v>
      </c>
      <c r="E4369" t="s">
        <v>9502</v>
      </c>
    </row>
    <row r="4370" spans="1:5" x14ac:dyDescent="0.2">
      <c r="A4370" t="s">
        <v>8630</v>
      </c>
      <c r="B4370" t="s">
        <v>8631</v>
      </c>
      <c r="C4370" t="s">
        <v>251</v>
      </c>
      <c r="D4370" t="s">
        <v>412</v>
      </c>
      <c r="E4370" t="s">
        <v>9253</v>
      </c>
    </row>
    <row r="4371" spans="1:5" x14ac:dyDescent="0.2">
      <c r="A4371" t="s">
        <v>8632</v>
      </c>
      <c r="B4371" t="s">
        <v>8633</v>
      </c>
      <c r="C4371" t="s">
        <v>131</v>
      </c>
      <c r="D4371" t="s">
        <v>233</v>
      </c>
      <c r="E4371" t="s">
        <v>234</v>
      </c>
    </row>
    <row r="4372" spans="1:5" x14ac:dyDescent="0.2">
      <c r="A4372" t="s">
        <v>8634</v>
      </c>
      <c r="B4372" t="s">
        <v>8635</v>
      </c>
      <c r="C4372" t="s">
        <v>92</v>
      </c>
      <c r="D4372" t="s">
        <v>635</v>
      </c>
      <c r="E4372" t="s">
        <v>234</v>
      </c>
    </row>
    <row r="4373" spans="1:5" x14ac:dyDescent="0.2">
      <c r="A4373" t="s">
        <v>8636</v>
      </c>
      <c r="B4373" t="s">
        <v>8637</v>
      </c>
      <c r="C4373" t="s">
        <v>131</v>
      </c>
      <c r="D4373" t="s">
        <v>233</v>
      </c>
      <c r="E4373" t="s">
        <v>234</v>
      </c>
    </row>
    <row r="4374" spans="1:5" x14ac:dyDescent="0.2">
      <c r="A4374" t="s">
        <v>8638</v>
      </c>
      <c r="B4374" t="s">
        <v>8639</v>
      </c>
      <c r="C4374" t="s">
        <v>104</v>
      </c>
      <c r="D4374" t="s">
        <v>1458</v>
      </c>
      <c r="E4374" t="s">
        <v>234</v>
      </c>
    </row>
    <row r="4375" spans="1:5" x14ac:dyDescent="0.2">
      <c r="A4375" t="s">
        <v>8640</v>
      </c>
      <c r="B4375" t="s">
        <v>8641</v>
      </c>
      <c r="C4375" t="s">
        <v>104</v>
      </c>
      <c r="D4375" t="s">
        <v>193</v>
      </c>
      <c r="E4375" t="s">
        <v>234</v>
      </c>
    </row>
    <row r="4376" spans="1:5" x14ac:dyDescent="0.2">
      <c r="A4376" t="s">
        <v>8642</v>
      </c>
      <c r="B4376" t="s">
        <v>8643</v>
      </c>
      <c r="C4376" t="s">
        <v>104</v>
      </c>
      <c r="D4376" t="s">
        <v>193</v>
      </c>
      <c r="E4376" t="s">
        <v>234</v>
      </c>
    </row>
    <row r="4377" spans="1:5" x14ac:dyDescent="0.2">
      <c r="A4377" t="s">
        <v>8644</v>
      </c>
      <c r="B4377" t="s">
        <v>8645</v>
      </c>
      <c r="C4377" t="s">
        <v>131</v>
      </c>
      <c r="D4377" t="s">
        <v>296</v>
      </c>
      <c r="E4377" t="s">
        <v>234</v>
      </c>
    </row>
    <row r="4378" spans="1:5" x14ac:dyDescent="0.2">
      <c r="A4378" t="s">
        <v>8646</v>
      </c>
      <c r="B4378" t="s">
        <v>8647</v>
      </c>
      <c r="C4378" t="s">
        <v>131</v>
      </c>
      <c r="D4378" t="s">
        <v>299</v>
      </c>
      <c r="E4378" t="s">
        <v>234</v>
      </c>
    </row>
    <row r="4379" spans="1:5" x14ac:dyDescent="0.2">
      <c r="A4379" t="s">
        <v>8648</v>
      </c>
      <c r="B4379" t="s">
        <v>8649</v>
      </c>
      <c r="C4379" t="s">
        <v>104</v>
      </c>
      <c r="D4379" t="s">
        <v>296</v>
      </c>
      <c r="E4379" t="s">
        <v>234</v>
      </c>
    </row>
    <row r="4380" spans="1:5" x14ac:dyDescent="0.2">
      <c r="A4380" t="s">
        <v>8650</v>
      </c>
      <c r="B4380" t="s">
        <v>8651</v>
      </c>
      <c r="C4380" t="s">
        <v>104</v>
      </c>
      <c r="D4380" t="s">
        <v>299</v>
      </c>
      <c r="E4380" t="s">
        <v>234</v>
      </c>
    </row>
    <row r="4381" spans="1:5" x14ac:dyDescent="0.2">
      <c r="A4381" t="s">
        <v>8652</v>
      </c>
      <c r="B4381" t="s">
        <v>8653</v>
      </c>
      <c r="C4381" t="s">
        <v>227</v>
      </c>
      <c r="D4381" t="s">
        <v>394</v>
      </c>
      <c r="E4381" t="s">
        <v>8894</v>
      </c>
    </row>
    <row r="4382" spans="1:5" x14ac:dyDescent="0.2">
      <c r="A4382" t="s">
        <v>8654</v>
      </c>
      <c r="B4382" t="s">
        <v>8655</v>
      </c>
      <c r="C4382" t="s">
        <v>227</v>
      </c>
      <c r="D4382" t="s">
        <v>394</v>
      </c>
      <c r="E4382" t="s">
        <v>8894</v>
      </c>
    </row>
    <row r="4383" spans="1:5" x14ac:dyDescent="0.2">
      <c r="A4383" t="s">
        <v>8656</v>
      </c>
      <c r="B4383" t="s">
        <v>8657</v>
      </c>
      <c r="C4383" t="s">
        <v>219</v>
      </c>
      <c r="D4383" t="s">
        <v>126</v>
      </c>
      <c r="E4383" t="s">
        <v>8880</v>
      </c>
    </row>
    <row r="4384" spans="1:5" x14ac:dyDescent="0.2">
      <c r="A4384" t="s">
        <v>8658</v>
      </c>
      <c r="B4384" t="s">
        <v>8659</v>
      </c>
      <c r="C4384" t="s">
        <v>399</v>
      </c>
      <c r="D4384" t="s">
        <v>224</v>
      </c>
      <c r="E4384" t="s">
        <v>8880</v>
      </c>
    </row>
    <row r="4385" spans="1:5" x14ac:dyDescent="0.2">
      <c r="A4385" t="s">
        <v>8660</v>
      </c>
      <c r="B4385" t="s">
        <v>8661</v>
      </c>
      <c r="C4385" t="s">
        <v>399</v>
      </c>
      <c r="D4385" t="s">
        <v>224</v>
      </c>
      <c r="E4385" t="s">
        <v>8880</v>
      </c>
    </row>
    <row r="4386" spans="1:5" x14ac:dyDescent="0.2">
      <c r="A4386" t="s">
        <v>8662</v>
      </c>
      <c r="B4386" t="s">
        <v>8663</v>
      </c>
      <c r="C4386" t="s">
        <v>399</v>
      </c>
      <c r="D4386" t="s">
        <v>224</v>
      </c>
      <c r="E4386" t="s">
        <v>8880</v>
      </c>
    </row>
    <row r="4387" spans="1:5" x14ac:dyDescent="0.2">
      <c r="A4387" t="s">
        <v>8664</v>
      </c>
      <c r="B4387" t="s">
        <v>8665</v>
      </c>
      <c r="C4387" t="s">
        <v>399</v>
      </c>
      <c r="D4387" t="s">
        <v>224</v>
      </c>
      <c r="E4387" t="s">
        <v>8880</v>
      </c>
    </row>
    <row r="4388" spans="1:5" x14ac:dyDescent="0.2">
      <c r="A4388" t="s">
        <v>8666</v>
      </c>
      <c r="B4388" t="s">
        <v>8667</v>
      </c>
      <c r="C4388" t="s">
        <v>212</v>
      </c>
      <c r="D4388" t="s">
        <v>241</v>
      </c>
      <c r="E4388" t="s">
        <v>8880</v>
      </c>
    </row>
    <row r="4389" spans="1:5" x14ac:dyDescent="0.2">
      <c r="A4389" t="s">
        <v>8668</v>
      </c>
      <c r="B4389" t="s">
        <v>8669</v>
      </c>
      <c r="C4389" t="s">
        <v>212</v>
      </c>
      <c r="D4389" t="s">
        <v>241</v>
      </c>
      <c r="E4389" t="s">
        <v>8880</v>
      </c>
    </row>
    <row r="4390" spans="1:5" x14ac:dyDescent="0.2">
      <c r="A4390" t="s">
        <v>8670</v>
      </c>
      <c r="B4390" t="s">
        <v>8671</v>
      </c>
      <c r="C4390" t="s">
        <v>251</v>
      </c>
      <c r="D4390" t="s">
        <v>171</v>
      </c>
      <c r="E4390" t="s">
        <v>234</v>
      </c>
    </row>
    <row r="4391" spans="1:5" x14ac:dyDescent="0.2">
      <c r="A4391" t="s">
        <v>8672</v>
      </c>
      <c r="B4391" t="s">
        <v>8673</v>
      </c>
      <c r="C4391" t="s">
        <v>251</v>
      </c>
      <c r="D4391" t="s">
        <v>171</v>
      </c>
      <c r="E4391" t="s">
        <v>234</v>
      </c>
    </row>
    <row r="4392" spans="1:5" x14ac:dyDescent="0.2">
      <c r="A4392" t="s">
        <v>6280</v>
      </c>
      <c r="B4392" t="s">
        <v>9514</v>
      </c>
      <c r="C4392" t="s">
        <v>104</v>
      </c>
      <c r="D4392" t="s">
        <v>822</v>
      </c>
      <c r="E4392" t="s">
        <v>9340</v>
      </c>
    </row>
    <row r="4393" spans="1:5" x14ac:dyDescent="0.2">
      <c r="A4393" t="s">
        <v>6279</v>
      </c>
      <c r="B4393" t="s">
        <v>9515</v>
      </c>
      <c r="C4393" t="s">
        <v>120</v>
      </c>
      <c r="D4393" t="s">
        <v>1772</v>
      </c>
      <c r="E4393" t="s">
        <v>9340</v>
      </c>
    </row>
    <row r="4394" spans="1:5" x14ac:dyDescent="0.2">
      <c r="A4394" t="s">
        <v>6281</v>
      </c>
      <c r="B4394" t="s">
        <v>9516</v>
      </c>
      <c r="C4394" t="s">
        <v>131</v>
      </c>
      <c r="D4394" t="s">
        <v>718</v>
      </c>
      <c r="E4394" t="s">
        <v>9410</v>
      </c>
    </row>
    <row r="4395" spans="1:5" x14ac:dyDescent="0.2">
      <c r="A4395" t="s">
        <v>8674</v>
      </c>
      <c r="B4395" t="s">
        <v>8675</v>
      </c>
      <c r="C4395" t="s">
        <v>92</v>
      </c>
      <c r="D4395" t="s">
        <v>9517</v>
      </c>
      <c r="E4395" t="s">
        <v>8880</v>
      </c>
    </row>
    <row r="4396" spans="1:5" x14ac:dyDescent="0.2">
      <c r="A4396" t="s">
        <v>8676</v>
      </c>
      <c r="B4396" t="s">
        <v>8677</v>
      </c>
      <c r="C4396" t="s">
        <v>92</v>
      </c>
      <c r="D4396" t="s">
        <v>1909</v>
      </c>
      <c r="E4396" t="s">
        <v>8880</v>
      </c>
    </row>
    <row r="4397" spans="1:5" x14ac:dyDescent="0.2">
      <c r="A4397" t="s">
        <v>8678</v>
      </c>
      <c r="B4397" t="s">
        <v>8679</v>
      </c>
      <c r="C4397" t="s">
        <v>92</v>
      </c>
      <c r="D4397" t="s">
        <v>1909</v>
      </c>
      <c r="E4397" t="s">
        <v>8880</v>
      </c>
    </row>
    <row r="4398" spans="1:5" x14ac:dyDescent="0.2">
      <c r="A4398" t="s">
        <v>8680</v>
      </c>
      <c r="B4398" t="s">
        <v>8681</v>
      </c>
      <c r="C4398" t="s">
        <v>104</v>
      </c>
      <c r="D4398" t="s">
        <v>9518</v>
      </c>
      <c r="E4398" t="s">
        <v>8880</v>
      </c>
    </row>
    <row r="4399" spans="1:5" x14ac:dyDescent="0.2">
      <c r="A4399" t="s">
        <v>8682</v>
      </c>
      <c r="B4399" t="s">
        <v>8683</v>
      </c>
      <c r="C4399" t="s">
        <v>104</v>
      </c>
      <c r="D4399" t="s">
        <v>1868</v>
      </c>
      <c r="E4399" t="s">
        <v>8880</v>
      </c>
    </row>
    <row r="4400" spans="1:5" x14ac:dyDescent="0.2">
      <c r="A4400" t="s">
        <v>8684</v>
      </c>
      <c r="B4400" t="s">
        <v>8685</v>
      </c>
      <c r="C4400" t="s">
        <v>104</v>
      </c>
      <c r="D4400" t="s">
        <v>1868</v>
      </c>
      <c r="E4400" t="s">
        <v>8880</v>
      </c>
    </row>
    <row r="4401" spans="1:5" x14ac:dyDescent="0.2">
      <c r="A4401" t="s">
        <v>8686</v>
      </c>
      <c r="B4401" t="s">
        <v>8687</v>
      </c>
      <c r="C4401" t="s">
        <v>120</v>
      </c>
      <c r="D4401" t="s">
        <v>6307</v>
      </c>
      <c r="E4401" t="s">
        <v>8880</v>
      </c>
    </row>
    <row r="4402" spans="1:5" x14ac:dyDescent="0.2">
      <c r="A4402" t="s">
        <v>8688</v>
      </c>
      <c r="B4402" t="s">
        <v>8689</v>
      </c>
      <c r="C4402" t="s">
        <v>120</v>
      </c>
      <c r="D4402" t="s">
        <v>1909</v>
      </c>
      <c r="E4402" t="s">
        <v>8880</v>
      </c>
    </row>
    <row r="4403" spans="1:5" x14ac:dyDescent="0.2">
      <c r="A4403" t="s">
        <v>8690</v>
      </c>
      <c r="B4403" t="s">
        <v>8691</v>
      </c>
      <c r="C4403" t="s">
        <v>131</v>
      </c>
      <c r="D4403" t="s">
        <v>1836</v>
      </c>
      <c r="E4403" t="s">
        <v>8880</v>
      </c>
    </row>
    <row r="4404" spans="1:5" x14ac:dyDescent="0.2">
      <c r="A4404" t="s">
        <v>8692</v>
      </c>
      <c r="B4404" t="s">
        <v>8693</v>
      </c>
      <c r="C4404" t="s">
        <v>591</v>
      </c>
      <c r="D4404" t="s">
        <v>3823</v>
      </c>
      <c r="E4404" t="s">
        <v>9135</v>
      </c>
    </row>
    <row r="4405" spans="1:5" x14ac:dyDescent="0.2">
      <c r="A4405" t="s">
        <v>8694</v>
      </c>
      <c r="B4405" t="s">
        <v>8695</v>
      </c>
      <c r="C4405" t="s">
        <v>591</v>
      </c>
      <c r="D4405" t="s">
        <v>3823</v>
      </c>
      <c r="E4405" t="s">
        <v>9135</v>
      </c>
    </row>
    <row r="4406" spans="1:5" x14ac:dyDescent="0.2">
      <c r="A4406" t="s">
        <v>8696</v>
      </c>
      <c r="B4406" t="s">
        <v>8697</v>
      </c>
      <c r="C4406" t="s">
        <v>591</v>
      </c>
      <c r="D4406" t="s">
        <v>2462</v>
      </c>
      <c r="E4406" t="s">
        <v>9135</v>
      </c>
    </row>
    <row r="4407" spans="1:5" x14ac:dyDescent="0.2">
      <c r="A4407" t="s">
        <v>8698</v>
      </c>
      <c r="B4407" t="s">
        <v>8699</v>
      </c>
      <c r="C4407" t="s">
        <v>591</v>
      </c>
      <c r="D4407" t="s">
        <v>473</v>
      </c>
      <c r="E4407" t="s">
        <v>9135</v>
      </c>
    </row>
    <row r="4408" spans="1:5" x14ac:dyDescent="0.2">
      <c r="A4408" t="s">
        <v>8700</v>
      </c>
      <c r="B4408" t="s">
        <v>8701</v>
      </c>
      <c r="C4408" t="s">
        <v>591</v>
      </c>
      <c r="D4408" t="s">
        <v>473</v>
      </c>
      <c r="E4408" t="s">
        <v>9135</v>
      </c>
    </row>
    <row r="4409" spans="1:5" x14ac:dyDescent="0.2">
      <c r="A4409" t="s">
        <v>8702</v>
      </c>
      <c r="B4409" t="s">
        <v>8703</v>
      </c>
      <c r="C4409" t="s">
        <v>104</v>
      </c>
      <c r="D4409" t="s">
        <v>1011</v>
      </c>
      <c r="E4409" t="s">
        <v>8880</v>
      </c>
    </row>
    <row r="4410" spans="1:5" x14ac:dyDescent="0.2">
      <c r="A4410" t="s">
        <v>8704</v>
      </c>
      <c r="B4410" t="s">
        <v>8705</v>
      </c>
      <c r="C4410" t="s">
        <v>104</v>
      </c>
      <c r="D4410" t="s">
        <v>1011</v>
      </c>
      <c r="E4410" t="s">
        <v>8880</v>
      </c>
    </row>
    <row r="4411" spans="1:5" x14ac:dyDescent="0.2">
      <c r="A4411" t="s">
        <v>8706</v>
      </c>
      <c r="B4411" t="s">
        <v>9519</v>
      </c>
      <c r="C4411" t="s">
        <v>92</v>
      </c>
      <c r="D4411" t="s">
        <v>842</v>
      </c>
      <c r="E4411" t="s">
        <v>9135</v>
      </c>
    </row>
    <row r="4412" spans="1:5" x14ac:dyDescent="0.2">
      <c r="A4412" t="s">
        <v>8707</v>
      </c>
      <c r="B4412" t="s">
        <v>8708</v>
      </c>
      <c r="C4412" t="s">
        <v>92</v>
      </c>
      <c r="D4412" t="s">
        <v>462</v>
      </c>
      <c r="E4412" t="s">
        <v>9135</v>
      </c>
    </row>
    <row r="4413" spans="1:5" x14ac:dyDescent="0.2">
      <c r="A4413" t="s">
        <v>8709</v>
      </c>
      <c r="B4413" t="s">
        <v>8710</v>
      </c>
      <c r="C4413" t="s">
        <v>92</v>
      </c>
      <c r="D4413" t="s">
        <v>462</v>
      </c>
      <c r="E4413" t="s">
        <v>9135</v>
      </c>
    </row>
    <row r="4414" spans="1:5" x14ac:dyDescent="0.2">
      <c r="A4414" t="s">
        <v>8711</v>
      </c>
      <c r="B4414" t="s">
        <v>8712</v>
      </c>
      <c r="C4414" t="s">
        <v>219</v>
      </c>
      <c r="D4414" t="s">
        <v>1652</v>
      </c>
      <c r="E4414" t="s">
        <v>2473</v>
      </c>
    </row>
    <row r="4415" spans="1:5" x14ac:dyDescent="0.2">
      <c r="A4415" t="s">
        <v>8713</v>
      </c>
      <c r="B4415" t="s">
        <v>8714</v>
      </c>
      <c r="C4415" t="s">
        <v>9105</v>
      </c>
      <c r="D4415" t="s">
        <v>1058</v>
      </c>
      <c r="E4415" t="s">
        <v>2473</v>
      </c>
    </row>
    <row r="4416" spans="1:5" x14ac:dyDescent="0.2">
      <c r="A4416" t="s">
        <v>8715</v>
      </c>
      <c r="B4416" t="s">
        <v>8716</v>
      </c>
      <c r="C4416" t="s">
        <v>9105</v>
      </c>
      <c r="D4416" t="s">
        <v>473</v>
      </c>
      <c r="E4416" t="s">
        <v>2473</v>
      </c>
    </row>
    <row r="4417" spans="1:5" x14ac:dyDescent="0.2">
      <c r="A4417" t="s">
        <v>8717</v>
      </c>
      <c r="B4417" t="s">
        <v>8718</v>
      </c>
      <c r="C4417" t="s">
        <v>9105</v>
      </c>
      <c r="D4417" t="s">
        <v>441</v>
      </c>
      <c r="E4417" t="s">
        <v>2473</v>
      </c>
    </row>
    <row r="4418" spans="1:5" x14ac:dyDescent="0.2">
      <c r="A4418" t="s">
        <v>8719</v>
      </c>
      <c r="B4418" t="s">
        <v>8720</v>
      </c>
      <c r="C4418" t="s">
        <v>287</v>
      </c>
      <c r="D4418" t="s">
        <v>1947</v>
      </c>
      <c r="E4418" t="s">
        <v>2473</v>
      </c>
    </row>
    <row r="4419" spans="1:5" x14ac:dyDescent="0.2">
      <c r="A4419" t="s">
        <v>8721</v>
      </c>
      <c r="B4419" t="s">
        <v>8722</v>
      </c>
      <c r="C4419" t="s">
        <v>287</v>
      </c>
      <c r="D4419" t="s">
        <v>1947</v>
      </c>
      <c r="E4419" t="s">
        <v>2473</v>
      </c>
    </row>
    <row r="4420" spans="1:5" x14ac:dyDescent="0.2">
      <c r="A4420" t="s">
        <v>8723</v>
      </c>
      <c r="B4420" t="s">
        <v>8724</v>
      </c>
      <c r="C4420" t="s">
        <v>104</v>
      </c>
      <c r="D4420" t="s">
        <v>734</v>
      </c>
      <c r="E4420" t="s">
        <v>2473</v>
      </c>
    </row>
    <row r="4421" spans="1:5" x14ac:dyDescent="0.2">
      <c r="A4421" t="s">
        <v>8725</v>
      </c>
      <c r="B4421" t="s">
        <v>8726</v>
      </c>
      <c r="C4421" t="s">
        <v>104</v>
      </c>
      <c r="D4421" t="s">
        <v>805</v>
      </c>
      <c r="E4421" t="s">
        <v>2473</v>
      </c>
    </row>
    <row r="4422" spans="1:5" x14ac:dyDescent="0.2">
      <c r="A4422" t="s">
        <v>8727</v>
      </c>
      <c r="B4422" t="s">
        <v>8728</v>
      </c>
      <c r="C4422" t="s">
        <v>131</v>
      </c>
      <c r="D4422" t="s">
        <v>734</v>
      </c>
      <c r="E4422" t="s">
        <v>2473</v>
      </c>
    </row>
    <row r="4423" spans="1:5" x14ac:dyDescent="0.2">
      <c r="A4423" t="s">
        <v>8729</v>
      </c>
      <c r="B4423" t="s">
        <v>8730</v>
      </c>
      <c r="C4423" t="s">
        <v>92</v>
      </c>
      <c r="D4423" t="s">
        <v>145</v>
      </c>
      <c r="E4423" t="s">
        <v>2473</v>
      </c>
    </row>
    <row r="4424" spans="1:5" x14ac:dyDescent="0.2">
      <c r="A4424" t="s">
        <v>2474</v>
      </c>
      <c r="B4424" t="s">
        <v>9520</v>
      </c>
      <c r="C4424" t="s">
        <v>2471</v>
      </c>
      <c r="D4424" t="s">
        <v>263</v>
      </c>
      <c r="E4424" t="s">
        <v>2473</v>
      </c>
    </row>
    <row r="4425" spans="1:5" x14ac:dyDescent="0.2">
      <c r="A4425" t="s">
        <v>2476</v>
      </c>
      <c r="B4425" t="s">
        <v>9521</v>
      </c>
      <c r="C4425" t="s">
        <v>2471</v>
      </c>
      <c r="D4425" t="s">
        <v>698</v>
      </c>
      <c r="E4425" t="s">
        <v>2473</v>
      </c>
    </row>
    <row r="4426" spans="1:5" x14ac:dyDescent="0.2">
      <c r="A4426" t="s">
        <v>2477</v>
      </c>
      <c r="B4426" t="s">
        <v>9522</v>
      </c>
      <c r="C4426" t="s">
        <v>2471</v>
      </c>
      <c r="D4426" t="s">
        <v>572</v>
      </c>
      <c r="E4426" t="s">
        <v>2473</v>
      </c>
    </row>
    <row r="4427" spans="1:5" x14ac:dyDescent="0.2">
      <c r="A4427" t="s">
        <v>2479</v>
      </c>
      <c r="B4427" t="s">
        <v>9523</v>
      </c>
      <c r="C4427" t="s">
        <v>2471</v>
      </c>
      <c r="D4427" t="s">
        <v>262</v>
      </c>
      <c r="E4427" t="s">
        <v>2473</v>
      </c>
    </row>
    <row r="4428" spans="1:5" x14ac:dyDescent="0.2">
      <c r="A4428" t="s">
        <v>2480</v>
      </c>
      <c r="B4428" t="s">
        <v>9524</v>
      </c>
      <c r="C4428" t="s">
        <v>2471</v>
      </c>
      <c r="D4428" t="s">
        <v>1070</v>
      </c>
      <c r="E4428" t="s">
        <v>2473</v>
      </c>
    </row>
    <row r="4429" spans="1:5" x14ac:dyDescent="0.2">
      <c r="A4429" t="s">
        <v>2481</v>
      </c>
      <c r="B4429" t="s">
        <v>9525</v>
      </c>
      <c r="C4429" t="s">
        <v>2471</v>
      </c>
      <c r="D4429" t="s">
        <v>323</v>
      </c>
      <c r="E4429" t="s">
        <v>2473</v>
      </c>
    </row>
    <row r="4430" spans="1:5" x14ac:dyDescent="0.2">
      <c r="A4430" t="s">
        <v>53</v>
      </c>
      <c r="B4430" t="s">
        <v>8731</v>
      </c>
      <c r="C4430" t="s">
        <v>8732</v>
      </c>
      <c r="D4430">
        <v>1.1000000000000001</v>
      </c>
      <c r="E4430" s="3">
        <v>44196</v>
      </c>
    </row>
    <row r="4431" spans="1:5" x14ac:dyDescent="0.2">
      <c r="A4431" s="15" t="s">
        <v>17</v>
      </c>
      <c r="B4431" t="s">
        <v>8733</v>
      </c>
      <c r="C4431" t="s">
        <v>8734</v>
      </c>
      <c r="D4431">
        <v>0.12</v>
      </c>
      <c r="E4431" s="3">
        <v>44012</v>
      </c>
    </row>
    <row r="4432" spans="1:5" x14ac:dyDescent="0.2">
      <c r="A4432" s="16" t="s">
        <v>20</v>
      </c>
      <c r="B4432" t="s">
        <v>8735</v>
      </c>
      <c r="C4432" t="s">
        <v>8736</v>
      </c>
      <c r="D4432">
        <v>0.88</v>
      </c>
      <c r="E4432" s="3">
        <v>44104</v>
      </c>
    </row>
    <row r="4433" spans="1:5" x14ac:dyDescent="0.2">
      <c r="A4433" s="141" t="s">
        <v>8737</v>
      </c>
      <c r="B4433" t="s">
        <v>8738</v>
      </c>
      <c r="C4433" t="s">
        <v>8739</v>
      </c>
      <c r="D4433">
        <v>0.95</v>
      </c>
      <c r="E4433" s="3">
        <v>44196</v>
      </c>
    </row>
    <row r="4434" spans="1:5" x14ac:dyDescent="0.2">
      <c r="A4434" s="243" t="s">
        <v>8874</v>
      </c>
      <c r="B4434" t="s">
        <v>8875</v>
      </c>
      <c r="C4434" t="s">
        <v>287</v>
      </c>
      <c r="D4434">
        <v>0.63</v>
      </c>
      <c r="E4434" s="3">
        <v>44518</v>
      </c>
    </row>
    <row r="4435" spans="1:5" x14ac:dyDescent="0.2">
      <c r="A4435" s="243" t="s">
        <v>8877</v>
      </c>
      <c r="B4435" t="s">
        <v>8878</v>
      </c>
      <c r="C4435" t="s">
        <v>591</v>
      </c>
      <c r="D4435">
        <v>0.67</v>
      </c>
      <c r="E4435" s="3">
        <v>44196</v>
      </c>
    </row>
    <row r="4436" spans="1:5" x14ac:dyDescent="0.2">
      <c r="A4436" t="s">
        <v>12</v>
      </c>
      <c r="B4436" t="s">
        <v>9526</v>
      </c>
      <c r="C4436" s="245" t="s">
        <v>199</v>
      </c>
      <c r="D4436">
        <v>0.3</v>
      </c>
      <c r="E4436" s="3">
        <v>44043</v>
      </c>
    </row>
    <row r="4437" spans="1:5" x14ac:dyDescent="0.2">
      <c r="A4437" s="15" t="s">
        <v>9533</v>
      </c>
    </row>
  </sheetData>
  <autoFilter ref="A1:E4429" xr:uid="{83465D92-092D-42C5-A0DA-A705D433899E}">
    <sortState xmlns:xlrd2="http://schemas.microsoft.com/office/spreadsheetml/2017/richdata2" ref="A2:E4429">
      <sortCondition ref="B1:B4429"/>
    </sortState>
  </autoFilter>
  <conditionalFormatting sqref="A4431">
    <cfRule type="expression" dxfId="19" priority="10">
      <formula>AND($F4431&lt;&gt;"",$F4431=0%)</formula>
    </cfRule>
  </conditionalFormatting>
  <conditionalFormatting sqref="A4431">
    <cfRule type="expression" dxfId="18" priority="11">
      <formula>AND($G4431&lt;&gt;"",$G4431=0%)</formula>
    </cfRule>
  </conditionalFormatting>
  <conditionalFormatting sqref="A4431">
    <cfRule type="expression" dxfId="17" priority="12">
      <formula>$A4431=""</formula>
    </cfRule>
    <cfRule type="expression" dxfId="16" priority="13">
      <formula>$A4431&lt;&gt;""</formula>
    </cfRule>
  </conditionalFormatting>
  <conditionalFormatting sqref="A4432">
    <cfRule type="expression" dxfId="15" priority="6">
      <formula>AND($F4432&lt;&gt;"",$F4432=0%)</formula>
    </cfRule>
  </conditionalFormatting>
  <conditionalFormatting sqref="A4432">
    <cfRule type="expression" dxfId="14" priority="7">
      <formula>AND($G4432&lt;&gt;"",$G4432=0%)</formula>
    </cfRule>
  </conditionalFormatting>
  <conditionalFormatting sqref="A4432">
    <cfRule type="expression" dxfId="13" priority="8">
      <formula>$A4432=""</formula>
    </cfRule>
    <cfRule type="expression" dxfId="12" priority="9">
      <formula>$A4432&lt;&gt;""</formula>
    </cfRule>
  </conditionalFormatting>
  <conditionalFormatting sqref="C4436">
    <cfRule type="duplicateValues" dxfId="11" priority="5"/>
  </conditionalFormatting>
  <conditionalFormatting sqref="A4437">
    <cfRule type="expression" dxfId="10" priority="1">
      <formula>AND($F4437&lt;&gt;"",$F4437=0%)</formula>
    </cfRule>
  </conditionalFormatting>
  <conditionalFormatting sqref="A4437">
    <cfRule type="expression" dxfId="9" priority="2">
      <formula>AND($G4437&lt;&gt;"",$G4437=0%)</formula>
    </cfRule>
  </conditionalFormatting>
  <conditionalFormatting sqref="A4437">
    <cfRule type="expression" dxfId="8" priority="3">
      <formula>$A4437=""</formula>
    </cfRule>
    <cfRule type="expression" dxfId="7" priority="4">
      <formula>$A4437&lt;&gt;""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53"/>
  <sheetViews>
    <sheetView topLeftCell="A136" workbookViewId="0">
      <selection sqref="A1:J1"/>
    </sheetView>
  </sheetViews>
  <sheetFormatPr defaultColWidth="9" defaultRowHeight="14.25" x14ac:dyDescent="0.2"/>
  <cols>
    <col min="1" max="1" width="51.375" customWidth="1"/>
    <col min="2" max="2" width="27.375" customWidth="1"/>
  </cols>
  <sheetData>
    <row r="1" spans="1:5" x14ac:dyDescent="0.2">
      <c r="A1" t="s">
        <v>5</v>
      </c>
      <c r="B1" t="s">
        <v>8740</v>
      </c>
      <c r="D1" s="7"/>
      <c r="E1" s="1"/>
    </row>
    <row r="2" spans="1:5" x14ac:dyDescent="0.2">
      <c r="A2" t="s">
        <v>11</v>
      </c>
      <c r="B2" t="s">
        <v>11</v>
      </c>
    </row>
    <row r="3" spans="1:5" x14ac:dyDescent="0.2">
      <c r="A3" t="s">
        <v>8741</v>
      </c>
      <c r="B3" t="s">
        <v>40</v>
      </c>
    </row>
    <row r="4" spans="1:5" x14ac:dyDescent="0.2">
      <c r="A4" t="s">
        <v>8742</v>
      </c>
      <c r="B4" t="s">
        <v>47</v>
      </c>
    </row>
    <row r="5" spans="1:5" x14ac:dyDescent="0.2">
      <c r="A5" t="s">
        <v>8743</v>
      </c>
      <c r="B5" t="s">
        <v>47</v>
      </c>
    </row>
    <row r="6" spans="1:5" x14ac:dyDescent="0.2">
      <c r="A6" t="s">
        <v>8744</v>
      </c>
      <c r="B6" t="s">
        <v>8745</v>
      </c>
    </row>
    <row r="7" spans="1:5" x14ac:dyDescent="0.2">
      <c r="A7" t="s">
        <v>8746</v>
      </c>
      <c r="B7" t="s">
        <v>8745</v>
      </c>
    </row>
    <row r="8" spans="1:5" x14ac:dyDescent="0.2">
      <c r="A8" t="s">
        <v>8747</v>
      </c>
      <c r="B8" s="2" t="s">
        <v>35</v>
      </c>
    </row>
    <row r="9" spans="1:5" x14ac:dyDescent="0.2">
      <c r="A9" t="s">
        <v>8748</v>
      </c>
      <c r="B9" s="2" t="s">
        <v>35</v>
      </c>
    </row>
    <row r="10" spans="1:5" x14ac:dyDescent="0.2">
      <c r="A10" t="s">
        <v>8749</v>
      </c>
      <c r="B10" s="2" t="s">
        <v>35</v>
      </c>
    </row>
    <row r="11" spans="1:5" x14ac:dyDescent="0.2">
      <c r="A11" t="s">
        <v>8750</v>
      </c>
      <c r="B11" s="2" t="s">
        <v>36</v>
      </c>
    </row>
    <row r="12" spans="1:5" x14ac:dyDescent="0.2">
      <c r="A12" t="s">
        <v>8751</v>
      </c>
      <c r="B12" t="s">
        <v>8745</v>
      </c>
    </row>
    <row r="13" spans="1:5" x14ac:dyDescent="0.2">
      <c r="A13" t="s">
        <v>8752</v>
      </c>
      <c r="B13" s="2" t="s">
        <v>34</v>
      </c>
    </row>
    <row r="14" spans="1:5" x14ac:dyDescent="0.2">
      <c r="A14" t="s">
        <v>8753</v>
      </c>
      <c r="B14" s="2" t="s">
        <v>34</v>
      </c>
    </row>
    <row r="15" spans="1:5" x14ac:dyDescent="0.2">
      <c r="A15" t="s">
        <v>8754</v>
      </c>
      <c r="B15" s="2" t="s">
        <v>35</v>
      </c>
    </row>
    <row r="16" spans="1:5" x14ac:dyDescent="0.2">
      <c r="A16" t="s">
        <v>8755</v>
      </c>
      <c r="B16" s="2" t="s">
        <v>35</v>
      </c>
    </row>
    <row r="17" spans="1:2" x14ac:dyDescent="0.2">
      <c r="A17" t="s">
        <v>8756</v>
      </c>
      <c r="B17" s="2" t="s">
        <v>38</v>
      </c>
    </row>
    <row r="18" spans="1:2" x14ac:dyDescent="0.2">
      <c r="A18" t="s">
        <v>8757</v>
      </c>
      <c r="B18" s="2" t="s">
        <v>37</v>
      </c>
    </row>
    <row r="19" spans="1:2" x14ac:dyDescent="0.2">
      <c r="A19" t="s">
        <v>8758</v>
      </c>
      <c r="B19" t="s">
        <v>8745</v>
      </c>
    </row>
    <row r="20" spans="1:2" x14ac:dyDescent="0.2">
      <c r="A20" t="s">
        <v>8759</v>
      </c>
      <c r="B20" t="s">
        <v>8745</v>
      </c>
    </row>
    <row r="21" spans="1:2" x14ac:dyDescent="0.2">
      <c r="A21" t="s">
        <v>8760</v>
      </c>
      <c r="B21" t="s">
        <v>8745</v>
      </c>
    </row>
    <row r="22" spans="1:2" x14ac:dyDescent="0.2">
      <c r="A22" t="s">
        <v>8761</v>
      </c>
      <c r="B22" s="2" t="s">
        <v>37</v>
      </c>
    </row>
    <row r="23" spans="1:2" x14ac:dyDescent="0.2">
      <c r="A23" t="s">
        <v>8762</v>
      </c>
      <c r="B23" t="s">
        <v>33</v>
      </c>
    </row>
    <row r="24" spans="1:2" x14ac:dyDescent="0.2">
      <c r="A24" t="s">
        <v>8763</v>
      </c>
      <c r="B24" t="s">
        <v>8745</v>
      </c>
    </row>
    <row r="25" spans="1:2" x14ac:dyDescent="0.2">
      <c r="A25" t="s">
        <v>8764</v>
      </c>
      <c r="B25" t="s">
        <v>32</v>
      </c>
    </row>
    <row r="26" spans="1:2" x14ac:dyDescent="0.2">
      <c r="A26" t="s">
        <v>8765</v>
      </c>
      <c r="B26" t="s">
        <v>33</v>
      </c>
    </row>
    <row r="27" spans="1:2" x14ac:dyDescent="0.2">
      <c r="A27" t="s">
        <v>8766</v>
      </c>
      <c r="B27" s="2" t="s">
        <v>35</v>
      </c>
    </row>
    <row r="28" spans="1:2" x14ac:dyDescent="0.2">
      <c r="A28" t="s">
        <v>8767</v>
      </c>
      <c r="B28" s="2" t="s">
        <v>36</v>
      </c>
    </row>
    <row r="29" spans="1:2" x14ac:dyDescent="0.2">
      <c r="A29" t="s">
        <v>8768</v>
      </c>
      <c r="B29" t="s">
        <v>42</v>
      </c>
    </row>
    <row r="30" spans="1:2" x14ac:dyDescent="0.2">
      <c r="A30" t="s">
        <v>8769</v>
      </c>
      <c r="B30" s="2" t="s">
        <v>44</v>
      </c>
    </row>
    <row r="31" spans="1:2" x14ac:dyDescent="0.2">
      <c r="A31" t="s">
        <v>8770</v>
      </c>
      <c r="B31" t="s">
        <v>8771</v>
      </c>
    </row>
    <row r="32" spans="1:2" x14ac:dyDescent="0.2">
      <c r="A32" t="s">
        <v>8772</v>
      </c>
      <c r="B32" t="s">
        <v>8745</v>
      </c>
    </row>
    <row r="33" spans="1:14" x14ac:dyDescent="0.2">
      <c r="A33" t="s">
        <v>8773</v>
      </c>
      <c r="B33" t="s">
        <v>8774</v>
      </c>
    </row>
    <row r="34" spans="1:14" x14ac:dyDescent="0.2">
      <c r="A34" t="s">
        <v>8775</v>
      </c>
      <c r="B34" s="2" t="s">
        <v>34</v>
      </c>
    </row>
    <row r="35" spans="1:14" x14ac:dyDescent="0.2">
      <c r="A35" t="s">
        <v>8776</v>
      </c>
      <c r="B35" t="s">
        <v>47</v>
      </c>
    </row>
    <row r="36" spans="1:14" x14ac:dyDescent="0.2">
      <c r="A36" t="s">
        <v>8777</v>
      </c>
      <c r="B36" s="2" t="s">
        <v>35</v>
      </c>
      <c r="N36" s="8" t="s">
        <v>8778</v>
      </c>
    </row>
    <row r="37" spans="1:14" x14ac:dyDescent="0.2">
      <c r="A37" t="s">
        <v>8779</v>
      </c>
      <c r="B37" s="2" t="s">
        <v>35</v>
      </c>
      <c r="N37" s="8" t="s">
        <v>8780</v>
      </c>
    </row>
    <row r="38" spans="1:14" x14ac:dyDescent="0.2">
      <c r="A38" t="s">
        <v>8781</v>
      </c>
      <c r="B38" s="2" t="s">
        <v>35</v>
      </c>
      <c r="N38" s="8" t="s">
        <v>8782</v>
      </c>
    </row>
    <row r="39" spans="1:14" x14ac:dyDescent="0.2">
      <c r="A39" t="s">
        <v>8739</v>
      </c>
      <c r="B39" s="2" t="s">
        <v>34</v>
      </c>
      <c r="N39" s="8" t="s">
        <v>8783</v>
      </c>
    </row>
    <row r="40" spans="1:14" x14ac:dyDescent="0.2">
      <c r="A40" t="s">
        <v>8784</v>
      </c>
      <c r="B40" s="2" t="s">
        <v>34</v>
      </c>
      <c r="N40" s="8" t="s">
        <v>8785</v>
      </c>
    </row>
    <row r="41" spans="1:14" x14ac:dyDescent="0.2">
      <c r="A41" t="s">
        <v>8786</v>
      </c>
      <c r="B41" s="2" t="s">
        <v>34</v>
      </c>
      <c r="N41" s="8" t="s">
        <v>8787</v>
      </c>
    </row>
    <row r="42" spans="1:14" x14ac:dyDescent="0.2">
      <c r="A42" t="s">
        <v>8788</v>
      </c>
      <c r="B42" t="s">
        <v>8789</v>
      </c>
      <c r="N42" s="8" t="s">
        <v>8790</v>
      </c>
    </row>
    <row r="43" spans="1:14" x14ac:dyDescent="0.2">
      <c r="A43" t="s">
        <v>8791</v>
      </c>
      <c r="B43" s="2" t="s">
        <v>38</v>
      </c>
      <c r="N43" s="8" t="s">
        <v>8792</v>
      </c>
    </row>
    <row r="44" spans="1:14" x14ac:dyDescent="0.2">
      <c r="A44" t="s">
        <v>8793</v>
      </c>
      <c r="B44" s="2" t="s">
        <v>9528</v>
      </c>
      <c r="N44" s="8" t="s">
        <v>8794</v>
      </c>
    </row>
    <row r="45" spans="1:14" x14ac:dyDescent="0.2">
      <c r="A45" t="s">
        <v>8795</v>
      </c>
      <c r="B45" t="s">
        <v>45</v>
      </c>
      <c r="N45" s="8" t="s">
        <v>8796</v>
      </c>
    </row>
    <row r="46" spans="1:14" x14ac:dyDescent="0.2">
      <c r="A46" t="s">
        <v>8732</v>
      </c>
      <c r="B46" s="2" t="s">
        <v>36</v>
      </c>
      <c r="N46" s="8" t="s">
        <v>8797</v>
      </c>
    </row>
    <row r="47" spans="1:14" x14ac:dyDescent="0.2">
      <c r="A47" t="s">
        <v>8798</v>
      </c>
      <c r="B47" s="2" t="s">
        <v>38</v>
      </c>
      <c r="N47" s="8" t="s">
        <v>8799</v>
      </c>
    </row>
    <row r="48" spans="1:14" x14ac:dyDescent="0.2">
      <c r="A48" t="s">
        <v>8800</v>
      </c>
      <c r="B48" s="2" t="s">
        <v>37</v>
      </c>
      <c r="N48" s="8" t="s">
        <v>8801</v>
      </c>
    </row>
    <row r="49" spans="1:14" x14ac:dyDescent="0.2">
      <c r="A49" t="s">
        <v>8802</v>
      </c>
      <c r="B49" s="2" t="s">
        <v>37</v>
      </c>
      <c r="N49" s="8" t="s">
        <v>8803</v>
      </c>
    </row>
    <row r="50" spans="1:14" x14ac:dyDescent="0.2">
      <c r="A50" t="s">
        <v>8804</v>
      </c>
      <c r="B50" t="s">
        <v>8805</v>
      </c>
      <c r="N50" s="8" t="s">
        <v>8806</v>
      </c>
    </row>
    <row r="51" spans="1:14" x14ac:dyDescent="0.2">
      <c r="A51" t="s">
        <v>8807</v>
      </c>
      <c r="B51" t="s">
        <v>8774</v>
      </c>
      <c r="N51" s="8" t="s">
        <v>8808</v>
      </c>
    </row>
    <row r="52" spans="1:14" x14ac:dyDescent="0.2">
      <c r="A52" t="s">
        <v>8809</v>
      </c>
      <c r="B52" t="s">
        <v>8810</v>
      </c>
      <c r="N52" s="8" t="s">
        <v>8811</v>
      </c>
    </row>
    <row r="53" spans="1:14" x14ac:dyDescent="0.2">
      <c r="A53" t="s">
        <v>8812</v>
      </c>
      <c r="B53" t="s">
        <v>11</v>
      </c>
      <c r="N53" s="8" t="s">
        <v>8813</v>
      </c>
    </row>
    <row r="54" spans="1:14" x14ac:dyDescent="0.2">
      <c r="A54" t="s">
        <v>8814</v>
      </c>
      <c r="B54" t="s">
        <v>33</v>
      </c>
      <c r="N54" s="8" t="s">
        <v>8815</v>
      </c>
    </row>
    <row r="55" spans="1:14" x14ac:dyDescent="0.2">
      <c r="A55" t="s">
        <v>8816</v>
      </c>
      <c r="B55" t="s">
        <v>33</v>
      </c>
      <c r="N55" s="8" t="s">
        <v>8817</v>
      </c>
    </row>
    <row r="56" spans="1:14" x14ac:dyDescent="0.2">
      <c r="A56" t="s">
        <v>8818</v>
      </c>
      <c r="B56" t="s">
        <v>49</v>
      </c>
      <c r="N56" s="8" t="s">
        <v>8819</v>
      </c>
    </row>
    <row r="57" spans="1:14" x14ac:dyDescent="0.2">
      <c r="A57" t="s">
        <v>8820</v>
      </c>
      <c r="B57" t="s">
        <v>8821</v>
      </c>
      <c r="N57" s="8" t="s">
        <v>8822</v>
      </c>
    </row>
    <row r="58" spans="1:14" x14ac:dyDescent="0.2">
      <c r="A58" t="s">
        <v>8823</v>
      </c>
      <c r="B58" t="s">
        <v>11</v>
      </c>
      <c r="N58" s="8" t="s">
        <v>8824</v>
      </c>
    </row>
    <row r="59" spans="1:14" x14ac:dyDescent="0.2">
      <c r="A59" t="s">
        <v>8736</v>
      </c>
      <c r="B59" t="s">
        <v>35</v>
      </c>
      <c r="C59" t="s">
        <v>8825</v>
      </c>
      <c r="N59" s="8" t="s">
        <v>8826</v>
      </c>
    </row>
    <row r="60" spans="1:14" x14ac:dyDescent="0.2">
      <c r="A60" t="s">
        <v>8734</v>
      </c>
      <c r="B60" t="s">
        <v>9530</v>
      </c>
      <c r="N60" s="8" t="s">
        <v>8827</v>
      </c>
    </row>
    <row r="61" spans="1:14" x14ac:dyDescent="0.2">
      <c r="A61" t="s">
        <v>8828</v>
      </c>
      <c r="B61" t="s">
        <v>42</v>
      </c>
      <c r="N61" s="8" t="s">
        <v>8829</v>
      </c>
    </row>
    <row r="62" spans="1:14" x14ac:dyDescent="0.2">
      <c r="A62" t="s">
        <v>8830</v>
      </c>
      <c r="B62" t="s">
        <v>45</v>
      </c>
    </row>
    <row r="63" spans="1:14" x14ac:dyDescent="0.2">
      <c r="A63" t="s">
        <v>8831</v>
      </c>
      <c r="B63" t="s">
        <v>48</v>
      </c>
    </row>
    <row r="64" spans="1:14" x14ac:dyDescent="0.2">
      <c r="A64" t="s">
        <v>8832</v>
      </c>
      <c r="B64" t="s">
        <v>8745</v>
      </c>
    </row>
    <row r="65" spans="1:2" x14ac:dyDescent="0.2">
      <c r="A65" t="s">
        <v>8833</v>
      </c>
      <c r="B65" t="s">
        <v>32</v>
      </c>
    </row>
    <row r="66" spans="1:2" x14ac:dyDescent="0.2">
      <c r="A66" t="s">
        <v>8834</v>
      </c>
      <c r="B66" t="s">
        <v>32</v>
      </c>
    </row>
    <row r="67" spans="1:2" x14ac:dyDescent="0.2">
      <c r="A67" t="s">
        <v>8835</v>
      </c>
      <c r="B67" t="s">
        <v>32</v>
      </c>
    </row>
    <row r="68" spans="1:2" x14ac:dyDescent="0.2">
      <c r="A68" t="s">
        <v>8836</v>
      </c>
      <c r="B68" t="s">
        <v>40</v>
      </c>
    </row>
    <row r="69" spans="1:2" x14ac:dyDescent="0.2">
      <c r="A69" t="s">
        <v>8837</v>
      </c>
      <c r="B69" t="s">
        <v>43</v>
      </c>
    </row>
    <row r="70" spans="1:2" x14ac:dyDescent="0.2">
      <c r="A70" t="s">
        <v>8838</v>
      </c>
      <c r="B70" t="s">
        <v>32</v>
      </c>
    </row>
    <row r="71" spans="1:2" x14ac:dyDescent="0.2">
      <c r="A71" t="s">
        <v>8839</v>
      </c>
      <c r="B71" t="s">
        <v>8745</v>
      </c>
    </row>
    <row r="72" spans="1:2" x14ac:dyDescent="0.2">
      <c r="A72" t="s">
        <v>8840</v>
      </c>
      <c r="B72" s="2" t="s">
        <v>35</v>
      </c>
    </row>
    <row r="73" spans="1:2" x14ac:dyDescent="0.2">
      <c r="A73" t="s">
        <v>8841</v>
      </c>
      <c r="B73" t="s">
        <v>8745</v>
      </c>
    </row>
    <row r="74" spans="1:2" x14ac:dyDescent="0.2">
      <c r="A74" t="s">
        <v>8842</v>
      </c>
      <c r="B74" s="2" t="s">
        <v>38</v>
      </c>
    </row>
    <row r="75" spans="1:2" x14ac:dyDescent="0.2">
      <c r="A75" t="s">
        <v>8843</v>
      </c>
      <c r="B75" s="2" t="s">
        <v>38</v>
      </c>
    </row>
    <row r="76" spans="1:2" x14ac:dyDescent="0.2">
      <c r="A76" t="s">
        <v>8844</v>
      </c>
      <c r="B76" t="s">
        <v>8845</v>
      </c>
    </row>
    <row r="77" spans="1:2" x14ac:dyDescent="0.2">
      <c r="A77" t="s">
        <v>8846</v>
      </c>
      <c r="B77" t="s">
        <v>8745</v>
      </c>
    </row>
    <row r="78" spans="1:2" x14ac:dyDescent="0.2">
      <c r="A78" t="s">
        <v>8847</v>
      </c>
      <c r="B78" t="s">
        <v>8745</v>
      </c>
    </row>
    <row r="79" spans="1:2" x14ac:dyDescent="0.2">
      <c r="A79" t="s">
        <v>8848</v>
      </c>
      <c r="B79" t="s">
        <v>8745</v>
      </c>
    </row>
    <row r="80" spans="1:2" x14ac:dyDescent="0.2">
      <c r="A80" t="s">
        <v>8849</v>
      </c>
      <c r="B80" s="2" t="s">
        <v>38</v>
      </c>
    </row>
    <row r="81" spans="1:2" x14ac:dyDescent="0.2">
      <c r="A81" t="s">
        <v>8850</v>
      </c>
      <c r="B81" s="2" t="s">
        <v>36</v>
      </c>
    </row>
    <row r="82" spans="1:2" x14ac:dyDescent="0.2">
      <c r="A82" t="s">
        <v>8851</v>
      </c>
      <c r="B82" s="2" t="s">
        <v>34</v>
      </c>
    </row>
    <row r="83" spans="1:2" x14ac:dyDescent="0.2">
      <c r="A83" t="s">
        <v>8852</v>
      </c>
      <c r="B83" t="s">
        <v>8745</v>
      </c>
    </row>
    <row r="84" spans="1:2" x14ac:dyDescent="0.2">
      <c r="A84" t="s">
        <v>8853</v>
      </c>
      <c r="B84" t="s">
        <v>8745</v>
      </c>
    </row>
    <row r="85" spans="1:2" x14ac:dyDescent="0.2">
      <c r="A85" t="s">
        <v>8854</v>
      </c>
      <c r="B85" t="s">
        <v>8855</v>
      </c>
    </row>
    <row r="86" spans="1:2" x14ac:dyDescent="0.2">
      <c r="A86" t="s">
        <v>8856</v>
      </c>
      <c r="B86" t="s">
        <v>8857</v>
      </c>
    </row>
    <row r="87" spans="1:2" x14ac:dyDescent="0.2">
      <c r="A87" t="s">
        <v>8858</v>
      </c>
      <c r="B87" t="s">
        <v>8859</v>
      </c>
    </row>
    <row r="88" spans="1:2" x14ac:dyDescent="0.2">
      <c r="A88" t="s">
        <v>8860</v>
      </c>
      <c r="B88" t="s">
        <v>8859</v>
      </c>
    </row>
    <row r="89" spans="1:2" x14ac:dyDescent="0.2">
      <c r="A89" t="s">
        <v>8861</v>
      </c>
      <c r="B89" t="s">
        <v>8789</v>
      </c>
    </row>
    <row r="90" spans="1:2" x14ac:dyDescent="0.2">
      <c r="A90" t="s">
        <v>8862</v>
      </c>
      <c r="B90" t="s">
        <v>41</v>
      </c>
    </row>
    <row r="91" spans="1:2" x14ac:dyDescent="0.2">
      <c r="A91" s="8" t="s">
        <v>8778</v>
      </c>
      <c r="B91" t="s">
        <v>8863</v>
      </c>
    </row>
    <row r="92" spans="1:2" x14ac:dyDescent="0.2">
      <c r="A92" s="8" t="s">
        <v>8780</v>
      </c>
      <c r="B92" t="s">
        <v>8864</v>
      </c>
    </row>
    <row r="93" spans="1:2" x14ac:dyDescent="0.2">
      <c r="A93" s="8" t="s">
        <v>8782</v>
      </c>
      <c r="B93" t="s">
        <v>8864</v>
      </c>
    </row>
    <row r="94" spans="1:2" x14ac:dyDescent="0.2">
      <c r="A94" s="8" t="s">
        <v>8783</v>
      </c>
      <c r="B94" t="s">
        <v>8864</v>
      </c>
    </row>
    <row r="95" spans="1:2" x14ac:dyDescent="0.2">
      <c r="A95" s="8" t="s">
        <v>8785</v>
      </c>
      <c r="B95" t="s">
        <v>8864</v>
      </c>
    </row>
    <row r="96" spans="1:2" x14ac:dyDescent="0.2">
      <c r="A96" s="8" t="s">
        <v>8787</v>
      </c>
      <c r="B96" t="s">
        <v>8864</v>
      </c>
    </row>
    <row r="97" spans="1:2" x14ac:dyDescent="0.2">
      <c r="A97" s="8" t="s">
        <v>8790</v>
      </c>
      <c r="B97" t="s">
        <v>8864</v>
      </c>
    </row>
    <row r="98" spans="1:2" x14ac:dyDescent="0.2">
      <c r="A98" s="8" t="s">
        <v>8792</v>
      </c>
      <c r="B98" t="s">
        <v>8864</v>
      </c>
    </row>
    <row r="99" spans="1:2" x14ac:dyDescent="0.2">
      <c r="A99" s="8" t="s">
        <v>8794</v>
      </c>
      <c r="B99" t="s">
        <v>8864</v>
      </c>
    </row>
    <row r="100" spans="1:2" x14ac:dyDescent="0.2">
      <c r="A100" s="8" t="s">
        <v>8796</v>
      </c>
      <c r="B100" t="s">
        <v>8864</v>
      </c>
    </row>
    <row r="101" spans="1:2" x14ac:dyDescent="0.2">
      <c r="A101" s="8" t="s">
        <v>8797</v>
      </c>
      <c r="B101" t="s">
        <v>8864</v>
      </c>
    </row>
    <row r="102" spans="1:2" x14ac:dyDescent="0.2">
      <c r="A102" s="8" t="s">
        <v>8799</v>
      </c>
      <c r="B102" t="s">
        <v>8864</v>
      </c>
    </row>
    <row r="103" spans="1:2" x14ac:dyDescent="0.2">
      <c r="A103" s="8" t="s">
        <v>8801</v>
      </c>
      <c r="B103" t="s">
        <v>8864</v>
      </c>
    </row>
    <row r="104" spans="1:2" x14ac:dyDescent="0.2">
      <c r="A104" s="8" t="s">
        <v>8803</v>
      </c>
      <c r="B104" t="s">
        <v>8864</v>
      </c>
    </row>
    <row r="105" spans="1:2" x14ac:dyDescent="0.2">
      <c r="A105" s="8" t="s">
        <v>8806</v>
      </c>
      <c r="B105" t="s">
        <v>8864</v>
      </c>
    </row>
    <row r="106" spans="1:2" x14ac:dyDescent="0.2">
      <c r="A106" s="8" t="s">
        <v>8808</v>
      </c>
      <c r="B106" t="s">
        <v>8864</v>
      </c>
    </row>
    <row r="107" spans="1:2" x14ac:dyDescent="0.2">
      <c r="A107" s="8" t="s">
        <v>8811</v>
      </c>
      <c r="B107" t="s">
        <v>8864</v>
      </c>
    </row>
    <row r="108" spans="1:2" x14ac:dyDescent="0.2">
      <c r="A108" s="8" t="s">
        <v>8813</v>
      </c>
      <c r="B108" t="s">
        <v>8864</v>
      </c>
    </row>
    <row r="109" spans="1:2" x14ac:dyDescent="0.2">
      <c r="A109" s="8" t="s">
        <v>8815</v>
      </c>
      <c r="B109" t="s">
        <v>8864</v>
      </c>
    </row>
    <row r="110" spans="1:2" x14ac:dyDescent="0.2">
      <c r="A110" s="8" t="s">
        <v>8817</v>
      </c>
      <c r="B110" t="s">
        <v>8864</v>
      </c>
    </row>
    <row r="111" spans="1:2" x14ac:dyDescent="0.2">
      <c r="A111" s="8" t="s">
        <v>8819</v>
      </c>
      <c r="B111" t="s">
        <v>8864</v>
      </c>
    </row>
    <row r="112" spans="1:2" x14ac:dyDescent="0.2">
      <c r="A112" s="8" t="s">
        <v>8822</v>
      </c>
      <c r="B112" t="s">
        <v>8864</v>
      </c>
    </row>
    <row r="113" spans="1:2" x14ac:dyDescent="0.2">
      <c r="A113" s="8" t="s">
        <v>8824</v>
      </c>
      <c r="B113" t="s">
        <v>8864</v>
      </c>
    </row>
    <row r="114" spans="1:2" x14ac:dyDescent="0.2">
      <c r="A114" s="8" t="s">
        <v>8826</v>
      </c>
      <c r="B114" t="s">
        <v>8864</v>
      </c>
    </row>
    <row r="115" spans="1:2" x14ac:dyDescent="0.2">
      <c r="A115" s="8" t="s">
        <v>8827</v>
      </c>
      <c r="B115" t="s">
        <v>8864</v>
      </c>
    </row>
    <row r="116" spans="1:2" x14ac:dyDescent="0.2">
      <c r="A116" s="8" t="s">
        <v>8829</v>
      </c>
      <c r="B116" t="s">
        <v>8864</v>
      </c>
    </row>
    <row r="117" spans="1:2" x14ac:dyDescent="0.2">
      <c r="A117" t="s">
        <v>376</v>
      </c>
      <c r="B117" s="2" t="s">
        <v>35</v>
      </c>
    </row>
    <row r="118" spans="1:2" x14ac:dyDescent="0.2">
      <c r="A118" t="s">
        <v>557</v>
      </c>
      <c r="B118" s="2" t="s">
        <v>35</v>
      </c>
    </row>
    <row r="119" spans="1:2" x14ac:dyDescent="0.2">
      <c r="A119" t="s">
        <v>318</v>
      </c>
      <c r="B119" s="2" t="s">
        <v>35</v>
      </c>
    </row>
    <row r="120" spans="1:2" x14ac:dyDescent="0.2">
      <c r="A120" t="s">
        <v>322</v>
      </c>
      <c r="B120" s="2" t="s">
        <v>34</v>
      </c>
    </row>
    <row r="121" spans="1:2" x14ac:dyDescent="0.2">
      <c r="A121" t="s">
        <v>5841</v>
      </c>
      <c r="B121" s="2" t="s">
        <v>34</v>
      </c>
    </row>
    <row r="122" spans="1:2" x14ac:dyDescent="0.2">
      <c r="A122" t="s">
        <v>659</v>
      </c>
      <c r="B122" s="2" t="s">
        <v>34</v>
      </c>
    </row>
    <row r="123" spans="1:2" x14ac:dyDescent="0.2">
      <c r="A123" t="s">
        <v>92</v>
      </c>
      <c r="B123" t="s">
        <v>8789</v>
      </c>
    </row>
    <row r="124" spans="1:2" x14ac:dyDescent="0.2">
      <c r="A124" t="s">
        <v>219</v>
      </c>
      <c r="B124" s="2" t="s">
        <v>38</v>
      </c>
    </row>
    <row r="125" spans="1:2" x14ac:dyDescent="0.2">
      <c r="A125" t="s">
        <v>705</v>
      </c>
      <c r="B125" s="2" t="s">
        <v>9528</v>
      </c>
    </row>
    <row r="126" spans="1:2" x14ac:dyDescent="0.2">
      <c r="A126" t="s">
        <v>8865</v>
      </c>
      <c r="B126" t="s">
        <v>45</v>
      </c>
    </row>
    <row r="127" spans="1:2" x14ac:dyDescent="0.2">
      <c r="A127" t="s">
        <v>331</v>
      </c>
      <c r="B127" s="2" t="s">
        <v>36</v>
      </c>
    </row>
    <row r="128" spans="1:2" x14ac:dyDescent="0.2">
      <c r="A128" t="s">
        <v>421</v>
      </c>
      <c r="B128" s="2" t="s">
        <v>38</v>
      </c>
    </row>
    <row r="129" spans="1:2" x14ac:dyDescent="0.2">
      <c r="A129" t="s">
        <v>742</v>
      </c>
      <c r="B129" s="2" t="s">
        <v>37</v>
      </c>
    </row>
    <row r="130" spans="1:2" x14ac:dyDescent="0.2">
      <c r="A130" t="s">
        <v>1438</v>
      </c>
      <c r="B130" s="2" t="s">
        <v>37</v>
      </c>
    </row>
    <row r="131" spans="1:2" x14ac:dyDescent="0.2">
      <c r="A131" t="s">
        <v>120</v>
      </c>
      <c r="B131" t="s">
        <v>8805</v>
      </c>
    </row>
    <row r="132" spans="1:2" x14ac:dyDescent="0.2">
      <c r="A132" t="s">
        <v>104</v>
      </c>
      <c r="B132" t="s">
        <v>8774</v>
      </c>
    </row>
    <row r="133" spans="1:2" x14ac:dyDescent="0.2">
      <c r="A133" t="s">
        <v>131</v>
      </c>
      <c r="B133" t="s">
        <v>8810</v>
      </c>
    </row>
    <row r="134" spans="1:2" x14ac:dyDescent="0.2">
      <c r="A134" t="s">
        <v>8866</v>
      </c>
      <c r="B134" t="s">
        <v>11</v>
      </c>
    </row>
    <row r="135" spans="1:2" x14ac:dyDescent="0.2">
      <c r="A135" t="s">
        <v>399</v>
      </c>
      <c r="B135" t="s">
        <v>33</v>
      </c>
    </row>
    <row r="136" spans="1:2" x14ac:dyDescent="0.2">
      <c r="A136" t="s">
        <v>522</v>
      </c>
      <c r="B136" t="s">
        <v>33</v>
      </c>
    </row>
    <row r="137" spans="1:2" x14ac:dyDescent="0.2">
      <c r="A137" t="s">
        <v>8867</v>
      </c>
      <c r="B137" t="s">
        <v>49</v>
      </c>
    </row>
    <row r="138" spans="1:2" x14ac:dyDescent="0.2">
      <c r="A138" t="s">
        <v>8868</v>
      </c>
      <c r="B138" t="s">
        <v>8821</v>
      </c>
    </row>
    <row r="139" spans="1:2" x14ac:dyDescent="0.2">
      <c r="A139" t="s">
        <v>1555</v>
      </c>
      <c r="B139" t="s">
        <v>11</v>
      </c>
    </row>
    <row r="140" spans="1:2" x14ac:dyDescent="0.2">
      <c r="A140" t="s">
        <v>591</v>
      </c>
      <c r="B140" t="s">
        <v>47</v>
      </c>
    </row>
    <row r="141" spans="1:2" x14ac:dyDescent="0.2">
      <c r="A141" t="s">
        <v>244</v>
      </c>
      <c r="B141" t="s">
        <v>9530</v>
      </c>
    </row>
    <row r="142" spans="1:2" x14ac:dyDescent="0.2">
      <c r="A142" t="s">
        <v>261</v>
      </c>
      <c r="B142" t="s">
        <v>42</v>
      </c>
    </row>
    <row r="143" spans="1:2" x14ac:dyDescent="0.2">
      <c r="A143" t="s">
        <v>287</v>
      </c>
      <c r="B143" t="s">
        <v>45</v>
      </c>
    </row>
    <row r="144" spans="1:2" x14ac:dyDescent="0.2">
      <c r="A144" t="s">
        <v>199</v>
      </c>
      <c r="B144" t="s">
        <v>48</v>
      </c>
    </row>
    <row r="145" spans="1:2" x14ac:dyDescent="0.2">
      <c r="A145" t="s">
        <v>8869</v>
      </c>
      <c r="B145" t="s">
        <v>8745</v>
      </c>
    </row>
    <row r="146" spans="1:2" x14ac:dyDescent="0.2">
      <c r="A146" t="s">
        <v>251</v>
      </c>
      <c r="B146" t="s">
        <v>32</v>
      </c>
    </row>
    <row r="147" spans="1:2" x14ac:dyDescent="0.2">
      <c r="A147" t="s">
        <v>3209</v>
      </c>
      <c r="B147" t="s">
        <v>32</v>
      </c>
    </row>
    <row r="148" spans="1:2" x14ac:dyDescent="0.2">
      <c r="A148" t="s">
        <v>212</v>
      </c>
      <c r="B148" t="s">
        <v>32</v>
      </c>
    </row>
    <row r="149" spans="1:2" x14ac:dyDescent="0.2">
      <c r="A149" t="s">
        <v>345</v>
      </c>
      <c r="B149" t="s">
        <v>40</v>
      </c>
    </row>
    <row r="150" spans="1:2" x14ac:dyDescent="0.2">
      <c r="A150" t="s">
        <v>349</v>
      </c>
      <c r="B150" t="s">
        <v>9529</v>
      </c>
    </row>
    <row r="151" spans="1:2" x14ac:dyDescent="0.2">
      <c r="A151" t="s">
        <v>227</v>
      </c>
      <c r="B151" t="s">
        <v>32</v>
      </c>
    </row>
    <row r="152" spans="1:2" x14ac:dyDescent="0.2">
      <c r="A152" t="s">
        <v>2471</v>
      </c>
      <c r="B152" t="s">
        <v>8745</v>
      </c>
    </row>
    <row r="153" spans="1:2" x14ac:dyDescent="0.2">
      <c r="A153" t="s">
        <v>9531</v>
      </c>
      <c r="B153" t="s">
        <v>9531</v>
      </c>
    </row>
  </sheetData>
  <conditionalFormatting sqref="A1:A90 A117:A1048576">
    <cfRule type="duplicateValues" dxfId="6" priority="11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554"/>
  <sheetViews>
    <sheetView topLeftCell="A4427" workbookViewId="0">
      <selection sqref="A1:J1"/>
    </sheetView>
  </sheetViews>
  <sheetFormatPr defaultColWidth="9" defaultRowHeight="14.25" x14ac:dyDescent="0.2"/>
  <cols>
    <col min="1" max="1" width="16.25" customWidth="1"/>
    <col min="2" max="2" width="51" customWidth="1"/>
    <col min="3" max="3" width="34.25" customWidth="1"/>
    <col min="4" max="4" width="35.5" customWidth="1"/>
    <col min="5" max="5" width="15.75" customWidth="1"/>
    <col min="6" max="6" width="17.25" style="4" customWidth="1"/>
    <col min="7" max="7" width="15.5" customWidth="1"/>
  </cols>
  <sheetData>
    <row r="1" spans="1:6" ht="15" x14ac:dyDescent="0.25">
      <c r="A1" s="5" t="s">
        <v>8870</v>
      </c>
      <c r="B1" s="5" t="s">
        <v>8871</v>
      </c>
      <c r="C1" s="5" t="s">
        <v>5</v>
      </c>
      <c r="D1" s="5" t="s">
        <v>88</v>
      </c>
      <c r="E1" s="6" t="s">
        <v>89</v>
      </c>
      <c r="F1" s="5" t="s">
        <v>8872</v>
      </c>
    </row>
    <row r="2" spans="1:6" x14ac:dyDescent="0.2">
      <c r="A2" t="str">
        <f>'Novia Web Query'!A3</f>
        <v>GB00B2PB2507</v>
      </c>
      <c r="B2" t="str">
        <f>VLOOKUP(NoviaFunds[[#This Row],[ISIN]],'Novia Web Query'!$A:$E,2,FALSE)</f>
        <v>7IM AAP Adventurous A Acc in GB</v>
      </c>
      <c r="C2" t="str">
        <f>VLOOKUP(NoviaFunds[[#This Row],[ISIN]],'Novia Web Query'!$A:$E,3,FALSE)</f>
        <v>UT Flexible Investment</v>
      </c>
      <c r="D2" s="139">
        <f>VLOOKUP(NoviaFunds[[#This Row],[ISIN]],'Novia Web Query'!$A:$E,4,FALSE)/100</f>
        <v>1.1299999999999999E-2</v>
      </c>
      <c r="E2" s="3" t="str">
        <f>VLOOKUP(NoviaFunds[[#This Row],[ISIN]],'Novia Web Query'!$A:$E,5,FALSE)</f>
        <v>31/05/2021</v>
      </c>
      <c r="F2" t="str">
        <f>VLOOKUP(NoviaFunds[[#This Row],[Sector]],Sectors[],2,FALSE)</f>
        <v>Flexible</v>
      </c>
    </row>
    <row r="3" spans="1:6" x14ac:dyDescent="0.2">
      <c r="A3" t="str">
        <f>'Novia Web Query'!A4</f>
        <v>GB00B2PB2382</v>
      </c>
      <c r="B3" t="str">
        <f>VLOOKUP(NoviaFunds[[#This Row],[ISIN]],'Novia Web Query'!$A:$E,2,FALSE)</f>
        <v>7IM AAP Adventurous A Inc TR in GB</v>
      </c>
      <c r="C3" t="str">
        <f>VLOOKUP(NoviaFunds[[#This Row],[ISIN]],'Novia Web Query'!$A:$E,3,FALSE)</f>
        <v>UT Flexible Investment</v>
      </c>
      <c r="D3" s="139">
        <f>VLOOKUP(NoviaFunds[[#This Row],[ISIN]],'Novia Web Query'!$A:$E,4,FALSE)/100</f>
        <v>1.1299999999999999E-2</v>
      </c>
      <c r="E3" s="3" t="str">
        <f>VLOOKUP(NoviaFunds[[#This Row],[ISIN]],'Novia Web Query'!$A:$E,5,FALSE)</f>
        <v>31/05/2021</v>
      </c>
      <c r="F3" t="str">
        <f>VLOOKUP(NoviaFunds[[#This Row],[Sector]],Sectors[],2,FALSE)</f>
        <v>Flexible</v>
      </c>
    </row>
    <row r="4" spans="1:6" x14ac:dyDescent="0.2">
      <c r="A4" t="str">
        <f>'Novia Web Query'!A5</f>
        <v>GB00B2PB2C75</v>
      </c>
      <c r="B4" t="str">
        <f>VLOOKUP(NoviaFunds[[#This Row],[ISIN]],'Novia Web Query'!$A:$E,2,FALSE)</f>
        <v>7IM AAP Adventurous C Acc in GB</v>
      </c>
      <c r="C4" t="str">
        <f>VLOOKUP(NoviaFunds[[#This Row],[ISIN]],'Novia Web Query'!$A:$E,3,FALSE)</f>
        <v>UT Flexible Investment</v>
      </c>
      <c r="D4" s="139">
        <f>VLOOKUP(NoviaFunds[[#This Row],[ISIN]],'Novia Web Query'!$A:$E,4,FALSE)/100</f>
        <v>6.3E-3</v>
      </c>
      <c r="E4" s="3" t="str">
        <f>VLOOKUP(NoviaFunds[[#This Row],[ISIN]],'Novia Web Query'!$A:$E,5,FALSE)</f>
        <v>31/05/2021</v>
      </c>
      <c r="F4" t="str">
        <f>VLOOKUP(NoviaFunds[[#This Row],[Sector]],Sectors[],2,FALSE)</f>
        <v>Flexible</v>
      </c>
    </row>
    <row r="5" spans="1:6" x14ac:dyDescent="0.2">
      <c r="A5" t="str">
        <f>'Novia Web Query'!A6</f>
        <v>GB00B2PB2B68</v>
      </c>
      <c r="B5" t="str">
        <f>VLOOKUP(NoviaFunds[[#This Row],[ISIN]],'Novia Web Query'!$A:$E,2,FALSE)</f>
        <v>7IM AAP Adventurous C Inc TR in GB</v>
      </c>
      <c r="C5" t="str">
        <f>VLOOKUP(NoviaFunds[[#This Row],[ISIN]],'Novia Web Query'!$A:$E,3,FALSE)</f>
        <v>UT Flexible Investment</v>
      </c>
      <c r="D5" s="139">
        <f>VLOOKUP(NoviaFunds[[#This Row],[ISIN]],'Novia Web Query'!$A:$E,4,FALSE)/100</f>
        <v>6.3E-3</v>
      </c>
      <c r="E5" s="3" t="str">
        <f>VLOOKUP(NoviaFunds[[#This Row],[ISIN]],'Novia Web Query'!$A:$E,5,FALSE)</f>
        <v>31/05/2021</v>
      </c>
      <c r="F5" t="str">
        <f>VLOOKUP(NoviaFunds[[#This Row],[Sector]],Sectors[],2,FALSE)</f>
        <v>Flexible</v>
      </c>
    </row>
    <row r="6" spans="1:6" x14ac:dyDescent="0.2">
      <c r="A6" t="str">
        <f>'Novia Web Query'!A7</f>
        <v>GB00B2PB2R29</v>
      </c>
      <c r="B6" t="str">
        <f>VLOOKUP(NoviaFunds[[#This Row],[ISIN]],'Novia Web Query'!$A:$E,2,FALSE)</f>
        <v>7IM AAP Balanced A Acc in GB</v>
      </c>
      <c r="C6" t="str">
        <f>VLOOKUP(NoviaFunds[[#This Row],[ISIN]],'Novia Web Query'!$A:$E,3,FALSE)</f>
        <v>UT Mixed Investment 20-60% Shares</v>
      </c>
      <c r="D6" s="139">
        <f>VLOOKUP(NoviaFunds[[#This Row],[ISIN]],'Novia Web Query'!$A:$E,4,FALSE)/100</f>
        <v>1.1899999999999999E-2</v>
      </c>
      <c r="E6" s="3" t="str">
        <f>VLOOKUP(NoviaFunds[[#This Row],[ISIN]],'Novia Web Query'!$A:$E,5,FALSE)</f>
        <v>31/05/2021</v>
      </c>
      <c r="F6" t="str">
        <f>VLOOKUP(NoviaFunds[[#This Row],[Sector]],Sectors[],2,FALSE)</f>
        <v>Mixed 20%-60%</v>
      </c>
    </row>
    <row r="7" spans="1:6" x14ac:dyDescent="0.2">
      <c r="A7" t="str">
        <f>'Novia Web Query'!A8</f>
        <v>GB00B2PB2N80</v>
      </c>
      <c r="B7" t="str">
        <f>VLOOKUP(NoviaFunds[[#This Row],[ISIN]],'Novia Web Query'!$A:$E,2,FALSE)</f>
        <v>7IM AAP Balanced A Inc TR in GB</v>
      </c>
      <c r="C7" t="str">
        <f>VLOOKUP(NoviaFunds[[#This Row],[ISIN]],'Novia Web Query'!$A:$E,3,FALSE)</f>
        <v>UT Mixed Investment 20-60% Shares</v>
      </c>
      <c r="D7" s="139">
        <f>VLOOKUP(NoviaFunds[[#This Row],[ISIN]],'Novia Web Query'!$A:$E,4,FALSE)/100</f>
        <v>1.1899999999999999E-2</v>
      </c>
      <c r="E7" s="3" t="str">
        <f>VLOOKUP(NoviaFunds[[#This Row],[ISIN]],'Novia Web Query'!$A:$E,5,FALSE)</f>
        <v>31/05/2021</v>
      </c>
      <c r="F7" t="str">
        <f>VLOOKUP(NoviaFunds[[#This Row],[Sector]],Sectors[],2,FALSE)</f>
        <v>Mixed 20%-60%</v>
      </c>
    </row>
    <row r="8" spans="1:6" x14ac:dyDescent="0.2">
      <c r="A8" t="str">
        <f>'Novia Web Query'!A9</f>
        <v>GB00B2PB3794</v>
      </c>
      <c r="B8" t="str">
        <f>VLOOKUP(NoviaFunds[[#This Row],[ISIN]],'Novia Web Query'!$A:$E,2,FALSE)</f>
        <v>7IM AAP Balanced C Acc in GB</v>
      </c>
      <c r="C8" t="str">
        <f>VLOOKUP(NoviaFunds[[#This Row],[ISIN]],'Novia Web Query'!$A:$E,3,FALSE)</f>
        <v>UT Mixed Investment 20-60% Shares</v>
      </c>
      <c r="D8" s="139">
        <f>VLOOKUP(NoviaFunds[[#This Row],[ISIN]],'Novia Web Query'!$A:$E,4,FALSE)/100</f>
        <v>6.8999999999999999E-3</v>
      </c>
      <c r="E8" s="3" t="str">
        <f>VLOOKUP(NoviaFunds[[#This Row],[ISIN]],'Novia Web Query'!$A:$E,5,FALSE)</f>
        <v>31/05/2021</v>
      </c>
      <c r="F8" t="str">
        <f>VLOOKUP(NoviaFunds[[#This Row],[Sector]],Sectors[],2,FALSE)</f>
        <v>Mixed 20%-60%</v>
      </c>
    </row>
    <row r="9" spans="1:6" x14ac:dyDescent="0.2">
      <c r="A9" t="str">
        <f>'Novia Web Query'!A10</f>
        <v>GB00B2PB2V64</v>
      </c>
      <c r="B9" t="str">
        <f>VLOOKUP(NoviaFunds[[#This Row],[ISIN]],'Novia Web Query'!$A:$E,2,FALSE)</f>
        <v>7IM AAP Balanced C Inc TR in GB</v>
      </c>
      <c r="C9" t="str">
        <f>VLOOKUP(NoviaFunds[[#This Row],[ISIN]],'Novia Web Query'!$A:$E,3,FALSE)</f>
        <v>UT Mixed Investment 20-60% Shares</v>
      </c>
      <c r="D9" s="139">
        <f>VLOOKUP(NoviaFunds[[#This Row],[ISIN]],'Novia Web Query'!$A:$E,4,FALSE)/100</f>
        <v>6.8999999999999999E-3</v>
      </c>
      <c r="E9" s="3" t="str">
        <f>VLOOKUP(NoviaFunds[[#This Row],[ISIN]],'Novia Web Query'!$A:$E,5,FALSE)</f>
        <v>31/05/2021</v>
      </c>
      <c r="F9" t="str">
        <f>VLOOKUP(NoviaFunds[[#This Row],[Sector]],Sectors[],2,FALSE)</f>
        <v>Mixed 20%-60%</v>
      </c>
    </row>
    <row r="10" spans="1:6" x14ac:dyDescent="0.2">
      <c r="A10" t="str">
        <f>'Novia Web Query'!A11</f>
        <v>GB00B39L9C92</v>
      </c>
      <c r="B10" t="str">
        <f>VLOOKUP(NoviaFunds[[#This Row],[ISIN]],'Novia Web Query'!$A:$E,2,FALSE)</f>
        <v>7IM AAP Balanced D Acc in GB</v>
      </c>
      <c r="C10" t="str">
        <f>VLOOKUP(NoviaFunds[[#This Row],[ISIN]],'Novia Web Query'!$A:$E,3,FALSE)</f>
        <v>UT Mixed Investment 20-60% Shares</v>
      </c>
      <c r="D10" s="139">
        <f>VLOOKUP(NoviaFunds[[#This Row],[ISIN]],'Novia Web Query'!$A:$E,4,FALSE)/100</f>
        <v>1.5900000000000001E-2</v>
      </c>
      <c r="E10" s="3" t="str">
        <f>VLOOKUP(NoviaFunds[[#This Row],[ISIN]],'Novia Web Query'!$A:$E,5,FALSE)</f>
        <v>31/05/2021</v>
      </c>
      <c r="F10" t="str">
        <f>VLOOKUP(NoviaFunds[[#This Row],[Sector]],Sectors[],2,FALSE)</f>
        <v>Mixed 20%-60%</v>
      </c>
    </row>
    <row r="11" spans="1:6" x14ac:dyDescent="0.2">
      <c r="A11" t="str">
        <f>'Novia Web Query'!A12</f>
        <v>GB00B39L9J61</v>
      </c>
      <c r="B11" t="str">
        <f>VLOOKUP(NoviaFunds[[#This Row],[ISIN]],'Novia Web Query'!$A:$E,2,FALSE)</f>
        <v>7IM AAP Balanced D Inc TR in GB</v>
      </c>
      <c r="C11" t="str">
        <f>VLOOKUP(NoviaFunds[[#This Row],[ISIN]],'Novia Web Query'!$A:$E,3,FALSE)</f>
        <v>UT Mixed Investment 20-60% Shares</v>
      </c>
      <c r="D11" s="139">
        <f>VLOOKUP(NoviaFunds[[#This Row],[ISIN]],'Novia Web Query'!$A:$E,4,FALSE)/100</f>
        <v>1.5900000000000001E-2</v>
      </c>
      <c r="E11" s="3" t="str">
        <f>VLOOKUP(NoviaFunds[[#This Row],[ISIN]],'Novia Web Query'!$A:$E,5,FALSE)</f>
        <v>31/05/2021</v>
      </c>
      <c r="F11" t="str">
        <f>VLOOKUP(NoviaFunds[[#This Row],[Sector]],Sectors[],2,FALSE)</f>
        <v>Mixed 20%-60%</v>
      </c>
    </row>
    <row r="12" spans="1:6" x14ac:dyDescent="0.2">
      <c r="A12" t="str">
        <f>'Novia Web Query'!A13</f>
        <v>GB0033953729</v>
      </c>
      <c r="B12" t="str">
        <f>VLOOKUP(NoviaFunds[[#This Row],[ISIN]],'Novia Web Query'!$A:$E,2,FALSE)</f>
        <v>7IM AAP Income A Acc in GB</v>
      </c>
      <c r="C12" t="str">
        <f>VLOOKUP(NoviaFunds[[#This Row],[ISIN]],'Novia Web Query'!$A:$E,3,FALSE)</f>
        <v>UT Mixed Investment 0-35% Shares</v>
      </c>
      <c r="D12" s="139">
        <f>VLOOKUP(NoviaFunds[[#This Row],[ISIN]],'Novia Web Query'!$A:$E,4,FALSE)/100</f>
        <v>1.9199999999999998E-2</v>
      </c>
      <c r="E12" s="3" t="str">
        <f>VLOOKUP(NoviaFunds[[#This Row],[ISIN]],'Novia Web Query'!$A:$E,5,FALSE)</f>
        <v>31/05/2021</v>
      </c>
      <c r="F12" t="str">
        <f>VLOOKUP(NoviaFunds[[#This Row],[Sector]],Sectors[],2,FALSE)</f>
        <v>Mixed 0%-35%</v>
      </c>
    </row>
    <row r="13" spans="1:6" x14ac:dyDescent="0.2">
      <c r="A13" t="str">
        <f>'Novia Web Query'!A14</f>
        <v>GB0033953612</v>
      </c>
      <c r="B13" t="str">
        <f>VLOOKUP(NoviaFunds[[#This Row],[ISIN]],'Novia Web Query'!$A:$E,2,FALSE)</f>
        <v>7IM AAP Income A Inc TR in GB</v>
      </c>
      <c r="C13" t="str">
        <f>VLOOKUP(NoviaFunds[[#This Row],[ISIN]],'Novia Web Query'!$A:$E,3,FALSE)</f>
        <v>UT Mixed Investment 0-35% Shares</v>
      </c>
      <c r="D13" s="139">
        <f>VLOOKUP(NoviaFunds[[#This Row],[ISIN]],'Novia Web Query'!$A:$E,4,FALSE)/100</f>
        <v>1.9199999999999998E-2</v>
      </c>
      <c r="E13" s="3" t="str">
        <f>VLOOKUP(NoviaFunds[[#This Row],[ISIN]],'Novia Web Query'!$A:$E,5,FALSE)</f>
        <v>31/05/2021</v>
      </c>
      <c r="F13" t="str">
        <f>VLOOKUP(NoviaFunds[[#This Row],[Sector]],Sectors[],2,FALSE)</f>
        <v>Mixed 0%-35%</v>
      </c>
    </row>
    <row r="14" spans="1:6" x14ac:dyDescent="0.2">
      <c r="A14" t="str">
        <f>'Novia Web Query'!A15</f>
        <v>GB0033954024</v>
      </c>
      <c r="B14" t="str">
        <f>VLOOKUP(NoviaFunds[[#This Row],[ISIN]],'Novia Web Query'!$A:$E,2,FALSE)</f>
        <v>7IM AAP Income C Acc in GB</v>
      </c>
      <c r="C14" t="str">
        <f>VLOOKUP(NoviaFunds[[#This Row],[ISIN]],'Novia Web Query'!$A:$E,3,FALSE)</f>
        <v>UT Mixed Investment 0-35% Shares</v>
      </c>
      <c r="D14" s="139">
        <f>VLOOKUP(NoviaFunds[[#This Row],[ISIN]],'Novia Web Query'!$A:$E,4,FALSE)/100</f>
        <v>9.1999999999999998E-3</v>
      </c>
      <c r="E14" s="3" t="str">
        <f>VLOOKUP(NoviaFunds[[#This Row],[ISIN]],'Novia Web Query'!$A:$E,5,FALSE)</f>
        <v>31/05/2021</v>
      </c>
      <c r="F14" t="str">
        <f>VLOOKUP(NoviaFunds[[#This Row],[Sector]],Sectors[],2,FALSE)</f>
        <v>Mixed 0%-35%</v>
      </c>
    </row>
    <row r="15" spans="1:6" x14ac:dyDescent="0.2">
      <c r="A15" t="str">
        <f>'Novia Web Query'!A16</f>
        <v>GB0033953943</v>
      </c>
      <c r="B15" t="str">
        <f>VLOOKUP(NoviaFunds[[#This Row],[ISIN]],'Novia Web Query'!$A:$E,2,FALSE)</f>
        <v>7IM AAP Income C Inc TR in GB</v>
      </c>
      <c r="C15" t="str">
        <f>VLOOKUP(NoviaFunds[[#This Row],[ISIN]],'Novia Web Query'!$A:$E,3,FALSE)</f>
        <v>UT Mixed Investment 0-35% Shares</v>
      </c>
      <c r="D15" s="139">
        <f>VLOOKUP(NoviaFunds[[#This Row],[ISIN]],'Novia Web Query'!$A:$E,4,FALSE)/100</f>
        <v>9.1999999999999998E-3</v>
      </c>
      <c r="E15" s="3" t="str">
        <f>VLOOKUP(NoviaFunds[[#This Row],[ISIN]],'Novia Web Query'!$A:$E,5,FALSE)</f>
        <v>31/05/2021</v>
      </c>
      <c r="F15" t="str">
        <f>VLOOKUP(NoviaFunds[[#This Row],[Sector]],Sectors[],2,FALSE)</f>
        <v>Mixed 0%-35%</v>
      </c>
    </row>
    <row r="16" spans="1:6" x14ac:dyDescent="0.2">
      <c r="A16" t="str">
        <f>'Novia Web Query'!A17</f>
        <v>GB00B2PB2J45</v>
      </c>
      <c r="B16" t="str">
        <f>VLOOKUP(NoviaFunds[[#This Row],[ISIN]],'Novia Web Query'!$A:$E,2,FALSE)</f>
        <v>7IM AAP Moderately Adventurous A Acc in GB</v>
      </c>
      <c r="C16" t="str">
        <f>VLOOKUP(NoviaFunds[[#This Row],[ISIN]],'Novia Web Query'!$A:$E,3,FALSE)</f>
        <v>UT Mixed Investment 40-85% Shares</v>
      </c>
      <c r="D16" s="139">
        <f>VLOOKUP(NoviaFunds[[#This Row],[ISIN]],'Novia Web Query'!$A:$E,4,FALSE)/100</f>
        <v>1.15E-2</v>
      </c>
      <c r="E16" s="3" t="str">
        <f>VLOOKUP(NoviaFunds[[#This Row],[ISIN]],'Novia Web Query'!$A:$E,5,FALSE)</f>
        <v>31/05/2021</v>
      </c>
      <c r="F16" t="str">
        <f>VLOOKUP(NoviaFunds[[#This Row],[Sector]],Sectors[],2,FALSE)</f>
        <v>Mixed 40%-85%</v>
      </c>
    </row>
    <row r="17" spans="1:6" x14ac:dyDescent="0.2">
      <c r="A17" t="str">
        <f>'Novia Web Query'!A18</f>
        <v>GB00B2PB2F07</v>
      </c>
      <c r="B17" t="str">
        <f>VLOOKUP(NoviaFunds[[#This Row],[ISIN]],'Novia Web Query'!$A:$E,2,FALSE)</f>
        <v>7IM AAP Moderately Adventurous A Inc TR in GB</v>
      </c>
      <c r="C17" t="str">
        <f>VLOOKUP(NoviaFunds[[#This Row],[ISIN]],'Novia Web Query'!$A:$E,3,FALSE)</f>
        <v>UT Mixed Investment 40-85% Shares</v>
      </c>
      <c r="D17" s="139">
        <f>VLOOKUP(NoviaFunds[[#This Row],[ISIN]],'Novia Web Query'!$A:$E,4,FALSE)/100</f>
        <v>1.15E-2</v>
      </c>
      <c r="E17" s="3" t="str">
        <f>VLOOKUP(NoviaFunds[[#This Row],[ISIN]],'Novia Web Query'!$A:$E,5,FALSE)</f>
        <v>31/05/2021</v>
      </c>
      <c r="F17" t="str">
        <f>VLOOKUP(NoviaFunds[[#This Row],[Sector]],Sectors[],2,FALSE)</f>
        <v>Mixed 40%-85%</v>
      </c>
    </row>
    <row r="18" spans="1:6" x14ac:dyDescent="0.2">
      <c r="A18" t="str">
        <f>'Novia Web Query'!A19</f>
        <v>GB00B2PB2M73</v>
      </c>
      <c r="B18" t="str">
        <f>VLOOKUP(NoviaFunds[[#This Row],[ISIN]],'Novia Web Query'!$A:$E,2,FALSE)</f>
        <v>7IM AAP Moderately Adventurous C Acc in GB</v>
      </c>
      <c r="C18" t="str">
        <f>VLOOKUP(NoviaFunds[[#This Row],[ISIN]],'Novia Web Query'!$A:$E,3,FALSE)</f>
        <v>UT Mixed Investment 40-85% Shares</v>
      </c>
      <c r="D18" s="139">
        <f>VLOOKUP(NoviaFunds[[#This Row],[ISIN]],'Novia Web Query'!$A:$E,4,FALSE)/100</f>
        <v>6.5000000000000006E-3</v>
      </c>
      <c r="E18" s="3" t="str">
        <f>VLOOKUP(NoviaFunds[[#This Row],[ISIN]],'Novia Web Query'!$A:$E,5,FALSE)</f>
        <v>31/05/2021</v>
      </c>
      <c r="F18" t="str">
        <f>VLOOKUP(NoviaFunds[[#This Row],[Sector]],Sectors[],2,FALSE)</f>
        <v>Mixed 40%-85%</v>
      </c>
    </row>
    <row r="19" spans="1:6" x14ac:dyDescent="0.2">
      <c r="A19" t="str">
        <f>'Novia Web Query'!A20</f>
        <v>GB00B2PB2K59</v>
      </c>
      <c r="B19" t="str">
        <f>VLOOKUP(NoviaFunds[[#This Row],[ISIN]],'Novia Web Query'!$A:$E,2,FALSE)</f>
        <v>7IM AAP Moderately Adventurous C Inc TR in GB</v>
      </c>
      <c r="C19" t="str">
        <f>VLOOKUP(NoviaFunds[[#This Row],[ISIN]],'Novia Web Query'!$A:$E,3,FALSE)</f>
        <v>UT Mixed Investment 40-85% Shares</v>
      </c>
      <c r="D19" s="139">
        <f>VLOOKUP(NoviaFunds[[#This Row],[ISIN]],'Novia Web Query'!$A:$E,4,FALSE)/100</f>
        <v>6.5000000000000006E-3</v>
      </c>
      <c r="E19" s="3" t="str">
        <f>VLOOKUP(NoviaFunds[[#This Row],[ISIN]],'Novia Web Query'!$A:$E,5,FALSE)</f>
        <v>31/05/2021</v>
      </c>
      <c r="F19" t="str">
        <f>VLOOKUP(NoviaFunds[[#This Row],[Sector]],Sectors[],2,FALSE)</f>
        <v>Mixed 40%-85%</v>
      </c>
    </row>
    <row r="20" spans="1:6" x14ac:dyDescent="0.2">
      <c r="A20" t="str">
        <f>'Novia Web Query'!A21</f>
        <v>GB00B2PB1X14</v>
      </c>
      <c r="B20" t="str">
        <f>VLOOKUP(NoviaFunds[[#This Row],[ISIN]],'Novia Web Query'!$A:$E,2,FALSE)</f>
        <v>7IM AAP Moderately Cautious A Acc in GB</v>
      </c>
      <c r="C20" t="str">
        <f>VLOOKUP(NoviaFunds[[#This Row],[ISIN]],'Novia Web Query'!$A:$E,3,FALSE)</f>
        <v>UT Mixed Investment 0-35% Shares</v>
      </c>
      <c r="D20" s="139">
        <f>VLOOKUP(NoviaFunds[[#This Row],[ISIN]],'Novia Web Query'!$A:$E,4,FALSE)/100</f>
        <v>1.2E-2</v>
      </c>
      <c r="E20" s="3" t="str">
        <f>VLOOKUP(NoviaFunds[[#This Row],[ISIN]],'Novia Web Query'!$A:$E,5,FALSE)</f>
        <v>31/05/2021</v>
      </c>
      <c r="F20" t="str">
        <f>VLOOKUP(NoviaFunds[[#This Row],[Sector]],Sectors[],2,FALSE)</f>
        <v>Mixed 0%-35%</v>
      </c>
    </row>
    <row r="21" spans="1:6" x14ac:dyDescent="0.2">
      <c r="A21" t="str">
        <f>'Novia Web Query'!A22</f>
        <v>GB00B2PB1T77</v>
      </c>
      <c r="B21" t="str">
        <f>VLOOKUP(NoviaFunds[[#This Row],[ISIN]],'Novia Web Query'!$A:$E,2,FALSE)</f>
        <v>7IM AAP Moderately Cautious A Inc TR in GB</v>
      </c>
      <c r="C21" t="str">
        <f>VLOOKUP(NoviaFunds[[#This Row],[ISIN]],'Novia Web Query'!$A:$E,3,FALSE)</f>
        <v>UT Mixed Investment 0-35% Shares</v>
      </c>
      <c r="D21" s="139">
        <f>VLOOKUP(NoviaFunds[[#This Row],[ISIN]],'Novia Web Query'!$A:$E,4,FALSE)/100</f>
        <v>1.2E-2</v>
      </c>
      <c r="E21" s="3" t="str">
        <f>VLOOKUP(NoviaFunds[[#This Row],[ISIN]],'Novia Web Query'!$A:$E,5,FALSE)</f>
        <v>31/05/2021</v>
      </c>
      <c r="F21" t="str">
        <f>VLOOKUP(NoviaFunds[[#This Row],[Sector]],Sectors[],2,FALSE)</f>
        <v>Mixed 0%-35%</v>
      </c>
    </row>
    <row r="22" spans="1:6" x14ac:dyDescent="0.2">
      <c r="A22" t="str">
        <f>'Novia Web Query'!A23</f>
        <v>GB00B2PB2168</v>
      </c>
      <c r="B22" t="str">
        <f>VLOOKUP(NoviaFunds[[#This Row],[ISIN]],'Novia Web Query'!$A:$E,2,FALSE)</f>
        <v>7IM AAP Moderately Cautious C Acc in GB</v>
      </c>
      <c r="C22" t="str">
        <f>VLOOKUP(NoviaFunds[[#This Row],[ISIN]],'Novia Web Query'!$A:$E,3,FALSE)</f>
        <v>UT Mixed Investment 0-35% Shares</v>
      </c>
      <c r="D22" s="139">
        <f>VLOOKUP(NoviaFunds[[#This Row],[ISIN]],'Novia Web Query'!$A:$E,4,FALSE)/100</f>
        <v>6.9999999999999993E-3</v>
      </c>
      <c r="E22" s="3" t="str">
        <f>VLOOKUP(NoviaFunds[[#This Row],[ISIN]],'Novia Web Query'!$A:$E,5,FALSE)</f>
        <v>31/05/2021</v>
      </c>
      <c r="F22" t="str">
        <f>VLOOKUP(NoviaFunds[[#This Row],[Sector]],Sectors[],2,FALSE)</f>
        <v>Mixed 0%-35%</v>
      </c>
    </row>
    <row r="23" spans="1:6" x14ac:dyDescent="0.2">
      <c r="A23" t="str">
        <f>'Novia Web Query'!A24</f>
        <v>GB00B2PB2051</v>
      </c>
      <c r="B23" t="str">
        <f>VLOOKUP(NoviaFunds[[#This Row],[ISIN]],'Novia Web Query'!$A:$E,2,FALSE)</f>
        <v>7IM AAP Moderately Cautious C Inc TR in GB</v>
      </c>
      <c r="C23" t="str">
        <f>VLOOKUP(NoviaFunds[[#This Row],[ISIN]],'Novia Web Query'!$A:$E,3,FALSE)</f>
        <v>UT Mixed Investment 0-35% Shares</v>
      </c>
      <c r="D23" s="139">
        <f>VLOOKUP(NoviaFunds[[#This Row],[ISIN]],'Novia Web Query'!$A:$E,4,FALSE)/100</f>
        <v>6.9999999999999993E-3</v>
      </c>
      <c r="E23" s="3" t="str">
        <f>VLOOKUP(NoviaFunds[[#This Row],[ISIN]],'Novia Web Query'!$A:$E,5,FALSE)</f>
        <v>31/05/2021</v>
      </c>
      <c r="F23" t="str">
        <f>VLOOKUP(NoviaFunds[[#This Row],[Sector]],Sectors[],2,FALSE)</f>
        <v>Mixed 0%-35%</v>
      </c>
    </row>
    <row r="24" spans="1:6" x14ac:dyDescent="0.2">
      <c r="A24" t="str">
        <f>'Novia Web Query'!A25</f>
        <v>GB00B39LMP35</v>
      </c>
      <c r="B24" t="str">
        <f>VLOOKUP(NoviaFunds[[#This Row],[ISIN]],'Novia Web Query'!$A:$E,2,FALSE)</f>
        <v>7IM AAP Moderately Cautious D Acc in GB</v>
      </c>
      <c r="C24" t="str">
        <f>VLOOKUP(NoviaFunds[[#This Row],[ISIN]],'Novia Web Query'!$A:$E,3,FALSE)</f>
        <v>UT Mixed Investment 0-35% Shares</v>
      </c>
      <c r="D24" s="139">
        <f>VLOOKUP(NoviaFunds[[#This Row],[ISIN]],'Novia Web Query'!$A:$E,4,FALSE)/100</f>
        <v>1.6E-2</v>
      </c>
      <c r="E24" s="3" t="str">
        <f>VLOOKUP(NoviaFunds[[#This Row],[ISIN]],'Novia Web Query'!$A:$E,5,FALSE)</f>
        <v>31/05/2021</v>
      </c>
      <c r="F24" t="str">
        <f>VLOOKUP(NoviaFunds[[#This Row],[Sector]],Sectors[],2,FALSE)</f>
        <v>Mixed 0%-35%</v>
      </c>
    </row>
    <row r="25" spans="1:6" x14ac:dyDescent="0.2">
      <c r="A25" t="str">
        <f>'Novia Web Query'!A26</f>
        <v>GB0033957142</v>
      </c>
      <c r="B25" t="str">
        <f>VLOOKUP(NoviaFunds[[#This Row],[ISIN]],'Novia Web Query'!$A:$E,2,FALSE)</f>
        <v>7IM Adventurous A Acc in GB</v>
      </c>
      <c r="C25" t="str">
        <f>VLOOKUP(NoviaFunds[[#This Row],[ISIN]],'Novia Web Query'!$A:$E,3,FALSE)</f>
        <v>UT Flexible Investment</v>
      </c>
      <c r="D25" s="139">
        <f>VLOOKUP(NoviaFunds[[#This Row],[ISIN]],'Novia Web Query'!$A:$E,4,FALSE)/100</f>
        <v>1.95E-2</v>
      </c>
      <c r="E25" s="3" t="str">
        <f>VLOOKUP(NoviaFunds[[#This Row],[ISIN]],'Novia Web Query'!$A:$E,5,FALSE)</f>
        <v>31/05/2021</v>
      </c>
      <c r="F25" t="str">
        <f>VLOOKUP(NoviaFunds[[#This Row],[Sector]],Sectors[],2,FALSE)</f>
        <v>Flexible</v>
      </c>
    </row>
    <row r="26" spans="1:6" x14ac:dyDescent="0.2">
      <c r="A26" t="str">
        <f>'Novia Web Query'!A27</f>
        <v>GB0033958009</v>
      </c>
      <c r="B26" t="str">
        <f>VLOOKUP(NoviaFunds[[#This Row],[ISIN]],'Novia Web Query'!$A:$E,2,FALSE)</f>
        <v>7IM Adventurous C Acc in GB</v>
      </c>
      <c r="C26" t="str">
        <f>VLOOKUP(NoviaFunds[[#This Row],[ISIN]],'Novia Web Query'!$A:$E,3,FALSE)</f>
        <v>UT Flexible Investment</v>
      </c>
      <c r="D26" s="139">
        <f>VLOOKUP(NoviaFunds[[#This Row],[ISIN]],'Novia Web Query'!$A:$E,4,FALSE)/100</f>
        <v>1.4499999999999999E-2</v>
      </c>
      <c r="E26" s="3" t="str">
        <f>VLOOKUP(NoviaFunds[[#This Row],[ISIN]],'Novia Web Query'!$A:$E,5,FALSE)</f>
        <v>31/05/2021</v>
      </c>
      <c r="F26" t="str">
        <f>VLOOKUP(NoviaFunds[[#This Row],[Sector]],Sectors[],2,FALSE)</f>
        <v>Flexible</v>
      </c>
    </row>
    <row r="27" spans="1:6" x14ac:dyDescent="0.2">
      <c r="A27" t="str">
        <f>'Novia Web Query'!A28</f>
        <v>GB0033957704</v>
      </c>
      <c r="B27" t="str">
        <f>VLOOKUP(NoviaFunds[[#This Row],[ISIN]],'Novia Web Query'!$A:$E,2,FALSE)</f>
        <v>7IM Adventurous C Inc TR in GB</v>
      </c>
      <c r="C27" t="str">
        <f>VLOOKUP(NoviaFunds[[#This Row],[ISIN]],'Novia Web Query'!$A:$E,3,FALSE)</f>
        <v>UT Flexible Investment</v>
      </c>
      <c r="D27" s="139">
        <f>VLOOKUP(NoviaFunds[[#This Row],[ISIN]],'Novia Web Query'!$A:$E,4,FALSE)/100</f>
        <v>1.4499999999999999E-2</v>
      </c>
      <c r="E27" s="3" t="str">
        <f>VLOOKUP(NoviaFunds[[#This Row],[ISIN]],'Novia Web Query'!$A:$E,5,FALSE)</f>
        <v>31/05/2021</v>
      </c>
      <c r="F27" t="str">
        <f>VLOOKUP(NoviaFunds[[#This Row],[Sector]],Sectors[],2,FALSE)</f>
        <v>Flexible</v>
      </c>
    </row>
    <row r="28" spans="1:6" x14ac:dyDescent="0.2">
      <c r="A28" t="str">
        <f>'Novia Web Query'!A29</f>
        <v>GB00B0438440</v>
      </c>
      <c r="B28" t="str">
        <f>VLOOKUP(NoviaFunds[[#This Row],[ISIN]],'Novia Web Query'!$A:$E,2,FALSE)</f>
        <v>7IM Adventurous D Acc in GB</v>
      </c>
      <c r="C28" t="str">
        <f>VLOOKUP(NoviaFunds[[#This Row],[ISIN]],'Novia Web Query'!$A:$E,3,FALSE)</f>
        <v>UT Flexible Investment</v>
      </c>
      <c r="D28" s="139">
        <f>VLOOKUP(NoviaFunds[[#This Row],[ISIN]],'Novia Web Query'!$A:$E,4,FALSE)/100</f>
        <v>1.95E-2</v>
      </c>
      <c r="E28" s="3" t="str">
        <f>VLOOKUP(NoviaFunds[[#This Row],[ISIN]],'Novia Web Query'!$A:$E,5,FALSE)</f>
        <v>31/05/2021</v>
      </c>
      <c r="F28" t="str">
        <f>VLOOKUP(NoviaFunds[[#This Row],[Sector]],Sectors[],2,FALSE)</f>
        <v>Flexible</v>
      </c>
    </row>
    <row r="29" spans="1:6" x14ac:dyDescent="0.2">
      <c r="A29" t="str">
        <f>'Novia Web Query'!A30</f>
        <v>GB0033958884</v>
      </c>
      <c r="B29" t="str">
        <f>VLOOKUP(NoviaFunds[[#This Row],[ISIN]],'Novia Web Query'!$A:$E,2,FALSE)</f>
        <v>7IM Balanced A Acc in GB</v>
      </c>
      <c r="C29" t="str">
        <f>VLOOKUP(NoviaFunds[[#This Row],[ISIN]],'Novia Web Query'!$A:$E,3,FALSE)</f>
        <v>UT Mixed Investment 20-60% Shares</v>
      </c>
      <c r="D29" s="139">
        <f>VLOOKUP(NoviaFunds[[#This Row],[ISIN]],'Novia Web Query'!$A:$E,4,FALSE)/100</f>
        <v>1.8600000000000002E-2</v>
      </c>
      <c r="E29" s="3" t="str">
        <f>VLOOKUP(NoviaFunds[[#This Row],[ISIN]],'Novia Web Query'!$A:$E,5,FALSE)</f>
        <v>31/05/2021</v>
      </c>
      <c r="F29" t="str">
        <f>VLOOKUP(NoviaFunds[[#This Row],[Sector]],Sectors[],2,FALSE)</f>
        <v>Mixed 20%-60%</v>
      </c>
    </row>
    <row r="30" spans="1:6" x14ac:dyDescent="0.2">
      <c r="A30" t="str">
        <f>'Novia Web Query'!A31</f>
        <v>GB0033959742</v>
      </c>
      <c r="B30" t="str">
        <f>VLOOKUP(NoviaFunds[[#This Row],[ISIN]],'Novia Web Query'!$A:$E,2,FALSE)</f>
        <v>7IM Balanced C Acc in GB</v>
      </c>
      <c r="C30" t="str">
        <f>VLOOKUP(NoviaFunds[[#This Row],[ISIN]],'Novia Web Query'!$A:$E,3,FALSE)</f>
        <v>UT Mixed Investment 20-60% Shares</v>
      </c>
      <c r="D30" s="139">
        <f>VLOOKUP(NoviaFunds[[#This Row],[ISIN]],'Novia Web Query'!$A:$E,4,FALSE)/100</f>
        <v>1.3600000000000001E-2</v>
      </c>
      <c r="E30" s="3" t="str">
        <f>VLOOKUP(NoviaFunds[[#This Row],[ISIN]],'Novia Web Query'!$A:$E,5,FALSE)</f>
        <v>31/05/2021</v>
      </c>
      <c r="F30" t="str">
        <f>VLOOKUP(NoviaFunds[[#This Row],[Sector]],Sectors[],2,FALSE)</f>
        <v>Mixed 20%-60%</v>
      </c>
    </row>
    <row r="31" spans="1:6" x14ac:dyDescent="0.2">
      <c r="A31" t="str">
        <f>'Novia Web Query'!A32</f>
        <v>GB0033959296</v>
      </c>
      <c r="B31" t="str">
        <f>VLOOKUP(NoviaFunds[[#This Row],[ISIN]],'Novia Web Query'!$A:$E,2,FALSE)</f>
        <v>7IM Balanced C Inc TR in GB</v>
      </c>
      <c r="C31" t="str">
        <f>VLOOKUP(NoviaFunds[[#This Row],[ISIN]],'Novia Web Query'!$A:$E,3,FALSE)</f>
        <v>UT Mixed Investment 20-60% Shares</v>
      </c>
      <c r="D31" s="139">
        <f>VLOOKUP(NoviaFunds[[#This Row],[ISIN]],'Novia Web Query'!$A:$E,4,FALSE)/100</f>
        <v>1.3600000000000001E-2</v>
      </c>
      <c r="E31" s="3" t="str">
        <f>VLOOKUP(NoviaFunds[[#This Row],[ISIN]],'Novia Web Query'!$A:$E,5,FALSE)</f>
        <v>31/05/2021</v>
      </c>
      <c r="F31" t="str">
        <f>VLOOKUP(NoviaFunds[[#This Row],[Sector]],Sectors[],2,FALSE)</f>
        <v>Mixed 20%-60%</v>
      </c>
    </row>
    <row r="32" spans="1:6" x14ac:dyDescent="0.2">
      <c r="A32" t="str">
        <f>'Novia Web Query'!A33</f>
        <v>GB00BVYPGT82</v>
      </c>
      <c r="B32" t="str">
        <f>VLOOKUP(NoviaFunds[[#This Row],[ISIN]],'Novia Web Query'!$A:$E,2,FALSE)</f>
        <v>7IM Cautious C Acc in GB</v>
      </c>
      <c r="C32" t="str">
        <f>VLOOKUP(NoviaFunds[[#This Row],[ISIN]],'Novia Web Query'!$A:$E,3,FALSE)</f>
        <v>UT Mixed Investment 0-35% Shares</v>
      </c>
      <c r="D32" s="139">
        <f>VLOOKUP(NoviaFunds[[#This Row],[ISIN]],'Novia Web Query'!$A:$E,4,FALSE)/100</f>
        <v>9.0000000000000011E-3</v>
      </c>
      <c r="E32" s="3" t="str">
        <f>VLOOKUP(NoviaFunds[[#This Row],[ISIN]],'Novia Web Query'!$A:$E,5,FALSE)</f>
        <v>31/05/2021</v>
      </c>
      <c r="F32" t="str">
        <f>VLOOKUP(NoviaFunds[[#This Row],[Sector]],Sectors[],2,FALSE)</f>
        <v>Mixed 0%-35%</v>
      </c>
    </row>
    <row r="33" spans="1:6" x14ac:dyDescent="0.2">
      <c r="A33" t="str">
        <f>'Novia Web Query'!A34</f>
        <v>GB00BVYPGS75</v>
      </c>
      <c r="B33" t="str">
        <f>VLOOKUP(NoviaFunds[[#This Row],[ISIN]],'Novia Web Query'!$A:$E,2,FALSE)</f>
        <v>7IM Cautious C Inc TR in GB</v>
      </c>
      <c r="C33" t="str">
        <f>VLOOKUP(NoviaFunds[[#This Row],[ISIN]],'Novia Web Query'!$A:$E,3,FALSE)</f>
        <v>UT Mixed Investment 0-35% Shares</v>
      </c>
      <c r="D33" s="139">
        <f>VLOOKUP(NoviaFunds[[#This Row],[ISIN]],'Novia Web Query'!$A:$E,4,FALSE)/100</f>
        <v>9.0000000000000011E-3</v>
      </c>
      <c r="E33" s="3" t="str">
        <f>VLOOKUP(NoviaFunds[[#This Row],[ISIN]],'Novia Web Query'!$A:$E,5,FALSE)</f>
        <v>31/05/2021</v>
      </c>
      <c r="F33" t="str">
        <f>VLOOKUP(NoviaFunds[[#This Row],[Sector]],Sectors[],2,FALSE)</f>
        <v>Mixed 0%-35%</v>
      </c>
    </row>
    <row r="34" spans="1:6" x14ac:dyDescent="0.2">
      <c r="A34" t="str">
        <f>'Novia Web Query'!A35</f>
        <v>GB0033955435</v>
      </c>
      <c r="B34" t="str">
        <f>VLOOKUP(NoviaFunds[[#This Row],[ISIN]],'Novia Web Query'!$A:$E,2,FALSE)</f>
        <v>7IM Moderately Adventurous A Acc in GB</v>
      </c>
      <c r="C34" t="str">
        <f>VLOOKUP(NoviaFunds[[#This Row],[ISIN]],'Novia Web Query'!$A:$E,3,FALSE)</f>
        <v>UT Mixed Investment 40-85% Shares</v>
      </c>
      <c r="D34" s="139">
        <f>VLOOKUP(NoviaFunds[[#This Row],[ISIN]],'Novia Web Query'!$A:$E,4,FALSE)/100</f>
        <v>1.9E-2</v>
      </c>
      <c r="E34" s="3" t="str">
        <f>VLOOKUP(NoviaFunds[[#This Row],[ISIN]],'Novia Web Query'!$A:$E,5,FALSE)</f>
        <v>31/05/2021</v>
      </c>
      <c r="F34" t="str">
        <f>VLOOKUP(NoviaFunds[[#This Row],[Sector]],Sectors[],2,FALSE)</f>
        <v>Mixed 40%-85%</v>
      </c>
    </row>
    <row r="35" spans="1:6" x14ac:dyDescent="0.2">
      <c r="A35" t="str">
        <f>'Novia Web Query'!A36</f>
        <v>GB0033955328</v>
      </c>
      <c r="B35" t="str">
        <f>VLOOKUP(NoviaFunds[[#This Row],[ISIN]],'Novia Web Query'!$A:$E,2,FALSE)</f>
        <v>7IM Moderately Adventurous A Inc TR in GB</v>
      </c>
      <c r="C35" t="str">
        <f>VLOOKUP(NoviaFunds[[#This Row],[ISIN]],'Novia Web Query'!$A:$E,3,FALSE)</f>
        <v>UT Mixed Investment 40-85% Shares</v>
      </c>
      <c r="D35" s="139">
        <f>VLOOKUP(NoviaFunds[[#This Row],[ISIN]],'Novia Web Query'!$A:$E,4,FALSE)/100</f>
        <v>1.9E-2</v>
      </c>
      <c r="E35" s="3" t="str">
        <f>VLOOKUP(NoviaFunds[[#This Row],[ISIN]],'Novia Web Query'!$A:$E,5,FALSE)</f>
        <v>31/05/2021</v>
      </c>
      <c r="F35" t="str">
        <f>VLOOKUP(NoviaFunds[[#This Row],[Sector]],Sectors[],2,FALSE)</f>
        <v>Mixed 40%-85%</v>
      </c>
    </row>
    <row r="36" spans="1:6" x14ac:dyDescent="0.2">
      <c r="A36" t="str">
        <f>'Novia Web Query'!A37</f>
        <v>GB0033956516</v>
      </c>
      <c r="B36" t="str">
        <f>VLOOKUP(NoviaFunds[[#This Row],[ISIN]],'Novia Web Query'!$A:$E,2,FALSE)</f>
        <v>7IM Moderately Adventurous C Acc in GB</v>
      </c>
      <c r="C36" t="str">
        <f>VLOOKUP(NoviaFunds[[#This Row],[ISIN]],'Novia Web Query'!$A:$E,3,FALSE)</f>
        <v>UT Mixed Investment 40-85% Shares</v>
      </c>
      <c r="D36" s="139">
        <f>VLOOKUP(NoviaFunds[[#This Row],[ISIN]],'Novia Web Query'!$A:$E,4,FALSE)/100</f>
        <v>1.3999999999999999E-2</v>
      </c>
      <c r="E36" s="3" t="str">
        <f>VLOOKUP(NoviaFunds[[#This Row],[ISIN]],'Novia Web Query'!$A:$E,5,FALSE)</f>
        <v>31/05/2021</v>
      </c>
      <c r="F36" t="str">
        <f>VLOOKUP(NoviaFunds[[#This Row],[Sector]],Sectors[],2,FALSE)</f>
        <v>Mixed 40%-85%</v>
      </c>
    </row>
    <row r="37" spans="1:6" x14ac:dyDescent="0.2">
      <c r="A37" t="str">
        <f>'Novia Web Query'!A38</f>
        <v>GB0033956391</v>
      </c>
      <c r="B37" t="str">
        <f>VLOOKUP(NoviaFunds[[#This Row],[ISIN]],'Novia Web Query'!$A:$E,2,FALSE)</f>
        <v>7IM Moderately Adventurous C Inc TR in GB</v>
      </c>
      <c r="C37" t="str">
        <f>VLOOKUP(NoviaFunds[[#This Row],[ISIN]],'Novia Web Query'!$A:$E,3,FALSE)</f>
        <v>UT Mixed Investment 40-85% Shares</v>
      </c>
      <c r="D37" s="139">
        <f>VLOOKUP(NoviaFunds[[#This Row],[ISIN]],'Novia Web Query'!$A:$E,4,FALSE)/100</f>
        <v>1.3999999999999999E-2</v>
      </c>
      <c r="E37" s="3" t="str">
        <f>VLOOKUP(NoviaFunds[[#This Row],[ISIN]],'Novia Web Query'!$A:$E,5,FALSE)</f>
        <v>31/05/2021</v>
      </c>
      <c r="F37" t="str">
        <f>VLOOKUP(NoviaFunds[[#This Row],[Sector]],Sectors[],2,FALSE)</f>
        <v>Mixed 40%-85%</v>
      </c>
    </row>
    <row r="38" spans="1:6" x14ac:dyDescent="0.2">
      <c r="A38" t="str">
        <f>'Novia Web Query'!A39</f>
        <v>GB0033952978</v>
      </c>
      <c r="B38" t="str">
        <f>VLOOKUP(NoviaFunds[[#This Row],[ISIN]],'Novia Web Query'!$A:$E,2,FALSE)</f>
        <v>7IM Moderately Cautious A Acc in GB</v>
      </c>
      <c r="C38" t="str">
        <f>VLOOKUP(NoviaFunds[[#This Row],[ISIN]],'Novia Web Query'!$A:$E,3,FALSE)</f>
        <v>UT Mixed Investment 0-35% Shares</v>
      </c>
      <c r="D38" s="139">
        <f>VLOOKUP(NoviaFunds[[#This Row],[ISIN]],'Novia Web Query'!$A:$E,4,FALSE)/100</f>
        <v>1.8500000000000003E-2</v>
      </c>
      <c r="E38" s="3" t="str">
        <f>VLOOKUP(NoviaFunds[[#This Row],[ISIN]],'Novia Web Query'!$A:$E,5,FALSE)</f>
        <v>31/05/2021</v>
      </c>
      <c r="F38" t="str">
        <f>VLOOKUP(NoviaFunds[[#This Row],[Sector]],Sectors[],2,FALSE)</f>
        <v>Mixed 0%-35%</v>
      </c>
    </row>
    <row r="39" spans="1:6" x14ac:dyDescent="0.2">
      <c r="A39" t="str">
        <f>'Novia Web Query'!A40</f>
        <v>GB0033952648</v>
      </c>
      <c r="B39" t="str">
        <f>VLOOKUP(NoviaFunds[[#This Row],[ISIN]],'Novia Web Query'!$A:$E,2,FALSE)</f>
        <v>7IM Moderately Cautious A Inc TR in GB</v>
      </c>
      <c r="C39" t="str">
        <f>VLOOKUP(NoviaFunds[[#This Row],[ISIN]],'Novia Web Query'!$A:$E,3,FALSE)</f>
        <v>UT Mixed Investment 0-35% Shares</v>
      </c>
      <c r="D39" s="139">
        <f>VLOOKUP(NoviaFunds[[#This Row],[ISIN]],'Novia Web Query'!$A:$E,4,FALSE)/100</f>
        <v>1.8500000000000003E-2</v>
      </c>
      <c r="E39" s="3" t="str">
        <f>VLOOKUP(NoviaFunds[[#This Row],[ISIN]],'Novia Web Query'!$A:$E,5,FALSE)</f>
        <v>31/05/2021</v>
      </c>
      <c r="F39" t="str">
        <f>VLOOKUP(NoviaFunds[[#This Row],[Sector]],Sectors[],2,FALSE)</f>
        <v>Mixed 0%-35%</v>
      </c>
    </row>
    <row r="40" spans="1:6" x14ac:dyDescent="0.2">
      <c r="A40" t="str">
        <f>'Novia Web Query'!A41</f>
        <v>GB0033953497</v>
      </c>
      <c r="B40" t="str">
        <f>VLOOKUP(NoviaFunds[[#This Row],[ISIN]],'Novia Web Query'!$A:$E,2,FALSE)</f>
        <v>7IM Moderately Cautious C Acc in GB</v>
      </c>
      <c r="C40" t="str">
        <f>VLOOKUP(NoviaFunds[[#This Row],[ISIN]],'Novia Web Query'!$A:$E,3,FALSE)</f>
        <v>UT Mixed Investment 0-35% Shares</v>
      </c>
      <c r="D40" s="139">
        <f>VLOOKUP(NoviaFunds[[#This Row],[ISIN]],'Novia Web Query'!$A:$E,4,FALSE)/100</f>
        <v>1.3500000000000002E-2</v>
      </c>
      <c r="E40" s="3" t="str">
        <f>VLOOKUP(NoviaFunds[[#This Row],[ISIN]],'Novia Web Query'!$A:$E,5,FALSE)</f>
        <v>31/05/2021</v>
      </c>
      <c r="F40" t="str">
        <f>VLOOKUP(NoviaFunds[[#This Row],[Sector]],Sectors[],2,FALSE)</f>
        <v>Mixed 0%-35%</v>
      </c>
    </row>
    <row r="41" spans="1:6" x14ac:dyDescent="0.2">
      <c r="A41" t="str">
        <f>'Novia Web Query'!A42</f>
        <v>GB0033953273</v>
      </c>
      <c r="B41" t="str">
        <f>VLOOKUP(NoviaFunds[[#This Row],[ISIN]],'Novia Web Query'!$A:$E,2,FALSE)</f>
        <v>7IM Moderately Cautious C Inc TR in GB</v>
      </c>
      <c r="C41" t="str">
        <f>VLOOKUP(NoviaFunds[[#This Row],[ISIN]],'Novia Web Query'!$A:$E,3,FALSE)</f>
        <v>UT Mixed Investment 0-35% Shares</v>
      </c>
      <c r="D41" s="139">
        <f>VLOOKUP(NoviaFunds[[#This Row],[ISIN]],'Novia Web Query'!$A:$E,4,FALSE)/100</f>
        <v>1.3500000000000002E-2</v>
      </c>
      <c r="E41" s="3" t="str">
        <f>VLOOKUP(NoviaFunds[[#This Row],[ISIN]],'Novia Web Query'!$A:$E,5,FALSE)</f>
        <v>31/05/2021</v>
      </c>
      <c r="F41" t="str">
        <f>VLOOKUP(NoviaFunds[[#This Row],[Sector]],Sectors[],2,FALSE)</f>
        <v>Mixed 0%-35%</v>
      </c>
    </row>
    <row r="42" spans="1:6" x14ac:dyDescent="0.2">
      <c r="A42" t="str">
        <f>'Novia Web Query'!A43</f>
        <v>GB00B570T445</v>
      </c>
      <c r="B42" t="str">
        <f>VLOOKUP(NoviaFunds[[#This Row],[ISIN]],'Novia Web Query'!$A:$E,2,FALSE)</f>
        <v>7IM Personal Injury C Acc in GB</v>
      </c>
      <c r="C42" t="str">
        <f>VLOOKUP(NoviaFunds[[#This Row],[ISIN]],'Novia Web Query'!$A:$E,3,FALSE)</f>
        <v>UT Mixed Investment 0-35% Shares</v>
      </c>
      <c r="D42" s="139">
        <f>VLOOKUP(NoviaFunds[[#This Row],[ISIN]],'Novia Web Query'!$A:$E,4,FALSE)/100</f>
        <v>7.1999999999999998E-3</v>
      </c>
      <c r="E42" s="3" t="str">
        <f>VLOOKUP(NoviaFunds[[#This Row],[ISIN]],'Novia Web Query'!$A:$E,5,FALSE)</f>
        <v>31/05/2021</v>
      </c>
      <c r="F42" t="str">
        <f>VLOOKUP(NoviaFunds[[#This Row],[Sector]],Sectors[],2,FALSE)</f>
        <v>Mixed 0%-35%</v>
      </c>
    </row>
    <row r="43" spans="1:6" x14ac:dyDescent="0.2">
      <c r="A43" t="str">
        <f>'Novia Web Query'!A44</f>
        <v>GB00B55W5449</v>
      </c>
      <c r="B43" t="str">
        <f>VLOOKUP(NoviaFunds[[#This Row],[ISIN]],'Novia Web Query'!$A:$E,2,FALSE)</f>
        <v>7IM Personal Injury C Inc TR in GB</v>
      </c>
      <c r="C43" t="str">
        <f>VLOOKUP(NoviaFunds[[#This Row],[ISIN]],'Novia Web Query'!$A:$E,3,FALSE)</f>
        <v>UT Mixed Investment 0-35% Shares</v>
      </c>
      <c r="D43" s="139">
        <f>VLOOKUP(NoviaFunds[[#This Row],[ISIN]],'Novia Web Query'!$A:$E,4,FALSE)/100</f>
        <v>7.1999999999999998E-3</v>
      </c>
      <c r="E43" s="3" t="str">
        <f>VLOOKUP(NoviaFunds[[#This Row],[ISIN]],'Novia Web Query'!$A:$E,5,FALSE)</f>
        <v>31/05/2021</v>
      </c>
      <c r="F43" t="str">
        <f>VLOOKUP(NoviaFunds[[#This Row],[Sector]],Sectors[],2,FALSE)</f>
        <v>Mixed 0%-35%</v>
      </c>
    </row>
    <row r="44" spans="1:6" x14ac:dyDescent="0.2">
      <c r="A44" t="str">
        <f>'Novia Web Query'!A45</f>
        <v>GB00B75MS619</v>
      </c>
      <c r="B44" t="str">
        <f>VLOOKUP(NoviaFunds[[#This Row],[ISIN]],'Novia Web Query'!$A:$E,2,FALSE)</f>
        <v>7IM Real Return C Acc in GB</v>
      </c>
      <c r="C44" t="str">
        <f>VLOOKUP(NoviaFunds[[#This Row],[ISIN]],'Novia Web Query'!$A:$E,3,FALSE)</f>
        <v>UT Targeted Absolute Return</v>
      </c>
      <c r="D44" s="139">
        <f>VLOOKUP(NoviaFunds[[#This Row],[ISIN]],'Novia Web Query'!$A:$E,4,FALSE)/100</f>
        <v>9.8999999999999991E-3</v>
      </c>
      <c r="E44" s="3" t="str">
        <f>VLOOKUP(NoviaFunds[[#This Row],[ISIN]],'Novia Web Query'!$A:$E,5,FALSE)</f>
        <v>31/05/2021</v>
      </c>
      <c r="F44" t="str">
        <f>VLOOKUP(NoviaFunds[[#This Row],[Sector]],Sectors[],2,FALSE)</f>
        <v>Absolute Return</v>
      </c>
    </row>
    <row r="45" spans="1:6" x14ac:dyDescent="0.2">
      <c r="A45" t="str">
        <f>'Novia Web Query'!A46</f>
        <v>GB00B1LBFW55</v>
      </c>
      <c r="B45" t="str">
        <f>VLOOKUP(NoviaFunds[[#This Row],[ISIN]],'Novia Web Query'!$A:$E,2,FALSE)</f>
        <v>7IM Sustainable Balance A Acc in GB</v>
      </c>
      <c r="C45" t="str">
        <f>VLOOKUP(NoviaFunds[[#This Row],[ISIN]],'Novia Web Query'!$A:$E,3,FALSE)</f>
        <v>UT Mixed Investment 20-60% Shares</v>
      </c>
      <c r="D45" s="139">
        <f>VLOOKUP(NoviaFunds[[#This Row],[ISIN]],'Novia Web Query'!$A:$E,4,FALSE)/100</f>
        <v>1.9799999999999998E-2</v>
      </c>
      <c r="E45" s="3" t="str">
        <f>VLOOKUP(NoviaFunds[[#This Row],[ISIN]],'Novia Web Query'!$A:$E,5,FALSE)</f>
        <v>31/05/2021</v>
      </c>
      <c r="F45" t="str">
        <f>VLOOKUP(NoviaFunds[[#This Row],[Sector]],Sectors[],2,FALSE)</f>
        <v>Mixed 20%-60%</v>
      </c>
    </row>
    <row r="46" spans="1:6" x14ac:dyDescent="0.2">
      <c r="A46" t="str">
        <f>'Novia Web Query'!A47</f>
        <v>GB00B1LBFV49</v>
      </c>
      <c r="B46" t="str">
        <f>VLOOKUP(NoviaFunds[[#This Row],[ISIN]],'Novia Web Query'!$A:$E,2,FALSE)</f>
        <v>7IM Sustainable Balance A Inc TR in GB</v>
      </c>
      <c r="C46" t="str">
        <f>VLOOKUP(NoviaFunds[[#This Row],[ISIN]],'Novia Web Query'!$A:$E,3,FALSE)</f>
        <v>UT Mixed Investment 20-60% Shares</v>
      </c>
      <c r="D46" s="139">
        <f>VLOOKUP(NoviaFunds[[#This Row],[ISIN]],'Novia Web Query'!$A:$E,4,FALSE)/100</f>
        <v>1.9799999999999998E-2</v>
      </c>
      <c r="E46" s="3" t="str">
        <f>VLOOKUP(NoviaFunds[[#This Row],[ISIN]],'Novia Web Query'!$A:$E,5,FALSE)</f>
        <v>31/05/2021</v>
      </c>
      <c r="F46" t="str">
        <f>VLOOKUP(NoviaFunds[[#This Row],[Sector]],Sectors[],2,FALSE)</f>
        <v>Mixed 20%-60%</v>
      </c>
    </row>
    <row r="47" spans="1:6" x14ac:dyDescent="0.2">
      <c r="A47" t="str">
        <f>'Novia Web Query'!A48</f>
        <v>GB00B1LBFZ86</v>
      </c>
      <c r="B47" t="str">
        <f>VLOOKUP(NoviaFunds[[#This Row],[ISIN]],'Novia Web Query'!$A:$E,2,FALSE)</f>
        <v>7IM Sustainable Balance C Acc in GB</v>
      </c>
      <c r="C47" t="str">
        <f>VLOOKUP(NoviaFunds[[#This Row],[ISIN]],'Novia Web Query'!$A:$E,3,FALSE)</f>
        <v>UT Mixed Investment 20-60% Shares</v>
      </c>
      <c r="D47" s="139">
        <f>VLOOKUP(NoviaFunds[[#This Row],[ISIN]],'Novia Web Query'!$A:$E,4,FALSE)/100</f>
        <v>1.23E-2</v>
      </c>
      <c r="E47" s="3" t="str">
        <f>VLOOKUP(NoviaFunds[[#This Row],[ISIN]],'Novia Web Query'!$A:$E,5,FALSE)</f>
        <v>31/05/2021</v>
      </c>
      <c r="F47" t="str">
        <f>VLOOKUP(NoviaFunds[[#This Row],[Sector]],Sectors[],2,FALSE)</f>
        <v>Mixed 20%-60%</v>
      </c>
    </row>
    <row r="48" spans="1:6" x14ac:dyDescent="0.2">
      <c r="A48" t="str">
        <f>'Novia Web Query'!A49</f>
        <v>GB00B1LBG003</v>
      </c>
      <c r="B48" t="str">
        <f>VLOOKUP(NoviaFunds[[#This Row],[ISIN]],'Novia Web Query'!$A:$E,2,FALSE)</f>
        <v>7IM Sustainable Balance C Inc TR in GB</v>
      </c>
      <c r="C48" t="str">
        <f>VLOOKUP(NoviaFunds[[#This Row],[ISIN]],'Novia Web Query'!$A:$E,3,FALSE)</f>
        <v>UT Mixed Investment 20-60% Shares</v>
      </c>
      <c r="D48" s="139">
        <f>VLOOKUP(NoviaFunds[[#This Row],[ISIN]],'Novia Web Query'!$A:$E,4,FALSE)/100</f>
        <v>1.23E-2</v>
      </c>
      <c r="E48" s="3" t="str">
        <f>VLOOKUP(NoviaFunds[[#This Row],[ISIN]],'Novia Web Query'!$A:$E,5,FALSE)</f>
        <v>31/05/2021</v>
      </c>
      <c r="F48" t="str">
        <f>VLOOKUP(NoviaFunds[[#This Row],[Sector]],Sectors[],2,FALSE)</f>
        <v>Mixed 20%-60%</v>
      </c>
    </row>
    <row r="49" spans="1:6" x14ac:dyDescent="0.2">
      <c r="A49" t="str">
        <f>'Novia Web Query'!A50</f>
        <v>GB00BD9X6D51</v>
      </c>
      <c r="B49" t="str">
        <f>VLOOKUP(NoviaFunds[[#This Row],[ISIN]],'Novia Web Query'!$A:$E,2,FALSE)</f>
        <v>Aberdeen LF ASI Income Focus C Acc GBP in GB</v>
      </c>
      <c r="C49" t="str">
        <f>VLOOKUP(NoviaFunds[[#This Row],[ISIN]],'Novia Web Query'!$A:$E,3,FALSE)</f>
        <v>UT UK Equity Income</v>
      </c>
      <c r="D49" s="139">
        <f>VLOOKUP(NoviaFunds[[#This Row],[ISIN]],'Novia Web Query'!$A:$E,4,FALSE)/100</f>
        <v>7.4999999999999997E-3</v>
      </c>
      <c r="E49" s="3" t="str">
        <f>VLOOKUP(NoviaFunds[[#This Row],[ISIN]],'Novia Web Query'!$A:$E,5,FALSE)</f>
        <v>30/06/2019</v>
      </c>
      <c r="F49" t="str">
        <f>VLOOKUP(NoviaFunds[[#This Row],[Sector]],Sectors[],2,FALSE)</f>
        <v>UK Equities</v>
      </c>
    </row>
    <row r="50" spans="1:6" x14ac:dyDescent="0.2">
      <c r="A50" t="str">
        <f>'Novia Web Query'!A51</f>
        <v>GB00BD9X6V34</v>
      </c>
      <c r="B50" t="str">
        <f>VLOOKUP(NoviaFunds[[#This Row],[ISIN]],'Novia Web Query'!$A:$E,2,FALSE)</f>
        <v>Aberdeen LF ASI Income Focus C Inc GBP TR in GB</v>
      </c>
      <c r="C50" t="str">
        <f>VLOOKUP(NoviaFunds[[#This Row],[ISIN]],'Novia Web Query'!$A:$E,3,FALSE)</f>
        <v>UT UK Equity Income</v>
      </c>
      <c r="D50" s="139">
        <f>VLOOKUP(NoviaFunds[[#This Row],[ISIN]],'Novia Web Query'!$A:$E,4,FALSE)/100</f>
        <v>7.4999999999999997E-3</v>
      </c>
      <c r="E50" s="3" t="str">
        <f>VLOOKUP(NoviaFunds[[#This Row],[ISIN]],'Novia Web Query'!$A:$E,5,FALSE)</f>
        <v>30/06/2019</v>
      </c>
      <c r="F50" t="str">
        <f>VLOOKUP(NoviaFunds[[#This Row],[Sector]],Sectors[],2,FALSE)</f>
        <v>UK Equities</v>
      </c>
    </row>
    <row r="51" spans="1:6" x14ac:dyDescent="0.2">
      <c r="A51" t="str">
        <f>'Novia Web Query'!A52</f>
        <v>GB00BNY7ZG88</v>
      </c>
      <c r="B51" t="str">
        <f>VLOOKUP(NoviaFunds[[#This Row],[ISIN]],'Novia Web Query'!$A:$E,2,FALSE)</f>
        <v>Aberdeen Standard Capital Falcon M Acc in GB</v>
      </c>
      <c r="C51" t="str">
        <f>VLOOKUP(NoviaFunds[[#This Row],[ISIN]],'Novia Web Query'!$A:$E,3,FALSE)</f>
        <v>UT Global</v>
      </c>
      <c r="D51" s="139">
        <f>VLOOKUP(NoviaFunds[[#This Row],[ISIN]],'Novia Web Query'!$A:$E,4,FALSE)/100</f>
        <v>6.8000000000000005E-3</v>
      </c>
      <c r="E51" s="3" t="str">
        <f>VLOOKUP(NoviaFunds[[#This Row],[ISIN]],'Novia Web Query'!$A:$E,5,FALSE)</f>
        <v>28/02/2021</v>
      </c>
      <c r="F51" t="str">
        <f>VLOOKUP(NoviaFunds[[#This Row],[Sector]],Sectors[],2,FALSE)</f>
        <v>Other Equities</v>
      </c>
    </row>
    <row r="52" spans="1:6" x14ac:dyDescent="0.2">
      <c r="A52" t="str">
        <f>'Novia Web Query'!A53</f>
        <v>GB0000072727</v>
      </c>
      <c r="B52" t="str">
        <f>VLOOKUP(NoviaFunds[[#This Row],[ISIN]],'Novia Web Query'!$A:$E,2,FALSE)</f>
        <v>Aberforth UK Small Companies in GB</v>
      </c>
      <c r="C52" t="str">
        <f>VLOOKUP(NoviaFunds[[#This Row],[ISIN]],'Novia Web Query'!$A:$E,3,FALSE)</f>
        <v>UT UK Smaller Companies</v>
      </c>
      <c r="D52" s="139" t="e">
        <f>VLOOKUP(NoviaFunds[[#This Row],[ISIN]],'Novia Web Query'!$A:$E,4,FALSE)/100</f>
        <v>#VALUE!</v>
      </c>
      <c r="E52" s="3" t="str">
        <f>VLOOKUP(NoviaFunds[[#This Row],[ISIN]],'Novia Web Query'!$A:$E,5,FALSE)</f>
        <v/>
      </c>
      <c r="F52" t="str">
        <f>VLOOKUP(NoviaFunds[[#This Row],[Sector]],Sectors[],2,FALSE)</f>
        <v>UK Equities</v>
      </c>
    </row>
    <row r="53" spans="1:6" x14ac:dyDescent="0.2">
      <c r="A53" t="str">
        <f>'Novia Web Query'!A54</f>
        <v>GB00B2N9GS70</v>
      </c>
      <c r="B53" t="str">
        <f>VLOOKUP(NoviaFunds[[#This Row],[ISIN]],'Novia Web Query'!$A:$E,2,FALSE)</f>
        <v>Aberforth UK Small Companies Inc TR in GB**</v>
      </c>
      <c r="C53" t="str">
        <f>VLOOKUP(NoviaFunds[[#This Row],[ISIN]],'Novia Web Query'!$A:$E,3,FALSE)</f>
        <v>UT UK Smaller Companies</v>
      </c>
      <c r="D53" s="139" t="e">
        <f>VLOOKUP(NoviaFunds[[#This Row],[ISIN]],'Novia Web Query'!$A:$E,4,FALSE)/100</f>
        <v>#VALUE!</v>
      </c>
      <c r="E53" s="3" t="str">
        <f>VLOOKUP(NoviaFunds[[#This Row],[ISIN]],'Novia Web Query'!$A:$E,5,FALSE)</f>
        <v/>
      </c>
      <c r="F53" t="str">
        <f>VLOOKUP(NoviaFunds[[#This Row],[Sector]],Sectors[],2,FALSE)</f>
        <v>UK Equities</v>
      </c>
    </row>
    <row r="54" spans="1:6" x14ac:dyDescent="0.2">
      <c r="A54" t="str">
        <f>'Novia Web Query'!A55</f>
        <v>GB00BJFLQY60</v>
      </c>
      <c r="B54" t="str">
        <f>VLOOKUP(NoviaFunds[[#This Row],[ISIN]],'Novia Web Query'!$A:$E,2,FALSE)</f>
        <v>Aegon Diversified Monthly Income B Acc in GB</v>
      </c>
      <c r="C54" t="str">
        <f>VLOOKUP(NoviaFunds[[#This Row],[ISIN]],'Novia Web Query'!$A:$E,3,FALSE)</f>
        <v>UT Mixed Investment 20-60% Shares</v>
      </c>
      <c r="D54" s="139">
        <f>VLOOKUP(NoviaFunds[[#This Row],[ISIN]],'Novia Web Query'!$A:$E,4,FALSE)/100</f>
        <v>5.7999999999999996E-3</v>
      </c>
      <c r="E54" s="3" t="str">
        <f>VLOOKUP(NoviaFunds[[#This Row],[ISIN]],'Novia Web Query'!$A:$E,5,FALSE)</f>
        <v>30/09/2021</v>
      </c>
      <c r="F54" t="str">
        <f>VLOOKUP(NoviaFunds[[#This Row],[Sector]],Sectors[],2,FALSE)</f>
        <v>Mixed 20%-60%</v>
      </c>
    </row>
    <row r="55" spans="1:6" x14ac:dyDescent="0.2">
      <c r="A55" t="str">
        <f>'Novia Web Query'!A56</f>
        <v>GB00BJFLR106</v>
      </c>
      <c r="B55" t="str">
        <f>VLOOKUP(NoviaFunds[[#This Row],[ISIN]],'Novia Web Query'!$A:$E,2,FALSE)</f>
        <v>Aegon Diversified Monthly Income B Inc TR in GB</v>
      </c>
      <c r="C55" t="str">
        <f>VLOOKUP(NoviaFunds[[#This Row],[ISIN]],'Novia Web Query'!$A:$E,3,FALSE)</f>
        <v>UT Mixed Investment 20-60% Shares</v>
      </c>
      <c r="D55" s="139">
        <f>VLOOKUP(NoviaFunds[[#This Row],[ISIN]],'Novia Web Query'!$A:$E,4,FALSE)/100</f>
        <v>5.7999999999999996E-3</v>
      </c>
      <c r="E55" s="3" t="str">
        <f>VLOOKUP(NoviaFunds[[#This Row],[ISIN]],'Novia Web Query'!$A:$E,5,FALSE)</f>
        <v>30/09/2021</v>
      </c>
      <c r="F55" t="str">
        <f>VLOOKUP(NoviaFunds[[#This Row],[Sector]],Sectors[],2,FALSE)</f>
        <v>Mixed 20%-60%</v>
      </c>
    </row>
    <row r="56" spans="1:6" x14ac:dyDescent="0.2">
      <c r="A56" t="str">
        <f>'Novia Web Query'!A57</f>
        <v>GB00B7V2CD05</v>
      </c>
      <c r="B56" t="str">
        <f>VLOOKUP(NoviaFunds[[#This Row],[ISIN]],'Novia Web Query'!$A:$E,2,FALSE)</f>
        <v>Aegon Ethical Cautious Managed B Acc in GB</v>
      </c>
      <c r="C56" t="str">
        <f>VLOOKUP(NoviaFunds[[#This Row],[ISIN]],'Novia Web Query'!$A:$E,3,FALSE)</f>
        <v>UT Mixed Investment 20-60% Shares</v>
      </c>
      <c r="D56" s="139">
        <f>VLOOKUP(NoviaFunds[[#This Row],[ISIN]],'Novia Web Query'!$A:$E,4,FALSE)/100</f>
        <v>7.8000000000000005E-3</v>
      </c>
      <c r="E56" s="3" t="str">
        <f>VLOOKUP(NoviaFunds[[#This Row],[ISIN]],'Novia Web Query'!$A:$E,5,FALSE)</f>
        <v>30/09/2021</v>
      </c>
      <c r="F56" t="str">
        <f>VLOOKUP(NoviaFunds[[#This Row],[Sector]],Sectors[],2,FALSE)</f>
        <v>Mixed 20%-60%</v>
      </c>
    </row>
    <row r="57" spans="1:6" x14ac:dyDescent="0.2">
      <c r="A57" t="str">
        <f>'Novia Web Query'!A58</f>
        <v>GB00B7TCPG66</v>
      </c>
      <c r="B57" t="str">
        <f>VLOOKUP(NoviaFunds[[#This Row],[ISIN]],'Novia Web Query'!$A:$E,2,FALSE)</f>
        <v>Aegon Ethical Cautious Managed B Inc TR in GB**</v>
      </c>
      <c r="C57" t="str">
        <f>VLOOKUP(NoviaFunds[[#This Row],[ISIN]],'Novia Web Query'!$A:$E,3,FALSE)</f>
        <v>UT Mixed Investment 20-60% Shares</v>
      </c>
      <c r="D57" s="139">
        <f>VLOOKUP(NoviaFunds[[#This Row],[ISIN]],'Novia Web Query'!$A:$E,4,FALSE)/100</f>
        <v>7.8000000000000005E-3</v>
      </c>
      <c r="E57" s="3" t="str">
        <f>VLOOKUP(NoviaFunds[[#This Row],[ISIN]],'Novia Web Query'!$A:$E,5,FALSE)</f>
        <v>30/09/2021</v>
      </c>
      <c r="F57" t="str">
        <f>VLOOKUP(NoviaFunds[[#This Row],[Sector]],Sectors[],2,FALSE)</f>
        <v>Mixed 20%-60%</v>
      </c>
    </row>
    <row r="58" spans="1:6" x14ac:dyDescent="0.2">
      <c r="A58" t="str">
        <f>'Novia Web Query'!A59</f>
        <v>GB00B018K352</v>
      </c>
      <c r="B58" t="str">
        <f>VLOOKUP(NoviaFunds[[#This Row],[ISIN]],'Novia Web Query'!$A:$E,2,FALSE)</f>
        <v>Aegon Ethical Corporate Bond B Acc in GB</v>
      </c>
      <c r="C58" t="str">
        <f>VLOOKUP(NoviaFunds[[#This Row],[ISIN]],'Novia Web Query'!$A:$E,3,FALSE)</f>
        <v>UT Sterling Corporate Bond</v>
      </c>
      <c r="D58" s="139">
        <f>VLOOKUP(NoviaFunds[[#This Row],[ISIN]],'Novia Web Query'!$A:$E,4,FALSE)/100</f>
        <v>4.7999999999999996E-3</v>
      </c>
      <c r="E58" s="3" t="str">
        <f>VLOOKUP(NoviaFunds[[#This Row],[ISIN]],'Novia Web Query'!$A:$E,5,FALSE)</f>
        <v>30/09/2021</v>
      </c>
      <c r="F58" t="str">
        <f>VLOOKUP(NoviaFunds[[#This Row],[Sector]],Sectors[],2,FALSE)</f>
        <v>Sterling Corporate Bonds</v>
      </c>
    </row>
    <row r="59" spans="1:6" x14ac:dyDescent="0.2">
      <c r="A59" t="str">
        <f>'Novia Web Query'!A60</f>
        <v>GB00B0C4RP31</v>
      </c>
      <c r="B59" t="str">
        <f>VLOOKUP(NoviaFunds[[#This Row],[ISIN]],'Novia Web Query'!$A:$E,2,FALSE)</f>
        <v>Aegon Ethical Corporate Bond B Inc TR in GB**</v>
      </c>
      <c r="C59" t="str">
        <f>VLOOKUP(NoviaFunds[[#This Row],[ISIN]],'Novia Web Query'!$A:$E,3,FALSE)</f>
        <v>UT Sterling Corporate Bond</v>
      </c>
      <c r="D59" s="139">
        <f>VLOOKUP(NoviaFunds[[#This Row],[ISIN]],'Novia Web Query'!$A:$E,4,FALSE)/100</f>
        <v>4.7999999999999996E-3</v>
      </c>
      <c r="E59" s="3" t="str">
        <f>VLOOKUP(NoviaFunds[[#This Row],[ISIN]],'Novia Web Query'!$A:$E,5,FALSE)</f>
        <v>30/09/2021</v>
      </c>
      <c r="F59" t="str">
        <f>VLOOKUP(NoviaFunds[[#This Row],[Sector]],Sectors[],2,FALSE)</f>
        <v>Sterling Corporate Bonds</v>
      </c>
    </row>
    <row r="60" spans="1:6" x14ac:dyDescent="0.2">
      <c r="A60" t="str">
        <f>'Novia Web Query'!A61</f>
        <v>GB0007450884</v>
      </c>
      <c r="B60" t="str">
        <f>VLOOKUP(NoviaFunds[[#This Row],[ISIN]],'Novia Web Query'!$A:$E,2,FALSE)</f>
        <v>Aegon Ethical Equity B Acc in GB</v>
      </c>
      <c r="C60" t="str">
        <f>VLOOKUP(NoviaFunds[[#This Row],[ISIN]],'Novia Web Query'!$A:$E,3,FALSE)</f>
        <v>UT UK All Companies</v>
      </c>
      <c r="D60" s="139">
        <f>VLOOKUP(NoviaFunds[[#This Row],[ISIN]],'Novia Web Query'!$A:$E,4,FALSE)/100</f>
        <v>7.7000000000000002E-3</v>
      </c>
      <c r="E60" s="3" t="str">
        <f>VLOOKUP(NoviaFunds[[#This Row],[ISIN]],'Novia Web Query'!$A:$E,5,FALSE)</f>
        <v>30/09/2021</v>
      </c>
      <c r="F60" t="str">
        <f>VLOOKUP(NoviaFunds[[#This Row],[Sector]],Sectors[],2,FALSE)</f>
        <v>UK Equities</v>
      </c>
    </row>
    <row r="61" spans="1:6" x14ac:dyDescent="0.2">
      <c r="A61" t="str">
        <f>'Novia Web Query'!A62</f>
        <v>GB00B8FZHY88</v>
      </c>
      <c r="B61" t="str">
        <f>VLOOKUP(NoviaFunds[[#This Row],[ISIN]],'Novia Web Query'!$A:$E,2,FALSE)</f>
        <v>Aegon Ethical Equity B Inc TR in GB**</v>
      </c>
      <c r="C61" t="str">
        <f>VLOOKUP(NoviaFunds[[#This Row],[ISIN]],'Novia Web Query'!$A:$E,3,FALSE)</f>
        <v>UT UK All Companies</v>
      </c>
      <c r="D61" s="139">
        <f>VLOOKUP(NoviaFunds[[#This Row],[ISIN]],'Novia Web Query'!$A:$E,4,FALSE)/100</f>
        <v>7.8000000000000005E-3</v>
      </c>
      <c r="E61" s="3" t="str">
        <f>VLOOKUP(NoviaFunds[[#This Row],[ISIN]],'Novia Web Query'!$A:$E,5,FALSE)</f>
        <v>30/09/2021</v>
      </c>
      <c r="F61" t="str">
        <f>VLOOKUP(NoviaFunds[[#This Row],[Sector]],Sectors[],2,FALSE)</f>
        <v>UK Equities</v>
      </c>
    </row>
    <row r="62" spans="1:6" x14ac:dyDescent="0.2">
      <c r="A62" t="str">
        <f>'Novia Web Query'!A63</f>
        <v>GB0031425563</v>
      </c>
      <c r="B62" t="str">
        <f>VLOOKUP(NoviaFunds[[#This Row],[ISIN]],'Novia Web Query'!$A:$E,2,FALSE)</f>
        <v>Aegon High Yield Bond B Acc in GB</v>
      </c>
      <c r="C62" t="str">
        <f>VLOOKUP(NoviaFunds[[#This Row],[ISIN]],'Novia Web Query'!$A:$E,3,FALSE)</f>
        <v>UT Sterling High Yield</v>
      </c>
      <c r="D62" s="139">
        <f>VLOOKUP(NoviaFunds[[#This Row],[ISIN]],'Novia Web Query'!$A:$E,4,FALSE)/100</f>
        <v>6.0000000000000001E-3</v>
      </c>
      <c r="E62" s="3" t="str">
        <f>VLOOKUP(NoviaFunds[[#This Row],[ISIN]],'Novia Web Query'!$A:$E,5,FALSE)</f>
        <v>30/09/2021</v>
      </c>
      <c r="F62" t="str">
        <f>VLOOKUP(NoviaFunds[[#This Row],[Sector]],Sectors[],2,FALSE)</f>
        <v>High Yield</v>
      </c>
    </row>
    <row r="63" spans="1:6" x14ac:dyDescent="0.2">
      <c r="A63" t="str">
        <f>'Novia Web Query'!A64</f>
        <v>GB00B1N9DY51</v>
      </c>
      <c r="B63" t="str">
        <f>VLOOKUP(NoviaFunds[[#This Row],[ISIN]],'Novia Web Query'!$A:$E,2,FALSE)</f>
        <v>Aegon High Yield Bond B Inc TR in GB**</v>
      </c>
      <c r="C63" t="str">
        <f>VLOOKUP(NoviaFunds[[#This Row],[ISIN]],'Novia Web Query'!$A:$E,3,FALSE)</f>
        <v>UT Sterling High Yield</v>
      </c>
      <c r="D63" s="139">
        <f>VLOOKUP(NoviaFunds[[#This Row],[ISIN]],'Novia Web Query'!$A:$E,4,FALSE)/100</f>
        <v>6.0000000000000001E-3</v>
      </c>
      <c r="E63" s="3" t="str">
        <f>VLOOKUP(NoviaFunds[[#This Row],[ISIN]],'Novia Web Query'!$A:$E,5,FALSE)</f>
        <v>30/09/2021</v>
      </c>
      <c r="F63" t="str">
        <f>VLOOKUP(NoviaFunds[[#This Row],[Sector]],Sectors[],2,FALSE)</f>
        <v>High Yield</v>
      </c>
    </row>
    <row r="64" spans="1:6" x14ac:dyDescent="0.2">
      <c r="A64" t="str">
        <f>'Novia Web Query'!A65</f>
        <v>GB00B141C763</v>
      </c>
      <c r="B64" t="str">
        <f>VLOOKUP(NoviaFunds[[#This Row],[ISIN]],'Novia Web Query'!$A:$E,2,FALSE)</f>
        <v>Aegon Investment Grade Bond B Acc in GB</v>
      </c>
      <c r="C64" t="str">
        <f>VLOOKUP(NoviaFunds[[#This Row],[ISIN]],'Novia Web Query'!$A:$E,3,FALSE)</f>
        <v>UT Sterling Corporate Bond</v>
      </c>
      <c r="D64" s="139">
        <f>VLOOKUP(NoviaFunds[[#This Row],[ISIN]],'Novia Web Query'!$A:$E,4,FALSE)/100</f>
        <v>5.3E-3</v>
      </c>
      <c r="E64" s="3" t="str">
        <f>VLOOKUP(NoviaFunds[[#This Row],[ISIN]],'Novia Web Query'!$A:$E,5,FALSE)</f>
        <v>30/09/2021</v>
      </c>
      <c r="F64" t="str">
        <f>VLOOKUP(NoviaFunds[[#This Row],[Sector]],Sectors[],2,FALSE)</f>
        <v>Sterling Corporate Bonds</v>
      </c>
    </row>
    <row r="65" spans="1:6" x14ac:dyDescent="0.2">
      <c r="A65" t="str">
        <f>'Novia Web Query'!A66</f>
        <v>GB00B142F707</v>
      </c>
      <c r="B65" t="str">
        <f>VLOOKUP(NoviaFunds[[#This Row],[ISIN]],'Novia Web Query'!$A:$E,2,FALSE)</f>
        <v>Aegon Investment Grade Bond B Inc TR in GB</v>
      </c>
      <c r="C65" t="str">
        <f>VLOOKUP(NoviaFunds[[#This Row],[ISIN]],'Novia Web Query'!$A:$E,3,FALSE)</f>
        <v>UT Sterling Corporate Bond</v>
      </c>
      <c r="D65" s="139">
        <f>VLOOKUP(NoviaFunds[[#This Row],[ISIN]],'Novia Web Query'!$A:$E,4,FALSE)/100</f>
        <v>5.3E-3</v>
      </c>
      <c r="E65" s="3" t="str">
        <f>VLOOKUP(NoviaFunds[[#This Row],[ISIN]],'Novia Web Query'!$A:$E,5,FALSE)</f>
        <v>30/09/2021</v>
      </c>
      <c r="F65" t="str">
        <f>VLOOKUP(NoviaFunds[[#This Row],[Sector]],Sectors[],2,FALSE)</f>
        <v>Sterling Corporate Bonds</v>
      </c>
    </row>
    <row r="66" spans="1:6" x14ac:dyDescent="0.2">
      <c r="A66" t="str">
        <f>'Novia Web Query'!A67</f>
        <v>GB00BF0W2M61</v>
      </c>
      <c r="B66" t="str">
        <f>VLOOKUP(NoviaFunds[[#This Row],[ISIN]],'Novia Web Query'!$A:$E,2,FALSE)</f>
        <v>Aegon Investment Grade Bond S Acc GBP in GB**</v>
      </c>
      <c r="C66" t="str">
        <f>VLOOKUP(NoviaFunds[[#This Row],[ISIN]],'Novia Web Query'!$A:$E,3,FALSE)</f>
        <v>UT Sterling Corporate Bond</v>
      </c>
      <c r="D66" s="139">
        <f>VLOOKUP(NoviaFunds[[#This Row],[ISIN]],'Novia Web Query'!$A:$E,4,FALSE)/100</f>
        <v>4.3E-3</v>
      </c>
      <c r="E66" s="3" t="str">
        <f>VLOOKUP(NoviaFunds[[#This Row],[ISIN]],'Novia Web Query'!$A:$E,5,FALSE)</f>
        <v>30/09/2021</v>
      </c>
      <c r="F66" t="str">
        <f>VLOOKUP(NoviaFunds[[#This Row],[Sector]],Sectors[],2,FALSE)</f>
        <v>Sterling Corporate Bonds</v>
      </c>
    </row>
    <row r="67" spans="1:6" x14ac:dyDescent="0.2">
      <c r="A67" t="str">
        <f>'Novia Web Query'!A68</f>
        <v>GB00BF0W2N78</v>
      </c>
      <c r="B67" t="str">
        <f>VLOOKUP(NoviaFunds[[#This Row],[ISIN]],'Novia Web Query'!$A:$E,2,FALSE)</f>
        <v>Aegon Investment Grade Bond S Inc GBP TR in GB**</v>
      </c>
      <c r="C67" t="str">
        <f>VLOOKUP(NoviaFunds[[#This Row],[ISIN]],'Novia Web Query'!$A:$E,3,FALSE)</f>
        <v>UT Sterling Corporate Bond</v>
      </c>
      <c r="D67" s="139">
        <f>VLOOKUP(NoviaFunds[[#This Row],[ISIN]],'Novia Web Query'!$A:$E,4,FALSE)/100</f>
        <v>4.3E-3</v>
      </c>
      <c r="E67" s="3" t="str">
        <f>VLOOKUP(NoviaFunds[[#This Row],[ISIN]],'Novia Web Query'!$A:$E,5,FALSE)</f>
        <v>30/09/2021</v>
      </c>
      <c r="F67" t="str">
        <f>VLOOKUP(NoviaFunds[[#This Row],[Sector]],Sectors[],2,FALSE)</f>
        <v>Sterling Corporate Bonds</v>
      </c>
    </row>
    <row r="68" spans="1:6" x14ac:dyDescent="0.2">
      <c r="A68" t="str">
        <f>'Novia Web Query'!A69</f>
        <v>GB00BK6MJG80</v>
      </c>
      <c r="B68" t="str">
        <f>VLOOKUP(NoviaFunds[[#This Row],[ISIN]],'Novia Web Query'!$A:$E,2,FALSE)</f>
        <v>Aegon Property Income Feeder Acc B in GB</v>
      </c>
      <c r="C68" t="str">
        <f>VLOOKUP(NoviaFunds[[#This Row],[ISIN]],'Novia Web Query'!$A:$E,3,FALSE)</f>
        <v>UT UK Direct Property</v>
      </c>
      <c r="D68" s="139">
        <f>VLOOKUP(NoviaFunds[[#This Row],[ISIN]],'Novia Web Query'!$A:$E,4,FALSE)/100</f>
        <v>7.0999999999999995E-3</v>
      </c>
      <c r="E68" s="3" t="str">
        <f>VLOOKUP(NoviaFunds[[#This Row],[ISIN]],'Novia Web Query'!$A:$E,5,FALSE)</f>
        <v>30/09/2021</v>
      </c>
      <c r="F68" t="e">
        <f>VLOOKUP(NoviaFunds[[#This Row],[Sector]],Sectors[],2,FALSE)</f>
        <v>#N/A</v>
      </c>
    </row>
    <row r="69" spans="1:6" x14ac:dyDescent="0.2">
      <c r="A69" t="str">
        <f>'Novia Web Query'!A70</f>
        <v>GB00BK6MJH97</v>
      </c>
      <c r="B69" t="str">
        <f>VLOOKUP(NoviaFunds[[#This Row],[ISIN]],'Novia Web Query'!$A:$E,2,FALSE)</f>
        <v>Aegon Property Income Feeder B Inc TR in GB</v>
      </c>
      <c r="C69" t="str">
        <f>VLOOKUP(NoviaFunds[[#This Row],[ISIN]],'Novia Web Query'!$A:$E,3,FALSE)</f>
        <v>UT UK Direct Property</v>
      </c>
      <c r="D69" s="139">
        <f>VLOOKUP(NoviaFunds[[#This Row],[ISIN]],'Novia Web Query'!$A:$E,4,FALSE)/100</f>
        <v>7.3000000000000001E-3</v>
      </c>
      <c r="E69" s="3" t="str">
        <f>VLOOKUP(NoviaFunds[[#This Row],[ISIN]],'Novia Web Query'!$A:$E,5,FALSE)</f>
        <v>30/09/2021</v>
      </c>
      <c r="F69" t="e">
        <f>VLOOKUP(NoviaFunds[[#This Row],[Sector]],Sectors[],2,FALSE)</f>
        <v>#N/A</v>
      </c>
    </row>
    <row r="70" spans="1:6" x14ac:dyDescent="0.2">
      <c r="A70" t="str">
        <f>'Novia Web Query'!A71</f>
        <v>GB0007451635</v>
      </c>
      <c r="B70" t="str">
        <f>VLOOKUP(NoviaFunds[[#This Row],[ISIN]],'Novia Web Query'!$A:$E,2,FALSE)</f>
        <v>Aegon Sterling Corporate Bond B Acc in GB</v>
      </c>
      <c r="C70" t="str">
        <f>VLOOKUP(NoviaFunds[[#This Row],[ISIN]],'Novia Web Query'!$A:$E,3,FALSE)</f>
        <v>UT Sterling Corporate Bond</v>
      </c>
      <c r="D70" s="139">
        <f>VLOOKUP(NoviaFunds[[#This Row],[ISIN]],'Novia Web Query'!$A:$E,4,FALSE)/100</f>
        <v>3.9000000000000003E-3</v>
      </c>
      <c r="E70" s="3" t="str">
        <f>VLOOKUP(NoviaFunds[[#This Row],[ISIN]],'Novia Web Query'!$A:$E,5,FALSE)</f>
        <v>30/09/2021</v>
      </c>
      <c r="F70" t="str">
        <f>VLOOKUP(NoviaFunds[[#This Row],[Sector]],Sectors[],2,FALSE)</f>
        <v>Sterling Corporate Bonds</v>
      </c>
    </row>
    <row r="71" spans="1:6" x14ac:dyDescent="0.2">
      <c r="A71" t="str">
        <f>'Novia Web Query'!A72</f>
        <v>GB0031599870</v>
      </c>
      <c r="B71" t="str">
        <f>VLOOKUP(NoviaFunds[[#This Row],[ISIN]],'Novia Web Query'!$A:$E,2,FALSE)</f>
        <v>Aegon Sterling Corporate Bond B Inc TR in GB**</v>
      </c>
      <c r="C71" t="str">
        <f>VLOOKUP(NoviaFunds[[#This Row],[ISIN]],'Novia Web Query'!$A:$E,3,FALSE)</f>
        <v>UT Sterling Corporate Bond</v>
      </c>
      <c r="D71" s="139">
        <f>VLOOKUP(NoviaFunds[[#This Row],[ISIN]],'Novia Web Query'!$A:$E,4,FALSE)/100</f>
        <v>4.0000000000000001E-3</v>
      </c>
      <c r="E71" s="3" t="str">
        <f>VLOOKUP(NoviaFunds[[#This Row],[ISIN]],'Novia Web Query'!$A:$E,5,FALSE)</f>
        <v>30/09/2021</v>
      </c>
      <c r="F71" t="str">
        <f>VLOOKUP(NoviaFunds[[#This Row],[Sector]],Sectors[],2,FALSE)</f>
        <v>Sterling Corporate Bonds</v>
      </c>
    </row>
    <row r="72" spans="1:6" x14ac:dyDescent="0.2">
      <c r="A72" t="str">
        <f>'Novia Web Query'!A73</f>
        <v>GB00B3ZLQW29</v>
      </c>
      <c r="B72" t="str">
        <f>VLOOKUP(NoviaFunds[[#This Row],[ISIN]],'Novia Web Query'!$A:$E,2,FALSE)</f>
        <v>Aegon Strategic Bond B Acc in GB</v>
      </c>
      <c r="C72" t="str">
        <f>VLOOKUP(NoviaFunds[[#This Row],[ISIN]],'Novia Web Query'!$A:$E,3,FALSE)</f>
        <v>UT Sterling Strategic Bond</v>
      </c>
      <c r="D72" s="139">
        <f>VLOOKUP(NoviaFunds[[#This Row],[ISIN]],'Novia Web Query'!$A:$E,4,FALSE)/100</f>
        <v>5.8999999999999999E-3</v>
      </c>
      <c r="E72" s="3" t="str">
        <f>VLOOKUP(NoviaFunds[[#This Row],[ISIN]],'Novia Web Query'!$A:$E,5,FALSE)</f>
        <v>30/09/2021</v>
      </c>
      <c r="F72" t="str">
        <f>VLOOKUP(NoviaFunds[[#This Row],[Sector]],Sectors[],2,FALSE)</f>
        <v>Other Bonds</v>
      </c>
    </row>
    <row r="73" spans="1:6" x14ac:dyDescent="0.2">
      <c r="A73" t="str">
        <f>'Novia Web Query'!A74</f>
        <v>GB00B00MY367</v>
      </c>
      <c r="B73" t="str">
        <f>VLOOKUP(NoviaFunds[[#This Row],[ISIN]],'Novia Web Query'!$A:$E,2,FALSE)</f>
        <v>Aegon Strategic Bond B Inc TR in GB**</v>
      </c>
      <c r="C73" t="str">
        <f>VLOOKUP(NoviaFunds[[#This Row],[ISIN]],'Novia Web Query'!$A:$E,3,FALSE)</f>
        <v>UT Sterling Strategic Bond</v>
      </c>
      <c r="D73" s="139">
        <f>VLOOKUP(NoviaFunds[[#This Row],[ISIN]],'Novia Web Query'!$A:$E,4,FALSE)/100</f>
        <v>5.8999999999999999E-3</v>
      </c>
      <c r="E73" s="3" t="str">
        <f>VLOOKUP(NoviaFunds[[#This Row],[ISIN]],'Novia Web Query'!$A:$E,5,FALSE)</f>
        <v>30/09/2021</v>
      </c>
      <c r="F73" t="str">
        <f>VLOOKUP(NoviaFunds[[#This Row],[Sector]],Sectors[],2,FALSE)</f>
        <v>Other Bonds</v>
      </c>
    </row>
    <row r="74" spans="1:6" x14ac:dyDescent="0.2">
      <c r="A74" t="str">
        <f>'Novia Web Query'!A75</f>
        <v>GB00BFY6P813</v>
      </c>
      <c r="B74" t="str">
        <f>VLOOKUP(NoviaFunds[[#This Row],[ISIN]],'Novia Web Query'!$A:$E,2,FALSE)</f>
        <v>Aegon Strategic Bond S Acc in GB**</v>
      </c>
      <c r="C74" t="str">
        <f>VLOOKUP(NoviaFunds[[#This Row],[ISIN]],'Novia Web Query'!$A:$E,3,FALSE)</f>
        <v>UT Sterling Strategic Bond</v>
      </c>
      <c r="D74" s="139">
        <f>VLOOKUP(NoviaFunds[[#This Row],[ISIN]],'Novia Web Query'!$A:$E,4,FALSE)/100</f>
        <v>4.8999999999999998E-3</v>
      </c>
      <c r="E74" s="3" t="str">
        <f>VLOOKUP(NoviaFunds[[#This Row],[ISIN]],'Novia Web Query'!$A:$E,5,FALSE)</f>
        <v>30/09/2021</v>
      </c>
      <c r="F74" t="str">
        <f>VLOOKUP(NoviaFunds[[#This Row],[Sector]],Sectors[],2,FALSE)</f>
        <v>Other Bonds</v>
      </c>
    </row>
    <row r="75" spans="1:6" x14ac:dyDescent="0.2">
      <c r="A75" t="str">
        <f>'Novia Web Query'!A76</f>
        <v>GB00B625LX43</v>
      </c>
      <c r="B75" t="str">
        <f>VLOOKUP(NoviaFunds[[#This Row],[ISIN]],'Novia Web Query'!$A:$E,2,FALSE)</f>
        <v>Aegon Sustainable Diversified Growth B Acc in GB</v>
      </c>
      <c r="C75" t="str">
        <f>VLOOKUP(NoviaFunds[[#This Row],[ISIN]],'Novia Web Query'!$A:$E,3,FALSE)</f>
        <v>UT Mixed Investment 40-85% Shares</v>
      </c>
      <c r="D75" s="139">
        <f>VLOOKUP(NoviaFunds[[#This Row],[ISIN]],'Novia Web Query'!$A:$E,4,FALSE)/100</f>
        <v>5.3E-3</v>
      </c>
      <c r="E75" s="3" t="str">
        <f>VLOOKUP(NoviaFunds[[#This Row],[ISIN]],'Novia Web Query'!$A:$E,5,FALSE)</f>
        <v>30/09/2021</v>
      </c>
      <c r="F75" t="str">
        <f>VLOOKUP(NoviaFunds[[#This Row],[Sector]],Sectors[],2,FALSE)</f>
        <v>Mixed 40%-85%</v>
      </c>
    </row>
    <row r="76" spans="1:6" x14ac:dyDescent="0.2">
      <c r="A76" t="str">
        <f>'Novia Web Query'!A77</f>
        <v>GB0007274516</v>
      </c>
      <c r="B76" t="str">
        <f>VLOOKUP(NoviaFunds[[#This Row],[ISIN]],'Novia Web Query'!$A:$E,2,FALSE)</f>
        <v>Aegon Sustainable Equity B Acc GBP in GB</v>
      </c>
      <c r="C76" t="str">
        <f>VLOOKUP(NoviaFunds[[#This Row],[ISIN]],'Novia Web Query'!$A:$E,3,FALSE)</f>
        <v>UT Global</v>
      </c>
      <c r="D76" s="139">
        <f>VLOOKUP(NoviaFunds[[#This Row],[ISIN]],'Novia Web Query'!$A:$E,4,FALSE)/100</f>
        <v>8.1000000000000013E-3</v>
      </c>
      <c r="E76" s="3" t="str">
        <f>VLOOKUP(NoviaFunds[[#This Row],[ISIN]],'Novia Web Query'!$A:$E,5,FALSE)</f>
        <v>30/09/2021</v>
      </c>
      <c r="F76" t="str">
        <f>VLOOKUP(NoviaFunds[[#This Row],[Sector]],Sectors[],2,FALSE)</f>
        <v>Other Equities</v>
      </c>
    </row>
    <row r="77" spans="1:6" x14ac:dyDescent="0.2">
      <c r="A77" t="str">
        <f>'Novia Web Query'!A78</f>
        <v>GB00B4XS8040</v>
      </c>
      <c r="B77" t="str">
        <f>VLOOKUP(NoviaFunds[[#This Row],[ISIN]],'Novia Web Query'!$A:$E,2,FALSE)</f>
        <v>Aegon UK Equity Absolute Return B Acc in GB</v>
      </c>
      <c r="C77" t="str">
        <f>VLOOKUP(NoviaFunds[[#This Row],[ISIN]],'Novia Web Query'!$A:$E,3,FALSE)</f>
        <v>UT Targeted Absolute Return</v>
      </c>
      <c r="D77" s="139">
        <f>VLOOKUP(NoviaFunds[[#This Row],[ISIN]],'Novia Web Query'!$A:$E,4,FALSE)/100</f>
        <v>8.8999999999999999E-3</v>
      </c>
      <c r="E77" s="3" t="str">
        <f>VLOOKUP(NoviaFunds[[#This Row],[ISIN]],'Novia Web Query'!$A:$E,5,FALSE)</f>
        <v>30/09/2021</v>
      </c>
      <c r="F77" t="str">
        <f>VLOOKUP(NoviaFunds[[#This Row],[Sector]],Sectors[],2,FALSE)</f>
        <v>Absolute Return</v>
      </c>
    </row>
    <row r="78" spans="1:6" x14ac:dyDescent="0.2">
      <c r="A78" t="str">
        <f>'Novia Web Query'!A79</f>
        <v>GB0007451411</v>
      </c>
      <c r="B78" t="str">
        <f>VLOOKUP(NoviaFunds[[#This Row],[ISIN]],'Novia Web Query'!$A:$E,2,FALSE)</f>
        <v>Aegon UK Equity B Acc GBP in GB</v>
      </c>
      <c r="C78" t="str">
        <f>VLOOKUP(NoviaFunds[[#This Row],[ISIN]],'Novia Web Query'!$A:$E,3,FALSE)</f>
        <v>UT UK All Companies</v>
      </c>
      <c r="D78" s="139">
        <f>VLOOKUP(NoviaFunds[[#This Row],[ISIN]],'Novia Web Query'!$A:$E,4,FALSE)/100</f>
        <v>6.5000000000000006E-3</v>
      </c>
      <c r="E78" s="3" t="str">
        <f>VLOOKUP(NoviaFunds[[#This Row],[ISIN]],'Novia Web Query'!$A:$E,5,FALSE)</f>
        <v>30/09/2021</v>
      </c>
      <c r="F78" t="str">
        <f>VLOOKUP(NoviaFunds[[#This Row],[Sector]],Sectors[],2,FALSE)</f>
        <v>UK Equities</v>
      </c>
    </row>
    <row r="79" spans="1:6" x14ac:dyDescent="0.2">
      <c r="A79" t="str">
        <f>'Novia Web Query'!A80</f>
        <v>GB0030522683</v>
      </c>
      <c r="B79" t="str">
        <f>VLOOKUP(NoviaFunds[[#This Row],[ISIN]],'Novia Web Query'!$A:$E,2,FALSE)</f>
        <v>Aegon UK Equity B Inc GBP TR in GB**</v>
      </c>
      <c r="C79" t="str">
        <f>VLOOKUP(NoviaFunds[[#This Row],[ISIN]],'Novia Web Query'!$A:$E,3,FALSE)</f>
        <v>UT UK All Companies</v>
      </c>
      <c r="D79" s="139">
        <f>VLOOKUP(NoviaFunds[[#This Row],[ISIN]],'Novia Web Query'!$A:$E,4,FALSE)/100</f>
        <v>6.5000000000000006E-3</v>
      </c>
      <c r="E79" s="3" t="str">
        <f>VLOOKUP(NoviaFunds[[#This Row],[ISIN]],'Novia Web Query'!$A:$E,5,FALSE)</f>
        <v>30/09/2021</v>
      </c>
      <c r="F79" t="str">
        <f>VLOOKUP(NoviaFunds[[#This Row],[Sector]],Sectors[],2,FALSE)</f>
        <v>UK Equities</v>
      </c>
    </row>
    <row r="80" spans="1:6" x14ac:dyDescent="0.2">
      <c r="A80" t="str">
        <f>'Novia Web Query'!A81</f>
        <v>GB00B4ZMYG27</v>
      </c>
      <c r="B80" t="str">
        <f>VLOOKUP(NoviaFunds[[#This Row],[ISIN]],'Novia Web Query'!$A:$E,2,FALSE)</f>
        <v>Aegon UK Equity Income B Inc TR in GB</v>
      </c>
      <c r="C80" t="str">
        <f>VLOOKUP(NoviaFunds[[#This Row],[ISIN]],'Novia Web Query'!$A:$E,3,FALSE)</f>
        <v>UT UK Equity Income</v>
      </c>
      <c r="D80" s="139">
        <f>VLOOKUP(NoviaFunds[[#This Row],[ISIN]],'Novia Web Query'!$A:$E,4,FALSE)/100</f>
        <v>6.8000000000000005E-3</v>
      </c>
      <c r="E80" s="3" t="str">
        <f>VLOOKUP(NoviaFunds[[#This Row],[ISIN]],'Novia Web Query'!$A:$E,5,FALSE)</f>
        <v>30/09/2021</v>
      </c>
      <c r="F80" t="str">
        <f>VLOOKUP(NoviaFunds[[#This Row],[Sector]],Sectors[],2,FALSE)</f>
        <v>UK Equities</v>
      </c>
    </row>
    <row r="81" spans="1:6" x14ac:dyDescent="0.2">
      <c r="A81" t="str">
        <f>'Novia Web Query'!A82</f>
        <v>GB00B1N9DS91</v>
      </c>
      <c r="B81" t="str">
        <f>VLOOKUP(NoviaFunds[[#This Row],[ISIN]],'Novia Web Query'!$A:$E,2,FALSE)</f>
        <v>Aegon UK Opportunities B Acc in GB</v>
      </c>
      <c r="C81" t="str">
        <f>VLOOKUP(NoviaFunds[[#This Row],[ISIN]],'Novia Web Query'!$A:$E,3,FALSE)</f>
        <v>UT UK All Companies</v>
      </c>
      <c r="D81" s="139">
        <f>VLOOKUP(NoviaFunds[[#This Row],[ISIN]],'Novia Web Query'!$A:$E,4,FALSE)/100</f>
        <v>7.9000000000000008E-3</v>
      </c>
      <c r="E81" s="3" t="str">
        <f>VLOOKUP(NoviaFunds[[#This Row],[ISIN]],'Novia Web Query'!$A:$E,5,FALSE)</f>
        <v>30/09/2021</v>
      </c>
      <c r="F81" t="str">
        <f>VLOOKUP(NoviaFunds[[#This Row],[Sector]],Sectors[],2,FALSE)</f>
        <v>UK Equities</v>
      </c>
    </row>
    <row r="82" spans="1:6" x14ac:dyDescent="0.2">
      <c r="A82" t="str">
        <f>'Novia Web Query'!A83</f>
        <v>GB00B142FS18</v>
      </c>
      <c r="B82" t="str">
        <f>VLOOKUP(NoviaFunds[[#This Row],[ISIN]],'Novia Web Query'!$A:$E,2,FALSE)</f>
        <v>Aegon UK Smaller Companies B Acc in GB</v>
      </c>
      <c r="C82" t="str">
        <f>VLOOKUP(NoviaFunds[[#This Row],[ISIN]],'Novia Web Query'!$A:$E,3,FALSE)</f>
        <v>UT UK Smaller Companies</v>
      </c>
      <c r="D82" s="139">
        <f>VLOOKUP(NoviaFunds[[#This Row],[ISIN]],'Novia Web Query'!$A:$E,4,FALSE)/100</f>
        <v>7.8000000000000005E-3</v>
      </c>
      <c r="E82" s="3" t="str">
        <f>VLOOKUP(NoviaFunds[[#This Row],[ISIN]],'Novia Web Query'!$A:$E,5,FALSE)</f>
        <v>30/09/2021</v>
      </c>
      <c r="F82" t="str">
        <f>VLOOKUP(NoviaFunds[[#This Row],[Sector]],Sectors[],2,FALSE)</f>
        <v>UK Equities</v>
      </c>
    </row>
    <row r="83" spans="1:6" x14ac:dyDescent="0.2">
      <c r="A83" t="str">
        <f>'Novia Web Query'!A84</f>
        <v>GB00BYQ91X80</v>
      </c>
      <c r="B83" t="str">
        <f>VLOOKUP(NoviaFunds[[#This Row],[ISIN]],'Novia Web Query'!$A:$E,2,FALSE)</f>
        <v>Allianz Best Styles Global AC Equity C Acc in GB</v>
      </c>
      <c r="C83" t="str">
        <f>VLOOKUP(NoviaFunds[[#This Row],[ISIN]],'Novia Web Query'!$A:$E,3,FALSE)</f>
        <v>UT Global</v>
      </c>
      <c r="D83" s="139">
        <f>VLOOKUP(NoviaFunds[[#This Row],[ISIN]],'Novia Web Query'!$A:$E,4,FALSE)/100</f>
        <v>3.0000000000000001E-3</v>
      </c>
      <c r="E83" s="3" t="str">
        <f>VLOOKUP(NoviaFunds[[#This Row],[ISIN]],'Novia Web Query'!$A:$E,5,FALSE)</f>
        <v>30/04/2020</v>
      </c>
      <c r="F83" t="str">
        <f>VLOOKUP(NoviaFunds[[#This Row],[Sector]],Sectors[],2,FALSE)</f>
        <v>Other Equities</v>
      </c>
    </row>
    <row r="84" spans="1:6" x14ac:dyDescent="0.2">
      <c r="A84" t="str">
        <f>'Novia Web Query'!A85</f>
        <v>GB00BMG9ZZ41</v>
      </c>
      <c r="B84" t="str">
        <f>VLOOKUP(NoviaFunds[[#This Row],[ISIN]],'Novia Web Query'!$A:$E,2,FALSE)</f>
        <v>Allianz China A-Shares Equity W Acc GBP in GB</v>
      </c>
      <c r="C84" t="str">
        <f>VLOOKUP(NoviaFunds[[#This Row],[ISIN]],'Novia Web Query'!$A:$E,3,FALSE)</f>
        <v>UT China/Greater China</v>
      </c>
      <c r="D84" s="139">
        <f>VLOOKUP(NoviaFunds[[#This Row],[ISIN]],'Novia Web Query'!$A:$E,4,FALSE)/100</f>
        <v>9.300000000000001E-3</v>
      </c>
      <c r="E84" s="3" t="str">
        <f>VLOOKUP(NoviaFunds[[#This Row],[ISIN]],'Novia Web Query'!$A:$E,5,FALSE)</f>
        <v>16/07/2020</v>
      </c>
      <c r="F84" t="str">
        <f>VLOOKUP(NoviaFunds[[#This Row],[Sector]],Sectors[],2,FALSE)</f>
        <v>Asia Pacific</v>
      </c>
    </row>
    <row r="85" spans="1:6" x14ac:dyDescent="0.2">
      <c r="A85" t="str">
        <f>'Novia Web Query'!A86</f>
        <v>GB0031382988</v>
      </c>
      <c r="B85" t="str">
        <f>VLOOKUP(NoviaFunds[[#This Row],[ISIN]],'Novia Web Query'!$A:$E,2,FALSE)</f>
        <v>Allianz Continental European A in GB</v>
      </c>
      <c r="C85" t="str">
        <f>VLOOKUP(NoviaFunds[[#This Row],[ISIN]],'Novia Web Query'!$A:$E,3,FALSE)</f>
        <v>UT Europe Excluding UK</v>
      </c>
      <c r="D85" s="139">
        <f>VLOOKUP(NoviaFunds[[#This Row],[ISIN]],'Novia Web Query'!$A:$E,4,FALSE)/100</f>
        <v>1.5700000000000002E-2</v>
      </c>
      <c r="E85" s="3" t="str">
        <f>VLOOKUP(NoviaFunds[[#This Row],[ISIN]],'Novia Web Query'!$A:$E,5,FALSE)</f>
        <v>31/08/2020</v>
      </c>
      <c r="F85" t="str">
        <f>VLOOKUP(NoviaFunds[[#This Row],[Sector]],Sectors[],2,FALSE)</f>
        <v>European Equities</v>
      </c>
    </row>
    <row r="86" spans="1:6" x14ac:dyDescent="0.2">
      <c r="A86" t="str">
        <f>'Novia Web Query'!A87</f>
        <v>GB00B3Q8YX99</v>
      </c>
      <c r="B86" t="str">
        <f>VLOOKUP(NoviaFunds[[#This Row],[ISIN]],'Novia Web Query'!$A:$E,2,FALSE)</f>
        <v>Allianz Continental European C in GB</v>
      </c>
      <c r="C86" t="str">
        <f>VLOOKUP(NoviaFunds[[#This Row],[ISIN]],'Novia Web Query'!$A:$E,3,FALSE)</f>
        <v>UT Europe Excluding UK</v>
      </c>
      <c r="D86" s="139">
        <f>VLOOKUP(NoviaFunds[[#This Row],[ISIN]],'Novia Web Query'!$A:$E,4,FALSE)/100</f>
        <v>7.9000000000000008E-3</v>
      </c>
      <c r="E86" s="3" t="str">
        <f>VLOOKUP(NoviaFunds[[#This Row],[ISIN]],'Novia Web Query'!$A:$E,5,FALSE)</f>
        <v>31/08/2020</v>
      </c>
      <c r="F86" t="str">
        <f>VLOOKUP(NoviaFunds[[#This Row],[Sector]],Sectors[],2,FALSE)</f>
        <v>European Equities</v>
      </c>
    </row>
    <row r="87" spans="1:6" x14ac:dyDescent="0.2">
      <c r="A87" t="str">
        <f>'Novia Web Query'!A88</f>
        <v>GB00BYQ02F07</v>
      </c>
      <c r="B87" t="str">
        <f>VLOOKUP(NoviaFunds[[#This Row],[ISIN]],'Novia Web Query'!$A:$E,2,FALSE)</f>
        <v>Allianz Continental European S in GB**</v>
      </c>
      <c r="C87" t="str">
        <f>VLOOKUP(NoviaFunds[[#This Row],[ISIN]],'Novia Web Query'!$A:$E,3,FALSE)</f>
        <v>UT Europe Excluding UK</v>
      </c>
      <c r="D87" s="139">
        <f>VLOOKUP(NoviaFunds[[#This Row],[ISIN]],'Novia Web Query'!$A:$E,4,FALSE)/100</f>
        <v>4.8999999999999998E-3</v>
      </c>
      <c r="E87" s="3" t="str">
        <f>VLOOKUP(NoviaFunds[[#This Row],[ISIN]],'Novia Web Query'!$A:$E,5,FALSE)</f>
        <v>31/08/2020</v>
      </c>
      <c r="F87" t="str">
        <f>VLOOKUP(NoviaFunds[[#This Row],[Sector]],Sectors[],2,FALSE)</f>
        <v>European Equities</v>
      </c>
    </row>
    <row r="88" spans="1:6" x14ac:dyDescent="0.2">
      <c r="A88" t="str">
        <f>'Novia Web Query'!A89</f>
        <v>GB00B0WDH725</v>
      </c>
      <c r="B88" t="str">
        <f>VLOOKUP(NoviaFunds[[#This Row],[ISIN]],'Novia Web Query'!$A:$E,2,FALSE)</f>
        <v>Allianz Emerging Markets Equity A Acc in GB</v>
      </c>
      <c r="C88" t="str">
        <f>VLOOKUP(NoviaFunds[[#This Row],[ISIN]],'Novia Web Query'!$A:$E,3,FALSE)</f>
        <v>UT Global Emerging Markets</v>
      </c>
      <c r="D88" s="139">
        <f>VLOOKUP(NoviaFunds[[#This Row],[ISIN]],'Novia Web Query'!$A:$E,4,FALSE)/100</f>
        <v>1.83E-2</v>
      </c>
      <c r="E88" s="3" t="str">
        <f>VLOOKUP(NoviaFunds[[#This Row],[ISIN]],'Novia Web Query'!$A:$E,5,FALSE)</f>
        <v>30/04/2020</v>
      </c>
      <c r="F88" t="str">
        <f>VLOOKUP(NoviaFunds[[#This Row],[Sector]],Sectors[],2,FALSE)</f>
        <v>Emerging Markets</v>
      </c>
    </row>
    <row r="89" spans="1:6" x14ac:dyDescent="0.2">
      <c r="A89" t="str">
        <f>'Novia Web Query'!A90</f>
        <v>GB00B0WDH832</v>
      </c>
      <c r="B89" t="str">
        <f>VLOOKUP(NoviaFunds[[#This Row],[ISIN]],'Novia Web Query'!$A:$E,2,FALSE)</f>
        <v>Allianz Emerging Markets Equity C Acc in GB</v>
      </c>
      <c r="C89" t="str">
        <f>VLOOKUP(NoviaFunds[[#This Row],[ISIN]],'Novia Web Query'!$A:$E,3,FALSE)</f>
        <v>UT Global Emerging Markets</v>
      </c>
      <c r="D89" s="139">
        <f>VLOOKUP(NoviaFunds[[#This Row],[ISIN]],'Novia Web Query'!$A:$E,4,FALSE)/100</f>
        <v>9.5999999999999992E-3</v>
      </c>
      <c r="E89" s="3" t="str">
        <f>VLOOKUP(NoviaFunds[[#This Row],[ISIN]],'Novia Web Query'!$A:$E,5,FALSE)</f>
        <v>30/04/2020</v>
      </c>
      <c r="F89" t="str">
        <f>VLOOKUP(NoviaFunds[[#This Row],[Sector]],Sectors[],2,FALSE)</f>
        <v>Emerging Markets</v>
      </c>
    </row>
    <row r="90" spans="1:6" x14ac:dyDescent="0.2">
      <c r="A90" t="str">
        <f>'Novia Web Query'!A91</f>
        <v>GB00BG43NG36</v>
      </c>
      <c r="B90" t="str">
        <f>VLOOKUP(NoviaFunds[[#This Row],[ISIN]],'Novia Web Query'!$A:$E,2,FALSE)</f>
        <v>Allianz Fixed Income Macro E Acc GBP in GB</v>
      </c>
      <c r="C90" t="str">
        <f>VLOOKUP(NoviaFunds[[#This Row],[ISIN]],'Novia Web Query'!$A:$E,3,FALSE)</f>
        <v>UT Targeted Absolute Return</v>
      </c>
      <c r="D90" s="139">
        <f>VLOOKUP(NoviaFunds[[#This Row],[ISIN]],'Novia Web Query'!$A:$E,4,FALSE)/100</f>
        <v>3.4999999999999996E-3</v>
      </c>
      <c r="E90" s="3" t="str">
        <f>VLOOKUP(NoviaFunds[[#This Row],[ISIN]],'Novia Web Query'!$A:$E,5,FALSE)</f>
        <v>23/07/2020</v>
      </c>
      <c r="F90" t="str">
        <f>VLOOKUP(NoviaFunds[[#This Row],[Sector]],Sectors[],2,FALSE)</f>
        <v>Absolute Return</v>
      </c>
    </row>
    <row r="91" spans="1:6" x14ac:dyDescent="0.2">
      <c r="A91" t="str">
        <f>'Novia Web Query'!A92</f>
        <v>GB0031383390</v>
      </c>
      <c r="B91" t="str">
        <f>VLOOKUP(NoviaFunds[[#This Row],[ISIN]],'Novia Web Query'!$A:$E,2,FALSE)</f>
        <v>Allianz Gilt Yield I Inc TR in GB</v>
      </c>
      <c r="C91" t="str">
        <f>VLOOKUP(NoviaFunds[[#This Row],[ISIN]],'Novia Web Query'!$A:$E,3,FALSE)</f>
        <v>UT UK Gilts</v>
      </c>
      <c r="D91" s="139">
        <f>VLOOKUP(NoviaFunds[[#This Row],[ISIN]],'Novia Web Query'!$A:$E,4,FALSE)/100</f>
        <v>3.2000000000000002E-3</v>
      </c>
      <c r="E91" s="3" t="str">
        <f>VLOOKUP(NoviaFunds[[#This Row],[ISIN]],'Novia Web Query'!$A:$E,5,FALSE)</f>
        <v>31/08/2020</v>
      </c>
      <c r="F91" t="str">
        <f>VLOOKUP(NoviaFunds[[#This Row],[Sector]],Sectors[],2,FALSE)</f>
        <v>Gilts</v>
      </c>
    </row>
    <row r="92" spans="1:6" x14ac:dyDescent="0.2">
      <c r="A92" t="str">
        <f>'Novia Web Query'!A93</f>
        <v>GB00BDD4M929</v>
      </c>
      <c r="B92" t="str">
        <f>VLOOKUP(NoviaFunds[[#This Row],[ISIN]],'Novia Web Query'!$A:$E,2,FALSE)</f>
        <v>Allianz Index-Linked Gilt E Inc TR in GB</v>
      </c>
      <c r="C92" t="str">
        <f>VLOOKUP(NoviaFunds[[#This Row],[ISIN]],'Novia Web Query'!$A:$E,3,FALSE)</f>
        <v>UT UK Index Linked Gilts</v>
      </c>
      <c r="D92" s="139">
        <f>VLOOKUP(NoviaFunds[[#This Row],[ISIN]],'Novia Web Query'!$A:$E,4,FALSE)/100</f>
        <v>2E-3</v>
      </c>
      <c r="E92" s="3" t="str">
        <f>VLOOKUP(NoviaFunds[[#This Row],[ISIN]],'Novia Web Query'!$A:$E,5,FALSE)</f>
        <v>31/08/2020</v>
      </c>
      <c r="F92" t="str">
        <f>VLOOKUP(NoviaFunds[[#This Row],[Sector]],Sectors[],2,FALSE)</f>
        <v>UK Index Linked Gilts</v>
      </c>
    </row>
    <row r="93" spans="1:6" x14ac:dyDescent="0.2">
      <c r="A93" t="str">
        <f>'Novia Web Query'!A94</f>
        <v>GB00BDD4M697</v>
      </c>
      <c r="B93" t="str">
        <f>VLOOKUP(NoviaFunds[[#This Row],[ISIN]],'Novia Web Query'!$A:$E,2,FALSE)</f>
        <v>Allianz Index-Linked Gilt W Acc in GB</v>
      </c>
      <c r="C93" t="str">
        <f>VLOOKUP(NoviaFunds[[#This Row],[ISIN]],'Novia Web Query'!$A:$E,3,FALSE)</f>
        <v>UT UK Index Linked Gilts</v>
      </c>
      <c r="D93" s="139">
        <f>VLOOKUP(NoviaFunds[[#This Row],[ISIN]],'Novia Web Query'!$A:$E,4,FALSE)/100</f>
        <v>3.0000000000000001E-3</v>
      </c>
      <c r="E93" s="3" t="str">
        <f>VLOOKUP(NoviaFunds[[#This Row],[ISIN]],'Novia Web Query'!$A:$E,5,FALSE)</f>
        <v>31/08/2020</v>
      </c>
      <c r="F93" t="str">
        <f>VLOOKUP(NoviaFunds[[#This Row],[Sector]],Sectors[],2,FALSE)</f>
        <v>UK Index Linked Gilts</v>
      </c>
    </row>
    <row r="94" spans="1:6" x14ac:dyDescent="0.2">
      <c r="A94" t="str">
        <f>'Novia Web Query'!A95</f>
        <v>GB00BDD4M705</v>
      </c>
      <c r="B94" t="str">
        <f>VLOOKUP(NoviaFunds[[#This Row],[ISIN]],'Novia Web Query'!$A:$E,2,FALSE)</f>
        <v>Allianz Index-Linked Gilt W Inc TR in GB</v>
      </c>
      <c r="C94" t="str">
        <f>VLOOKUP(NoviaFunds[[#This Row],[ISIN]],'Novia Web Query'!$A:$E,3,FALSE)</f>
        <v>UT UK Index Linked Gilts</v>
      </c>
      <c r="D94" s="139">
        <f>VLOOKUP(NoviaFunds[[#This Row],[ISIN]],'Novia Web Query'!$A:$E,4,FALSE)/100</f>
        <v>3.0000000000000001E-3</v>
      </c>
      <c r="E94" s="3" t="str">
        <f>VLOOKUP(NoviaFunds[[#This Row],[ISIN]],'Novia Web Query'!$A:$E,5,FALSE)</f>
        <v>31/08/2020</v>
      </c>
      <c r="F94" t="str">
        <f>VLOOKUP(NoviaFunds[[#This Row],[Sector]],Sectors[],2,FALSE)</f>
        <v>UK Index Linked Gilts</v>
      </c>
    </row>
    <row r="95" spans="1:6" x14ac:dyDescent="0.2">
      <c r="A95" t="str">
        <f>'Novia Web Query'!A96</f>
        <v>GB00B7V78Q03</v>
      </c>
      <c r="B95" t="str">
        <f>VLOOKUP(NoviaFunds[[#This Row],[ISIN]],'Novia Web Query'!$A:$E,2,FALSE)</f>
        <v>Allianz RiskMaster Conservative Multi Asset C in GB</v>
      </c>
      <c r="C95" t="str">
        <f>VLOOKUP(NoviaFunds[[#This Row],[ISIN]],'Novia Web Query'!$A:$E,3,FALSE)</f>
        <v>UT Volatility Managed</v>
      </c>
      <c r="D95" s="139">
        <f>VLOOKUP(NoviaFunds[[#This Row],[ISIN]],'Novia Web Query'!$A:$E,4,FALSE)/100</f>
        <v>9.8999999999999991E-3</v>
      </c>
      <c r="E95" s="3" t="str">
        <f>VLOOKUP(NoviaFunds[[#This Row],[ISIN]],'Novia Web Query'!$A:$E,5,FALSE)</f>
        <v>30/04/2020</v>
      </c>
      <c r="F95" t="e">
        <f>VLOOKUP(NoviaFunds[[#This Row],[Sector]],Sectors[],2,FALSE)</f>
        <v>#N/A</v>
      </c>
    </row>
    <row r="96" spans="1:6" x14ac:dyDescent="0.2">
      <c r="A96" t="str">
        <f>'Novia Web Query'!A97</f>
        <v>GB00B7V79R84</v>
      </c>
      <c r="B96" t="str">
        <f>VLOOKUP(NoviaFunds[[#This Row],[ISIN]],'Novia Web Query'!$A:$E,2,FALSE)</f>
        <v>Allianz RiskMaster Growth Multi Asset C in GB</v>
      </c>
      <c r="C96" t="str">
        <f>VLOOKUP(NoviaFunds[[#This Row],[ISIN]],'Novia Web Query'!$A:$E,3,FALSE)</f>
        <v>UT Volatility Managed</v>
      </c>
      <c r="D96" s="139">
        <f>VLOOKUP(NoviaFunds[[#This Row],[ISIN]],'Novia Web Query'!$A:$E,4,FALSE)/100</f>
        <v>9.8999999999999991E-3</v>
      </c>
      <c r="E96" s="3" t="str">
        <f>VLOOKUP(NoviaFunds[[#This Row],[ISIN]],'Novia Web Query'!$A:$E,5,FALSE)</f>
        <v>30/04/2020</v>
      </c>
      <c r="F96" t="e">
        <f>VLOOKUP(NoviaFunds[[#This Row],[Sector]],Sectors[],2,FALSE)</f>
        <v>#N/A</v>
      </c>
    </row>
    <row r="97" spans="1:6" x14ac:dyDescent="0.2">
      <c r="A97" t="str">
        <f>'Novia Web Query'!A98</f>
        <v>GB00B7V78Y86</v>
      </c>
      <c r="B97" t="str">
        <f>VLOOKUP(NoviaFunds[[#This Row],[ISIN]],'Novia Web Query'!$A:$E,2,FALSE)</f>
        <v>Allianz RiskMaster Moderate Multi Asset C in GB</v>
      </c>
      <c r="C97" t="str">
        <f>VLOOKUP(NoviaFunds[[#This Row],[ISIN]],'Novia Web Query'!$A:$E,3,FALSE)</f>
        <v>UT Volatility Managed</v>
      </c>
      <c r="D97" s="139">
        <f>VLOOKUP(NoviaFunds[[#This Row],[ISIN]],'Novia Web Query'!$A:$E,4,FALSE)/100</f>
        <v>9.7999999999999997E-3</v>
      </c>
      <c r="E97" s="3" t="str">
        <f>VLOOKUP(NoviaFunds[[#This Row],[ISIN]],'Novia Web Query'!$A:$E,5,FALSE)</f>
        <v>30/04/2020</v>
      </c>
      <c r="F97" t="e">
        <f>VLOOKUP(NoviaFunds[[#This Row],[Sector]],Sectors[],2,FALSE)</f>
        <v>#N/A</v>
      </c>
    </row>
    <row r="98" spans="1:6" x14ac:dyDescent="0.2">
      <c r="A98" t="str">
        <f>'Novia Web Query'!A99</f>
        <v>GB0031383408</v>
      </c>
      <c r="B98" t="str">
        <f>VLOOKUP(NoviaFunds[[#This Row],[ISIN]],'Novia Web Query'!$A:$E,2,FALSE)</f>
        <v>Allianz Strategic Bond A TR in GB</v>
      </c>
      <c r="C98" t="str">
        <f>VLOOKUP(NoviaFunds[[#This Row],[ISIN]],'Novia Web Query'!$A:$E,3,FALSE)</f>
        <v>UT Sterling Strategic Bond</v>
      </c>
      <c r="D98" s="139">
        <f>VLOOKUP(NoviaFunds[[#This Row],[ISIN]],'Novia Web Query'!$A:$E,4,FALSE)/100</f>
        <v>1.29E-2</v>
      </c>
      <c r="E98" s="3" t="str">
        <f>VLOOKUP(NoviaFunds[[#This Row],[ISIN]],'Novia Web Query'!$A:$E,5,FALSE)</f>
        <v>31/08/2020</v>
      </c>
      <c r="F98" t="str">
        <f>VLOOKUP(NoviaFunds[[#This Row],[Sector]],Sectors[],2,FALSE)</f>
        <v>Other Bonds</v>
      </c>
    </row>
    <row r="99" spans="1:6" x14ac:dyDescent="0.2">
      <c r="A99" t="str">
        <f>'Novia Web Query'!A100</f>
        <v>GB00B06T9362</v>
      </c>
      <c r="B99" t="str">
        <f>VLOOKUP(NoviaFunds[[#This Row],[ISIN]],'Novia Web Query'!$A:$E,2,FALSE)</f>
        <v>Allianz Strategic Bond C TR in GB</v>
      </c>
      <c r="C99" t="str">
        <f>VLOOKUP(NoviaFunds[[#This Row],[ISIN]],'Novia Web Query'!$A:$E,3,FALSE)</f>
        <v>UT Sterling Strategic Bond</v>
      </c>
      <c r="D99" s="139">
        <f>VLOOKUP(NoviaFunds[[#This Row],[ISIN]],'Novia Web Query'!$A:$E,4,FALSE)/100</f>
        <v>6.3E-3</v>
      </c>
      <c r="E99" s="3" t="str">
        <f>VLOOKUP(NoviaFunds[[#This Row],[ISIN]],'Novia Web Query'!$A:$E,5,FALSE)</f>
        <v>31/08/2020</v>
      </c>
      <c r="F99" t="str">
        <f>VLOOKUP(NoviaFunds[[#This Row],[Sector]],Sectors[],2,FALSE)</f>
        <v>Other Bonds</v>
      </c>
    </row>
    <row r="100" spans="1:6" x14ac:dyDescent="0.2">
      <c r="A100" t="str">
        <f>'Novia Web Query'!A101</f>
        <v>GB00BJ1DZT42</v>
      </c>
      <c r="B100" t="str">
        <f>VLOOKUP(NoviaFunds[[#This Row],[ISIN]],'Novia Web Query'!$A:$E,2,FALSE)</f>
        <v>Allianz Strategic Bond I Acc TR in GB**</v>
      </c>
      <c r="C100" t="str">
        <f>VLOOKUP(NoviaFunds[[#This Row],[ISIN]],'Novia Web Query'!$A:$E,3,FALSE)</f>
        <v>UT Sterling Strategic Bond</v>
      </c>
      <c r="D100" s="139">
        <f>VLOOKUP(NoviaFunds[[#This Row],[ISIN]],'Novia Web Query'!$A:$E,4,FALSE)/100</f>
        <v>4.1999999999999997E-3</v>
      </c>
      <c r="E100" s="3" t="str">
        <f>VLOOKUP(NoviaFunds[[#This Row],[ISIN]],'Novia Web Query'!$A:$E,5,FALSE)</f>
        <v>31/08/2020</v>
      </c>
      <c r="F100" t="str">
        <f>VLOOKUP(NoviaFunds[[#This Row],[Sector]],Sectors[],2,FALSE)</f>
        <v>Other Bonds</v>
      </c>
    </row>
    <row r="101" spans="1:6" x14ac:dyDescent="0.2">
      <c r="A101" t="str">
        <f>'Novia Web Query'!A102</f>
        <v>GB00BYT2QW81</v>
      </c>
      <c r="B101" t="str">
        <f>VLOOKUP(NoviaFunds[[#This Row],[ISIN]],'Novia Web Query'!$A:$E,2,FALSE)</f>
        <v>Allianz Strategic Bond I Inc TR in GB**</v>
      </c>
      <c r="C101" t="str">
        <f>VLOOKUP(NoviaFunds[[#This Row],[ISIN]],'Novia Web Query'!$A:$E,3,FALSE)</f>
        <v>UT Sterling Strategic Bond</v>
      </c>
      <c r="D101" s="139">
        <f>VLOOKUP(NoviaFunds[[#This Row],[ISIN]],'Novia Web Query'!$A:$E,4,FALSE)/100</f>
        <v>4.1999999999999997E-3</v>
      </c>
      <c r="E101" s="3" t="str">
        <f>VLOOKUP(NoviaFunds[[#This Row],[ISIN]],'Novia Web Query'!$A:$E,5,FALSE)</f>
        <v>31/08/2020</v>
      </c>
      <c r="F101" t="str">
        <f>VLOOKUP(NoviaFunds[[#This Row],[Sector]],Sectors[],2,FALSE)</f>
        <v>Other Bonds</v>
      </c>
    </row>
    <row r="102" spans="1:6" x14ac:dyDescent="0.2">
      <c r="A102" t="str">
        <f>'Novia Web Query'!A103</f>
        <v>GB0031384257</v>
      </c>
      <c r="B102" t="str">
        <f>VLOOKUP(NoviaFunds[[#This Row],[ISIN]],'Novia Web Query'!$A:$E,2,FALSE)</f>
        <v>Allianz Total Return Asian Equity A in GB</v>
      </c>
      <c r="C102" t="str">
        <f>VLOOKUP(NoviaFunds[[#This Row],[ISIN]],'Novia Web Query'!$A:$E,3,FALSE)</f>
        <v>UT Asia Pacific Excluding Japan</v>
      </c>
      <c r="D102" s="139">
        <f>VLOOKUP(NoviaFunds[[#This Row],[ISIN]],'Novia Web Query'!$A:$E,4,FALSE)/100</f>
        <v>1.7299999999999999E-2</v>
      </c>
      <c r="E102" s="3" t="str">
        <f>VLOOKUP(NoviaFunds[[#This Row],[ISIN]],'Novia Web Query'!$A:$E,5,FALSE)</f>
        <v>01/02/2020</v>
      </c>
      <c r="F102" t="str">
        <f>VLOOKUP(NoviaFunds[[#This Row],[Sector]],Sectors[],2,FALSE)</f>
        <v>Asia Pacific</v>
      </c>
    </row>
    <row r="103" spans="1:6" x14ac:dyDescent="0.2">
      <c r="A103" t="str">
        <f>'Novia Web Query'!A104</f>
        <v>GB00B1FRQV53</v>
      </c>
      <c r="B103" t="str">
        <f>VLOOKUP(NoviaFunds[[#This Row],[ISIN]],'Novia Web Query'!$A:$E,2,FALSE)</f>
        <v>Allianz Total Return Asian Equity C TR in GB</v>
      </c>
      <c r="C103" t="str">
        <f>VLOOKUP(NoviaFunds[[#This Row],[ISIN]],'Novia Web Query'!$A:$E,3,FALSE)</f>
        <v>UT Asia Pacific Excluding Japan</v>
      </c>
      <c r="D103" s="139">
        <f>VLOOKUP(NoviaFunds[[#This Row],[ISIN]],'Novia Web Query'!$A:$E,4,FALSE)/100</f>
        <v>1.01E-2</v>
      </c>
      <c r="E103" s="3" t="str">
        <f>VLOOKUP(NoviaFunds[[#This Row],[ISIN]],'Novia Web Query'!$A:$E,5,FALSE)</f>
        <v>30/04/2020</v>
      </c>
      <c r="F103" t="str">
        <f>VLOOKUP(NoviaFunds[[#This Row],[Sector]],Sectors[],2,FALSE)</f>
        <v>Asia Pacific</v>
      </c>
    </row>
    <row r="104" spans="1:6" x14ac:dyDescent="0.2">
      <c r="A104" t="str">
        <f>'Novia Web Query'!A105</f>
        <v>GB00BVYJ2G95</v>
      </c>
      <c r="B104" t="str">
        <f>VLOOKUP(NoviaFunds[[#This Row],[ISIN]],'Novia Web Query'!$A:$E,2,FALSE)</f>
        <v>Allianz Total Return Asian Equity C Acc TR in GB**</v>
      </c>
      <c r="C104" t="str">
        <f>VLOOKUP(NoviaFunds[[#This Row],[ISIN]],'Novia Web Query'!$A:$E,3,FALSE)</f>
        <v>UT Asia Pacific Excluding Japan</v>
      </c>
      <c r="D104" s="139">
        <f>VLOOKUP(NoviaFunds[[#This Row],[ISIN]],'Novia Web Query'!$A:$E,4,FALSE)/100</f>
        <v>1.06E-2</v>
      </c>
      <c r="E104" s="3" t="str">
        <f>VLOOKUP(NoviaFunds[[#This Row],[ISIN]],'Novia Web Query'!$A:$E,5,FALSE)</f>
        <v>30/04/2020</v>
      </c>
      <c r="F104" t="str">
        <f>VLOOKUP(NoviaFunds[[#This Row],[Sector]],Sectors[],2,FALSE)</f>
        <v>Asia Pacific</v>
      </c>
    </row>
    <row r="105" spans="1:6" x14ac:dyDescent="0.2">
      <c r="A105" t="str">
        <f>'Novia Web Query'!A106</f>
        <v>GB0031383952</v>
      </c>
      <c r="B105" t="str">
        <f>VLOOKUP(NoviaFunds[[#This Row],[ISIN]],'Novia Web Query'!$A:$E,2,FALSE)</f>
        <v>Allianz UK Listed Equity Income A TR in GB</v>
      </c>
      <c r="C105" t="str">
        <f>VLOOKUP(NoviaFunds[[#This Row],[ISIN]],'Novia Web Query'!$A:$E,3,FALSE)</f>
        <v>UT UK Equity Income</v>
      </c>
      <c r="D105" s="139">
        <f>VLOOKUP(NoviaFunds[[#This Row],[ISIN]],'Novia Web Query'!$A:$E,4,FALSE)/100</f>
        <v>1.37E-2</v>
      </c>
      <c r="E105" s="3" t="str">
        <f>VLOOKUP(NoviaFunds[[#This Row],[ISIN]],'Novia Web Query'!$A:$E,5,FALSE)</f>
        <v>31/08/2020</v>
      </c>
      <c r="F105" t="str">
        <f>VLOOKUP(NoviaFunds[[#This Row],[Sector]],Sectors[],2,FALSE)</f>
        <v>UK Equities</v>
      </c>
    </row>
    <row r="106" spans="1:6" x14ac:dyDescent="0.2">
      <c r="A106" t="str">
        <f>'Novia Web Query'!A107</f>
        <v>GB00B82ZGC20</v>
      </c>
      <c r="B106" t="str">
        <f>VLOOKUP(NoviaFunds[[#This Row],[ISIN]],'Novia Web Query'!$A:$E,2,FALSE)</f>
        <v>Allianz UK Listed Equity Income C Inc TR in GB</v>
      </c>
      <c r="C106" t="str">
        <f>VLOOKUP(NoviaFunds[[#This Row],[ISIN]],'Novia Web Query'!$A:$E,3,FALSE)</f>
        <v>UT UK Equity Income</v>
      </c>
      <c r="D106" s="139">
        <f>VLOOKUP(NoviaFunds[[#This Row],[ISIN]],'Novia Web Query'!$A:$E,4,FALSE)/100</f>
        <v>6.5000000000000006E-3</v>
      </c>
      <c r="E106" s="3" t="str">
        <f>VLOOKUP(NoviaFunds[[#This Row],[ISIN]],'Novia Web Query'!$A:$E,5,FALSE)</f>
        <v>07/05/2021</v>
      </c>
      <c r="F106" t="str">
        <f>VLOOKUP(NoviaFunds[[#This Row],[Sector]],Sectors[],2,FALSE)</f>
        <v>UK Equities</v>
      </c>
    </row>
    <row r="107" spans="1:6" x14ac:dyDescent="0.2">
      <c r="A107" t="str">
        <f>'Novia Web Query'!A108</f>
        <v>GB0031383515</v>
      </c>
      <c r="B107" t="str">
        <f>VLOOKUP(NoviaFunds[[#This Row],[ISIN]],'Novia Web Query'!$A:$E,2,FALSE)</f>
        <v>Allianz UK Listed Opportunities A in GB</v>
      </c>
      <c r="C107" t="str">
        <f>VLOOKUP(NoviaFunds[[#This Row],[ISIN]],'Novia Web Query'!$A:$E,3,FALSE)</f>
        <v>UT UK All Companies</v>
      </c>
      <c r="D107" s="139">
        <f>VLOOKUP(NoviaFunds[[#This Row],[ISIN]],'Novia Web Query'!$A:$E,4,FALSE)/100</f>
        <v>1.3500000000000002E-2</v>
      </c>
      <c r="E107" s="3" t="str">
        <f>VLOOKUP(NoviaFunds[[#This Row],[ISIN]],'Novia Web Query'!$A:$E,5,FALSE)</f>
        <v>31/08/2020</v>
      </c>
      <c r="F107" t="str">
        <f>VLOOKUP(NoviaFunds[[#This Row],[Sector]],Sectors[],2,FALSE)</f>
        <v>UK Equities</v>
      </c>
    </row>
    <row r="108" spans="1:6" x14ac:dyDescent="0.2">
      <c r="A108" t="str">
        <f>'Novia Web Query'!A109</f>
        <v>GB00B8BB9445</v>
      </c>
      <c r="B108" t="str">
        <f>VLOOKUP(NoviaFunds[[#This Row],[ISIN]],'Novia Web Query'!$A:$E,2,FALSE)</f>
        <v>Allianz UK Listed Opportunities C in GB</v>
      </c>
      <c r="C108" t="str">
        <f>VLOOKUP(NoviaFunds[[#This Row],[ISIN]],'Novia Web Query'!$A:$E,3,FALSE)</f>
        <v>UT UK All Companies</v>
      </c>
      <c r="D108" s="139">
        <f>VLOOKUP(NoviaFunds[[#This Row],[ISIN]],'Novia Web Query'!$A:$E,4,FALSE)/100</f>
        <v>8.3999999999999995E-3</v>
      </c>
      <c r="E108" s="3" t="str">
        <f>VLOOKUP(NoviaFunds[[#This Row],[ISIN]],'Novia Web Query'!$A:$E,5,FALSE)</f>
        <v>31/08/2020</v>
      </c>
      <c r="F108" t="str">
        <f>VLOOKUP(NoviaFunds[[#This Row],[Sector]],Sectors[],2,FALSE)</f>
        <v>UK Equities</v>
      </c>
    </row>
    <row r="109" spans="1:6" x14ac:dyDescent="0.2">
      <c r="A109" t="str">
        <f>'Novia Web Query'!A110</f>
        <v>GB00BF13KT15</v>
      </c>
      <c r="B109" t="str">
        <f>VLOOKUP(NoviaFunds[[#This Row],[ISIN]],'Novia Web Query'!$A:$E,2,FALSE)</f>
        <v>Allianz UK Listed Opportunities I Acc in GB**</v>
      </c>
      <c r="C109" t="str">
        <f>VLOOKUP(NoviaFunds[[#This Row],[ISIN]],'Novia Web Query'!$A:$E,3,FALSE)</f>
        <v>UT UK All Companies</v>
      </c>
      <c r="D109" s="139">
        <f>VLOOKUP(NoviaFunds[[#This Row],[ISIN]],'Novia Web Query'!$A:$E,4,FALSE)/100</f>
        <v>5.4000000000000003E-3</v>
      </c>
      <c r="E109" s="3" t="str">
        <f>VLOOKUP(NoviaFunds[[#This Row],[ISIN]],'Novia Web Query'!$A:$E,5,FALSE)</f>
        <v>31/08/2020</v>
      </c>
      <c r="F109" t="str">
        <f>VLOOKUP(NoviaFunds[[#This Row],[Sector]],Sectors[],2,FALSE)</f>
        <v>UK Equities</v>
      </c>
    </row>
    <row r="110" spans="1:6" x14ac:dyDescent="0.2">
      <c r="A110" t="str">
        <f>'Novia Web Query'!A111</f>
        <v>GB0031383622</v>
      </c>
      <c r="B110" t="str">
        <f>VLOOKUP(NoviaFunds[[#This Row],[ISIN]],'Novia Web Query'!$A:$E,2,FALSE)</f>
        <v>Allianz UK Mid Cap A in GB</v>
      </c>
      <c r="C110" t="str">
        <f>VLOOKUP(NoviaFunds[[#This Row],[ISIN]],'Novia Web Query'!$A:$E,3,FALSE)</f>
        <v>UT UK All Companies</v>
      </c>
      <c r="D110" s="139">
        <f>VLOOKUP(NoviaFunds[[#This Row],[ISIN]],'Novia Web Query'!$A:$E,4,FALSE)/100</f>
        <v>1.6299999999999999E-2</v>
      </c>
      <c r="E110" s="3" t="str">
        <f>VLOOKUP(NoviaFunds[[#This Row],[ISIN]],'Novia Web Query'!$A:$E,5,FALSE)</f>
        <v>31/08/2020</v>
      </c>
      <c r="F110" t="str">
        <f>VLOOKUP(NoviaFunds[[#This Row],[Sector]],Sectors[],2,FALSE)</f>
        <v>UK Equities</v>
      </c>
    </row>
    <row r="111" spans="1:6" x14ac:dyDescent="0.2">
      <c r="A111" t="str">
        <f>'Novia Web Query'!A112</f>
        <v>GB00B83YTF22</v>
      </c>
      <c r="B111" t="str">
        <f>VLOOKUP(NoviaFunds[[#This Row],[ISIN]],'Novia Web Query'!$A:$E,2,FALSE)</f>
        <v>Allianz UK Mid Cap C in GB</v>
      </c>
      <c r="C111" t="str">
        <f>VLOOKUP(NoviaFunds[[#This Row],[ISIN]],'Novia Web Query'!$A:$E,3,FALSE)</f>
        <v>UT UK All Companies</v>
      </c>
      <c r="D111" s="139">
        <f>VLOOKUP(NoviaFunds[[#This Row],[ISIN]],'Novia Web Query'!$A:$E,4,FALSE)/100</f>
        <v>8.1000000000000013E-3</v>
      </c>
      <c r="E111" s="3" t="str">
        <f>VLOOKUP(NoviaFunds[[#This Row],[ISIN]],'Novia Web Query'!$A:$E,5,FALSE)</f>
        <v>31/08/2020</v>
      </c>
      <c r="F111" t="str">
        <f>VLOOKUP(NoviaFunds[[#This Row],[Sector]],Sectors[],2,FALSE)</f>
        <v>UK Equities</v>
      </c>
    </row>
    <row r="112" spans="1:6" x14ac:dyDescent="0.2">
      <c r="A112" t="str">
        <f>'Novia Web Query'!A113</f>
        <v>GB00B4N1GS74</v>
      </c>
      <c r="B112" t="str">
        <f>VLOOKUP(NoviaFunds[[#This Row],[ISIN]],'Novia Web Query'!$A:$E,2,FALSE)</f>
        <v>Allianz US Equity C Acc in GB</v>
      </c>
      <c r="C112" t="str">
        <f>VLOOKUP(NoviaFunds[[#This Row],[ISIN]],'Novia Web Query'!$A:$E,3,FALSE)</f>
        <v>UT North America</v>
      </c>
      <c r="D112" s="139">
        <f>VLOOKUP(NoviaFunds[[#This Row],[ISIN]],'Novia Web Query'!$A:$E,4,FALSE)/100</f>
        <v>8.5000000000000006E-3</v>
      </c>
      <c r="E112" s="3" t="str">
        <f>VLOOKUP(NoviaFunds[[#This Row],[ISIN]],'Novia Web Query'!$A:$E,5,FALSE)</f>
        <v>30/04/2020</v>
      </c>
      <c r="F112" t="str">
        <f>VLOOKUP(NoviaFunds[[#This Row],[Sector]],Sectors[],2,FALSE)</f>
        <v>USA Equities</v>
      </c>
    </row>
    <row r="113" spans="1:6" x14ac:dyDescent="0.2">
      <c r="A113" t="str">
        <f>'Novia Web Query'!A114</f>
        <v>GB00BFZ91X66</v>
      </c>
      <c r="B113" t="str">
        <f>VLOOKUP(NoviaFunds[[#This Row],[ISIN]],'Novia Web Query'!$A:$E,2,FALSE)</f>
        <v>Artemis Corporate Bond F Acc GBP in GB</v>
      </c>
      <c r="C113" t="str">
        <f>VLOOKUP(NoviaFunds[[#This Row],[ISIN]],'Novia Web Query'!$A:$E,3,FALSE)</f>
        <v>UT Sterling Corporate Bond</v>
      </c>
      <c r="D113" s="139">
        <f>VLOOKUP(NoviaFunds[[#This Row],[ISIN]],'Novia Web Query'!$A:$E,4,FALSE)/100</f>
        <v>3.0000000000000001E-3</v>
      </c>
      <c r="E113" s="3" t="str">
        <f>VLOOKUP(NoviaFunds[[#This Row],[ISIN]],'Novia Web Query'!$A:$E,5,FALSE)</f>
        <v>31/07/2020</v>
      </c>
      <c r="F113" t="str">
        <f>VLOOKUP(NoviaFunds[[#This Row],[Sector]],Sectors[],2,FALSE)</f>
        <v>Sterling Corporate Bonds</v>
      </c>
    </row>
    <row r="114" spans="1:6" x14ac:dyDescent="0.2">
      <c r="A114" t="str">
        <f>'Novia Web Query'!A115</f>
        <v>GB00BKPWGW41</v>
      </c>
      <c r="B114" t="str">
        <f>VLOOKUP(NoviaFunds[[#This Row],[ISIN]],'Novia Web Query'!$A:$E,2,FALSE)</f>
        <v>Artemis Corporate Bond F Inc GBP TR in GB</v>
      </c>
      <c r="C114" t="str">
        <f>VLOOKUP(NoviaFunds[[#This Row],[ISIN]],'Novia Web Query'!$A:$E,3,FALSE)</f>
        <v>UT Sterling Corporate Bond</v>
      </c>
      <c r="D114" s="139">
        <f>VLOOKUP(NoviaFunds[[#This Row],[ISIN]],'Novia Web Query'!$A:$E,4,FALSE)/100</f>
        <v>3.0000000000000001E-3</v>
      </c>
      <c r="E114" s="3" t="str">
        <f>VLOOKUP(NoviaFunds[[#This Row],[ISIN]],'Novia Web Query'!$A:$E,5,FALSE)</f>
        <v>31/07/2020</v>
      </c>
      <c r="F114" t="str">
        <f>VLOOKUP(NoviaFunds[[#This Row],[Sector]],Sectors[],2,FALSE)</f>
        <v>Sterling Corporate Bonds</v>
      </c>
    </row>
    <row r="115" spans="1:6" x14ac:dyDescent="0.2">
      <c r="A115" t="str">
        <f>'Novia Web Query'!A116</f>
        <v>GB00BFZ91W59</v>
      </c>
      <c r="B115" t="str">
        <f>VLOOKUP(NoviaFunds[[#This Row],[ISIN]],'Novia Web Query'!$A:$E,2,FALSE)</f>
        <v>Artemis Corporate Bond I Acc GBP in GB</v>
      </c>
      <c r="C115" t="str">
        <f>VLOOKUP(NoviaFunds[[#This Row],[ISIN]],'Novia Web Query'!$A:$E,3,FALSE)</f>
        <v>UT Sterling Corporate Bond</v>
      </c>
      <c r="D115" s="139">
        <f>VLOOKUP(NoviaFunds[[#This Row],[ISIN]],'Novia Web Query'!$A:$E,4,FALSE)/100</f>
        <v>3.9000000000000003E-3</v>
      </c>
      <c r="E115" s="3" t="str">
        <f>VLOOKUP(NoviaFunds[[#This Row],[ISIN]],'Novia Web Query'!$A:$E,5,FALSE)</f>
        <v>08/02/2021</v>
      </c>
      <c r="F115" t="str">
        <f>VLOOKUP(NoviaFunds[[#This Row],[Sector]],Sectors[],2,FALSE)</f>
        <v>Sterling Corporate Bonds</v>
      </c>
    </row>
    <row r="116" spans="1:6" x14ac:dyDescent="0.2">
      <c r="A116" t="str">
        <f>'Novia Web Query'!A117</f>
        <v>GB00BKPWGV34</v>
      </c>
      <c r="B116" t="str">
        <f>VLOOKUP(NoviaFunds[[#This Row],[ISIN]],'Novia Web Query'!$A:$E,2,FALSE)</f>
        <v>Artemis Corporate Bond I Inc GBP TR in GB</v>
      </c>
      <c r="C116" t="str">
        <f>VLOOKUP(NoviaFunds[[#This Row],[ISIN]],'Novia Web Query'!$A:$E,3,FALSE)</f>
        <v>UT Sterling Corporate Bond</v>
      </c>
      <c r="D116" s="139">
        <f>VLOOKUP(NoviaFunds[[#This Row],[ISIN]],'Novia Web Query'!$A:$E,4,FALSE)/100</f>
        <v>3.9000000000000003E-3</v>
      </c>
      <c r="E116" s="3" t="str">
        <f>VLOOKUP(NoviaFunds[[#This Row],[ISIN]],'Novia Web Query'!$A:$E,5,FALSE)</f>
        <v>08/02/2021</v>
      </c>
      <c r="F116" t="str">
        <f>VLOOKUP(NoviaFunds[[#This Row],[Sector]],Sectors[],2,FALSE)</f>
        <v>Sterling Corporate Bonds</v>
      </c>
    </row>
    <row r="117" spans="1:6" x14ac:dyDescent="0.2">
      <c r="A117" t="str">
        <f>'Novia Web Query'!A118</f>
        <v>GB00B6WFCR53</v>
      </c>
      <c r="B117" t="str">
        <f>VLOOKUP(NoviaFunds[[#This Row],[ISIN]],'Novia Web Query'!$A:$E,2,FALSE)</f>
        <v>Artemis European Opportunities I Acc in GB</v>
      </c>
      <c r="C117" t="str">
        <f>VLOOKUP(NoviaFunds[[#This Row],[ISIN]],'Novia Web Query'!$A:$E,3,FALSE)</f>
        <v>UT Europe Excluding UK</v>
      </c>
      <c r="D117" s="139">
        <f>VLOOKUP(NoviaFunds[[#This Row],[ISIN]],'Novia Web Query'!$A:$E,4,FALSE)/100</f>
        <v>8.6999999999999994E-3</v>
      </c>
      <c r="E117" s="3" t="str">
        <f>VLOOKUP(NoviaFunds[[#This Row],[ISIN]],'Novia Web Query'!$A:$E,5,FALSE)</f>
        <v>08/02/2021</v>
      </c>
      <c r="F117" t="str">
        <f>VLOOKUP(NoviaFunds[[#This Row],[Sector]],Sectors[],2,FALSE)</f>
        <v>European Equities</v>
      </c>
    </row>
    <row r="118" spans="1:6" x14ac:dyDescent="0.2">
      <c r="A118" t="str">
        <f>'Novia Web Query'!A119</f>
        <v>GB00B6WFCS60</v>
      </c>
      <c r="B118" t="str">
        <f>VLOOKUP(NoviaFunds[[#This Row],[ISIN]],'Novia Web Query'!$A:$E,2,FALSE)</f>
        <v>Artemis European Opportunities I Hedged Acc in GB</v>
      </c>
      <c r="C118" t="str">
        <f>VLOOKUP(NoviaFunds[[#This Row],[ISIN]],'Novia Web Query'!$A:$E,3,FALSE)</f>
        <v>UT Europe Excluding UK</v>
      </c>
      <c r="D118" s="139">
        <f>VLOOKUP(NoviaFunds[[#This Row],[ISIN]],'Novia Web Query'!$A:$E,4,FALSE)/100</f>
        <v>8.6999999999999994E-3</v>
      </c>
      <c r="E118" s="3" t="str">
        <f>VLOOKUP(NoviaFunds[[#This Row],[ISIN]],'Novia Web Query'!$A:$E,5,FALSE)</f>
        <v>08/02/2021</v>
      </c>
      <c r="F118" t="str">
        <f>VLOOKUP(NoviaFunds[[#This Row],[Sector]],Sectors[],2,FALSE)</f>
        <v>European Equities</v>
      </c>
    </row>
    <row r="119" spans="1:6" x14ac:dyDescent="0.2">
      <c r="A119" t="str">
        <f>'Novia Web Query'!A120</f>
        <v>GB00B6WFCV99</v>
      </c>
      <c r="B119" t="str">
        <f>VLOOKUP(NoviaFunds[[#This Row],[ISIN]],'Novia Web Query'!$A:$E,2,FALSE)</f>
        <v>Artemis European Opportunities I Hedged Inc TR in GB</v>
      </c>
      <c r="C119" t="str">
        <f>VLOOKUP(NoviaFunds[[#This Row],[ISIN]],'Novia Web Query'!$A:$E,3,FALSE)</f>
        <v>UT Europe Excluding UK</v>
      </c>
      <c r="D119" s="139">
        <f>VLOOKUP(NoviaFunds[[#This Row],[ISIN]],'Novia Web Query'!$A:$E,4,FALSE)/100</f>
        <v>8.6999999999999994E-3</v>
      </c>
      <c r="E119" s="3" t="str">
        <f>VLOOKUP(NoviaFunds[[#This Row],[ISIN]],'Novia Web Query'!$A:$E,5,FALSE)</f>
        <v>08/02/2021</v>
      </c>
      <c r="F119" t="str">
        <f>VLOOKUP(NoviaFunds[[#This Row],[Sector]],Sectors[],2,FALSE)</f>
        <v>European Equities</v>
      </c>
    </row>
    <row r="120" spans="1:6" x14ac:dyDescent="0.2">
      <c r="A120" t="str">
        <f>'Novia Web Query'!A121</f>
        <v>GB00B6WFCT77</v>
      </c>
      <c r="B120" t="str">
        <f>VLOOKUP(NoviaFunds[[#This Row],[ISIN]],'Novia Web Query'!$A:$E,2,FALSE)</f>
        <v>Artemis European Opportunities I Inc TR in GB</v>
      </c>
      <c r="C120" t="str">
        <f>VLOOKUP(NoviaFunds[[#This Row],[ISIN]],'Novia Web Query'!$A:$E,3,FALSE)</f>
        <v>UT Europe Excluding UK</v>
      </c>
      <c r="D120" s="139">
        <f>VLOOKUP(NoviaFunds[[#This Row],[ISIN]],'Novia Web Query'!$A:$E,4,FALSE)/100</f>
        <v>8.6999999999999994E-3</v>
      </c>
      <c r="E120" s="3" t="str">
        <f>VLOOKUP(NoviaFunds[[#This Row],[ISIN]],'Novia Web Query'!$A:$E,5,FALSE)</f>
        <v>08/02/2021</v>
      </c>
      <c r="F120" t="str">
        <f>VLOOKUP(NoviaFunds[[#This Row],[Sector]],Sectors[],2,FALSE)</f>
        <v>European Equities</v>
      </c>
    </row>
    <row r="121" spans="1:6" x14ac:dyDescent="0.2">
      <c r="A121" t="str">
        <f>'Novia Web Query'!A122</f>
        <v>GB00B5ZX1M70</v>
      </c>
      <c r="B121" t="str">
        <f>VLOOKUP(NoviaFunds[[#This Row],[ISIN]],'Novia Web Query'!$A:$E,2,FALSE)</f>
        <v>Artemis Global Income I Acc in GB</v>
      </c>
      <c r="C121" t="str">
        <f>VLOOKUP(NoviaFunds[[#This Row],[ISIN]],'Novia Web Query'!$A:$E,3,FALSE)</f>
        <v>UT Global Equity Income</v>
      </c>
      <c r="D121" s="139">
        <f>VLOOKUP(NoviaFunds[[#This Row],[ISIN]],'Novia Web Query'!$A:$E,4,FALSE)/100</f>
        <v>8.6999999999999994E-3</v>
      </c>
      <c r="E121" s="3" t="str">
        <f>VLOOKUP(NoviaFunds[[#This Row],[ISIN]],'Novia Web Query'!$A:$E,5,FALSE)</f>
        <v>16/09/2021</v>
      </c>
      <c r="F121" t="str">
        <f>VLOOKUP(NoviaFunds[[#This Row],[Sector]],Sectors[],2,FALSE)</f>
        <v>Other Equities</v>
      </c>
    </row>
    <row r="122" spans="1:6" x14ac:dyDescent="0.2">
      <c r="A122" t="str">
        <f>'Novia Web Query'!A123</f>
        <v>GB00B5N99561</v>
      </c>
      <c r="B122" t="str">
        <f>VLOOKUP(NoviaFunds[[#This Row],[ISIN]],'Novia Web Query'!$A:$E,2,FALSE)</f>
        <v>Artemis Global Income I Inc TR in GB</v>
      </c>
      <c r="C122" t="str">
        <f>VLOOKUP(NoviaFunds[[#This Row],[ISIN]],'Novia Web Query'!$A:$E,3,FALSE)</f>
        <v>UT Global Equity Income</v>
      </c>
      <c r="D122" s="139">
        <f>VLOOKUP(NoviaFunds[[#This Row],[ISIN]],'Novia Web Query'!$A:$E,4,FALSE)/100</f>
        <v>8.6999999999999994E-3</v>
      </c>
      <c r="E122" s="3" t="str">
        <f>VLOOKUP(NoviaFunds[[#This Row],[ISIN]],'Novia Web Query'!$A:$E,5,FALSE)</f>
        <v>16/09/2021</v>
      </c>
      <c r="F122" t="str">
        <f>VLOOKUP(NoviaFunds[[#This Row],[Sector]],Sectors[],2,FALSE)</f>
        <v>Other Equities</v>
      </c>
    </row>
    <row r="123" spans="1:6" x14ac:dyDescent="0.2">
      <c r="A123" t="str">
        <f>'Novia Web Query'!A124</f>
        <v>GB00B5V2MP86</v>
      </c>
      <c r="B123" t="str">
        <f>VLOOKUP(NoviaFunds[[#This Row],[ISIN]],'Novia Web Query'!$A:$E,2,FALSE)</f>
        <v>Artemis Global Income R Acc in GB</v>
      </c>
      <c r="C123" t="str">
        <f>VLOOKUP(NoviaFunds[[#This Row],[ISIN]],'Novia Web Query'!$A:$E,3,FALSE)</f>
        <v>UT Global Equity Income</v>
      </c>
      <c r="D123" s="139">
        <f>VLOOKUP(NoviaFunds[[#This Row],[ISIN]],'Novia Web Query'!$A:$E,4,FALSE)/100</f>
        <v>1.6200000000000003E-2</v>
      </c>
      <c r="E123" s="3" t="str">
        <f>VLOOKUP(NoviaFunds[[#This Row],[ISIN]],'Novia Web Query'!$A:$E,5,FALSE)</f>
        <v>16/09/2021</v>
      </c>
      <c r="F123" t="str">
        <f>VLOOKUP(NoviaFunds[[#This Row],[Sector]],Sectors[],2,FALSE)</f>
        <v>Other Equities</v>
      </c>
    </row>
    <row r="124" spans="1:6" x14ac:dyDescent="0.2">
      <c r="A124" t="str">
        <f>'Novia Web Query'!A125</f>
        <v>GB00B5VLFH80</v>
      </c>
      <c r="B124" t="str">
        <f>VLOOKUP(NoviaFunds[[#This Row],[ISIN]],'Novia Web Query'!$A:$E,2,FALSE)</f>
        <v>Artemis Global Income R Inc TR in GB</v>
      </c>
      <c r="C124" t="str">
        <f>VLOOKUP(NoviaFunds[[#This Row],[ISIN]],'Novia Web Query'!$A:$E,3,FALSE)</f>
        <v>UT Global Equity Income</v>
      </c>
      <c r="D124" s="139">
        <f>VLOOKUP(NoviaFunds[[#This Row],[ISIN]],'Novia Web Query'!$A:$E,4,FALSE)/100</f>
        <v>1.6200000000000003E-2</v>
      </c>
      <c r="E124" s="3" t="str">
        <f>VLOOKUP(NoviaFunds[[#This Row],[ISIN]],'Novia Web Query'!$A:$E,5,FALSE)</f>
        <v>16/09/2021</v>
      </c>
      <c r="F124" t="str">
        <f>VLOOKUP(NoviaFunds[[#This Row],[Sector]],Sectors[],2,FALSE)</f>
        <v>Other Equities</v>
      </c>
    </row>
    <row r="125" spans="1:6" x14ac:dyDescent="0.2">
      <c r="A125" t="str">
        <f>'Novia Web Query'!A126</f>
        <v>GB00B568S201</v>
      </c>
      <c r="B125" t="str">
        <f>VLOOKUP(NoviaFunds[[#This Row],[ISIN]],'Novia Web Query'!$A:$E,2,FALSE)</f>
        <v>Artemis Global Select I Acc in GB</v>
      </c>
      <c r="C125" t="str">
        <f>VLOOKUP(NoviaFunds[[#This Row],[ISIN]],'Novia Web Query'!$A:$E,3,FALSE)</f>
        <v>UT Global</v>
      </c>
      <c r="D125" s="139">
        <f>VLOOKUP(NoviaFunds[[#This Row],[ISIN]],'Novia Web Query'!$A:$E,4,FALSE)/100</f>
        <v>8.8999999999999999E-3</v>
      </c>
      <c r="E125" s="3" t="str">
        <f>VLOOKUP(NoviaFunds[[#This Row],[ISIN]],'Novia Web Query'!$A:$E,5,FALSE)</f>
        <v>16/09/2021</v>
      </c>
      <c r="F125" t="str">
        <f>VLOOKUP(NoviaFunds[[#This Row],[Sector]],Sectors[],2,FALSE)</f>
        <v>Other Equities</v>
      </c>
    </row>
    <row r="126" spans="1:6" x14ac:dyDescent="0.2">
      <c r="A126" t="str">
        <f>'Novia Web Query'!A127</f>
        <v>GB00B5QKCK29</v>
      </c>
      <c r="B126" t="str">
        <f>VLOOKUP(NoviaFunds[[#This Row],[ISIN]],'Novia Web Query'!$A:$E,2,FALSE)</f>
        <v>Artemis Global Select R Acc in GB</v>
      </c>
      <c r="C126" t="str">
        <f>VLOOKUP(NoviaFunds[[#This Row],[ISIN]],'Novia Web Query'!$A:$E,3,FALSE)</f>
        <v>UT Global</v>
      </c>
      <c r="D126" s="139">
        <f>VLOOKUP(NoviaFunds[[#This Row],[ISIN]],'Novia Web Query'!$A:$E,4,FALSE)/100</f>
        <v>1.6399999999999998E-2</v>
      </c>
      <c r="E126" s="3" t="str">
        <f>VLOOKUP(NoviaFunds[[#This Row],[ISIN]],'Novia Web Query'!$A:$E,5,FALSE)</f>
        <v>16/09/2021</v>
      </c>
      <c r="F126" t="str">
        <f>VLOOKUP(NoviaFunds[[#This Row],[Sector]],Sectors[],2,FALSE)</f>
        <v>Other Equities</v>
      </c>
    </row>
    <row r="127" spans="1:6" x14ac:dyDescent="0.2">
      <c r="A127" t="str">
        <f>'Novia Web Query'!A128</f>
        <v>GB00B2PLJN71</v>
      </c>
      <c r="B127" t="str">
        <f>VLOOKUP(NoviaFunds[[#This Row],[ISIN]],'Novia Web Query'!$A:$E,2,FALSE)</f>
        <v>Artemis High Income I Inc TR in GB</v>
      </c>
      <c r="C127" t="str">
        <f>VLOOKUP(NoviaFunds[[#This Row],[ISIN]],'Novia Web Query'!$A:$E,3,FALSE)</f>
        <v>UT Sterling Strategic Bond</v>
      </c>
      <c r="D127" s="139">
        <f>VLOOKUP(NoviaFunds[[#This Row],[ISIN]],'Novia Web Query'!$A:$E,4,FALSE)/100</f>
        <v>7.1999999999999998E-3</v>
      </c>
      <c r="E127" s="3" t="str">
        <f>VLOOKUP(NoviaFunds[[#This Row],[ISIN]],'Novia Web Query'!$A:$E,5,FALSE)</f>
        <v>08/02/2021</v>
      </c>
      <c r="F127" t="str">
        <f>VLOOKUP(NoviaFunds[[#This Row],[Sector]],Sectors[],2,FALSE)</f>
        <v>Other Bonds</v>
      </c>
    </row>
    <row r="128" spans="1:6" x14ac:dyDescent="0.2">
      <c r="A128" t="str">
        <f>'Novia Web Query'!A129</f>
        <v>GB00BJT0KR04</v>
      </c>
      <c r="B128" t="str">
        <f>VLOOKUP(NoviaFunds[[#This Row],[ISIN]],'Novia Web Query'!$A:$E,2,FALSE)</f>
        <v>Artemis High Income I Monthly Inc TR in GB</v>
      </c>
      <c r="C128" t="str">
        <f>VLOOKUP(NoviaFunds[[#This Row],[ISIN]],'Novia Web Query'!$A:$E,3,FALSE)</f>
        <v>UT Sterling Strategic Bond</v>
      </c>
      <c r="D128" s="139">
        <f>VLOOKUP(NoviaFunds[[#This Row],[ISIN]],'Novia Web Query'!$A:$E,4,FALSE)/100</f>
        <v>7.1999999999999998E-3</v>
      </c>
      <c r="E128" s="3" t="str">
        <f>VLOOKUP(NoviaFunds[[#This Row],[ISIN]],'Novia Web Query'!$A:$E,5,FALSE)</f>
        <v>08/02/2021</v>
      </c>
      <c r="F128" t="str">
        <f>VLOOKUP(NoviaFunds[[#This Row],[Sector]],Sectors[],2,FALSE)</f>
        <v>Other Bonds</v>
      </c>
    </row>
    <row r="129" spans="1:6" x14ac:dyDescent="0.2">
      <c r="A129" t="str">
        <f>'Novia Web Query'!A130</f>
        <v>GB0006838097</v>
      </c>
      <c r="B129" t="str">
        <f>VLOOKUP(NoviaFunds[[#This Row],[ISIN]],'Novia Web Query'!$A:$E,2,FALSE)</f>
        <v>Artemis High Income R Inc TR in GB</v>
      </c>
      <c r="C129" t="str">
        <f>VLOOKUP(NoviaFunds[[#This Row],[ISIN]],'Novia Web Query'!$A:$E,3,FALSE)</f>
        <v>UT Sterling Strategic Bond</v>
      </c>
      <c r="D129" s="139">
        <f>VLOOKUP(NoviaFunds[[#This Row],[ISIN]],'Novia Web Query'!$A:$E,4,FALSE)/100</f>
        <v>1.34E-2</v>
      </c>
      <c r="E129" s="3" t="str">
        <f>VLOOKUP(NoviaFunds[[#This Row],[ISIN]],'Novia Web Query'!$A:$E,5,FALSE)</f>
        <v>08/02/2021</v>
      </c>
      <c r="F129" t="str">
        <f>VLOOKUP(NoviaFunds[[#This Row],[Sector]],Sectors[],2,FALSE)</f>
        <v>Other Bonds</v>
      </c>
    </row>
    <row r="130" spans="1:6" x14ac:dyDescent="0.2">
      <c r="A130" t="str">
        <f>'Novia Web Query'!A131</f>
        <v>GB00B2PLJH12</v>
      </c>
      <c r="B130" t="str">
        <f>VLOOKUP(NoviaFunds[[#This Row],[ISIN]],'Novia Web Query'!$A:$E,2,FALSE)</f>
        <v>Artemis Income I Acc TR in GB</v>
      </c>
      <c r="C130" t="str">
        <f>VLOOKUP(NoviaFunds[[#This Row],[ISIN]],'Novia Web Query'!$A:$E,3,FALSE)</f>
        <v>UT UK Equity Income</v>
      </c>
      <c r="D130" s="139">
        <f>VLOOKUP(NoviaFunds[[#This Row],[ISIN]],'Novia Web Query'!$A:$E,4,FALSE)/100</f>
        <v>8.0000000000000002E-3</v>
      </c>
      <c r="E130" s="3" t="str">
        <f>VLOOKUP(NoviaFunds[[#This Row],[ISIN]],'Novia Web Query'!$A:$E,5,FALSE)</f>
        <v>08/02/2021</v>
      </c>
      <c r="F130" t="str">
        <f>VLOOKUP(NoviaFunds[[#This Row],[Sector]],Sectors[],2,FALSE)</f>
        <v>UK Equities</v>
      </c>
    </row>
    <row r="131" spans="1:6" x14ac:dyDescent="0.2">
      <c r="A131" t="str">
        <f>'Novia Web Query'!A132</f>
        <v>GB00B2PLJJ36</v>
      </c>
      <c r="B131" t="str">
        <f>VLOOKUP(NoviaFunds[[#This Row],[ISIN]],'Novia Web Query'!$A:$E,2,FALSE)</f>
        <v>Artemis Income I Inc TR in GB</v>
      </c>
      <c r="C131" t="str">
        <f>VLOOKUP(NoviaFunds[[#This Row],[ISIN]],'Novia Web Query'!$A:$E,3,FALSE)</f>
        <v>UT UK Equity Income</v>
      </c>
      <c r="D131" s="139">
        <f>VLOOKUP(NoviaFunds[[#This Row],[ISIN]],'Novia Web Query'!$A:$E,4,FALSE)/100</f>
        <v>8.0000000000000002E-3</v>
      </c>
      <c r="E131" s="3" t="str">
        <f>VLOOKUP(NoviaFunds[[#This Row],[ISIN]],'Novia Web Query'!$A:$E,5,FALSE)</f>
        <v>08/02/2021</v>
      </c>
      <c r="F131" t="str">
        <f>VLOOKUP(NoviaFunds[[#This Row],[Sector]],Sectors[],2,FALSE)</f>
        <v>UK Equities</v>
      </c>
    </row>
    <row r="132" spans="1:6" x14ac:dyDescent="0.2">
      <c r="A132" t="str">
        <f>'Novia Web Query'!A133</f>
        <v>GB0032567926</v>
      </c>
      <c r="B132" t="str">
        <f>VLOOKUP(NoviaFunds[[#This Row],[ISIN]],'Novia Web Query'!$A:$E,2,FALSE)</f>
        <v>Artemis Income R Acc in GB</v>
      </c>
      <c r="C132" t="str">
        <f>VLOOKUP(NoviaFunds[[#This Row],[ISIN]],'Novia Web Query'!$A:$E,3,FALSE)</f>
        <v>UT UK Equity Income</v>
      </c>
      <c r="D132" s="139">
        <f>VLOOKUP(NoviaFunds[[#This Row],[ISIN]],'Novia Web Query'!$A:$E,4,FALSE)/100</f>
        <v>1.55E-2</v>
      </c>
      <c r="E132" s="3" t="str">
        <f>VLOOKUP(NoviaFunds[[#This Row],[ISIN]],'Novia Web Query'!$A:$E,5,FALSE)</f>
        <v>08/02/2021</v>
      </c>
      <c r="F132" t="str">
        <f>VLOOKUP(NoviaFunds[[#This Row],[Sector]],Sectors[],2,FALSE)</f>
        <v>UK Equities</v>
      </c>
    </row>
    <row r="133" spans="1:6" x14ac:dyDescent="0.2">
      <c r="A133" s="232" t="s">
        <v>23</v>
      </c>
      <c r="B133" s="233" t="s">
        <v>8873</v>
      </c>
      <c r="C133" s="234" t="s">
        <v>212</v>
      </c>
      <c r="D133" s="235">
        <v>3.8E-3</v>
      </c>
      <c r="E133" s="236" t="e">
        <f>VLOOKUP(NoviaFunds[[#This Row],[ISIN]],'Novia Web Query'!$A:$E,5,FALSE)</f>
        <v>#N/A</v>
      </c>
      <c r="F133" s="234" t="str">
        <f>VLOOKUP(NoviaFunds[[#This Row],[Sector]],Sectors[],2,FALSE)</f>
        <v>UK Equities</v>
      </c>
    </row>
    <row r="134" spans="1:6" x14ac:dyDescent="0.2">
      <c r="A134" t="str">
        <f>'Novia Web Query'!A134</f>
        <v>GB0006572464</v>
      </c>
      <c r="B134" t="str">
        <f>VLOOKUP(NoviaFunds[[#This Row],[ISIN]],'Novia Web Query'!$A:$E,2,FALSE)</f>
        <v>Artemis Income R Inc TR in GB</v>
      </c>
      <c r="C134" t="str">
        <f>VLOOKUP(NoviaFunds[[#This Row],[ISIN]],'Novia Web Query'!$A:$E,3,FALSE)</f>
        <v>UT UK Equity Income</v>
      </c>
      <c r="D134" s="139">
        <f>VLOOKUP(NoviaFunds[[#This Row],[ISIN]],'Novia Web Query'!$A:$E,4,FALSE)/100</f>
        <v>1.55E-2</v>
      </c>
      <c r="E134" s="3" t="str">
        <f>VLOOKUP(NoviaFunds[[#This Row],[ISIN]],'Novia Web Query'!$A:$E,5,FALSE)</f>
        <v>08/02/2021</v>
      </c>
      <c r="F134" t="str">
        <f>VLOOKUP(NoviaFunds[[#This Row],[Sector]],Sectors[],2,FALSE)</f>
        <v>UK Equities</v>
      </c>
    </row>
    <row r="135" spans="1:6" x14ac:dyDescent="0.2">
      <c r="A135" t="str">
        <f>'Novia Web Query'!A135</f>
        <v>GB00B75F9Z67</v>
      </c>
      <c r="B135" t="str">
        <f>VLOOKUP(NoviaFunds[[#This Row],[ISIN]],'Novia Web Query'!$A:$E,2,FALSE)</f>
        <v>Artemis Monthly Distribution I Acc in GB</v>
      </c>
      <c r="C135" t="str">
        <f>VLOOKUP(NoviaFunds[[#This Row],[ISIN]],'Novia Web Query'!$A:$E,3,FALSE)</f>
        <v>UT Mixed Investment 20-60% Shares</v>
      </c>
      <c r="D135" s="139">
        <f>VLOOKUP(NoviaFunds[[#This Row],[ISIN]],'Novia Web Query'!$A:$E,4,FALSE)/100</f>
        <v>8.6E-3</v>
      </c>
      <c r="E135" s="3" t="str">
        <f>VLOOKUP(NoviaFunds[[#This Row],[ISIN]],'Novia Web Query'!$A:$E,5,FALSE)</f>
        <v>16/09/2021</v>
      </c>
      <c r="F135" t="str">
        <f>VLOOKUP(NoviaFunds[[#This Row],[Sector]],Sectors[],2,FALSE)</f>
        <v>Mixed 20%-60%</v>
      </c>
    </row>
    <row r="136" spans="1:6" x14ac:dyDescent="0.2">
      <c r="A136" t="str">
        <f>'Novia Web Query'!A136</f>
        <v>GB00B6TK3R06</v>
      </c>
      <c r="B136" t="str">
        <f>VLOOKUP(NoviaFunds[[#This Row],[ISIN]],'Novia Web Query'!$A:$E,2,FALSE)</f>
        <v>Artemis Monthly Distribution I Inc TR in GB</v>
      </c>
      <c r="C136" t="str">
        <f>VLOOKUP(NoviaFunds[[#This Row],[ISIN]],'Novia Web Query'!$A:$E,3,FALSE)</f>
        <v>UT Mixed Investment 20-60% Shares</v>
      </c>
      <c r="D136" s="139">
        <f>VLOOKUP(NoviaFunds[[#This Row],[ISIN]],'Novia Web Query'!$A:$E,4,FALSE)/100</f>
        <v>8.6E-3</v>
      </c>
      <c r="E136" s="3" t="str">
        <f>VLOOKUP(NoviaFunds[[#This Row],[ISIN]],'Novia Web Query'!$A:$E,5,FALSE)</f>
        <v>16/09/2021</v>
      </c>
      <c r="F136" t="str">
        <f>VLOOKUP(NoviaFunds[[#This Row],[Sector]],Sectors[],2,FALSE)</f>
        <v>Mixed 20%-60%</v>
      </c>
    </row>
    <row r="137" spans="1:6" x14ac:dyDescent="0.2">
      <c r="A137" t="str">
        <f>'Novia Web Query'!A137</f>
        <v>GB00B2PLJD73</v>
      </c>
      <c r="B137" t="str">
        <f>VLOOKUP(NoviaFunds[[#This Row],[ISIN]],'Novia Web Query'!$A:$E,2,FALSE)</f>
        <v>Artemis SmartGARP European Equity I Acc in GB</v>
      </c>
      <c r="C137" t="str">
        <f>VLOOKUP(NoviaFunds[[#This Row],[ISIN]],'Novia Web Query'!$A:$E,3,FALSE)</f>
        <v>UT Europe Excluding UK</v>
      </c>
      <c r="D137" s="139">
        <f>VLOOKUP(NoviaFunds[[#This Row],[ISIN]],'Novia Web Query'!$A:$E,4,FALSE)/100</f>
        <v>8.6999999999999994E-3</v>
      </c>
      <c r="E137" s="3" t="str">
        <f>VLOOKUP(NoviaFunds[[#This Row],[ISIN]],'Novia Web Query'!$A:$E,5,FALSE)</f>
        <v>08/02/2021</v>
      </c>
      <c r="F137" t="str">
        <f>VLOOKUP(NoviaFunds[[#This Row],[Sector]],Sectors[],2,FALSE)</f>
        <v>European Equities</v>
      </c>
    </row>
    <row r="138" spans="1:6" x14ac:dyDescent="0.2">
      <c r="A138" t="str">
        <f>'Novia Web Query'!A138</f>
        <v>GB0006600844</v>
      </c>
      <c r="B138" t="str">
        <f>VLOOKUP(NoviaFunds[[#This Row],[ISIN]],'Novia Web Query'!$A:$E,2,FALSE)</f>
        <v>Artemis SmartGARP European Equity R Acc in GB</v>
      </c>
      <c r="C138" t="str">
        <f>VLOOKUP(NoviaFunds[[#This Row],[ISIN]],'Novia Web Query'!$A:$E,3,FALSE)</f>
        <v>UT Europe Excluding UK</v>
      </c>
      <c r="D138" s="139">
        <f>VLOOKUP(NoviaFunds[[#This Row],[ISIN]],'Novia Web Query'!$A:$E,4,FALSE)/100</f>
        <v>1.6200000000000003E-2</v>
      </c>
      <c r="E138" s="3" t="str">
        <f>VLOOKUP(NoviaFunds[[#This Row],[ISIN]],'Novia Web Query'!$A:$E,5,FALSE)</f>
        <v>08/02/2021</v>
      </c>
      <c r="F138" t="str">
        <f>VLOOKUP(NoviaFunds[[#This Row],[Sector]],Sectors[],2,FALSE)</f>
        <v>European Equities</v>
      </c>
    </row>
    <row r="139" spans="1:6" x14ac:dyDescent="0.2">
      <c r="A139" t="str">
        <f>'Novia Web Query'!A139</f>
        <v>GB00BW9HL132</v>
      </c>
      <c r="B139" t="str">
        <f>VLOOKUP(NoviaFunds[[#This Row],[ISIN]],'Novia Web Query'!$A:$E,2,FALSE)</f>
        <v>Artemis SmartGARP Global Emerging Markets Equity I Acc GBP in GB</v>
      </c>
      <c r="C139" t="str">
        <f>VLOOKUP(NoviaFunds[[#This Row],[ISIN]],'Novia Web Query'!$A:$E,3,FALSE)</f>
        <v>UT Global Emerging Markets</v>
      </c>
      <c r="D139" s="139">
        <f>VLOOKUP(NoviaFunds[[#This Row],[ISIN]],'Novia Web Query'!$A:$E,4,FALSE)/100</f>
        <v>9.3999999999999986E-3</v>
      </c>
      <c r="E139" s="3" t="str">
        <f>VLOOKUP(NoviaFunds[[#This Row],[ISIN]],'Novia Web Query'!$A:$E,5,FALSE)</f>
        <v>08/02/2021</v>
      </c>
      <c r="F139" t="str">
        <f>VLOOKUP(NoviaFunds[[#This Row],[Sector]],Sectors[],2,FALSE)</f>
        <v>Emerging Markets</v>
      </c>
    </row>
    <row r="140" spans="1:6" x14ac:dyDescent="0.2">
      <c r="A140" t="str">
        <f>'Novia Web Query'!A140</f>
        <v>GB00BW9HL249</v>
      </c>
      <c r="B140" t="str">
        <f>VLOOKUP(NoviaFunds[[#This Row],[ISIN]],'Novia Web Query'!$A:$E,2,FALSE)</f>
        <v>Artemis SmartGARP Global Emerging Markets Equity I Inc GBP TR in GB</v>
      </c>
      <c r="C140" t="str">
        <f>VLOOKUP(NoviaFunds[[#This Row],[ISIN]],'Novia Web Query'!$A:$E,3,FALSE)</f>
        <v>UT Global Emerging Markets</v>
      </c>
      <c r="D140" s="139">
        <f>VLOOKUP(NoviaFunds[[#This Row],[ISIN]],'Novia Web Query'!$A:$E,4,FALSE)/100</f>
        <v>9.3999999999999986E-3</v>
      </c>
      <c r="E140" s="3" t="str">
        <f>VLOOKUP(NoviaFunds[[#This Row],[ISIN]],'Novia Web Query'!$A:$E,5,FALSE)</f>
        <v>08/02/2021</v>
      </c>
      <c r="F140" t="str">
        <f>VLOOKUP(NoviaFunds[[#This Row],[Sector]],Sectors[],2,FALSE)</f>
        <v>Emerging Markets</v>
      </c>
    </row>
    <row r="141" spans="1:6" x14ac:dyDescent="0.2">
      <c r="A141" t="str">
        <f>'Novia Web Query'!A141</f>
        <v>GB00B2PLJP95</v>
      </c>
      <c r="B141" t="str">
        <f>VLOOKUP(NoviaFunds[[#This Row],[ISIN]],'Novia Web Query'!$A:$E,2,FALSE)</f>
        <v>Artemis SmartGARP Global Equity I Acc in GB</v>
      </c>
      <c r="C141" t="str">
        <f>VLOOKUP(NoviaFunds[[#This Row],[ISIN]],'Novia Web Query'!$A:$E,3,FALSE)</f>
        <v>UT Global</v>
      </c>
      <c r="D141" s="139">
        <f>VLOOKUP(NoviaFunds[[#This Row],[ISIN]],'Novia Web Query'!$A:$E,4,FALSE)/100</f>
        <v>8.8999999999999999E-3</v>
      </c>
      <c r="E141" s="3" t="str">
        <f>VLOOKUP(NoviaFunds[[#This Row],[ISIN]],'Novia Web Query'!$A:$E,5,FALSE)</f>
        <v>16/09/2021</v>
      </c>
      <c r="F141" t="str">
        <f>VLOOKUP(NoviaFunds[[#This Row],[Sector]],Sectors[],2,FALSE)</f>
        <v>Other Equities</v>
      </c>
    </row>
    <row r="142" spans="1:6" x14ac:dyDescent="0.2">
      <c r="A142" t="str">
        <f>'Novia Web Query'!A142</f>
        <v>GB0006795743</v>
      </c>
      <c r="B142" t="str">
        <f>VLOOKUP(NoviaFunds[[#This Row],[ISIN]],'Novia Web Query'!$A:$E,2,FALSE)</f>
        <v>Artemis SmartGARP Global Equity R Acc in GB</v>
      </c>
      <c r="C142" t="str">
        <f>VLOOKUP(NoviaFunds[[#This Row],[ISIN]],'Novia Web Query'!$A:$E,3,FALSE)</f>
        <v>UT Global</v>
      </c>
      <c r="D142" s="139">
        <f>VLOOKUP(NoviaFunds[[#This Row],[ISIN]],'Novia Web Query'!$A:$E,4,FALSE)/100</f>
        <v>1.6399999999999998E-2</v>
      </c>
      <c r="E142" s="3" t="str">
        <f>VLOOKUP(NoviaFunds[[#This Row],[ISIN]],'Novia Web Query'!$A:$E,5,FALSE)</f>
        <v>16/09/2021</v>
      </c>
      <c r="F142" t="str">
        <f>VLOOKUP(NoviaFunds[[#This Row],[Sector]],Sectors[],2,FALSE)</f>
        <v>Other Equities</v>
      </c>
    </row>
    <row r="143" spans="1:6" x14ac:dyDescent="0.2">
      <c r="A143" t="str">
        <f>'Novia Web Query'!A143</f>
        <v>GB00B2PLJM64</v>
      </c>
      <c r="B143" t="str">
        <f>VLOOKUP(NoviaFunds[[#This Row],[ISIN]],'Novia Web Query'!$A:$E,2,FALSE)</f>
        <v>Artemis SmartGARP UK Equity I Acc in GB</v>
      </c>
      <c r="C143" t="str">
        <f>VLOOKUP(NoviaFunds[[#This Row],[ISIN]],'Novia Web Query'!$A:$E,3,FALSE)</f>
        <v>UT UK All Companies</v>
      </c>
      <c r="D143" s="139">
        <f>VLOOKUP(NoviaFunds[[#This Row],[ISIN]],'Novia Web Query'!$A:$E,4,FALSE)/100</f>
        <v>8.6E-3</v>
      </c>
      <c r="E143" s="3" t="str">
        <f>VLOOKUP(NoviaFunds[[#This Row],[ISIN]],'Novia Web Query'!$A:$E,5,FALSE)</f>
        <v>08/02/2021</v>
      </c>
      <c r="F143" t="str">
        <f>VLOOKUP(NoviaFunds[[#This Row],[Sector]],Sectors[],2,FALSE)</f>
        <v>UK Equities</v>
      </c>
    </row>
    <row r="144" spans="1:6" x14ac:dyDescent="0.2">
      <c r="A144" t="str">
        <f>'Novia Web Query'!A144</f>
        <v>GB0006795529</v>
      </c>
      <c r="B144" t="str">
        <f>VLOOKUP(NoviaFunds[[#This Row],[ISIN]],'Novia Web Query'!$A:$E,2,FALSE)</f>
        <v>Artemis SmartGARP UK Equity R Acc in GB</v>
      </c>
      <c r="C144" t="str">
        <f>VLOOKUP(NoviaFunds[[#This Row],[ISIN]],'Novia Web Query'!$A:$E,3,FALSE)</f>
        <v>UT UK All Companies</v>
      </c>
      <c r="D144" s="139">
        <f>VLOOKUP(NoviaFunds[[#This Row],[ISIN]],'Novia Web Query'!$A:$E,4,FALSE)/100</f>
        <v>1.61E-2</v>
      </c>
      <c r="E144" s="3" t="str">
        <f>VLOOKUP(NoviaFunds[[#This Row],[ISIN]],'Novia Web Query'!$A:$E,5,FALSE)</f>
        <v>08/02/2021</v>
      </c>
      <c r="F144" t="str">
        <f>VLOOKUP(NoviaFunds[[#This Row],[Sector]],Sectors[],2,FALSE)</f>
        <v>UK Equities</v>
      </c>
    </row>
    <row r="145" spans="1:6" x14ac:dyDescent="0.2">
      <c r="A145" t="str">
        <f>'Novia Web Query'!A145</f>
        <v>GB00B3VDD431</v>
      </c>
      <c r="B145" t="str">
        <f>VLOOKUP(NoviaFunds[[#This Row],[ISIN]],'Novia Web Query'!$A:$E,2,FALSE)</f>
        <v>Artemis Strategic Assets I Acc in GB</v>
      </c>
      <c r="C145" t="str">
        <f>VLOOKUP(NoviaFunds[[#This Row],[ISIN]],'Novia Web Query'!$A:$E,3,FALSE)</f>
        <v>UT Flexible Investment</v>
      </c>
      <c r="D145" s="139">
        <f>VLOOKUP(NoviaFunds[[#This Row],[ISIN]],'Novia Web Query'!$A:$E,4,FALSE)/100</f>
        <v>8.6999999999999994E-3</v>
      </c>
      <c r="E145" s="3" t="str">
        <f>VLOOKUP(NoviaFunds[[#This Row],[ISIN]],'Novia Web Query'!$A:$E,5,FALSE)</f>
        <v>08/02/2021</v>
      </c>
      <c r="F145" t="str">
        <f>VLOOKUP(NoviaFunds[[#This Row],[Sector]],Sectors[],2,FALSE)</f>
        <v>Flexible</v>
      </c>
    </row>
    <row r="146" spans="1:6" x14ac:dyDescent="0.2">
      <c r="A146" t="str">
        <f>'Novia Web Query'!A146</f>
        <v>GB00B3VDDQ59</v>
      </c>
      <c r="B146" t="str">
        <f>VLOOKUP(NoviaFunds[[#This Row],[ISIN]],'Novia Web Query'!$A:$E,2,FALSE)</f>
        <v>Artemis Strategic Assets R Acc in GB</v>
      </c>
      <c r="C146" t="str">
        <f>VLOOKUP(NoviaFunds[[#This Row],[ISIN]],'Novia Web Query'!$A:$E,3,FALSE)</f>
        <v>UT Flexible Investment</v>
      </c>
      <c r="D146" s="139">
        <f>VLOOKUP(NoviaFunds[[#This Row],[ISIN]],'Novia Web Query'!$A:$E,4,FALSE)/100</f>
        <v>1.6200000000000003E-2</v>
      </c>
      <c r="E146" s="3" t="str">
        <f>VLOOKUP(NoviaFunds[[#This Row],[ISIN]],'Novia Web Query'!$A:$E,5,FALSE)</f>
        <v>08/02/2021</v>
      </c>
      <c r="F146" t="str">
        <f>VLOOKUP(NoviaFunds[[#This Row],[Sector]],Sectors[],2,FALSE)</f>
        <v>Flexible</v>
      </c>
    </row>
    <row r="147" spans="1:6" x14ac:dyDescent="0.2">
      <c r="A147" t="str">
        <f>'Novia Web Query'!A147</f>
        <v>GB00BJT0KV40</v>
      </c>
      <c r="B147" t="str">
        <f>VLOOKUP(NoviaFunds[[#This Row],[ISIN]],'Novia Web Query'!$A:$E,2,FALSE)</f>
        <v>Artemis Strategic Bond I Monthly Acc in GB</v>
      </c>
      <c r="C147" t="str">
        <f>VLOOKUP(NoviaFunds[[#This Row],[ISIN]],'Novia Web Query'!$A:$E,3,FALSE)</f>
        <v>UT Sterling Strategic Bond</v>
      </c>
      <c r="D147" s="139">
        <f>VLOOKUP(NoviaFunds[[#This Row],[ISIN]],'Novia Web Query'!$A:$E,4,FALSE)/100</f>
        <v>5.6999999999999993E-3</v>
      </c>
      <c r="E147" s="3" t="str">
        <f>VLOOKUP(NoviaFunds[[#This Row],[ISIN]],'Novia Web Query'!$A:$E,5,FALSE)</f>
        <v>08/02/2021</v>
      </c>
      <c r="F147" t="str">
        <f>VLOOKUP(NoviaFunds[[#This Row],[Sector]],Sectors[],2,FALSE)</f>
        <v>Other Bonds</v>
      </c>
    </row>
    <row r="148" spans="1:6" x14ac:dyDescent="0.2">
      <c r="A148" t="str">
        <f>'Novia Web Query'!A148</f>
        <v>GB00B2PLJS27</v>
      </c>
      <c r="B148" t="str">
        <f>VLOOKUP(NoviaFunds[[#This Row],[ISIN]],'Novia Web Query'!$A:$E,2,FALSE)</f>
        <v>Artemis Strategic Bond I Monthly Inc TR in GB</v>
      </c>
      <c r="C148" t="str">
        <f>VLOOKUP(NoviaFunds[[#This Row],[ISIN]],'Novia Web Query'!$A:$E,3,FALSE)</f>
        <v>UT Sterling Strategic Bond</v>
      </c>
      <c r="D148" s="139">
        <f>VLOOKUP(NoviaFunds[[#This Row],[ISIN]],'Novia Web Query'!$A:$E,4,FALSE)/100</f>
        <v>5.6999999999999993E-3</v>
      </c>
      <c r="E148" s="3" t="str">
        <f>VLOOKUP(NoviaFunds[[#This Row],[ISIN]],'Novia Web Query'!$A:$E,5,FALSE)</f>
        <v>08/02/2021</v>
      </c>
      <c r="F148" t="str">
        <f>VLOOKUP(NoviaFunds[[#This Row],[Sector]],Sectors[],2,FALSE)</f>
        <v>Other Bonds</v>
      </c>
    </row>
    <row r="149" spans="1:6" x14ac:dyDescent="0.2">
      <c r="A149" t="str">
        <f>'Novia Web Query'!A149</f>
        <v>GB00B2PLJR10</v>
      </c>
      <c r="B149" t="str">
        <f>VLOOKUP(NoviaFunds[[#This Row],[ISIN]],'Novia Web Query'!$A:$E,2,FALSE)</f>
        <v>Artemis Strategic Bond I Quarterly Acc in GB</v>
      </c>
      <c r="C149" t="str">
        <f>VLOOKUP(NoviaFunds[[#This Row],[ISIN]],'Novia Web Query'!$A:$E,3,FALSE)</f>
        <v>UT Sterling Strategic Bond</v>
      </c>
      <c r="D149" s="139">
        <f>VLOOKUP(NoviaFunds[[#This Row],[ISIN]],'Novia Web Query'!$A:$E,4,FALSE)/100</f>
        <v>5.6999999999999993E-3</v>
      </c>
      <c r="E149" s="3" t="str">
        <f>VLOOKUP(NoviaFunds[[#This Row],[ISIN]],'Novia Web Query'!$A:$E,5,FALSE)</f>
        <v>08/02/2021</v>
      </c>
      <c r="F149" t="str">
        <f>VLOOKUP(NoviaFunds[[#This Row],[Sector]],Sectors[],2,FALSE)</f>
        <v>Other Bonds</v>
      </c>
    </row>
    <row r="150" spans="1:6" x14ac:dyDescent="0.2">
      <c r="A150" t="str">
        <f>'Novia Web Query'!A150</f>
        <v>GB00BJT0KT28</v>
      </c>
      <c r="B150" t="str">
        <f>VLOOKUP(NoviaFunds[[#This Row],[ISIN]],'Novia Web Query'!$A:$E,2,FALSE)</f>
        <v>Artemis Strategic Bond I Quarterly Inc TR in GB</v>
      </c>
      <c r="C150" t="str">
        <f>VLOOKUP(NoviaFunds[[#This Row],[ISIN]],'Novia Web Query'!$A:$E,3,FALSE)</f>
        <v>UT Sterling Strategic Bond</v>
      </c>
      <c r="D150" s="139">
        <f>VLOOKUP(NoviaFunds[[#This Row],[ISIN]],'Novia Web Query'!$A:$E,4,FALSE)/100</f>
        <v>5.6999999999999993E-3</v>
      </c>
      <c r="E150" s="3" t="str">
        <f>VLOOKUP(NoviaFunds[[#This Row],[ISIN]],'Novia Web Query'!$A:$E,5,FALSE)</f>
        <v>08/02/2021</v>
      </c>
      <c r="F150" t="str">
        <f>VLOOKUP(NoviaFunds[[#This Row],[Sector]],Sectors[],2,FALSE)</f>
        <v>Other Bonds</v>
      </c>
    </row>
    <row r="151" spans="1:6" x14ac:dyDescent="0.2">
      <c r="A151" t="str">
        <f>'Novia Web Query'!A151</f>
        <v>GB00B09DML43</v>
      </c>
      <c r="B151" t="str">
        <f>VLOOKUP(NoviaFunds[[#This Row],[ISIN]],'Novia Web Query'!$A:$E,2,FALSE)</f>
        <v>Artemis Strategic Bond R Monthly Acc in GB</v>
      </c>
      <c r="C151" t="str">
        <f>VLOOKUP(NoviaFunds[[#This Row],[ISIN]],'Novia Web Query'!$A:$E,3,FALSE)</f>
        <v>UT Sterling Strategic Bond</v>
      </c>
      <c r="D151" s="139">
        <f>VLOOKUP(NoviaFunds[[#This Row],[ISIN]],'Novia Web Query'!$A:$E,4,FALSE)/100</f>
        <v>1.0700000000000001E-2</v>
      </c>
      <c r="E151" s="3" t="str">
        <f>VLOOKUP(NoviaFunds[[#This Row],[ISIN]],'Novia Web Query'!$A:$E,5,FALSE)</f>
        <v>08/02/2021</v>
      </c>
      <c r="F151" t="str">
        <f>VLOOKUP(NoviaFunds[[#This Row],[Sector]],Sectors[],2,FALSE)</f>
        <v>Other Bonds</v>
      </c>
    </row>
    <row r="152" spans="1:6" x14ac:dyDescent="0.2">
      <c r="A152" t="str">
        <f>'Novia Web Query'!A152</f>
        <v>GB00B09DMM59</v>
      </c>
      <c r="B152" t="str">
        <f>VLOOKUP(NoviaFunds[[#This Row],[ISIN]],'Novia Web Query'!$A:$E,2,FALSE)</f>
        <v>Artemis Strategic Bond R Monthly Inc TR in GB</v>
      </c>
      <c r="C152" t="str">
        <f>VLOOKUP(NoviaFunds[[#This Row],[ISIN]],'Novia Web Query'!$A:$E,3,FALSE)</f>
        <v>UT Sterling Strategic Bond</v>
      </c>
      <c r="D152" s="139">
        <f>VLOOKUP(NoviaFunds[[#This Row],[ISIN]],'Novia Web Query'!$A:$E,4,FALSE)/100</f>
        <v>1.0700000000000001E-2</v>
      </c>
      <c r="E152" s="3" t="str">
        <f>VLOOKUP(NoviaFunds[[#This Row],[ISIN]],'Novia Web Query'!$A:$E,5,FALSE)</f>
        <v>08/02/2021</v>
      </c>
      <c r="F152" t="str">
        <f>VLOOKUP(NoviaFunds[[#This Row],[Sector]],Sectors[],2,FALSE)</f>
        <v>Other Bonds</v>
      </c>
    </row>
    <row r="153" spans="1:6" x14ac:dyDescent="0.2">
      <c r="A153" t="str">
        <f>'Novia Web Query'!A153</f>
        <v>GB00B09DMJ21</v>
      </c>
      <c r="B153" t="str">
        <f>VLOOKUP(NoviaFunds[[#This Row],[ISIN]],'Novia Web Query'!$A:$E,2,FALSE)</f>
        <v>Artemis Strategic Bond R Quarterly Acc in GB</v>
      </c>
      <c r="C153" t="str">
        <f>VLOOKUP(NoviaFunds[[#This Row],[ISIN]],'Novia Web Query'!$A:$E,3,FALSE)</f>
        <v>UT Sterling Strategic Bond</v>
      </c>
      <c r="D153" s="139">
        <f>VLOOKUP(NoviaFunds[[#This Row],[ISIN]],'Novia Web Query'!$A:$E,4,FALSE)/100</f>
        <v>1.0700000000000001E-2</v>
      </c>
      <c r="E153" s="3" t="str">
        <f>VLOOKUP(NoviaFunds[[#This Row],[ISIN]],'Novia Web Query'!$A:$E,5,FALSE)</f>
        <v>08/02/2021</v>
      </c>
      <c r="F153" t="str">
        <f>VLOOKUP(NoviaFunds[[#This Row],[Sector]],Sectors[],2,FALSE)</f>
        <v>Other Bonds</v>
      </c>
    </row>
    <row r="154" spans="1:6" x14ac:dyDescent="0.2">
      <c r="A154" t="str">
        <f>'Novia Web Query'!A154</f>
        <v>GB00B09DMK36</v>
      </c>
      <c r="B154" t="str">
        <f>VLOOKUP(NoviaFunds[[#This Row],[ISIN]],'Novia Web Query'!$A:$E,2,FALSE)</f>
        <v>Artemis Strategic Bond R Quarterly Inc TR in GB</v>
      </c>
      <c r="C154" t="str">
        <f>VLOOKUP(NoviaFunds[[#This Row],[ISIN]],'Novia Web Query'!$A:$E,3,FALSE)</f>
        <v>UT Sterling Strategic Bond</v>
      </c>
      <c r="D154" s="139">
        <f>VLOOKUP(NoviaFunds[[#This Row],[ISIN]],'Novia Web Query'!$A:$E,4,FALSE)/100</f>
        <v>1.0700000000000001E-2</v>
      </c>
      <c r="E154" s="3" t="str">
        <f>VLOOKUP(NoviaFunds[[#This Row],[ISIN]],'Novia Web Query'!$A:$E,5,FALSE)</f>
        <v>08/02/2021</v>
      </c>
      <c r="F154" t="str">
        <f>VLOOKUP(NoviaFunds[[#This Row],[Sector]],Sectors[],2,FALSE)</f>
        <v>Other Bonds</v>
      </c>
    </row>
    <row r="155" spans="1:6" x14ac:dyDescent="0.2">
      <c r="A155" t="str">
        <f>'Novia Web Query'!A155</f>
        <v>GB00B2PLJG05</v>
      </c>
      <c r="B155" t="str">
        <f>VLOOKUP(NoviaFunds[[#This Row],[ISIN]],'Novia Web Query'!$A:$E,2,FALSE)</f>
        <v>Artemis UK Select I Acc in GB</v>
      </c>
      <c r="C155" t="str">
        <f>VLOOKUP(NoviaFunds[[#This Row],[ISIN]],'Novia Web Query'!$A:$E,3,FALSE)</f>
        <v>UT UK All Companies</v>
      </c>
      <c r="D155" s="139">
        <f>VLOOKUP(NoviaFunds[[#This Row],[ISIN]],'Novia Web Query'!$A:$E,4,FALSE)/100</f>
        <v>8.3999999999999995E-3</v>
      </c>
      <c r="E155" s="3" t="str">
        <f>VLOOKUP(NoviaFunds[[#This Row],[ISIN]],'Novia Web Query'!$A:$E,5,FALSE)</f>
        <v>08/02/2021</v>
      </c>
      <c r="F155" t="str">
        <f>VLOOKUP(NoviaFunds[[#This Row],[Sector]],Sectors[],2,FALSE)</f>
        <v>UK Equities</v>
      </c>
    </row>
    <row r="156" spans="1:6" x14ac:dyDescent="0.2">
      <c r="A156" t="str">
        <f>'Novia Web Query'!A156</f>
        <v>GB0002583267</v>
      </c>
      <c r="B156" t="str">
        <f>VLOOKUP(NoviaFunds[[#This Row],[ISIN]],'Novia Web Query'!$A:$E,2,FALSE)</f>
        <v>Artemis UK Select R Acc in GB</v>
      </c>
      <c r="C156" t="str">
        <f>VLOOKUP(NoviaFunds[[#This Row],[ISIN]],'Novia Web Query'!$A:$E,3,FALSE)</f>
        <v>UT UK All Companies</v>
      </c>
      <c r="D156" s="139">
        <f>VLOOKUP(NoviaFunds[[#This Row],[ISIN]],'Novia Web Query'!$A:$E,4,FALSE)/100</f>
        <v>1.5900000000000001E-2</v>
      </c>
      <c r="E156" s="3" t="str">
        <f>VLOOKUP(NoviaFunds[[#This Row],[ISIN]],'Novia Web Query'!$A:$E,5,FALSE)</f>
        <v>08/02/2021</v>
      </c>
      <c r="F156" t="str">
        <f>VLOOKUP(NoviaFunds[[#This Row],[Sector]],Sectors[],2,FALSE)</f>
        <v>UK Equities</v>
      </c>
    </row>
    <row r="157" spans="1:6" x14ac:dyDescent="0.2">
      <c r="A157" t="str">
        <f>'Novia Web Query'!A157</f>
        <v>GB00B2PLJL57</v>
      </c>
      <c r="B157" t="str">
        <f>VLOOKUP(NoviaFunds[[#This Row],[ISIN]],'Novia Web Query'!$A:$E,2,FALSE)</f>
        <v>Artemis UK Smaller Companies I Acc in GB</v>
      </c>
      <c r="C157" t="str">
        <f>VLOOKUP(NoviaFunds[[#This Row],[ISIN]],'Novia Web Query'!$A:$E,3,FALSE)</f>
        <v>UT UK Smaller Companies</v>
      </c>
      <c r="D157" s="139">
        <f>VLOOKUP(NoviaFunds[[#This Row],[ISIN]],'Novia Web Query'!$A:$E,4,FALSE)/100</f>
        <v>8.6E-3</v>
      </c>
      <c r="E157" s="3" t="str">
        <f>VLOOKUP(NoviaFunds[[#This Row],[ISIN]],'Novia Web Query'!$A:$E,5,FALSE)</f>
        <v>08/02/2021</v>
      </c>
      <c r="F157" t="str">
        <f>VLOOKUP(NoviaFunds[[#This Row],[Sector]],Sectors[],2,FALSE)</f>
        <v>UK Equities</v>
      </c>
    </row>
    <row r="158" spans="1:6" x14ac:dyDescent="0.2">
      <c r="A158" t="str">
        <f>'Novia Web Query'!A158</f>
        <v>GB0002583598</v>
      </c>
      <c r="B158" t="str">
        <f>VLOOKUP(NoviaFunds[[#This Row],[ISIN]],'Novia Web Query'!$A:$E,2,FALSE)</f>
        <v>Artemis UK Smaller Companies R Acc in GB</v>
      </c>
      <c r="C158" t="str">
        <f>VLOOKUP(NoviaFunds[[#This Row],[ISIN]],'Novia Web Query'!$A:$E,3,FALSE)</f>
        <v>UT UK Smaller Companies</v>
      </c>
      <c r="D158" s="139">
        <f>VLOOKUP(NoviaFunds[[#This Row],[ISIN]],'Novia Web Query'!$A:$E,4,FALSE)/100</f>
        <v>1.61E-2</v>
      </c>
      <c r="E158" s="3" t="str">
        <f>VLOOKUP(NoviaFunds[[#This Row],[ISIN]],'Novia Web Query'!$A:$E,5,FALSE)</f>
        <v>08/02/2021</v>
      </c>
      <c r="F158" t="str">
        <f>VLOOKUP(NoviaFunds[[#This Row],[Sector]],Sectors[],2,FALSE)</f>
        <v>UK Equities</v>
      </c>
    </row>
    <row r="159" spans="1:6" x14ac:dyDescent="0.2">
      <c r="A159" t="str">
        <f>'Novia Web Query'!A159</f>
        <v>GB00B2PLJQ03</v>
      </c>
      <c r="B159" t="str">
        <f>VLOOKUP(NoviaFunds[[#This Row],[ISIN]],'Novia Web Query'!$A:$E,2,FALSE)</f>
        <v>Artemis UK Special Situations I Acc in GB</v>
      </c>
      <c r="C159" t="str">
        <f>VLOOKUP(NoviaFunds[[#This Row],[ISIN]],'Novia Web Query'!$A:$E,3,FALSE)</f>
        <v>UT UK All Companies</v>
      </c>
      <c r="D159" s="139">
        <f>VLOOKUP(NoviaFunds[[#This Row],[ISIN]],'Novia Web Query'!$A:$E,4,FALSE)/100</f>
        <v>8.6E-3</v>
      </c>
      <c r="E159" s="3" t="str">
        <f>VLOOKUP(NoviaFunds[[#This Row],[ISIN]],'Novia Web Query'!$A:$E,5,FALSE)</f>
        <v>08/02/2021</v>
      </c>
      <c r="F159" t="str">
        <f>VLOOKUP(NoviaFunds[[#This Row],[Sector]],Sectors[],2,FALSE)</f>
        <v>UK Equities</v>
      </c>
    </row>
    <row r="160" spans="1:6" x14ac:dyDescent="0.2">
      <c r="A160" t="str">
        <f>'Novia Web Query'!A160</f>
        <v>GB0002192267</v>
      </c>
      <c r="B160" t="str">
        <f>VLOOKUP(NoviaFunds[[#This Row],[ISIN]],'Novia Web Query'!$A:$E,2,FALSE)</f>
        <v>Artemis UK Special Situations R Acc in GB</v>
      </c>
      <c r="C160" t="str">
        <f>VLOOKUP(NoviaFunds[[#This Row],[ISIN]],'Novia Web Query'!$A:$E,3,FALSE)</f>
        <v>UT UK All Companies</v>
      </c>
      <c r="D160" s="139">
        <f>VLOOKUP(NoviaFunds[[#This Row],[ISIN]],'Novia Web Query'!$A:$E,4,FALSE)/100</f>
        <v>1.61E-2</v>
      </c>
      <c r="E160" s="3" t="str">
        <f>VLOOKUP(NoviaFunds[[#This Row],[ISIN]],'Novia Web Query'!$A:$E,5,FALSE)</f>
        <v>08/02/2021</v>
      </c>
      <c r="F160" t="str">
        <f>VLOOKUP(NoviaFunds[[#This Row],[Sector]],Sectors[],2,FALSE)</f>
        <v>UK Equities</v>
      </c>
    </row>
    <row r="161" spans="1:6" x14ac:dyDescent="0.2">
      <c r="A161" t="str">
        <f>'Novia Web Query'!A161</f>
        <v>GB00BMMV5N27</v>
      </c>
      <c r="B161" t="str">
        <f>VLOOKUP(NoviaFunds[[#This Row],[ISIN]],'Novia Web Query'!$A:$E,2,FALSE)</f>
        <v>Artemis US Absolute Return I Hedged Acc GBP in GB</v>
      </c>
      <c r="C161" t="str">
        <f>VLOOKUP(NoviaFunds[[#This Row],[ISIN]],'Novia Web Query'!$A:$E,3,FALSE)</f>
        <v>UT Targeted Absolute Return</v>
      </c>
      <c r="D161" s="139">
        <f>VLOOKUP(NoviaFunds[[#This Row],[ISIN]],'Novia Web Query'!$A:$E,4,FALSE)/100</f>
        <v>8.8999999999999999E-3</v>
      </c>
      <c r="E161" s="3" t="str">
        <f>VLOOKUP(NoviaFunds[[#This Row],[ISIN]],'Novia Web Query'!$A:$E,5,FALSE)</f>
        <v>16/09/2021</v>
      </c>
      <c r="F161" t="str">
        <f>VLOOKUP(NoviaFunds[[#This Row],[Sector]],Sectors[],2,FALSE)</f>
        <v>Absolute Return</v>
      </c>
    </row>
    <row r="162" spans="1:6" x14ac:dyDescent="0.2">
      <c r="A162" t="str">
        <f>'Novia Web Query'!A162</f>
        <v>GB00BMMV5G59</v>
      </c>
      <c r="B162" t="str">
        <f>VLOOKUP(NoviaFunds[[#This Row],[ISIN]],'Novia Web Query'!$A:$E,2,FALSE)</f>
        <v>Artemis US Extended Alpha I Acc GBP in GB</v>
      </c>
      <c r="C162" t="str">
        <f>VLOOKUP(NoviaFunds[[#This Row],[ISIN]],'Novia Web Query'!$A:$E,3,FALSE)</f>
        <v>UT North America</v>
      </c>
      <c r="D162" s="139">
        <f>VLOOKUP(NoviaFunds[[#This Row],[ISIN]],'Novia Web Query'!$A:$E,4,FALSE)/100</f>
        <v>8.8999999999999999E-3</v>
      </c>
      <c r="E162" s="3" t="str">
        <f>VLOOKUP(NoviaFunds[[#This Row],[ISIN]],'Novia Web Query'!$A:$E,5,FALSE)</f>
        <v>16/09/2021</v>
      </c>
      <c r="F162" t="str">
        <f>VLOOKUP(NoviaFunds[[#This Row],[Sector]],Sectors[],2,FALSE)</f>
        <v>USA Equities</v>
      </c>
    </row>
    <row r="163" spans="1:6" x14ac:dyDescent="0.2">
      <c r="A163" t="str">
        <f>'Novia Web Query'!A163</f>
        <v>GB00BYSZ0151</v>
      </c>
      <c r="B163" t="str">
        <f>VLOOKUP(NoviaFunds[[#This Row],[ISIN]],'Novia Web Query'!$A:$E,2,FALSE)</f>
        <v>Artemis US Extended Alpha I Hedged Acc GBP in GB</v>
      </c>
      <c r="C163" t="str">
        <f>VLOOKUP(NoviaFunds[[#This Row],[ISIN]],'Novia Web Query'!$A:$E,3,FALSE)</f>
        <v>UT North America</v>
      </c>
      <c r="D163" s="139">
        <f>VLOOKUP(NoviaFunds[[#This Row],[ISIN]],'Novia Web Query'!$A:$E,4,FALSE)/100</f>
        <v>8.8999999999999999E-3</v>
      </c>
      <c r="E163" s="3" t="str">
        <f>VLOOKUP(NoviaFunds[[#This Row],[ISIN]],'Novia Web Query'!$A:$E,5,FALSE)</f>
        <v>16/09/2021</v>
      </c>
      <c r="F163" t="str">
        <f>VLOOKUP(NoviaFunds[[#This Row],[Sector]],Sectors[],2,FALSE)</f>
        <v>USA Equities</v>
      </c>
    </row>
    <row r="164" spans="1:6" x14ac:dyDescent="0.2">
      <c r="A164" t="str">
        <f>'Novia Web Query'!A164</f>
        <v>GB00BMMV5105</v>
      </c>
      <c r="B164" t="str">
        <f>VLOOKUP(NoviaFunds[[#This Row],[ISIN]],'Novia Web Query'!$A:$E,2,FALSE)</f>
        <v>Artemis US Select I Acc GBP in GB</v>
      </c>
      <c r="C164" t="str">
        <f>VLOOKUP(NoviaFunds[[#This Row],[ISIN]],'Novia Web Query'!$A:$E,3,FALSE)</f>
        <v>UT North America</v>
      </c>
      <c r="D164" s="139">
        <f>VLOOKUP(NoviaFunds[[#This Row],[ISIN]],'Novia Web Query'!$A:$E,4,FALSE)/100</f>
        <v>8.5000000000000006E-3</v>
      </c>
      <c r="E164" s="3" t="str">
        <f>VLOOKUP(NoviaFunds[[#This Row],[ISIN]],'Novia Web Query'!$A:$E,5,FALSE)</f>
        <v>16/09/2021</v>
      </c>
      <c r="F164" t="str">
        <f>VLOOKUP(NoviaFunds[[#This Row],[Sector]],Sectors[],2,FALSE)</f>
        <v>USA Equities</v>
      </c>
    </row>
    <row r="165" spans="1:6" x14ac:dyDescent="0.2">
      <c r="A165" t="str">
        <f>'Novia Web Query'!A165</f>
        <v>GB00BYSYZX95</v>
      </c>
      <c r="B165" t="str">
        <f>VLOOKUP(NoviaFunds[[#This Row],[ISIN]],'Novia Web Query'!$A:$E,2,FALSE)</f>
        <v>Artemis US Select I Hedged Acc GBP in GB</v>
      </c>
      <c r="C165" t="str">
        <f>VLOOKUP(NoviaFunds[[#This Row],[ISIN]],'Novia Web Query'!$A:$E,3,FALSE)</f>
        <v>UT North America</v>
      </c>
      <c r="D165" s="139">
        <f>VLOOKUP(NoviaFunds[[#This Row],[ISIN]],'Novia Web Query'!$A:$E,4,FALSE)/100</f>
        <v>8.5000000000000006E-3</v>
      </c>
      <c r="E165" s="3" t="str">
        <f>VLOOKUP(NoviaFunds[[#This Row],[ISIN]],'Novia Web Query'!$A:$E,5,FALSE)</f>
        <v>16/09/2021</v>
      </c>
      <c r="F165" t="str">
        <f>VLOOKUP(NoviaFunds[[#This Row],[Sector]],Sectors[],2,FALSE)</f>
        <v>USA Equities</v>
      </c>
    </row>
    <row r="166" spans="1:6" x14ac:dyDescent="0.2">
      <c r="A166" t="str">
        <f>'Novia Web Query'!A166</f>
        <v>GB00BWWZ2D39</v>
      </c>
      <c r="B166" t="str">
        <f>VLOOKUP(NoviaFunds[[#This Row],[ISIN]],'Novia Web Query'!$A:$E,2,FALSE)</f>
        <v>Artemis US Select I Inc GBP TR in GB**</v>
      </c>
      <c r="C166" t="str">
        <f>VLOOKUP(NoviaFunds[[#This Row],[ISIN]],'Novia Web Query'!$A:$E,3,FALSE)</f>
        <v>UT North America</v>
      </c>
      <c r="D166" s="139">
        <f>VLOOKUP(NoviaFunds[[#This Row],[ISIN]],'Novia Web Query'!$A:$E,4,FALSE)/100</f>
        <v>8.5000000000000006E-3</v>
      </c>
      <c r="E166" s="3" t="str">
        <f>VLOOKUP(NoviaFunds[[#This Row],[ISIN]],'Novia Web Query'!$A:$E,5,FALSE)</f>
        <v>16/09/2021</v>
      </c>
      <c r="F166" t="str">
        <f>VLOOKUP(NoviaFunds[[#This Row],[Sector]],Sectors[],2,FALSE)</f>
        <v>USA Equities</v>
      </c>
    </row>
    <row r="167" spans="1:6" x14ac:dyDescent="0.2">
      <c r="A167" t="str">
        <f>'Novia Web Query'!A167</f>
        <v>GB00BMMV5766</v>
      </c>
      <c r="B167" t="str">
        <f>VLOOKUP(NoviaFunds[[#This Row],[ISIN]],'Novia Web Query'!$A:$E,2,FALSE)</f>
        <v>Artemis US Smaller Companies I Acc GBP in GB</v>
      </c>
      <c r="C167" t="str">
        <f>VLOOKUP(NoviaFunds[[#This Row],[ISIN]],'Novia Web Query'!$A:$E,3,FALSE)</f>
        <v>UT North American Smaller Companies</v>
      </c>
      <c r="D167" s="139">
        <f>VLOOKUP(NoviaFunds[[#This Row],[ISIN]],'Novia Web Query'!$A:$E,4,FALSE)/100</f>
        <v>8.8999999999999999E-3</v>
      </c>
      <c r="E167" s="3" t="str">
        <f>VLOOKUP(NoviaFunds[[#This Row],[ISIN]],'Novia Web Query'!$A:$E,5,FALSE)</f>
        <v>16/09/2021</v>
      </c>
      <c r="F167" t="str">
        <f>VLOOKUP(NoviaFunds[[#This Row],[Sector]],Sectors[],2,FALSE)</f>
        <v>USA Equities</v>
      </c>
    </row>
    <row r="168" spans="1:6" x14ac:dyDescent="0.2">
      <c r="A168" t="str">
        <f>'Novia Web Query'!A168</f>
        <v>GB00BWK26S93</v>
      </c>
      <c r="B168" t="str">
        <f>VLOOKUP(NoviaFunds[[#This Row],[ISIN]],'Novia Web Query'!$A:$E,2,FALSE)</f>
        <v>ASI (AAM) Sterling Government Bond I Acc in GB</v>
      </c>
      <c r="C168" t="str">
        <f>VLOOKUP(NoviaFunds[[#This Row],[ISIN]],'Novia Web Query'!$A:$E,3,FALSE)</f>
        <v>UT UK Gilts</v>
      </c>
      <c r="D168" s="139">
        <f>VLOOKUP(NoviaFunds[[#This Row],[ISIN]],'Novia Web Query'!$A:$E,4,FALSE)/100</f>
        <v>2.8999999999999998E-3</v>
      </c>
      <c r="E168" s="3" t="str">
        <f>VLOOKUP(NoviaFunds[[#This Row],[ISIN]],'Novia Web Query'!$A:$E,5,FALSE)</f>
        <v>31/10/2021</v>
      </c>
      <c r="F168" t="str">
        <f>VLOOKUP(NoviaFunds[[#This Row],[Sector]],Sectors[],2,FALSE)</f>
        <v>Gilts</v>
      </c>
    </row>
    <row r="169" spans="1:6" x14ac:dyDescent="0.2">
      <c r="A169" t="str">
        <f>'Novia Web Query'!A169</f>
        <v>GB00BWK26T01</v>
      </c>
      <c r="B169" t="str">
        <f>VLOOKUP(NoviaFunds[[#This Row],[ISIN]],'Novia Web Query'!$A:$E,2,FALSE)</f>
        <v>ASI (AAM) Sterling Government Bond I Inc TR in GB</v>
      </c>
      <c r="C169" t="str">
        <f>VLOOKUP(NoviaFunds[[#This Row],[ISIN]],'Novia Web Query'!$A:$E,3,FALSE)</f>
        <v>UT UK Gilts</v>
      </c>
      <c r="D169" s="139">
        <f>VLOOKUP(NoviaFunds[[#This Row],[ISIN]],'Novia Web Query'!$A:$E,4,FALSE)/100</f>
        <v>2.8999999999999998E-3</v>
      </c>
      <c r="E169" s="3" t="str">
        <f>VLOOKUP(NoviaFunds[[#This Row],[ISIN]],'Novia Web Query'!$A:$E,5,FALSE)</f>
        <v>31/10/2021</v>
      </c>
      <c r="F169" t="str">
        <f>VLOOKUP(NoviaFunds[[#This Row],[Sector]],Sectors[],2,FALSE)</f>
        <v>Gilts</v>
      </c>
    </row>
    <row r="170" spans="1:6" x14ac:dyDescent="0.2">
      <c r="A170" t="str">
        <f>'Novia Web Query'!A170</f>
        <v>GB00B07T4636</v>
      </c>
      <c r="B170" t="str">
        <f>VLOOKUP(NoviaFunds[[#This Row],[ISIN]],'Novia Web Query'!$A:$E,2,FALSE)</f>
        <v>ASI (AAM) UK Smaller Companies A Acc TR in GB</v>
      </c>
      <c r="C170" t="str">
        <f>VLOOKUP(NoviaFunds[[#This Row],[ISIN]],'Novia Web Query'!$A:$E,3,FALSE)</f>
        <v>UT UK Smaller Companies</v>
      </c>
      <c r="D170" s="139">
        <f>VLOOKUP(NoviaFunds[[#This Row],[ISIN]],'Novia Web Query'!$A:$E,4,FALSE)/100</f>
        <v>1.3000000000000001E-2</v>
      </c>
      <c r="E170" s="3" t="str">
        <f>VLOOKUP(NoviaFunds[[#This Row],[ISIN]],'Novia Web Query'!$A:$E,5,FALSE)</f>
        <v>31/07/2021</v>
      </c>
      <c r="F170" t="str">
        <f>VLOOKUP(NoviaFunds[[#This Row],[Sector]],Sectors[],2,FALSE)</f>
        <v>UK Equities</v>
      </c>
    </row>
    <row r="171" spans="1:6" x14ac:dyDescent="0.2">
      <c r="A171" t="str">
        <f>'Novia Web Query'!A171</f>
        <v>GB00B07T4859</v>
      </c>
      <c r="B171" t="str">
        <f>VLOOKUP(NoviaFunds[[#This Row],[ISIN]],'Novia Web Query'!$A:$E,2,FALSE)</f>
        <v>ASI (AAM) UK Smaller Companies I Acc TR in GB</v>
      </c>
      <c r="C171" t="str">
        <f>VLOOKUP(NoviaFunds[[#This Row],[ISIN]],'Novia Web Query'!$A:$E,3,FALSE)</f>
        <v>UT UK Smaller Companies</v>
      </c>
      <c r="D171" s="139">
        <f>VLOOKUP(NoviaFunds[[#This Row],[ISIN]],'Novia Web Query'!$A:$E,4,FALSE)/100</f>
        <v>8.5000000000000006E-3</v>
      </c>
      <c r="E171" s="3" t="str">
        <f>VLOOKUP(NoviaFunds[[#This Row],[ISIN]],'Novia Web Query'!$A:$E,5,FALSE)</f>
        <v>31/07/2021</v>
      </c>
      <c r="F171" t="str">
        <f>VLOOKUP(NoviaFunds[[#This Row],[Sector]],Sectors[],2,FALSE)</f>
        <v>UK Equities</v>
      </c>
    </row>
    <row r="172" spans="1:6" x14ac:dyDescent="0.2">
      <c r="A172" t="str">
        <f>'Novia Web Query'!A172</f>
        <v>GB00BYYR0Y84</v>
      </c>
      <c r="B172" t="str">
        <f>VLOOKUP(NoviaFunds[[#This Row],[ISIN]],'Novia Web Query'!$A:$E,2,FALSE)</f>
        <v>ASI (SLI) Corporate Bond Platform 1 Acc GBP TR in GB**</v>
      </c>
      <c r="C172" t="str">
        <f>VLOOKUP(NoviaFunds[[#This Row],[ISIN]],'Novia Web Query'!$A:$E,3,FALSE)</f>
        <v>UT Sterling Corporate Bond</v>
      </c>
      <c r="D172" s="139">
        <f>VLOOKUP(NoviaFunds[[#This Row],[ISIN]],'Novia Web Query'!$A:$E,4,FALSE)/100</f>
        <v>6.6E-3</v>
      </c>
      <c r="E172" s="3" t="str">
        <f>VLOOKUP(NoviaFunds[[#This Row],[ISIN]],'Novia Web Query'!$A:$E,5,FALSE)</f>
        <v>28/02/2021</v>
      </c>
      <c r="F172" t="str">
        <f>VLOOKUP(NoviaFunds[[#This Row],[Sector]],Sectors[],2,FALSE)</f>
        <v>Sterling Corporate Bonds</v>
      </c>
    </row>
    <row r="173" spans="1:6" x14ac:dyDescent="0.2">
      <c r="A173" t="str">
        <f>'Novia Web Query'!A173</f>
        <v>GB00BYYR0Z91</v>
      </c>
      <c r="B173" t="str">
        <f>VLOOKUP(NoviaFunds[[#This Row],[ISIN]],'Novia Web Query'!$A:$E,2,FALSE)</f>
        <v>ASI (SLI) Corporate Bond Platform 1 Inc GBP TR in GB**</v>
      </c>
      <c r="C173" t="str">
        <f>VLOOKUP(NoviaFunds[[#This Row],[ISIN]],'Novia Web Query'!$A:$E,3,FALSE)</f>
        <v>UT Sterling Corporate Bond</v>
      </c>
      <c r="D173" s="139">
        <f>VLOOKUP(NoviaFunds[[#This Row],[ISIN]],'Novia Web Query'!$A:$E,4,FALSE)/100</f>
        <v>6.6E-3</v>
      </c>
      <c r="E173" s="3" t="str">
        <f>VLOOKUP(NoviaFunds[[#This Row],[ISIN]],'Novia Web Query'!$A:$E,5,FALSE)</f>
        <v>28/02/2021</v>
      </c>
      <c r="F173" t="str">
        <f>VLOOKUP(NoviaFunds[[#This Row],[Sector]],Sectors[],2,FALSE)</f>
        <v>Sterling Corporate Bonds</v>
      </c>
    </row>
    <row r="174" spans="1:6" x14ac:dyDescent="0.2">
      <c r="A174" t="str">
        <f>'Novia Web Query'!A174</f>
        <v>GB00B7ZMKJ84</v>
      </c>
      <c r="B174" t="str">
        <f>VLOOKUP(NoviaFunds[[#This Row],[ISIN]],'Novia Web Query'!$A:$E,2,FALSE)</f>
        <v>ASI (SLI) Emerging Markets Equity Ret Platform 1 Acc GBP in GB</v>
      </c>
      <c r="C174" t="str">
        <f>VLOOKUP(NoviaFunds[[#This Row],[ISIN]],'Novia Web Query'!$A:$E,3,FALSE)</f>
        <v>UT Global Emerging Markets</v>
      </c>
      <c r="D174" s="139">
        <f>VLOOKUP(NoviaFunds[[#This Row],[ISIN]],'Novia Web Query'!$A:$E,4,FALSE)/100</f>
        <v>9.4999999999999998E-3</v>
      </c>
      <c r="E174" s="3" t="str">
        <f>VLOOKUP(NoviaFunds[[#This Row],[ISIN]],'Novia Web Query'!$A:$E,5,FALSE)</f>
        <v>28/02/2021</v>
      </c>
      <c r="F174" t="str">
        <f>VLOOKUP(NoviaFunds[[#This Row],[Sector]],Sectors[],2,FALSE)</f>
        <v>Emerging Markets</v>
      </c>
    </row>
    <row r="175" spans="1:6" x14ac:dyDescent="0.2">
      <c r="A175" t="str">
        <f>'Novia Web Query'!A175</f>
        <v>GB00B7MWXH01</v>
      </c>
      <c r="B175" t="str">
        <f>VLOOKUP(NoviaFunds[[#This Row],[ISIN]],'Novia Web Query'!$A:$E,2,FALSE)</f>
        <v>ASI (SLI) Strategic Bond Platform 1 Acc GBP in GB</v>
      </c>
      <c r="C175" t="str">
        <f>VLOOKUP(NoviaFunds[[#This Row],[ISIN]],'Novia Web Query'!$A:$E,3,FALSE)</f>
        <v>UT Sterling Strategic Bond</v>
      </c>
      <c r="D175" s="139">
        <f>VLOOKUP(NoviaFunds[[#This Row],[ISIN]],'Novia Web Query'!$A:$E,4,FALSE)/100</f>
        <v>6.8000000000000005E-3</v>
      </c>
      <c r="E175" s="3" t="str">
        <f>VLOOKUP(NoviaFunds[[#This Row],[ISIN]],'Novia Web Query'!$A:$E,5,FALSE)</f>
        <v>31/01/2021</v>
      </c>
      <c r="F175" t="str">
        <f>VLOOKUP(NoviaFunds[[#This Row],[Sector]],Sectors[],2,FALSE)</f>
        <v>Other Bonds</v>
      </c>
    </row>
    <row r="176" spans="1:6" x14ac:dyDescent="0.2">
      <c r="A176" t="str">
        <f>'Novia Web Query'!A176</f>
        <v>GB00B6W21135</v>
      </c>
      <c r="B176" t="str">
        <f>VLOOKUP(NoviaFunds[[#This Row],[ISIN]],'Novia Web Query'!$A:$E,2,FALSE)</f>
        <v>ASI (SLI) Strategic Bond Platform 1 Inc GBP TR in GB</v>
      </c>
      <c r="C176" t="str">
        <f>VLOOKUP(NoviaFunds[[#This Row],[ISIN]],'Novia Web Query'!$A:$E,3,FALSE)</f>
        <v>UT Sterling Strategic Bond</v>
      </c>
      <c r="D176" s="139">
        <f>VLOOKUP(NoviaFunds[[#This Row],[ISIN]],'Novia Web Query'!$A:$E,4,FALSE)/100</f>
        <v>6.8000000000000005E-3</v>
      </c>
      <c r="E176" s="3" t="str">
        <f>VLOOKUP(NoviaFunds[[#This Row],[ISIN]],'Novia Web Query'!$A:$E,5,FALSE)</f>
        <v>31/01/2021</v>
      </c>
      <c r="F176" t="str">
        <f>VLOOKUP(NoviaFunds[[#This Row],[Sector]],Sectors[],2,FALSE)</f>
        <v>Other Bonds</v>
      </c>
    </row>
    <row r="177" spans="1:6" x14ac:dyDescent="0.2">
      <c r="A177" t="str">
        <f>'Novia Web Query'!A177</f>
        <v>GB00B3D8LV94</v>
      </c>
      <c r="B177" t="str">
        <f>VLOOKUP(NoviaFunds[[#This Row],[ISIN]],'Novia Web Query'!$A:$E,2,FALSE)</f>
        <v>ASI (SLI) Strategic Bond Ret Acc GBP in GB</v>
      </c>
      <c r="C177" t="str">
        <f>VLOOKUP(NoviaFunds[[#This Row],[ISIN]],'Novia Web Query'!$A:$E,3,FALSE)</f>
        <v>UT Sterling Strategic Bond</v>
      </c>
      <c r="D177" s="139">
        <f>VLOOKUP(NoviaFunds[[#This Row],[ISIN]],'Novia Web Query'!$A:$E,4,FALSE)/100</f>
        <v>1.1000000000000001E-2</v>
      </c>
      <c r="E177" s="3" t="str">
        <f>VLOOKUP(NoviaFunds[[#This Row],[ISIN]],'Novia Web Query'!$A:$E,5,FALSE)</f>
        <v>31/01/2021</v>
      </c>
      <c r="F177" t="str">
        <f>VLOOKUP(NoviaFunds[[#This Row],[Sector]],Sectors[],2,FALSE)</f>
        <v>Other Bonds</v>
      </c>
    </row>
    <row r="178" spans="1:6" x14ac:dyDescent="0.2">
      <c r="A178" t="str">
        <f>'Novia Web Query'!A178</f>
        <v>GB00B3D8LS65</v>
      </c>
      <c r="B178" t="str">
        <f>VLOOKUP(NoviaFunds[[#This Row],[ISIN]],'Novia Web Query'!$A:$E,2,FALSE)</f>
        <v>ASI (SLI) Strategic Bond Ret Inc GBP TR in GB</v>
      </c>
      <c r="C178" t="str">
        <f>VLOOKUP(NoviaFunds[[#This Row],[ISIN]],'Novia Web Query'!$A:$E,3,FALSE)</f>
        <v>UT Sterling Strategic Bond</v>
      </c>
      <c r="D178" s="139">
        <f>VLOOKUP(NoviaFunds[[#This Row],[ISIN]],'Novia Web Query'!$A:$E,4,FALSE)/100</f>
        <v>1.1000000000000001E-2</v>
      </c>
      <c r="E178" s="3" t="str">
        <f>VLOOKUP(NoviaFunds[[#This Row],[ISIN]],'Novia Web Query'!$A:$E,5,FALSE)</f>
        <v>31/01/2021</v>
      </c>
      <c r="F178" t="str">
        <f>VLOOKUP(NoviaFunds[[#This Row],[Sector]],Sectors[],2,FALSE)</f>
        <v>Other Bonds</v>
      </c>
    </row>
    <row r="179" spans="1:6" x14ac:dyDescent="0.2">
      <c r="A179" t="str">
        <f>'Novia Web Query'!A179</f>
        <v>GB0006161516</v>
      </c>
      <c r="B179" t="str">
        <f>VLOOKUP(NoviaFunds[[#This Row],[ISIN]],'Novia Web Query'!$A:$E,2,FALSE)</f>
        <v>ASI AAA Bond Ret Acc GBP in GB</v>
      </c>
      <c r="C179" t="str">
        <f>VLOOKUP(NoviaFunds[[#This Row],[ISIN]],'Novia Web Query'!$A:$E,3,FALSE)</f>
        <v>UT Sterling Corporate Bond</v>
      </c>
      <c r="D179" s="139">
        <f>VLOOKUP(NoviaFunds[[#This Row],[ISIN]],'Novia Web Query'!$A:$E,4,FALSE)/100</f>
        <v>1.03E-2</v>
      </c>
      <c r="E179" s="3" t="str">
        <f>VLOOKUP(NoviaFunds[[#This Row],[ISIN]],'Novia Web Query'!$A:$E,5,FALSE)</f>
        <v>28/02/2021</v>
      </c>
      <c r="F179" t="str">
        <f>VLOOKUP(NoviaFunds[[#This Row],[Sector]],Sectors[],2,FALSE)</f>
        <v>Sterling Corporate Bonds</v>
      </c>
    </row>
    <row r="180" spans="1:6" x14ac:dyDescent="0.2">
      <c r="A180" t="str">
        <f>'Novia Web Query'!A180</f>
        <v>GB0006573108</v>
      </c>
      <c r="B180" t="str">
        <f>VLOOKUP(NoviaFunds[[#This Row],[ISIN]],'Novia Web Query'!$A:$E,2,FALSE)</f>
        <v>ASI AAA Bond Ret Inc GBP TR in GB</v>
      </c>
      <c r="C180" t="str">
        <f>VLOOKUP(NoviaFunds[[#This Row],[ISIN]],'Novia Web Query'!$A:$E,3,FALSE)</f>
        <v>UT Sterling Corporate Bond</v>
      </c>
      <c r="D180" s="139">
        <f>VLOOKUP(NoviaFunds[[#This Row],[ISIN]],'Novia Web Query'!$A:$E,4,FALSE)/100</f>
        <v>1.03E-2</v>
      </c>
      <c r="E180" s="3" t="str">
        <f>VLOOKUP(NoviaFunds[[#This Row],[ISIN]],'Novia Web Query'!$A:$E,5,FALSE)</f>
        <v>28/02/2021</v>
      </c>
      <c r="F180" t="str">
        <f>VLOOKUP(NoviaFunds[[#This Row],[Sector]],Sectors[],2,FALSE)</f>
        <v>Sterling Corporate Bonds</v>
      </c>
    </row>
    <row r="181" spans="1:6" x14ac:dyDescent="0.2">
      <c r="A181" t="str">
        <f>'Novia Web Query'!A181</f>
        <v>GB00B3W48X95</v>
      </c>
      <c r="B181" t="str">
        <f>VLOOKUP(NoviaFunds[[#This Row],[ISIN]],'Novia Web Query'!$A:$E,2,FALSE)</f>
        <v>ASI AAA Bond Ret Platform 1 Acc GBP in GB</v>
      </c>
      <c r="C181" t="str">
        <f>VLOOKUP(NoviaFunds[[#This Row],[ISIN]],'Novia Web Query'!$A:$E,3,FALSE)</f>
        <v>UT Sterling Corporate Bond</v>
      </c>
      <c r="D181" s="139">
        <f>VLOOKUP(NoviaFunds[[#This Row],[ISIN]],'Novia Web Query'!$A:$E,4,FALSE)/100</f>
        <v>6.6E-3</v>
      </c>
      <c r="E181" s="3" t="str">
        <f>VLOOKUP(NoviaFunds[[#This Row],[ISIN]],'Novia Web Query'!$A:$E,5,FALSE)</f>
        <v>28/02/2021</v>
      </c>
      <c r="F181" t="str">
        <f>VLOOKUP(NoviaFunds[[#This Row],[Sector]],Sectors[],2,FALSE)</f>
        <v>Sterling Corporate Bonds</v>
      </c>
    </row>
    <row r="182" spans="1:6" x14ac:dyDescent="0.2">
      <c r="A182" t="str">
        <f>'Novia Web Query'!A182</f>
        <v>GB00B4LQY248</v>
      </c>
      <c r="B182" t="str">
        <f>VLOOKUP(NoviaFunds[[#This Row],[ISIN]],'Novia Web Query'!$A:$E,2,FALSE)</f>
        <v>ASI AAA Bond Ret Platform 1 Inc GBP TR in GB</v>
      </c>
      <c r="C182" t="str">
        <f>VLOOKUP(NoviaFunds[[#This Row],[ISIN]],'Novia Web Query'!$A:$E,3,FALSE)</f>
        <v>UT Sterling Corporate Bond</v>
      </c>
      <c r="D182" s="139">
        <f>VLOOKUP(NoviaFunds[[#This Row],[ISIN]],'Novia Web Query'!$A:$E,4,FALSE)/100</f>
        <v>6.6E-3</v>
      </c>
      <c r="E182" s="3" t="str">
        <f>VLOOKUP(NoviaFunds[[#This Row],[ISIN]],'Novia Web Query'!$A:$E,5,FALSE)</f>
        <v>28/02/2021</v>
      </c>
      <c r="F182" t="str">
        <f>VLOOKUP(NoviaFunds[[#This Row],[Sector]],Sectors[],2,FALSE)</f>
        <v>Sterling Corporate Bonds</v>
      </c>
    </row>
    <row r="183" spans="1:6" x14ac:dyDescent="0.2">
      <c r="A183" t="str">
        <f>'Novia Web Query'!A183</f>
        <v>GB00B0XWN143</v>
      </c>
      <c r="B183" t="str">
        <f>VLOOKUP(NoviaFunds[[#This Row],[ISIN]],'Novia Web Query'!$A:$E,2,FALSE)</f>
        <v>ASI American Equity A Acc in GB</v>
      </c>
      <c r="C183" t="str">
        <f>VLOOKUP(NoviaFunds[[#This Row],[ISIN]],'Novia Web Query'!$A:$E,3,FALSE)</f>
        <v>UT North America</v>
      </c>
      <c r="D183" s="139">
        <f>VLOOKUP(NoviaFunds[[#This Row],[ISIN]],'Novia Web Query'!$A:$E,4,FALSE)/100</f>
        <v>1.32E-2</v>
      </c>
      <c r="E183" s="3" t="str">
        <f>VLOOKUP(NoviaFunds[[#This Row],[ISIN]],'Novia Web Query'!$A:$E,5,FALSE)</f>
        <v>31/07/2021</v>
      </c>
      <c r="F183" t="str">
        <f>VLOOKUP(NoviaFunds[[#This Row],[Sector]],Sectors[],2,FALSE)</f>
        <v>USA Equities</v>
      </c>
    </row>
    <row r="184" spans="1:6" x14ac:dyDescent="0.2">
      <c r="A184" t="str">
        <f>'Novia Web Query'!A184</f>
        <v>GB00BRJL8192</v>
      </c>
      <c r="B184" t="str">
        <f>VLOOKUP(NoviaFunds[[#This Row],[ISIN]],'Novia Web Query'!$A:$E,2,FALSE)</f>
        <v>ASI American Equity Enhanced Index B in GB</v>
      </c>
      <c r="C184" t="str">
        <f>VLOOKUP(NoviaFunds[[#This Row],[ISIN]],'Novia Web Query'!$A:$E,3,FALSE)</f>
        <v>UT North America</v>
      </c>
      <c r="D184" s="139">
        <f>VLOOKUP(NoviaFunds[[#This Row],[ISIN]],'Novia Web Query'!$A:$E,4,FALSE)/100</f>
        <v>2.3E-3</v>
      </c>
      <c r="E184" s="3" t="str">
        <f>VLOOKUP(NoviaFunds[[#This Row],[ISIN]],'Novia Web Query'!$A:$E,5,FALSE)</f>
        <v>31/12/2020</v>
      </c>
      <c r="F184" t="str">
        <f>VLOOKUP(NoviaFunds[[#This Row],[Sector]],Sectors[],2,FALSE)</f>
        <v>USA Equities</v>
      </c>
    </row>
    <row r="185" spans="1:6" x14ac:dyDescent="0.2">
      <c r="A185" t="str">
        <f>'Novia Web Query'!A185</f>
        <v>GB00B0XWN259</v>
      </c>
      <c r="B185" t="str">
        <f>VLOOKUP(NoviaFunds[[#This Row],[ISIN]],'Novia Web Query'!$A:$E,2,FALSE)</f>
        <v>ASI American Equity I Acc in GB</v>
      </c>
      <c r="C185" t="str">
        <f>VLOOKUP(NoviaFunds[[#This Row],[ISIN]],'Novia Web Query'!$A:$E,3,FALSE)</f>
        <v>UT North America</v>
      </c>
      <c r="D185" s="139">
        <f>VLOOKUP(NoviaFunds[[#This Row],[ISIN]],'Novia Web Query'!$A:$E,4,FALSE)/100</f>
        <v>8.6999999999999994E-3</v>
      </c>
      <c r="E185" s="3" t="str">
        <f>VLOOKUP(NoviaFunds[[#This Row],[ISIN]],'Novia Web Query'!$A:$E,5,FALSE)</f>
        <v>31/07/2021</v>
      </c>
      <c r="F185" t="str">
        <f>VLOOKUP(NoviaFunds[[#This Row],[Sector]],Sectors[],2,FALSE)</f>
        <v>USA Equities</v>
      </c>
    </row>
    <row r="186" spans="1:6" x14ac:dyDescent="0.2">
      <c r="A186" t="str">
        <f>'Novia Web Query'!A186</f>
        <v>GB0004483326</v>
      </c>
      <c r="B186" t="str">
        <f>VLOOKUP(NoviaFunds[[#This Row],[ISIN]],'Novia Web Query'!$A:$E,2,FALSE)</f>
        <v>ASI American Unconstrained Equity Ret Acc GBP in GB</v>
      </c>
      <c r="C186" t="str">
        <f>VLOOKUP(NoviaFunds[[#This Row],[ISIN]],'Novia Web Query'!$A:$E,3,FALSE)</f>
        <v>UT North America</v>
      </c>
      <c r="D186" s="139">
        <f>VLOOKUP(NoviaFunds[[#This Row],[ISIN]],'Novia Web Query'!$A:$E,4,FALSE)/100</f>
        <v>1.3500000000000002E-2</v>
      </c>
      <c r="E186" s="3" t="str">
        <f>VLOOKUP(NoviaFunds[[#This Row],[ISIN]],'Novia Web Query'!$A:$E,5,FALSE)</f>
        <v>28/02/2021</v>
      </c>
      <c r="F186" t="str">
        <f>VLOOKUP(NoviaFunds[[#This Row],[Sector]],Sectors[],2,FALSE)</f>
        <v>USA Equities</v>
      </c>
    </row>
    <row r="187" spans="1:6" x14ac:dyDescent="0.2">
      <c r="A187" t="str">
        <f>'Novia Web Query'!A187</f>
        <v>GB00B7JCD629</v>
      </c>
      <c r="B187" t="str">
        <f>VLOOKUP(NoviaFunds[[#This Row],[ISIN]],'Novia Web Query'!$A:$E,2,FALSE)</f>
        <v>ASI American Unconstrained Equity Ret Platform 1 Acc GBP in GB</v>
      </c>
      <c r="C187" t="str">
        <f>VLOOKUP(NoviaFunds[[#This Row],[ISIN]],'Novia Web Query'!$A:$E,3,FALSE)</f>
        <v>UT North America</v>
      </c>
      <c r="D187" s="139">
        <f>VLOOKUP(NoviaFunds[[#This Row],[ISIN]],'Novia Web Query'!$A:$E,4,FALSE)/100</f>
        <v>9.300000000000001E-3</v>
      </c>
      <c r="E187" s="3" t="str">
        <f>VLOOKUP(NoviaFunds[[#This Row],[ISIN]],'Novia Web Query'!$A:$E,5,FALSE)</f>
        <v>28/02/2021</v>
      </c>
      <c r="F187" t="str">
        <f>VLOOKUP(NoviaFunds[[#This Row],[Sector]],Sectors[],2,FALSE)</f>
        <v>USA Equities</v>
      </c>
    </row>
    <row r="188" spans="1:6" x14ac:dyDescent="0.2">
      <c r="A188" t="str">
        <f>'Novia Web Query'!A188</f>
        <v>GB00B0XWNJ21</v>
      </c>
      <c r="B188" t="str">
        <f>VLOOKUP(NoviaFunds[[#This Row],[ISIN]],'Novia Web Query'!$A:$E,2,FALSE)</f>
        <v>ASI Asia Pacific &amp; Japan Equity A Acc TR in GB</v>
      </c>
      <c r="C188" t="str">
        <f>VLOOKUP(NoviaFunds[[#This Row],[ISIN]],'Novia Web Query'!$A:$E,3,FALSE)</f>
        <v>UT Asia Pacific Including Japan</v>
      </c>
      <c r="D188" s="139">
        <f>VLOOKUP(NoviaFunds[[#This Row],[ISIN]],'Novia Web Query'!$A:$E,4,FALSE)/100</f>
        <v>1.32E-2</v>
      </c>
      <c r="E188" s="3" t="str">
        <f>VLOOKUP(NoviaFunds[[#This Row],[ISIN]],'Novia Web Query'!$A:$E,5,FALSE)</f>
        <v>31/10/2021</v>
      </c>
      <c r="F188" t="str">
        <f>VLOOKUP(NoviaFunds[[#This Row],[Sector]],Sectors[],2,FALSE)</f>
        <v>Asia Pacific</v>
      </c>
    </row>
    <row r="189" spans="1:6" x14ac:dyDescent="0.2">
      <c r="A189" t="str">
        <f>'Novia Web Query'!A189</f>
        <v>GB00B0XWNK36</v>
      </c>
      <c r="B189" t="str">
        <f>VLOOKUP(NoviaFunds[[#This Row],[ISIN]],'Novia Web Query'!$A:$E,2,FALSE)</f>
        <v>ASI Asia Pacific &amp; Japan Equity I Acc TR in GB</v>
      </c>
      <c r="C189" t="str">
        <f>VLOOKUP(NoviaFunds[[#This Row],[ISIN]],'Novia Web Query'!$A:$E,3,FALSE)</f>
        <v>UT Asia Pacific Including Japan</v>
      </c>
      <c r="D189" s="139">
        <f>VLOOKUP(NoviaFunds[[#This Row],[ISIN]],'Novia Web Query'!$A:$E,4,FALSE)/100</f>
        <v>8.6999999999999994E-3</v>
      </c>
      <c r="E189" s="3" t="str">
        <f>VLOOKUP(NoviaFunds[[#This Row],[ISIN]],'Novia Web Query'!$A:$E,5,FALSE)</f>
        <v>31/10/2021</v>
      </c>
      <c r="F189" t="str">
        <f>VLOOKUP(NoviaFunds[[#This Row],[Sector]],Sectors[],2,FALSE)</f>
        <v>Asia Pacific</v>
      </c>
    </row>
    <row r="190" spans="1:6" x14ac:dyDescent="0.2">
      <c r="A190" t="str">
        <f>'Novia Web Query'!A190</f>
        <v>GB00B0XWNF82</v>
      </c>
      <c r="B190" t="str">
        <f>VLOOKUP(NoviaFunds[[#This Row],[ISIN]],'Novia Web Query'!$A:$E,2,FALSE)</f>
        <v>ASI Asia Pacific Equity A Acc TR in GB</v>
      </c>
      <c r="C190" t="str">
        <f>VLOOKUP(NoviaFunds[[#This Row],[ISIN]],'Novia Web Query'!$A:$E,3,FALSE)</f>
        <v>UT Asia Pacific Excluding Japan</v>
      </c>
      <c r="D190" s="139">
        <f>VLOOKUP(NoviaFunds[[#This Row],[ISIN]],'Novia Web Query'!$A:$E,4,FALSE)/100</f>
        <v>1.3000000000000001E-2</v>
      </c>
      <c r="E190" s="3" t="str">
        <f>VLOOKUP(NoviaFunds[[#This Row],[ISIN]],'Novia Web Query'!$A:$E,5,FALSE)</f>
        <v>31/10/2021</v>
      </c>
      <c r="F190" t="str">
        <f>VLOOKUP(NoviaFunds[[#This Row],[Sector]],Sectors[],2,FALSE)</f>
        <v>Asia Pacific</v>
      </c>
    </row>
    <row r="191" spans="1:6" x14ac:dyDescent="0.2">
      <c r="A191" t="str">
        <f>'Novia Web Query'!A191</f>
        <v>GB00BRJL7V21</v>
      </c>
      <c r="B191" t="str">
        <f>VLOOKUP(NoviaFunds[[#This Row],[ISIN]],'Novia Web Query'!$A:$E,2,FALSE)</f>
        <v>ASI Asia Pacific Equity Enhanced Index B Acc in GB</v>
      </c>
      <c r="C191" t="str">
        <f>VLOOKUP(NoviaFunds[[#This Row],[ISIN]],'Novia Web Query'!$A:$E,3,FALSE)</f>
        <v>UT Asia Pacific Excluding Japan</v>
      </c>
      <c r="D191" s="139">
        <f>VLOOKUP(NoviaFunds[[#This Row],[ISIN]],'Novia Web Query'!$A:$E,4,FALSE)/100</f>
        <v>2.8999999999999998E-3</v>
      </c>
      <c r="E191" s="3" t="str">
        <f>VLOOKUP(NoviaFunds[[#This Row],[ISIN]],'Novia Web Query'!$A:$E,5,FALSE)</f>
        <v>31/12/2020</v>
      </c>
      <c r="F191" t="str">
        <f>VLOOKUP(NoviaFunds[[#This Row],[Sector]],Sectors[],2,FALSE)</f>
        <v>Asia Pacific</v>
      </c>
    </row>
    <row r="192" spans="1:6" x14ac:dyDescent="0.2">
      <c r="A192" t="str">
        <f>'Novia Web Query'!A192</f>
        <v>GB00B0XWNG99</v>
      </c>
      <c r="B192" t="str">
        <f>VLOOKUP(NoviaFunds[[#This Row],[ISIN]],'Novia Web Query'!$A:$E,2,FALSE)</f>
        <v>ASI Asia Pacific Equity I Acc TR in GB</v>
      </c>
      <c r="C192" t="str">
        <f>VLOOKUP(NoviaFunds[[#This Row],[ISIN]],'Novia Web Query'!$A:$E,3,FALSE)</f>
        <v>UT Asia Pacific Excluding Japan</v>
      </c>
      <c r="D192" s="139">
        <f>VLOOKUP(NoviaFunds[[#This Row],[ISIN]],'Novia Web Query'!$A:$E,4,FALSE)/100</f>
        <v>8.5000000000000006E-3</v>
      </c>
      <c r="E192" s="3" t="str">
        <f>VLOOKUP(NoviaFunds[[#This Row],[ISIN]],'Novia Web Query'!$A:$E,5,FALSE)</f>
        <v>31/10/2021</v>
      </c>
      <c r="F192" t="str">
        <f>VLOOKUP(NoviaFunds[[#This Row],[Sector]],Sectors[],2,FALSE)</f>
        <v>Asia Pacific</v>
      </c>
    </row>
    <row r="193" spans="1:6" x14ac:dyDescent="0.2">
      <c r="A193" t="str">
        <f>'Novia Web Query'!A193</f>
        <v>GB00B88N7058</v>
      </c>
      <c r="B193" t="str">
        <f>VLOOKUP(NoviaFunds[[#This Row],[ISIN]],'Novia Web Query'!$A:$E,2,FALSE)</f>
        <v>ASI Asia Pacific Equity I Inc TR in GB**</v>
      </c>
      <c r="C193" t="str">
        <f>VLOOKUP(NoviaFunds[[#This Row],[ISIN]],'Novia Web Query'!$A:$E,3,FALSE)</f>
        <v>UT Asia Pacific Excluding Japan</v>
      </c>
      <c r="D193" s="139">
        <f>VLOOKUP(NoviaFunds[[#This Row],[ISIN]],'Novia Web Query'!$A:$E,4,FALSE)/100</f>
        <v>8.5000000000000006E-3</v>
      </c>
      <c r="E193" s="3" t="str">
        <f>VLOOKUP(NoviaFunds[[#This Row],[ISIN]],'Novia Web Query'!$A:$E,5,FALSE)</f>
        <v>31/10/2021</v>
      </c>
      <c r="F193" t="str">
        <f>VLOOKUP(NoviaFunds[[#This Row],[Sector]],Sectors[],2,FALSE)</f>
        <v>Asia Pacific</v>
      </c>
    </row>
    <row r="194" spans="1:6" x14ac:dyDescent="0.2">
      <c r="A194" t="str">
        <f>'Novia Web Query'!A194</f>
        <v>GB0004483433</v>
      </c>
      <c r="B194" t="str">
        <f>VLOOKUP(NoviaFunds[[#This Row],[ISIN]],'Novia Web Query'!$A:$E,2,FALSE)</f>
        <v>ASI Asian Pacific Growth Equity Ret Acc GBP in GB</v>
      </c>
      <c r="C194" t="str">
        <f>VLOOKUP(NoviaFunds[[#This Row],[ISIN]],'Novia Web Query'!$A:$E,3,FALSE)</f>
        <v>UT Asia Pacific Excluding Japan</v>
      </c>
      <c r="D194" s="139">
        <f>VLOOKUP(NoviaFunds[[#This Row],[ISIN]],'Novia Web Query'!$A:$E,4,FALSE)/100</f>
        <v>1.44E-2</v>
      </c>
      <c r="E194" s="3" t="str">
        <f>VLOOKUP(NoviaFunds[[#This Row],[ISIN]],'Novia Web Query'!$A:$E,5,FALSE)</f>
        <v>28/02/2021</v>
      </c>
      <c r="F194" t="str">
        <f>VLOOKUP(NoviaFunds[[#This Row],[Sector]],Sectors[],2,FALSE)</f>
        <v>Asia Pacific</v>
      </c>
    </row>
    <row r="195" spans="1:6" x14ac:dyDescent="0.2">
      <c r="A195" t="str">
        <f>'Novia Web Query'!A195</f>
        <v>GB00B7MZSJ60</v>
      </c>
      <c r="B195" t="str">
        <f>VLOOKUP(NoviaFunds[[#This Row],[ISIN]],'Novia Web Query'!$A:$E,2,FALSE)</f>
        <v>ASI Asian Pacific Growth Equity Ret Platform 1 Acc GBP in GB</v>
      </c>
      <c r="C195" t="str">
        <f>VLOOKUP(NoviaFunds[[#This Row],[ISIN]],'Novia Web Query'!$A:$E,3,FALSE)</f>
        <v>UT Asia Pacific Excluding Japan</v>
      </c>
      <c r="D195" s="139">
        <f>VLOOKUP(NoviaFunds[[#This Row],[ISIN]],'Novia Web Query'!$A:$E,4,FALSE)/100</f>
        <v>1.0200000000000001E-2</v>
      </c>
      <c r="E195" s="3" t="str">
        <f>VLOOKUP(NoviaFunds[[#This Row],[ISIN]],'Novia Web Query'!$A:$E,5,FALSE)</f>
        <v>28/02/2021</v>
      </c>
      <c r="F195" t="str">
        <f>VLOOKUP(NoviaFunds[[#This Row],[Sector]],Sectors[],2,FALSE)</f>
        <v>Asia Pacific</v>
      </c>
    </row>
    <row r="196" spans="1:6" x14ac:dyDescent="0.2">
      <c r="A196" t="str">
        <f>'Novia Web Query'!A196</f>
        <v>GB00BJR5NM39</v>
      </c>
      <c r="B196" t="str">
        <f>VLOOKUP(NoviaFunds[[#This Row],[ISIN]],'Novia Web Query'!$A:$E,2,FALSE)</f>
        <v>ASI China A Share Equity I Acc in GB</v>
      </c>
      <c r="C196" t="str">
        <f>VLOOKUP(NoviaFunds[[#This Row],[ISIN]],'Novia Web Query'!$A:$E,3,FALSE)</f>
        <v>UT China/Greater China</v>
      </c>
      <c r="D196" s="139">
        <f>VLOOKUP(NoviaFunds[[#This Row],[ISIN]],'Novia Web Query'!$A:$E,4,FALSE)/100</f>
        <v>1.1899999999999999E-2</v>
      </c>
      <c r="E196" s="3" t="str">
        <f>VLOOKUP(NoviaFunds[[#This Row],[ISIN]],'Novia Web Query'!$A:$E,5,FALSE)</f>
        <v>31/07/2021</v>
      </c>
      <c r="F196" t="str">
        <f>VLOOKUP(NoviaFunds[[#This Row],[Sector]],Sectors[],2,FALSE)</f>
        <v>Asia Pacific</v>
      </c>
    </row>
    <row r="197" spans="1:6" x14ac:dyDescent="0.2">
      <c r="A197" t="str">
        <f>'Novia Web Query'!A197</f>
        <v>GB00BWK26D41</v>
      </c>
      <c r="B197" t="str">
        <f>VLOOKUP(NoviaFunds[[#This Row],[ISIN]],'Novia Web Query'!$A:$E,2,FALSE)</f>
        <v>ASI Corporate Bond A Acc in GB</v>
      </c>
      <c r="C197" t="str">
        <f>VLOOKUP(NoviaFunds[[#This Row],[ISIN]],'Novia Web Query'!$A:$E,3,FALSE)</f>
        <v>UT Sterling Corporate Bond</v>
      </c>
      <c r="D197" s="139">
        <f>VLOOKUP(NoviaFunds[[#This Row],[ISIN]],'Novia Web Query'!$A:$E,4,FALSE)/100</f>
        <v>1.0700000000000001E-2</v>
      </c>
      <c r="E197" s="3" t="str">
        <f>VLOOKUP(NoviaFunds[[#This Row],[ISIN]],'Novia Web Query'!$A:$E,5,FALSE)</f>
        <v>31/07/2021</v>
      </c>
      <c r="F197" t="str">
        <f>VLOOKUP(NoviaFunds[[#This Row],[Sector]],Sectors[],2,FALSE)</f>
        <v>Sterling Corporate Bonds</v>
      </c>
    </row>
    <row r="198" spans="1:6" x14ac:dyDescent="0.2">
      <c r="A198" t="str">
        <f>'Novia Web Query'!A198</f>
        <v>GB00BWK26F64</v>
      </c>
      <c r="B198" t="str">
        <f>VLOOKUP(NoviaFunds[[#This Row],[ISIN]],'Novia Web Query'!$A:$E,2,FALSE)</f>
        <v>ASI Corporate Bond A Inc TR in GB</v>
      </c>
      <c r="C198" t="str">
        <f>VLOOKUP(NoviaFunds[[#This Row],[ISIN]],'Novia Web Query'!$A:$E,3,FALSE)</f>
        <v>UT Sterling Corporate Bond</v>
      </c>
      <c r="D198" s="139">
        <f>VLOOKUP(NoviaFunds[[#This Row],[ISIN]],'Novia Web Query'!$A:$E,4,FALSE)/100</f>
        <v>1.0700000000000001E-2</v>
      </c>
      <c r="E198" s="3" t="str">
        <f>VLOOKUP(NoviaFunds[[#This Row],[ISIN]],'Novia Web Query'!$A:$E,5,FALSE)</f>
        <v>31/07/2021</v>
      </c>
      <c r="F198" t="str">
        <f>VLOOKUP(NoviaFunds[[#This Row],[Sector]],Sectors[],2,FALSE)</f>
        <v>Sterling Corporate Bonds</v>
      </c>
    </row>
    <row r="199" spans="1:6" x14ac:dyDescent="0.2">
      <c r="A199" t="str">
        <f>'Novia Web Query'!A199</f>
        <v>GB00BWK26G71</v>
      </c>
      <c r="B199" t="str">
        <f>VLOOKUP(NoviaFunds[[#This Row],[ISIN]],'Novia Web Query'!$A:$E,2,FALSE)</f>
        <v>ASI Corporate Bond I Acc in GB</v>
      </c>
      <c r="C199" t="str">
        <f>VLOOKUP(NoviaFunds[[#This Row],[ISIN]],'Novia Web Query'!$A:$E,3,FALSE)</f>
        <v>UT Sterling Corporate Bond</v>
      </c>
      <c r="D199" s="139">
        <f>VLOOKUP(NoviaFunds[[#This Row],[ISIN]],'Novia Web Query'!$A:$E,4,FALSE)/100</f>
        <v>6.1999999999999998E-3</v>
      </c>
      <c r="E199" s="3" t="str">
        <f>VLOOKUP(NoviaFunds[[#This Row],[ISIN]],'Novia Web Query'!$A:$E,5,FALSE)</f>
        <v>31/07/2021</v>
      </c>
      <c r="F199" t="str">
        <f>VLOOKUP(NoviaFunds[[#This Row],[Sector]],Sectors[],2,FALSE)</f>
        <v>Sterling Corporate Bonds</v>
      </c>
    </row>
    <row r="200" spans="1:6" x14ac:dyDescent="0.2">
      <c r="A200" t="str">
        <f>'Novia Web Query'!A200</f>
        <v>GB00BWK26J03</v>
      </c>
      <c r="B200" t="str">
        <f>VLOOKUP(NoviaFunds[[#This Row],[ISIN]],'Novia Web Query'!$A:$E,2,FALSE)</f>
        <v>ASI Corporate Bond I Gr Acc in GB</v>
      </c>
      <c r="C200" t="str">
        <f>VLOOKUP(NoviaFunds[[#This Row],[ISIN]],'Novia Web Query'!$A:$E,3,FALSE)</f>
        <v>UT Sterling Corporate Bond</v>
      </c>
      <c r="D200" s="139">
        <f>VLOOKUP(NoviaFunds[[#This Row],[ISIN]],'Novia Web Query'!$A:$E,4,FALSE)/100</f>
        <v>6.1999999999999998E-3</v>
      </c>
      <c r="E200" s="3" t="str">
        <f>VLOOKUP(NoviaFunds[[#This Row],[ISIN]],'Novia Web Query'!$A:$E,5,FALSE)</f>
        <v>31/07/2021</v>
      </c>
      <c r="F200" t="str">
        <f>VLOOKUP(NoviaFunds[[#This Row],[Sector]],Sectors[],2,FALSE)</f>
        <v>Sterling Corporate Bonds</v>
      </c>
    </row>
    <row r="201" spans="1:6" x14ac:dyDescent="0.2">
      <c r="A201" t="str">
        <f>'Novia Web Query'!A201</f>
        <v>GB00BWK26H88</v>
      </c>
      <c r="B201" t="str">
        <f>VLOOKUP(NoviaFunds[[#This Row],[ISIN]],'Novia Web Query'!$A:$E,2,FALSE)</f>
        <v>ASI Corporate Bond I Inc TR in GB</v>
      </c>
      <c r="C201" t="str">
        <f>VLOOKUP(NoviaFunds[[#This Row],[ISIN]],'Novia Web Query'!$A:$E,3,FALSE)</f>
        <v>UT Sterling Corporate Bond</v>
      </c>
      <c r="D201" s="139">
        <f>VLOOKUP(NoviaFunds[[#This Row],[ISIN]],'Novia Web Query'!$A:$E,4,FALSE)/100</f>
        <v>6.1999999999999998E-3</v>
      </c>
      <c r="E201" s="3" t="str">
        <f>VLOOKUP(NoviaFunds[[#This Row],[ISIN]],'Novia Web Query'!$A:$E,5,FALSE)</f>
        <v>31/07/2021</v>
      </c>
      <c r="F201" t="str">
        <f>VLOOKUP(NoviaFunds[[#This Row],[Sector]],Sectors[],2,FALSE)</f>
        <v>Sterling Corporate Bonds</v>
      </c>
    </row>
    <row r="202" spans="1:6" x14ac:dyDescent="0.2">
      <c r="A202" t="str">
        <f>'Novia Web Query'!A202</f>
        <v>GB00B5MNDD51</v>
      </c>
      <c r="B202" t="str">
        <f>VLOOKUP(NoviaFunds[[#This Row],[ISIN]],'Novia Web Query'!$A:$E,2,FALSE)</f>
        <v>ASI Diversified Growth I Acc in GB**</v>
      </c>
      <c r="C202" t="str">
        <f>VLOOKUP(NoviaFunds[[#This Row],[ISIN]],'Novia Web Query'!$A:$E,3,FALSE)</f>
        <v>UT Specialist</v>
      </c>
      <c r="D202" s="139">
        <f>VLOOKUP(NoviaFunds[[#This Row],[ISIN]],'Novia Web Query'!$A:$E,4,FALSE)/100</f>
        <v>6.5000000000000006E-3</v>
      </c>
      <c r="E202" s="3" t="str">
        <f>VLOOKUP(NoviaFunds[[#This Row],[ISIN]],'Novia Web Query'!$A:$E,5,FALSE)</f>
        <v>31/10/2020</v>
      </c>
      <c r="F202" t="str">
        <f>VLOOKUP(NoviaFunds[[#This Row],[Sector]],Sectors[],2,FALSE)</f>
        <v>Specialist</v>
      </c>
    </row>
    <row r="203" spans="1:6" x14ac:dyDescent="0.2">
      <c r="A203" t="str">
        <f>'Novia Web Query'!A203</f>
        <v>GB00B6VCMV18</v>
      </c>
      <c r="B203" t="str">
        <f>VLOOKUP(NoviaFunds[[#This Row],[ISIN]],'Novia Web Query'!$A:$E,2,FALSE)</f>
        <v>ASI Diversified Growth I Inc TR in GB**</v>
      </c>
      <c r="C203" t="str">
        <f>VLOOKUP(NoviaFunds[[#This Row],[ISIN]],'Novia Web Query'!$A:$E,3,FALSE)</f>
        <v>UT Specialist</v>
      </c>
      <c r="D203" s="139">
        <f>VLOOKUP(NoviaFunds[[#This Row],[ISIN]],'Novia Web Query'!$A:$E,4,FALSE)/100</f>
        <v>6.5000000000000006E-3</v>
      </c>
      <c r="E203" s="3" t="str">
        <f>VLOOKUP(NoviaFunds[[#This Row],[ISIN]],'Novia Web Query'!$A:$E,5,FALSE)</f>
        <v>31/10/2020</v>
      </c>
      <c r="F203" t="str">
        <f>VLOOKUP(NoviaFunds[[#This Row],[Sector]],Sectors[],2,FALSE)</f>
        <v>Specialist</v>
      </c>
    </row>
    <row r="204" spans="1:6" x14ac:dyDescent="0.2">
      <c r="A204" t="str">
        <f>'Novia Web Query'!A204</f>
        <v>GB00B1BW3K23</v>
      </c>
      <c r="B204" t="str">
        <f>VLOOKUP(NoviaFunds[[#This Row],[ISIN]],'Novia Web Query'!$A:$E,2,FALSE)</f>
        <v>ASI Diversified Income A Acc in GB</v>
      </c>
      <c r="C204" t="str">
        <f>VLOOKUP(NoviaFunds[[#This Row],[ISIN]],'Novia Web Query'!$A:$E,3,FALSE)</f>
        <v>UT Mixed Investment 20-60% Shares</v>
      </c>
      <c r="D204" s="139">
        <f>VLOOKUP(NoviaFunds[[#This Row],[ISIN]],'Novia Web Query'!$A:$E,4,FALSE)/100</f>
        <v>1.2199999999999999E-2</v>
      </c>
      <c r="E204" s="3" t="str">
        <f>VLOOKUP(NoviaFunds[[#This Row],[ISIN]],'Novia Web Query'!$A:$E,5,FALSE)</f>
        <v>31/07/2021</v>
      </c>
      <c r="F204" t="str">
        <f>VLOOKUP(NoviaFunds[[#This Row],[Sector]],Sectors[],2,FALSE)</f>
        <v>Mixed 20%-60%</v>
      </c>
    </row>
    <row r="205" spans="1:6" x14ac:dyDescent="0.2">
      <c r="A205" t="str">
        <f>'Novia Web Query'!A205</f>
        <v>GB00B1BW3J18</v>
      </c>
      <c r="B205" t="str">
        <f>VLOOKUP(NoviaFunds[[#This Row],[ISIN]],'Novia Web Query'!$A:$E,2,FALSE)</f>
        <v>ASI Diversified Income A Inc TR in GB</v>
      </c>
      <c r="C205" t="str">
        <f>VLOOKUP(NoviaFunds[[#This Row],[ISIN]],'Novia Web Query'!$A:$E,3,FALSE)</f>
        <v>UT Mixed Investment 20-60% Shares</v>
      </c>
      <c r="D205" s="139">
        <f>VLOOKUP(NoviaFunds[[#This Row],[ISIN]],'Novia Web Query'!$A:$E,4,FALSE)/100</f>
        <v>1.2199999999999999E-2</v>
      </c>
      <c r="E205" s="3" t="str">
        <f>VLOOKUP(NoviaFunds[[#This Row],[ISIN]],'Novia Web Query'!$A:$E,5,FALSE)</f>
        <v>31/07/2021</v>
      </c>
      <c r="F205" t="str">
        <f>VLOOKUP(NoviaFunds[[#This Row],[Sector]],Sectors[],2,FALSE)</f>
        <v>Mixed 20%-60%</v>
      </c>
    </row>
    <row r="206" spans="1:6" x14ac:dyDescent="0.2">
      <c r="A206" t="str">
        <f>'Novia Web Query'!A206</f>
        <v>GB00B1C42779</v>
      </c>
      <c r="B206" t="str">
        <f>VLOOKUP(NoviaFunds[[#This Row],[ISIN]],'Novia Web Query'!$A:$E,2,FALSE)</f>
        <v>ASI Diversified Income I Acc in GB</v>
      </c>
      <c r="C206" t="str">
        <f>VLOOKUP(NoviaFunds[[#This Row],[ISIN]],'Novia Web Query'!$A:$E,3,FALSE)</f>
        <v>UT Mixed Investment 20-60% Shares</v>
      </c>
      <c r="D206" s="139">
        <f>VLOOKUP(NoviaFunds[[#This Row],[ISIN]],'Novia Web Query'!$A:$E,4,FALSE)/100</f>
        <v>7.7000000000000002E-3</v>
      </c>
      <c r="E206" s="3" t="str">
        <f>VLOOKUP(NoviaFunds[[#This Row],[ISIN]],'Novia Web Query'!$A:$E,5,FALSE)</f>
        <v>31/07/2021</v>
      </c>
      <c r="F206" t="str">
        <f>VLOOKUP(NoviaFunds[[#This Row],[Sector]],Sectors[],2,FALSE)</f>
        <v>Mixed 20%-60%</v>
      </c>
    </row>
    <row r="207" spans="1:6" x14ac:dyDescent="0.2">
      <c r="A207" t="str">
        <f>'Novia Web Query'!A207</f>
        <v>GB00B1C42886</v>
      </c>
      <c r="B207" t="str">
        <f>VLOOKUP(NoviaFunds[[#This Row],[ISIN]],'Novia Web Query'!$A:$E,2,FALSE)</f>
        <v>ASI Diversified Income I Inc TR in GB**</v>
      </c>
      <c r="C207" t="str">
        <f>VLOOKUP(NoviaFunds[[#This Row],[ISIN]],'Novia Web Query'!$A:$E,3,FALSE)</f>
        <v>UT Mixed Investment 20-60% Shares</v>
      </c>
      <c r="D207" s="139">
        <f>VLOOKUP(NoviaFunds[[#This Row],[ISIN]],'Novia Web Query'!$A:$E,4,FALSE)/100</f>
        <v>7.7000000000000002E-3</v>
      </c>
      <c r="E207" s="3" t="str">
        <f>VLOOKUP(NoviaFunds[[#This Row],[ISIN]],'Novia Web Query'!$A:$E,5,FALSE)</f>
        <v>31/07/2021</v>
      </c>
      <c r="F207" t="str">
        <f>VLOOKUP(NoviaFunds[[#This Row],[Sector]],Sectors[],2,FALSE)</f>
        <v>Mixed 20%-60%</v>
      </c>
    </row>
    <row r="208" spans="1:6" x14ac:dyDescent="0.2">
      <c r="A208" t="str">
        <f>'Novia Web Query'!A208</f>
        <v>GB00B7CMQ047</v>
      </c>
      <c r="B208" t="str">
        <f>VLOOKUP(NoviaFunds[[#This Row],[ISIN]],'Novia Web Query'!$A:$E,2,FALSE)</f>
        <v>ASI Dynamic Distribution Platform 1 Acc GBP in GB</v>
      </c>
      <c r="C208" t="str">
        <f>VLOOKUP(NoviaFunds[[#This Row],[ISIN]],'Novia Web Query'!$A:$E,3,FALSE)</f>
        <v>UT Mixed Investment 20-60% Shares</v>
      </c>
      <c r="D208" s="139">
        <f>VLOOKUP(NoviaFunds[[#This Row],[ISIN]],'Novia Web Query'!$A:$E,4,FALSE)/100</f>
        <v>8.8000000000000005E-3</v>
      </c>
      <c r="E208" s="3" t="str">
        <f>VLOOKUP(NoviaFunds[[#This Row],[ISIN]],'Novia Web Query'!$A:$E,5,FALSE)</f>
        <v>31/03/2021</v>
      </c>
      <c r="F208" t="str">
        <f>VLOOKUP(NoviaFunds[[#This Row],[Sector]],Sectors[],2,FALSE)</f>
        <v>Mixed 20%-60%</v>
      </c>
    </row>
    <row r="209" spans="1:6" x14ac:dyDescent="0.2">
      <c r="A209" t="str">
        <f>'Novia Web Query'!A209</f>
        <v>GB00B7JNXM18</v>
      </c>
      <c r="B209" t="str">
        <f>VLOOKUP(NoviaFunds[[#This Row],[ISIN]],'Novia Web Query'!$A:$E,2,FALSE)</f>
        <v>ASI Dynamic Distribution Platform 1 Inc GBP TR in GB</v>
      </c>
      <c r="C209" t="str">
        <f>VLOOKUP(NoviaFunds[[#This Row],[ISIN]],'Novia Web Query'!$A:$E,3,FALSE)</f>
        <v>UT Mixed Investment 20-60% Shares</v>
      </c>
      <c r="D209" s="139">
        <f>VLOOKUP(NoviaFunds[[#This Row],[ISIN]],'Novia Web Query'!$A:$E,4,FALSE)/100</f>
        <v>8.8000000000000005E-3</v>
      </c>
      <c r="E209" s="3" t="str">
        <f>VLOOKUP(NoviaFunds[[#This Row],[ISIN]],'Novia Web Query'!$A:$E,5,FALSE)</f>
        <v>31/03/2021</v>
      </c>
      <c r="F209" t="str">
        <f>VLOOKUP(NoviaFunds[[#This Row],[Sector]],Sectors[],2,FALSE)</f>
        <v>Mixed 20%-60%</v>
      </c>
    </row>
    <row r="210" spans="1:6" x14ac:dyDescent="0.2">
      <c r="A210" t="str">
        <f>'Novia Web Query'!A210</f>
        <v>GB00B0WS5Y05</v>
      </c>
      <c r="B210" t="str">
        <f>VLOOKUP(NoviaFunds[[#This Row],[ISIN]],'Novia Web Query'!$A:$E,2,FALSE)</f>
        <v>ASI Dynamic Distribution Ret Acc GBP in GB</v>
      </c>
      <c r="C210" t="str">
        <f>VLOOKUP(NoviaFunds[[#This Row],[ISIN]],'Novia Web Query'!$A:$E,3,FALSE)</f>
        <v>UT Mixed Investment 20-60% Shares</v>
      </c>
      <c r="D210" s="139">
        <f>VLOOKUP(NoviaFunds[[#This Row],[ISIN]],'Novia Web Query'!$A:$E,4,FALSE)/100</f>
        <v>1.3000000000000001E-2</v>
      </c>
      <c r="E210" s="3" t="str">
        <f>VLOOKUP(NoviaFunds[[#This Row],[ISIN]],'Novia Web Query'!$A:$E,5,FALSE)</f>
        <v>31/03/2021</v>
      </c>
      <c r="F210" t="str">
        <f>VLOOKUP(NoviaFunds[[#This Row],[Sector]],Sectors[],2,FALSE)</f>
        <v>Mixed 20%-60%</v>
      </c>
    </row>
    <row r="211" spans="1:6" x14ac:dyDescent="0.2">
      <c r="A211" t="str">
        <f>'Novia Web Query'!A211</f>
        <v>GB00B0WS6Q95</v>
      </c>
      <c r="B211" t="str">
        <f>VLOOKUP(NoviaFunds[[#This Row],[ISIN]],'Novia Web Query'!$A:$E,2,FALSE)</f>
        <v>ASI Dynamic Distribution Ret Inc GBP TR in GB</v>
      </c>
      <c r="C211" t="str">
        <f>VLOOKUP(NoviaFunds[[#This Row],[ISIN]],'Novia Web Query'!$A:$E,3,FALSE)</f>
        <v>UT Mixed Investment 20-60% Shares</v>
      </c>
      <c r="D211" s="139">
        <f>VLOOKUP(NoviaFunds[[#This Row],[ISIN]],'Novia Web Query'!$A:$E,4,FALSE)/100</f>
        <v>1.3000000000000001E-2</v>
      </c>
      <c r="E211" s="3" t="str">
        <f>VLOOKUP(NoviaFunds[[#This Row],[ISIN]],'Novia Web Query'!$A:$E,5,FALSE)</f>
        <v>31/03/2021</v>
      </c>
      <c r="F211" t="str">
        <f>VLOOKUP(NoviaFunds[[#This Row],[Sector]],Sectors[],2,FALSE)</f>
        <v>Mixed 20%-60%</v>
      </c>
    </row>
    <row r="212" spans="1:6" x14ac:dyDescent="0.2">
      <c r="A212" t="str">
        <f>'Novia Web Query'!A212</f>
        <v>GB00BFNWYG14</v>
      </c>
      <c r="B212" t="str">
        <f>VLOOKUP(NoviaFunds[[#This Row],[ISIN]],'Novia Web Query'!$A:$E,2,FALSE)</f>
        <v>ASI Dynamic Multi Asset Growth Platform Acc GBP in GB</v>
      </c>
      <c r="C212" t="str">
        <f>VLOOKUP(NoviaFunds[[#This Row],[ISIN]],'Novia Web Query'!$A:$E,3,FALSE)</f>
        <v>UT Specialist</v>
      </c>
      <c r="D212" s="139">
        <f>VLOOKUP(NoviaFunds[[#This Row],[ISIN]],'Novia Web Query'!$A:$E,4,FALSE)/100</f>
        <v>8.3000000000000001E-3</v>
      </c>
      <c r="E212" s="3" t="str">
        <f>VLOOKUP(NoviaFunds[[#This Row],[ISIN]],'Novia Web Query'!$A:$E,5,FALSE)</f>
        <v>30/11/2020</v>
      </c>
      <c r="F212" t="str">
        <f>VLOOKUP(NoviaFunds[[#This Row],[Sector]],Sectors[],2,FALSE)</f>
        <v>Specialist</v>
      </c>
    </row>
    <row r="213" spans="1:6" x14ac:dyDescent="0.2">
      <c r="A213" t="str">
        <f>'Novia Web Query'!A213</f>
        <v>GB00B3MPT513</v>
      </c>
      <c r="B213" t="str">
        <f>VLOOKUP(NoviaFunds[[#This Row],[ISIN]],'Novia Web Query'!$A:$E,2,FALSE)</f>
        <v>ASI Eastern European Equity A Acc in GB</v>
      </c>
      <c r="C213" t="str">
        <f>VLOOKUP(NoviaFunds[[#This Row],[ISIN]],'Novia Web Query'!$A:$E,3,FALSE)</f>
        <v>UT Specialist</v>
      </c>
      <c r="D213" s="139">
        <f>VLOOKUP(NoviaFunds[[#This Row],[ISIN]],'Novia Web Query'!$A:$E,4,FALSE)/100</f>
        <v>1.3899999999999999E-2</v>
      </c>
      <c r="E213" s="3" t="str">
        <f>VLOOKUP(NoviaFunds[[#This Row],[ISIN]],'Novia Web Query'!$A:$E,5,FALSE)</f>
        <v>31/07/2021</v>
      </c>
      <c r="F213" t="str">
        <f>VLOOKUP(NoviaFunds[[#This Row],[Sector]],Sectors[],2,FALSE)</f>
        <v>Specialist</v>
      </c>
    </row>
    <row r="214" spans="1:6" x14ac:dyDescent="0.2">
      <c r="A214" t="str">
        <f>'Novia Web Query'!A214</f>
        <v>GB00B3NC3D74</v>
      </c>
      <c r="B214" t="str">
        <f>VLOOKUP(NoviaFunds[[#This Row],[ISIN]],'Novia Web Query'!$A:$E,2,FALSE)</f>
        <v>ASI Eastern European Equity I Acc in GB**</v>
      </c>
      <c r="C214" t="str">
        <f>VLOOKUP(NoviaFunds[[#This Row],[ISIN]],'Novia Web Query'!$A:$E,3,FALSE)</f>
        <v>UT Specialist</v>
      </c>
      <c r="D214" s="139">
        <f>VLOOKUP(NoviaFunds[[#This Row],[ISIN]],'Novia Web Query'!$A:$E,4,FALSE)/100</f>
        <v>9.3999999999999986E-3</v>
      </c>
      <c r="E214" s="3" t="str">
        <f>VLOOKUP(NoviaFunds[[#This Row],[ISIN]],'Novia Web Query'!$A:$E,5,FALSE)</f>
        <v>31/07/2021</v>
      </c>
      <c r="F214" t="str">
        <f>VLOOKUP(NoviaFunds[[#This Row],[Sector]],Sectors[],2,FALSE)</f>
        <v>Specialist</v>
      </c>
    </row>
    <row r="215" spans="1:6" x14ac:dyDescent="0.2">
      <c r="A215" t="str">
        <f>'Novia Web Query'!A215</f>
        <v>GB00B5BV9P41</v>
      </c>
      <c r="B215" t="str">
        <f>VLOOKUP(NoviaFunds[[#This Row],[ISIN]],'Novia Web Query'!$A:$E,2,FALSE)</f>
        <v>ASI Emerging Markets Bond A Acc in GB</v>
      </c>
      <c r="C215" t="str">
        <f>VLOOKUP(NoviaFunds[[#This Row],[ISIN]],'Novia Web Query'!$A:$E,3,FALSE)</f>
        <v>UT Global EM Bonds - Blended</v>
      </c>
      <c r="D215" s="139">
        <f>VLOOKUP(NoviaFunds[[#This Row],[ISIN]],'Novia Web Query'!$A:$E,4,FALSE)/100</f>
        <v>1.3500000000000002E-2</v>
      </c>
      <c r="E215" s="3" t="str">
        <f>VLOOKUP(NoviaFunds[[#This Row],[ISIN]],'Novia Web Query'!$A:$E,5,FALSE)</f>
        <v>31/07/2021</v>
      </c>
      <c r="F215" t="e">
        <f>VLOOKUP(NoviaFunds[[#This Row],[Sector]],Sectors[],2,FALSE)</f>
        <v>#N/A</v>
      </c>
    </row>
    <row r="216" spans="1:6" x14ac:dyDescent="0.2">
      <c r="A216" t="str">
        <f>'Novia Web Query'!A216</f>
        <v>GB00B59TZP29</v>
      </c>
      <c r="B216" t="str">
        <f>VLOOKUP(NoviaFunds[[#This Row],[ISIN]],'Novia Web Query'!$A:$E,2,FALSE)</f>
        <v>ASI Emerging Markets Bond A Inc TR in GB</v>
      </c>
      <c r="C216" t="str">
        <f>VLOOKUP(NoviaFunds[[#This Row],[ISIN]],'Novia Web Query'!$A:$E,3,FALSE)</f>
        <v>UT Global EM Bonds - Blended</v>
      </c>
      <c r="D216" s="139">
        <f>VLOOKUP(NoviaFunds[[#This Row],[ISIN]],'Novia Web Query'!$A:$E,4,FALSE)/100</f>
        <v>1.3500000000000002E-2</v>
      </c>
      <c r="E216" s="3" t="str">
        <f>VLOOKUP(NoviaFunds[[#This Row],[ISIN]],'Novia Web Query'!$A:$E,5,FALSE)</f>
        <v>31/07/2021</v>
      </c>
      <c r="F216" t="e">
        <f>VLOOKUP(NoviaFunds[[#This Row],[Sector]],Sectors[],2,FALSE)</f>
        <v>#N/A</v>
      </c>
    </row>
    <row r="217" spans="1:6" x14ac:dyDescent="0.2">
      <c r="A217" t="str">
        <f>'Novia Web Query'!A217</f>
        <v>GB00B5L9HN22</v>
      </c>
      <c r="B217" t="str">
        <f>VLOOKUP(NoviaFunds[[#This Row],[ISIN]],'Novia Web Query'!$A:$E,2,FALSE)</f>
        <v>ASI Emerging Markets Bond I Acc in GB</v>
      </c>
      <c r="C217" t="str">
        <f>VLOOKUP(NoviaFunds[[#This Row],[ISIN]],'Novia Web Query'!$A:$E,3,FALSE)</f>
        <v>UT Global EM Bonds - Blended</v>
      </c>
      <c r="D217" s="139">
        <f>VLOOKUP(NoviaFunds[[#This Row],[ISIN]],'Novia Web Query'!$A:$E,4,FALSE)/100</f>
        <v>9.0000000000000011E-3</v>
      </c>
      <c r="E217" s="3" t="str">
        <f>VLOOKUP(NoviaFunds[[#This Row],[ISIN]],'Novia Web Query'!$A:$E,5,FALSE)</f>
        <v>31/07/2021</v>
      </c>
      <c r="F217" t="e">
        <f>VLOOKUP(NoviaFunds[[#This Row],[Sector]],Sectors[],2,FALSE)</f>
        <v>#N/A</v>
      </c>
    </row>
    <row r="218" spans="1:6" x14ac:dyDescent="0.2">
      <c r="A218" t="str">
        <f>'Novia Web Query'!A218</f>
        <v>GB00B5V8SG93</v>
      </c>
      <c r="B218" t="str">
        <f>VLOOKUP(NoviaFunds[[#This Row],[ISIN]],'Novia Web Query'!$A:$E,2,FALSE)</f>
        <v>ASI Emerging Markets Bond I Inc TR in GB**</v>
      </c>
      <c r="C218" t="str">
        <f>VLOOKUP(NoviaFunds[[#This Row],[ISIN]],'Novia Web Query'!$A:$E,3,FALSE)</f>
        <v>UT Global EM Bonds - Blended</v>
      </c>
      <c r="D218" s="139">
        <f>VLOOKUP(NoviaFunds[[#This Row],[ISIN]],'Novia Web Query'!$A:$E,4,FALSE)/100</f>
        <v>9.0000000000000011E-3</v>
      </c>
      <c r="E218" s="3" t="str">
        <f>VLOOKUP(NoviaFunds[[#This Row],[ISIN]],'Novia Web Query'!$A:$E,5,FALSE)</f>
        <v>31/07/2021</v>
      </c>
      <c r="F218" t="e">
        <f>VLOOKUP(NoviaFunds[[#This Row],[Sector]],Sectors[],2,FALSE)</f>
        <v>#N/A</v>
      </c>
    </row>
    <row r="219" spans="1:6" x14ac:dyDescent="0.2">
      <c r="A219" t="str">
        <f>'Novia Web Query'!A219</f>
        <v>GB0033228197</v>
      </c>
      <c r="B219" t="str">
        <f>VLOOKUP(NoviaFunds[[#This Row],[ISIN]],'Novia Web Query'!$A:$E,2,FALSE)</f>
        <v>ASI Emerging Markets Equity A Acc TR in GB</v>
      </c>
      <c r="C219" t="str">
        <f>VLOOKUP(NoviaFunds[[#This Row],[ISIN]],'Novia Web Query'!$A:$E,3,FALSE)</f>
        <v>UT Global Emerging Markets</v>
      </c>
      <c r="D219" s="139">
        <f>VLOOKUP(NoviaFunds[[#This Row],[ISIN]],'Novia Web Query'!$A:$E,4,FALSE)/100</f>
        <v>1.3300000000000001E-2</v>
      </c>
      <c r="E219" s="3" t="str">
        <f>VLOOKUP(NoviaFunds[[#This Row],[ISIN]],'Novia Web Query'!$A:$E,5,FALSE)</f>
        <v>31/10/2021</v>
      </c>
      <c r="F219" t="str">
        <f>VLOOKUP(NoviaFunds[[#This Row],[Sector]],Sectors[],2,FALSE)</f>
        <v>Emerging Markets</v>
      </c>
    </row>
    <row r="220" spans="1:6" x14ac:dyDescent="0.2">
      <c r="A220" t="str">
        <f>'Novia Web Query'!A220</f>
        <v>GB0033309310</v>
      </c>
      <c r="B220" t="str">
        <f>VLOOKUP(NoviaFunds[[#This Row],[ISIN]],'Novia Web Query'!$A:$E,2,FALSE)</f>
        <v>ASI Emerging Markets Equity Enhanced Index A GBP in GB</v>
      </c>
      <c r="C220" t="str">
        <f>VLOOKUP(NoviaFunds[[#This Row],[ISIN]],'Novia Web Query'!$A:$E,3,FALSE)</f>
        <v>UT Global Emerging Markets</v>
      </c>
      <c r="D220" s="139">
        <f>VLOOKUP(NoviaFunds[[#This Row],[ISIN]],'Novia Web Query'!$A:$E,4,FALSE)/100</f>
        <v>6.3E-3</v>
      </c>
      <c r="E220" s="3" t="str">
        <f>VLOOKUP(NoviaFunds[[#This Row],[ISIN]],'Novia Web Query'!$A:$E,5,FALSE)</f>
        <v>31/01/2021</v>
      </c>
      <c r="F220" t="str">
        <f>VLOOKUP(NoviaFunds[[#This Row],[Sector]],Sectors[],2,FALSE)</f>
        <v>Emerging Markets</v>
      </c>
    </row>
    <row r="221" spans="1:6" x14ac:dyDescent="0.2">
      <c r="A221" t="str">
        <f>'Novia Web Query'!A221</f>
        <v>GB0033309757</v>
      </c>
      <c r="B221" t="str">
        <f>VLOOKUP(NoviaFunds[[#This Row],[ISIN]],'Novia Web Query'!$A:$E,2,FALSE)</f>
        <v>ASI Emerging Markets Equity Enhanced Index B GBP in GB**</v>
      </c>
      <c r="C221" t="str">
        <f>VLOOKUP(NoviaFunds[[#This Row],[ISIN]],'Novia Web Query'!$A:$E,3,FALSE)</f>
        <v>UT Global Emerging Markets</v>
      </c>
      <c r="D221" s="139">
        <f>VLOOKUP(NoviaFunds[[#This Row],[ISIN]],'Novia Web Query'!$A:$E,4,FALSE)/100</f>
        <v>6.3E-3</v>
      </c>
      <c r="E221" s="3" t="str">
        <f>VLOOKUP(NoviaFunds[[#This Row],[ISIN]],'Novia Web Query'!$A:$E,5,FALSE)</f>
        <v>31/01/2021</v>
      </c>
      <c r="F221" t="str">
        <f>VLOOKUP(NoviaFunds[[#This Row],[Sector]],Sectors[],2,FALSE)</f>
        <v>Emerging Markets</v>
      </c>
    </row>
    <row r="222" spans="1:6" x14ac:dyDescent="0.2">
      <c r="A222" t="str">
        <f>'Novia Web Query'!A222</f>
        <v>GB0033227561</v>
      </c>
      <c r="B222" t="str">
        <f>VLOOKUP(NoviaFunds[[#This Row],[ISIN]],'Novia Web Query'!$A:$E,2,FALSE)</f>
        <v>ASI Emerging Markets Equity I Acc TR in GB</v>
      </c>
      <c r="C222" t="str">
        <f>VLOOKUP(NoviaFunds[[#This Row],[ISIN]],'Novia Web Query'!$A:$E,3,FALSE)</f>
        <v>UT Global Emerging Markets</v>
      </c>
      <c r="D222" s="139">
        <f>VLOOKUP(NoviaFunds[[#This Row],[ISIN]],'Novia Web Query'!$A:$E,4,FALSE)/100</f>
        <v>8.8000000000000005E-3</v>
      </c>
      <c r="E222" s="3" t="str">
        <f>VLOOKUP(NoviaFunds[[#This Row],[ISIN]],'Novia Web Query'!$A:$E,5,FALSE)</f>
        <v>31/10/2021</v>
      </c>
      <c r="F222" t="str">
        <f>VLOOKUP(NoviaFunds[[#This Row],[Sector]],Sectors[],2,FALSE)</f>
        <v>Emerging Markets</v>
      </c>
    </row>
    <row r="223" spans="1:6" x14ac:dyDescent="0.2">
      <c r="A223" t="str">
        <f>'Novia Web Query'!A223</f>
        <v>GB00B8B02G41</v>
      </c>
      <c r="B223" t="str">
        <f>VLOOKUP(NoviaFunds[[#This Row],[ISIN]],'Novia Web Query'!$A:$E,2,FALSE)</f>
        <v>ASI Emerging Markets Income Equity Ret Platform 1 Acc GBP in GB</v>
      </c>
      <c r="C223" t="str">
        <f>VLOOKUP(NoviaFunds[[#This Row],[ISIN]],'Novia Web Query'!$A:$E,3,FALSE)</f>
        <v>UT Global Emerging Markets</v>
      </c>
      <c r="D223" s="139">
        <f>VLOOKUP(NoviaFunds[[#This Row],[ISIN]],'Novia Web Query'!$A:$E,4,FALSE)/100</f>
        <v>9.300000000000001E-3</v>
      </c>
      <c r="E223" s="3" t="str">
        <f>VLOOKUP(NoviaFunds[[#This Row],[ISIN]],'Novia Web Query'!$A:$E,5,FALSE)</f>
        <v>28/02/2021</v>
      </c>
      <c r="F223" t="str">
        <f>VLOOKUP(NoviaFunds[[#This Row],[Sector]],Sectors[],2,FALSE)</f>
        <v>Emerging Markets</v>
      </c>
    </row>
    <row r="224" spans="1:6" x14ac:dyDescent="0.2">
      <c r="A224" t="str">
        <f>'Novia Web Query'!A224</f>
        <v>GB00B8N1FM23</v>
      </c>
      <c r="B224" t="str">
        <f>VLOOKUP(NoviaFunds[[#This Row],[ISIN]],'Novia Web Query'!$A:$E,2,FALSE)</f>
        <v>ASI Emerging Markets Income Equity Ret Platform 1 Inc GBP TR in GB</v>
      </c>
      <c r="C224" t="str">
        <f>VLOOKUP(NoviaFunds[[#This Row],[ISIN]],'Novia Web Query'!$A:$E,3,FALSE)</f>
        <v>UT Global Emerging Markets</v>
      </c>
      <c r="D224" s="139">
        <f>VLOOKUP(NoviaFunds[[#This Row],[ISIN]],'Novia Web Query'!$A:$E,4,FALSE)/100</f>
        <v>9.300000000000001E-3</v>
      </c>
      <c r="E224" s="3" t="str">
        <f>VLOOKUP(NoviaFunds[[#This Row],[ISIN]],'Novia Web Query'!$A:$E,5,FALSE)</f>
        <v>28/02/2021</v>
      </c>
      <c r="F224" t="str">
        <f>VLOOKUP(NoviaFunds[[#This Row],[Sector]],Sectors[],2,FALSE)</f>
        <v>Emerging Markets</v>
      </c>
    </row>
    <row r="225" spans="1:6" x14ac:dyDescent="0.2">
      <c r="A225" t="str">
        <f>'Novia Web Query'!A225</f>
        <v>GB00B0LNNK80</v>
      </c>
      <c r="B225" t="str">
        <f>VLOOKUP(NoviaFunds[[#This Row],[ISIN]],'Novia Web Query'!$A:$E,2,FALSE)</f>
        <v>ASI Ethical Corporate Bond Inst Acc GBP in GB</v>
      </c>
      <c r="C225" t="str">
        <f>VLOOKUP(NoviaFunds[[#This Row],[ISIN]],'Novia Web Query'!$A:$E,3,FALSE)</f>
        <v>UT Sterling Corporate Bond</v>
      </c>
      <c r="D225" s="139">
        <f>VLOOKUP(NoviaFunds[[#This Row],[ISIN]],'Novia Web Query'!$A:$E,4,FALSE)/100</f>
        <v>6.0999999999999995E-3</v>
      </c>
      <c r="E225" s="3" t="str">
        <f>VLOOKUP(NoviaFunds[[#This Row],[ISIN]],'Novia Web Query'!$A:$E,5,FALSE)</f>
        <v>30/11/2020</v>
      </c>
      <c r="F225" t="str">
        <f>VLOOKUP(NoviaFunds[[#This Row],[Sector]],Sectors[],2,FALSE)</f>
        <v>Sterling Corporate Bonds</v>
      </c>
    </row>
    <row r="226" spans="1:6" x14ac:dyDescent="0.2">
      <c r="A226" t="str">
        <f>'Novia Web Query'!A226</f>
        <v>GB00B0LNNL97</v>
      </c>
      <c r="B226" t="str">
        <f>VLOOKUP(NoviaFunds[[#This Row],[ISIN]],'Novia Web Query'!$A:$E,2,FALSE)</f>
        <v>ASI Ethical Corporate Bond Inst Inc GBP TR in GB</v>
      </c>
      <c r="C226" t="str">
        <f>VLOOKUP(NoviaFunds[[#This Row],[ISIN]],'Novia Web Query'!$A:$E,3,FALSE)</f>
        <v>UT Sterling Corporate Bond</v>
      </c>
      <c r="D226" s="139">
        <f>VLOOKUP(NoviaFunds[[#This Row],[ISIN]],'Novia Web Query'!$A:$E,4,FALSE)/100</f>
        <v>6.0999999999999995E-3</v>
      </c>
      <c r="E226" s="3" t="str">
        <f>VLOOKUP(NoviaFunds[[#This Row],[ISIN]],'Novia Web Query'!$A:$E,5,FALSE)</f>
        <v>30/11/2020</v>
      </c>
      <c r="F226" t="str">
        <f>VLOOKUP(NoviaFunds[[#This Row],[Sector]],Sectors[],2,FALSE)</f>
        <v>Sterling Corporate Bonds</v>
      </c>
    </row>
    <row r="227" spans="1:6" x14ac:dyDescent="0.2">
      <c r="A227" t="str">
        <f>'Novia Web Query'!A227</f>
        <v>GB00B708KW45</v>
      </c>
      <c r="B227" t="str">
        <f>VLOOKUP(NoviaFunds[[#This Row],[ISIN]],'Novia Web Query'!$A:$E,2,FALSE)</f>
        <v>ASI Ethical Corporate Bond Platform 1 Acc GBP in GB</v>
      </c>
      <c r="C227" t="str">
        <f>VLOOKUP(NoviaFunds[[#This Row],[ISIN]],'Novia Web Query'!$A:$E,3,FALSE)</f>
        <v>UT Sterling Corporate Bond</v>
      </c>
      <c r="D227" s="139">
        <f>VLOOKUP(NoviaFunds[[#This Row],[ISIN]],'Novia Web Query'!$A:$E,4,FALSE)/100</f>
        <v>6.6E-3</v>
      </c>
      <c r="E227" s="3" t="str">
        <f>VLOOKUP(NoviaFunds[[#This Row],[ISIN]],'Novia Web Query'!$A:$E,5,FALSE)</f>
        <v>30/11/2020</v>
      </c>
      <c r="F227" t="str">
        <f>VLOOKUP(NoviaFunds[[#This Row],[Sector]],Sectors[],2,FALSE)</f>
        <v>Sterling Corporate Bonds</v>
      </c>
    </row>
    <row r="228" spans="1:6" x14ac:dyDescent="0.2">
      <c r="A228" t="str">
        <f>'Novia Web Query'!A228</f>
        <v>GB00B4LQ8T99</v>
      </c>
      <c r="B228" t="str">
        <f>VLOOKUP(NoviaFunds[[#This Row],[ISIN]],'Novia Web Query'!$A:$E,2,FALSE)</f>
        <v>ASI Ethical Corporate Bond Platform 1 Inc GBP TR in GB</v>
      </c>
      <c r="C228" t="str">
        <f>VLOOKUP(NoviaFunds[[#This Row],[ISIN]],'Novia Web Query'!$A:$E,3,FALSE)</f>
        <v>UT Sterling Corporate Bond</v>
      </c>
      <c r="D228" s="139">
        <f>VLOOKUP(NoviaFunds[[#This Row],[ISIN]],'Novia Web Query'!$A:$E,4,FALSE)/100</f>
        <v>6.6E-3</v>
      </c>
      <c r="E228" s="3" t="str">
        <f>VLOOKUP(NoviaFunds[[#This Row],[ISIN]],'Novia Web Query'!$A:$E,5,FALSE)</f>
        <v>30/11/2020</v>
      </c>
      <c r="F228" t="str">
        <f>VLOOKUP(NoviaFunds[[#This Row],[Sector]],Sectors[],2,FALSE)</f>
        <v>Sterling Corporate Bonds</v>
      </c>
    </row>
    <row r="229" spans="1:6" x14ac:dyDescent="0.2">
      <c r="A229" t="str">
        <f>'Novia Web Query'!A229</f>
        <v>GB00B0LNNH51</v>
      </c>
      <c r="B229" t="str">
        <f>VLOOKUP(NoviaFunds[[#This Row],[ISIN]],'Novia Web Query'!$A:$E,2,FALSE)</f>
        <v>ASI Ethical Corporate Bond Ret Acc GBP in GB</v>
      </c>
      <c r="C229" t="str">
        <f>VLOOKUP(NoviaFunds[[#This Row],[ISIN]],'Novia Web Query'!$A:$E,3,FALSE)</f>
        <v>UT Sterling Corporate Bond</v>
      </c>
      <c r="D229" s="139">
        <f>VLOOKUP(NoviaFunds[[#This Row],[ISIN]],'Novia Web Query'!$A:$E,4,FALSE)/100</f>
        <v>1.03E-2</v>
      </c>
      <c r="E229" s="3" t="str">
        <f>VLOOKUP(NoviaFunds[[#This Row],[ISIN]],'Novia Web Query'!$A:$E,5,FALSE)</f>
        <v>30/11/2020</v>
      </c>
      <c r="F229" t="str">
        <f>VLOOKUP(NoviaFunds[[#This Row],[Sector]],Sectors[],2,FALSE)</f>
        <v>Sterling Corporate Bonds</v>
      </c>
    </row>
    <row r="230" spans="1:6" x14ac:dyDescent="0.2">
      <c r="A230" t="str">
        <f>'Novia Web Query'!A230</f>
        <v>GB00B0LNNJ75</v>
      </c>
      <c r="B230" t="str">
        <f>VLOOKUP(NoviaFunds[[#This Row],[ISIN]],'Novia Web Query'!$A:$E,2,FALSE)</f>
        <v>ASI Ethical Corporate Bond Ret Inc GBP TR in GB</v>
      </c>
      <c r="C230" t="str">
        <f>VLOOKUP(NoviaFunds[[#This Row],[ISIN]],'Novia Web Query'!$A:$E,3,FALSE)</f>
        <v>UT Sterling Corporate Bond</v>
      </c>
      <c r="D230" s="139">
        <f>VLOOKUP(NoviaFunds[[#This Row],[ISIN]],'Novia Web Query'!$A:$E,4,FALSE)/100</f>
        <v>1.03E-2</v>
      </c>
      <c r="E230" s="3" t="str">
        <f>VLOOKUP(NoviaFunds[[#This Row],[ISIN]],'Novia Web Query'!$A:$E,5,FALSE)</f>
        <v>30/11/2020</v>
      </c>
      <c r="F230" t="str">
        <f>VLOOKUP(NoviaFunds[[#This Row],[Sector]],Sectors[],2,FALSE)</f>
        <v>Sterling Corporate Bonds</v>
      </c>
    </row>
    <row r="231" spans="1:6" x14ac:dyDescent="0.2">
      <c r="A231" t="str">
        <f>'Novia Web Query'!A231</f>
        <v>GB00B0LG6N13</v>
      </c>
      <c r="B231" t="str">
        <f>VLOOKUP(NoviaFunds[[#This Row],[ISIN]],'Novia Web Query'!$A:$E,2,FALSE)</f>
        <v>ASI Europe ex UK Equity A Acc in GB</v>
      </c>
      <c r="C231" t="str">
        <f>VLOOKUP(NoviaFunds[[#This Row],[ISIN]],'Novia Web Query'!$A:$E,3,FALSE)</f>
        <v>UT Europe Excluding UK</v>
      </c>
      <c r="D231" s="139">
        <f>VLOOKUP(NoviaFunds[[#This Row],[ISIN]],'Novia Web Query'!$A:$E,4,FALSE)/100</f>
        <v>1.32E-2</v>
      </c>
      <c r="E231" s="3" t="str">
        <f>VLOOKUP(NoviaFunds[[#This Row],[ISIN]],'Novia Web Query'!$A:$E,5,FALSE)</f>
        <v>31/07/2021</v>
      </c>
      <c r="F231" t="str">
        <f>VLOOKUP(NoviaFunds[[#This Row],[Sector]],Sectors[],2,FALSE)</f>
        <v>European Equities</v>
      </c>
    </row>
    <row r="232" spans="1:6" x14ac:dyDescent="0.2">
      <c r="A232" t="str">
        <f>'Novia Web Query'!A232</f>
        <v>GB00B0LG6P37</v>
      </c>
      <c r="B232" t="str">
        <f>VLOOKUP(NoviaFunds[[#This Row],[ISIN]],'Novia Web Query'!$A:$E,2,FALSE)</f>
        <v>ASI Europe ex UK Equity I Acc in GB</v>
      </c>
      <c r="C232" t="str">
        <f>VLOOKUP(NoviaFunds[[#This Row],[ISIN]],'Novia Web Query'!$A:$E,3,FALSE)</f>
        <v>UT Europe Excluding UK</v>
      </c>
      <c r="D232" s="139">
        <f>VLOOKUP(NoviaFunds[[#This Row],[ISIN]],'Novia Web Query'!$A:$E,4,FALSE)/100</f>
        <v>8.6999999999999994E-3</v>
      </c>
      <c r="E232" s="3" t="str">
        <f>VLOOKUP(NoviaFunds[[#This Row],[ISIN]],'Novia Web Query'!$A:$E,5,FALSE)</f>
        <v>31/07/2021</v>
      </c>
      <c r="F232" t="str">
        <f>VLOOKUP(NoviaFunds[[#This Row],[Sector]],Sectors[],2,FALSE)</f>
        <v>European Equities</v>
      </c>
    </row>
    <row r="233" spans="1:6" x14ac:dyDescent="0.2">
      <c r="A233" t="str">
        <f>'Novia Web Query'!A233</f>
        <v>GB00B1ZB0P99</v>
      </c>
      <c r="B233" t="str">
        <f>VLOOKUP(NoviaFunds[[#This Row],[ISIN]],'Novia Web Query'!$A:$E,2,FALSE)</f>
        <v>ASI Europe ex UK Ethical Equity Inst Acc GBP in GB</v>
      </c>
      <c r="C233" t="str">
        <f>VLOOKUP(NoviaFunds[[#This Row],[ISIN]],'Novia Web Query'!$A:$E,3,FALSE)</f>
        <v>UT Europe Excluding UK</v>
      </c>
      <c r="D233" s="139">
        <f>VLOOKUP(NoviaFunds[[#This Row],[ISIN]],'Novia Web Query'!$A:$E,4,FALSE)/100</f>
        <v>8.6999999999999994E-3</v>
      </c>
      <c r="E233" s="3" t="str">
        <f>VLOOKUP(NoviaFunds[[#This Row],[ISIN]],'Novia Web Query'!$A:$E,5,FALSE)</f>
        <v>30/11/2020</v>
      </c>
      <c r="F233" t="str">
        <f>VLOOKUP(NoviaFunds[[#This Row],[Sector]],Sectors[],2,FALSE)</f>
        <v>European Equities</v>
      </c>
    </row>
    <row r="234" spans="1:6" x14ac:dyDescent="0.2">
      <c r="A234" t="str">
        <f>'Novia Web Query'!A234</f>
        <v>GB00B3N24788</v>
      </c>
      <c r="B234" t="str">
        <f>VLOOKUP(NoviaFunds[[#This Row],[ISIN]],'Novia Web Query'!$A:$E,2,FALSE)</f>
        <v>ASI Europe ex UK Ethical Equity Platform 1 Acc GBP in GB</v>
      </c>
      <c r="C234" t="str">
        <f>VLOOKUP(NoviaFunds[[#This Row],[ISIN]],'Novia Web Query'!$A:$E,3,FALSE)</f>
        <v>UT Europe Excluding UK</v>
      </c>
      <c r="D234" s="139">
        <f>VLOOKUP(NoviaFunds[[#This Row],[ISIN]],'Novia Web Query'!$A:$E,4,FALSE)/100</f>
        <v>9.1999999999999998E-3</v>
      </c>
      <c r="E234" s="3" t="str">
        <f>VLOOKUP(NoviaFunds[[#This Row],[ISIN]],'Novia Web Query'!$A:$E,5,FALSE)</f>
        <v>30/11/2020</v>
      </c>
      <c r="F234" t="str">
        <f>VLOOKUP(NoviaFunds[[#This Row],[Sector]],Sectors[],2,FALSE)</f>
        <v>European Equities</v>
      </c>
    </row>
    <row r="235" spans="1:6" x14ac:dyDescent="0.2">
      <c r="A235" t="str">
        <f>'Novia Web Query'!A235</f>
        <v>GB00B1ZB0M68</v>
      </c>
      <c r="B235" t="str">
        <f>VLOOKUP(NoviaFunds[[#This Row],[ISIN]],'Novia Web Query'!$A:$E,2,FALSE)</f>
        <v>ASI Europe ex UK Ethical Equity Ret Acc GBP in GB</v>
      </c>
      <c r="C235" t="str">
        <f>VLOOKUP(NoviaFunds[[#This Row],[ISIN]],'Novia Web Query'!$A:$E,3,FALSE)</f>
        <v>UT Europe Excluding UK</v>
      </c>
      <c r="D235" s="139">
        <f>VLOOKUP(NoviaFunds[[#This Row],[ISIN]],'Novia Web Query'!$A:$E,4,FALSE)/100</f>
        <v>1.34E-2</v>
      </c>
      <c r="E235" s="3" t="str">
        <f>VLOOKUP(NoviaFunds[[#This Row],[ISIN]],'Novia Web Query'!$A:$E,5,FALSE)</f>
        <v>30/11/2020</v>
      </c>
      <c r="F235" t="str">
        <f>VLOOKUP(NoviaFunds[[#This Row],[Sector]],Sectors[],2,FALSE)</f>
        <v>European Equities</v>
      </c>
    </row>
    <row r="236" spans="1:6" x14ac:dyDescent="0.2">
      <c r="A236" t="str">
        <f>'Novia Web Query'!A236</f>
        <v>GB0004483102</v>
      </c>
      <c r="B236" t="str">
        <f>VLOOKUP(NoviaFunds[[#This Row],[ISIN]],'Novia Web Query'!$A:$E,2,FALSE)</f>
        <v>ASI Europe ex UK Growth Equity Inst Acc GBP in GB</v>
      </c>
      <c r="C236" t="str">
        <f>VLOOKUP(NoviaFunds[[#This Row],[ISIN]],'Novia Web Query'!$A:$E,3,FALSE)</f>
        <v>UT Europe Excluding UK</v>
      </c>
      <c r="D236" s="139">
        <f>VLOOKUP(NoviaFunds[[#This Row],[ISIN]],'Novia Web Query'!$A:$E,4,FALSE)/100</f>
        <v>8.8000000000000005E-3</v>
      </c>
      <c r="E236" s="3" t="str">
        <f>VLOOKUP(NoviaFunds[[#This Row],[ISIN]],'Novia Web Query'!$A:$E,5,FALSE)</f>
        <v>28/02/2021</v>
      </c>
      <c r="F236" t="str">
        <f>VLOOKUP(NoviaFunds[[#This Row],[Sector]],Sectors[],2,FALSE)</f>
        <v>European Equities</v>
      </c>
    </row>
    <row r="237" spans="1:6" x14ac:dyDescent="0.2">
      <c r="A237" t="str">
        <f>'Novia Web Query'!A237</f>
        <v>GB0004483870</v>
      </c>
      <c r="B237" t="str">
        <f>VLOOKUP(NoviaFunds[[#This Row],[ISIN]],'Novia Web Query'!$A:$E,2,FALSE)</f>
        <v>ASI Europe ex UK Growth Equity Ret Acc GBP in GB</v>
      </c>
      <c r="C237" t="str">
        <f>VLOOKUP(NoviaFunds[[#This Row],[ISIN]],'Novia Web Query'!$A:$E,3,FALSE)</f>
        <v>UT Europe Excluding UK</v>
      </c>
      <c r="D237" s="139">
        <f>VLOOKUP(NoviaFunds[[#This Row],[ISIN]],'Novia Web Query'!$A:$E,4,FALSE)/100</f>
        <v>1.3500000000000002E-2</v>
      </c>
      <c r="E237" s="3" t="str">
        <f>VLOOKUP(NoviaFunds[[#This Row],[ISIN]],'Novia Web Query'!$A:$E,5,FALSE)</f>
        <v>28/02/2021</v>
      </c>
      <c r="F237" t="str">
        <f>VLOOKUP(NoviaFunds[[#This Row],[Sector]],Sectors[],2,FALSE)</f>
        <v>European Equities</v>
      </c>
    </row>
    <row r="238" spans="1:6" x14ac:dyDescent="0.2">
      <c r="A238" t="str">
        <f>'Novia Web Query'!A238</f>
        <v>GB00B72RVY84</v>
      </c>
      <c r="B238" t="str">
        <f>VLOOKUP(NoviaFunds[[#This Row],[ISIN]],'Novia Web Query'!$A:$E,2,FALSE)</f>
        <v>ASI Europe ex UK Growth Equity Ret Platform 1 Acc GBP in GB</v>
      </c>
      <c r="C238" t="str">
        <f>VLOOKUP(NoviaFunds[[#This Row],[ISIN]],'Novia Web Query'!$A:$E,3,FALSE)</f>
        <v>UT Europe Excluding UK</v>
      </c>
      <c r="D238" s="139">
        <f>VLOOKUP(NoviaFunds[[#This Row],[ISIN]],'Novia Web Query'!$A:$E,4,FALSE)/100</f>
        <v>9.300000000000001E-3</v>
      </c>
      <c r="E238" s="3" t="str">
        <f>VLOOKUP(NoviaFunds[[#This Row],[ISIN]],'Novia Web Query'!$A:$E,5,FALSE)</f>
        <v>28/02/2021</v>
      </c>
      <c r="F238" t="str">
        <f>VLOOKUP(NoviaFunds[[#This Row],[Sector]],Sectors[],2,FALSE)</f>
        <v>European Equities</v>
      </c>
    </row>
    <row r="239" spans="1:6" x14ac:dyDescent="0.2">
      <c r="A239" t="str">
        <f>'Novia Web Query'!A239</f>
        <v>GB00B3L7SB79</v>
      </c>
      <c r="B239" t="str">
        <f>VLOOKUP(NoviaFunds[[#This Row],[ISIN]],'Novia Web Query'!$A:$E,2,FALSE)</f>
        <v>ASI Europe ex UK Income Equity Inst Acc GBP in GB</v>
      </c>
      <c r="C239" t="str">
        <f>VLOOKUP(NoviaFunds[[#This Row],[ISIN]],'Novia Web Query'!$A:$E,3,FALSE)</f>
        <v>UT Europe Excluding UK</v>
      </c>
      <c r="D239" s="139">
        <f>VLOOKUP(NoviaFunds[[#This Row],[ISIN]],'Novia Web Query'!$A:$E,4,FALSE)/100</f>
        <v>8.5000000000000006E-3</v>
      </c>
      <c r="E239" s="3" t="str">
        <f>VLOOKUP(NoviaFunds[[#This Row],[ISIN]],'Novia Web Query'!$A:$E,5,FALSE)</f>
        <v>28/02/2021</v>
      </c>
      <c r="F239" t="str">
        <f>VLOOKUP(NoviaFunds[[#This Row],[Sector]],Sectors[],2,FALSE)</f>
        <v>European Equities</v>
      </c>
    </row>
    <row r="240" spans="1:6" x14ac:dyDescent="0.2">
      <c r="A240" t="str">
        <f>'Novia Web Query'!A240</f>
        <v>GB00B3L7S958</v>
      </c>
      <c r="B240" t="str">
        <f>VLOOKUP(NoviaFunds[[#This Row],[ISIN]],'Novia Web Query'!$A:$E,2,FALSE)</f>
        <v>ASI Europe ex UK Income Equity Inst Inc GBP TR in GB</v>
      </c>
      <c r="C240" t="str">
        <f>VLOOKUP(NoviaFunds[[#This Row],[ISIN]],'Novia Web Query'!$A:$E,3,FALSE)</f>
        <v>UT Europe Excluding UK</v>
      </c>
      <c r="D240" s="139">
        <f>VLOOKUP(NoviaFunds[[#This Row],[ISIN]],'Novia Web Query'!$A:$E,4,FALSE)/100</f>
        <v>8.5000000000000006E-3</v>
      </c>
      <c r="E240" s="3" t="str">
        <f>VLOOKUP(NoviaFunds[[#This Row],[ISIN]],'Novia Web Query'!$A:$E,5,FALSE)</f>
        <v>28/02/2021</v>
      </c>
      <c r="F240" t="str">
        <f>VLOOKUP(NoviaFunds[[#This Row],[Sector]],Sectors[],2,FALSE)</f>
        <v>European Equities</v>
      </c>
    </row>
    <row r="241" spans="1:6" x14ac:dyDescent="0.2">
      <c r="A241" t="str">
        <f>'Novia Web Query'!A241</f>
        <v>GB00B3L7S842</v>
      </c>
      <c r="B241" t="str">
        <f>VLOOKUP(NoviaFunds[[#This Row],[ISIN]],'Novia Web Query'!$A:$E,2,FALSE)</f>
        <v>ASI Europe ex UK Income Equity Ret Acc GBP in GB</v>
      </c>
      <c r="C241" t="str">
        <f>VLOOKUP(NoviaFunds[[#This Row],[ISIN]],'Novia Web Query'!$A:$E,3,FALSE)</f>
        <v>UT Europe Excluding UK</v>
      </c>
      <c r="D241" s="139">
        <f>VLOOKUP(NoviaFunds[[#This Row],[ISIN]],'Novia Web Query'!$A:$E,4,FALSE)/100</f>
        <v>1.32E-2</v>
      </c>
      <c r="E241" s="3" t="str">
        <f>VLOOKUP(NoviaFunds[[#This Row],[ISIN]],'Novia Web Query'!$A:$E,5,FALSE)</f>
        <v>28/02/2021</v>
      </c>
      <c r="F241" t="str">
        <f>VLOOKUP(NoviaFunds[[#This Row],[Sector]],Sectors[],2,FALSE)</f>
        <v>European Equities</v>
      </c>
    </row>
    <row r="242" spans="1:6" x14ac:dyDescent="0.2">
      <c r="A242" t="str">
        <f>'Novia Web Query'!A242</f>
        <v>GB00B3L7S735</v>
      </c>
      <c r="B242" t="str">
        <f>VLOOKUP(NoviaFunds[[#This Row],[ISIN]],'Novia Web Query'!$A:$E,2,FALSE)</f>
        <v>ASI Europe ex UK Income Equity Ret Inc GBP TR in GB</v>
      </c>
      <c r="C242" t="str">
        <f>VLOOKUP(NoviaFunds[[#This Row],[ISIN]],'Novia Web Query'!$A:$E,3,FALSE)</f>
        <v>UT Europe Excluding UK</v>
      </c>
      <c r="D242" s="139">
        <f>VLOOKUP(NoviaFunds[[#This Row],[ISIN]],'Novia Web Query'!$A:$E,4,FALSE)/100</f>
        <v>1.32E-2</v>
      </c>
      <c r="E242" s="3" t="str">
        <f>VLOOKUP(NoviaFunds[[#This Row],[ISIN]],'Novia Web Query'!$A:$E,5,FALSE)</f>
        <v>28/02/2021</v>
      </c>
      <c r="F242" t="str">
        <f>VLOOKUP(NoviaFunds[[#This Row],[Sector]],Sectors[],2,FALSE)</f>
        <v>European Equities</v>
      </c>
    </row>
    <row r="243" spans="1:6" x14ac:dyDescent="0.2">
      <c r="A243" t="str">
        <f>'Novia Web Query'!A243</f>
        <v>GB00B7LG0W70</v>
      </c>
      <c r="B243" t="str">
        <f>VLOOKUP(NoviaFunds[[#This Row],[ISIN]],'Novia Web Query'!$A:$E,2,FALSE)</f>
        <v>ASI Europe ex UK Income Equity Ret Platform 1 Acc GBP in GB</v>
      </c>
      <c r="C243" t="str">
        <f>VLOOKUP(NoviaFunds[[#This Row],[ISIN]],'Novia Web Query'!$A:$E,3,FALSE)</f>
        <v>UT Europe Excluding UK</v>
      </c>
      <c r="D243" s="139">
        <f>VLOOKUP(NoviaFunds[[#This Row],[ISIN]],'Novia Web Query'!$A:$E,4,FALSE)/100</f>
        <v>9.0000000000000011E-3</v>
      </c>
      <c r="E243" s="3" t="str">
        <f>VLOOKUP(NoviaFunds[[#This Row],[ISIN]],'Novia Web Query'!$A:$E,5,FALSE)</f>
        <v>28/02/2021</v>
      </c>
      <c r="F243" t="str">
        <f>VLOOKUP(NoviaFunds[[#This Row],[Sector]],Sectors[],2,FALSE)</f>
        <v>European Equities</v>
      </c>
    </row>
    <row r="244" spans="1:6" x14ac:dyDescent="0.2">
      <c r="A244" t="str">
        <f>'Novia Web Query'!A244</f>
        <v>GB00B71L0M27</v>
      </c>
      <c r="B244" t="str">
        <f>VLOOKUP(NoviaFunds[[#This Row],[ISIN]],'Novia Web Query'!$A:$E,2,FALSE)</f>
        <v>ASI Europe ex UK Income Equity Ret Platform 1 Inc GBP TR in GB</v>
      </c>
      <c r="C244" t="str">
        <f>VLOOKUP(NoviaFunds[[#This Row],[ISIN]],'Novia Web Query'!$A:$E,3,FALSE)</f>
        <v>UT Europe Excluding UK</v>
      </c>
      <c r="D244" s="139">
        <f>VLOOKUP(NoviaFunds[[#This Row],[ISIN]],'Novia Web Query'!$A:$E,4,FALSE)/100</f>
        <v>9.0000000000000011E-3</v>
      </c>
      <c r="E244" s="3" t="str">
        <f>VLOOKUP(NoviaFunds[[#This Row],[ISIN]],'Novia Web Query'!$A:$E,5,FALSE)</f>
        <v>28/02/2021</v>
      </c>
      <c r="F244" t="str">
        <f>VLOOKUP(NoviaFunds[[#This Row],[Sector]],Sectors[],2,FALSE)</f>
        <v>European Equities</v>
      </c>
    </row>
    <row r="245" spans="1:6" x14ac:dyDescent="0.2">
      <c r="A245" t="str">
        <f>'Novia Web Query'!A245</f>
        <v>GB00BYMMJ932</v>
      </c>
      <c r="B245" t="str">
        <f>VLOOKUP(NoviaFunds[[#This Row],[ISIN]],'Novia Web Query'!$A:$E,2,FALSE)</f>
        <v>ASI Europe ex UK Smaller Companies Platform 1 Acc GBP in GB</v>
      </c>
      <c r="C245" t="str">
        <f>VLOOKUP(NoviaFunds[[#This Row],[ISIN]],'Novia Web Query'!$A:$E,3,FALSE)</f>
        <v>UT European Smaller Companies</v>
      </c>
      <c r="D245" s="139">
        <f>VLOOKUP(NoviaFunds[[#This Row],[ISIN]],'Novia Web Query'!$A:$E,4,FALSE)/100</f>
        <v>9.5999999999999992E-3</v>
      </c>
      <c r="E245" s="3" t="str">
        <f>VLOOKUP(NoviaFunds[[#This Row],[ISIN]],'Novia Web Query'!$A:$E,5,FALSE)</f>
        <v>28/02/2021</v>
      </c>
      <c r="F245" t="str">
        <f>VLOOKUP(NoviaFunds[[#This Row],[Sector]],Sectors[],2,FALSE)</f>
        <v>European Equities</v>
      </c>
    </row>
    <row r="246" spans="1:6" x14ac:dyDescent="0.2">
      <c r="A246" t="str">
        <f>'Novia Web Query'!A246</f>
        <v>GB00BRJL7X45</v>
      </c>
      <c r="B246" t="str">
        <f>VLOOKUP(NoviaFunds[[#This Row],[ISIN]],'Novia Web Query'!$A:$E,2,FALSE)</f>
        <v>ASI European Equity Enhanced Index B in GB</v>
      </c>
      <c r="C246" t="str">
        <f>VLOOKUP(NoviaFunds[[#This Row],[ISIN]],'Novia Web Query'!$A:$E,3,FALSE)</f>
        <v>UT Europe Excluding UK</v>
      </c>
      <c r="D246" s="139">
        <f>VLOOKUP(NoviaFunds[[#This Row],[ISIN]],'Novia Web Query'!$A:$E,4,FALSE)/100</f>
        <v>2.5999999999999999E-3</v>
      </c>
      <c r="E246" s="3" t="str">
        <f>VLOOKUP(NoviaFunds[[#This Row],[ISIN]],'Novia Web Query'!$A:$E,5,FALSE)</f>
        <v>31/12/2020</v>
      </c>
      <c r="F246" t="str">
        <f>VLOOKUP(NoviaFunds[[#This Row],[Sector]],Sectors[],2,FALSE)</f>
        <v>European Equities</v>
      </c>
    </row>
    <row r="247" spans="1:6" x14ac:dyDescent="0.2">
      <c r="A247" t="str">
        <f>'Novia Web Query'!A247</f>
        <v>GB00B5VSSV49</v>
      </c>
      <c r="B247" t="str">
        <f>VLOOKUP(NoviaFunds[[#This Row],[ISIN]],'Novia Web Query'!$A:$E,2,FALSE)</f>
        <v>ASI European High Yield Bond I Acc in GB</v>
      </c>
      <c r="C247" t="str">
        <f>VLOOKUP(NoviaFunds[[#This Row],[ISIN]],'Novia Web Query'!$A:$E,3,FALSE)</f>
        <v>UT Sterling High Yield</v>
      </c>
      <c r="D247" s="139">
        <f>VLOOKUP(NoviaFunds[[#This Row],[ISIN]],'Novia Web Query'!$A:$E,4,FALSE)/100</f>
        <v>8.1000000000000013E-3</v>
      </c>
      <c r="E247" s="3" t="str">
        <f>VLOOKUP(NoviaFunds[[#This Row],[ISIN]],'Novia Web Query'!$A:$E,5,FALSE)</f>
        <v>31/07/2021</v>
      </c>
      <c r="F247" t="str">
        <f>VLOOKUP(NoviaFunds[[#This Row],[Sector]],Sectors[],2,FALSE)</f>
        <v>High Yield</v>
      </c>
    </row>
    <row r="248" spans="1:6" x14ac:dyDescent="0.2">
      <c r="A248" t="str">
        <f>'Novia Web Query'!A248</f>
        <v>GB00B5MFPK25</v>
      </c>
      <c r="B248" t="str">
        <f>VLOOKUP(NoviaFunds[[#This Row],[ISIN]],'Novia Web Query'!$A:$E,2,FALSE)</f>
        <v>ASI European High Yield Bond I Inc TR in GB**</v>
      </c>
      <c r="C248" t="str">
        <f>VLOOKUP(NoviaFunds[[#This Row],[ISIN]],'Novia Web Query'!$A:$E,3,FALSE)</f>
        <v>UT Sterling High Yield</v>
      </c>
      <c r="D248" s="139">
        <f>VLOOKUP(NoviaFunds[[#This Row],[ISIN]],'Novia Web Query'!$A:$E,4,FALSE)/100</f>
        <v>8.1000000000000013E-3</v>
      </c>
      <c r="E248" s="3" t="str">
        <f>VLOOKUP(NoviaFunds[[#This Row],[ISIN]],'Novia Web Query'!$A:$E,5,FALSE)</f>
        <v>31/07/2021</v>
      </c>
      <c r="F248" t="str">
        <f>VLOOKUP(NoviaFunds[[#This Row],[Sector]],Sectors[],2,FALSE)</f>
        <v>High Yield</v>
      </c>
    </row>
    <row r="249" spans="1:6" x14ac:dyDescent="0.2">
      <c r="A249" t="str">
        <f>'Novia Web Query'!A249</f>
        <v>GB00BWK26907</v>
      </c>
      <c r="B249" t="str">
        <f>VLOOKUP(NoviaFunds[[#This Row],[ISIN]],'Novia Web Query'!$A:$E,2,FALSE)</f>
        <v>ASI European Real Estate Share I Acc in GB</v>
      </c>
      <c r="C249" t="str">
        <f>VLOOKUP(NoviaFunds[[#This Row],[ISIN]],'Novia Web Query'!$A:$E,3,FALSE)</f>
        <v>UT Property Other</v>
      </c>
      <c r="D249" s="139">
        <f>VLOOKUP(NoviaFunds[[#This Row],[ISIN]],'Novia Web Query'!$A:$E,4,FALSE)/100</f>
        <v>8.5000000000000006E-3</v>
      </c>
      <c r="E249" s="3" t="str">
        <f>VLOOKUP(NoviaFunds[[#This Row],[ISIN]],'Novia Web Query'!$A:$E,5,FALSE)</f>
        <v>31/07/2021</v>
      </c>
      <c r="F249" t="e">
        <f>VLOOKUP(NoviaFunds[[#This Row],[Sector]],Sectors[],2,FALSE)</f>
        <v>#N/A</v>
      </c>
    </row>
    <row r="250" spans="1:6" x14ac:dyDescent="0.2">
      <c r="A250" t="str">
        <f>'Novia Web Query'!A250</f>
        <v>GB00BWK26899</v>
      </c>
      <c r="B250" t="str">
        <f>VLOOKUP(NoviaFunds[[#This Row],[ISIN]],'Novia Web Query'!$A:$E,2,FALSE)</f>
        <v>ASI European Real Estate Share I Inc TR in GB</v>
      </c>
      <c r="C250" t="str">
        <f>VLOOKUP(NoviaFunds[[#This Row],[ISIN]],'Novia Web Query'!$A:$E,3,FALSE)</f>
        <v>UT Property Other</v>
      </c>
      <c r="D250" s="139">
        <f>VLOOKUP(NoviaFunds[[#This Row],[ISIN]],'Novia Web Query'!$A:$E,4,FALSE)/100</f>
        <v>8.5000000000000006E-3</v>
      </c>
      <c r="E250" s="3" t="str">
        <f>VLOOKUP(NoviaFunds[[#This Row],[ISIN]],'Novia Web Query'!$A:$E,5,FALSE)</f>
        <v>31/07/2021</v>
      </c>
      <c r="F250" t="e">
        <f>VLOOKUP(NoviaFunds[[#This Row],[Sector]],Sectors[],2,FALSE)</f>
        <v>#N/A</v>
      </c>
    </row>
    <row r="251" spans="1:6" x14ac:dyDescent="0.2">
      <c r="A251" t="str">
        <f>'Novia Web Query'!A251</f>
        <v>GB00B0XWN473</v>
      </c>
      <c r="B251" t="str">
        <f>VLOOKUP(NoviaFunds[[#This Row],[ISIN]],'Novia Web Query'!$A:$E,2,FALSE)</f>
        <v>ASI European Smaller Companies A Acc in GB</v>
      </c>
      <c r="C251" t="str">
        <f>VLOOKUP(NoviaFunds[[#This Row],[ISIN]],'Novia Web Query'!$A:$E,3,FALSE)</f>
        <v>UT European Smaller Companies</v>
      </c>
      <c r="D251" s="139">
        <f>VLOOKUP(NoviaFunds[[#This Row],[ISIN]],'Novia Web Query'!$A:$E,4,FALSE)/100</f>
        <v>1.32E-2</v>
      </c>
      <c r="E251" s="3" t="str">
        <f>VLOOKUP(NoviaFunds[[#This Row],[ISIN]],'Novia Web Query'!$A:$E,5,FALSE)</f>
        <v>31/07/2021</v>
      </c>
      <c r="F251" t="str">
        <f>VLOOKUP(NoviaFunds[[#This Row],[Sector]],Sectors[],2,FALSE)</f>
        <v>European Equities</v>
      </c>
    </row>
    <row r="252" spans="1:6" x14ac:dyDescent="0.2">
      <c r="A252" t="str">
        <f>'Novia Web Query'!A252</f>
        <v>GB00B0XWN580</v>
      </c>
      <c r="B252" t="str">
        <f>VLOOKUP(NoviaFunds[[#This Row],[ISIN]],'Novia Web Query'!$A:$E,2,FALSE)</f>
        <v>ASI European Smaller Companies I Acc in GB</v>
      </c>
      <c r="C252" t="str">
        <f>VLOOKUP(NoviaFunds[[#This Row],[ISIN]],'Novia Web Query'!$A:$E,3,FALSE)</f>
        <v>UT European Smaller Companies</v>
      </c>
      <c r="D252" s="139">
        <f>VLOOKUP(NoviaFunds[[#This Row],[ISIN]],'Novia Web Query'!$A:$E,4,FALSE)/100</f>
        <v>8.6999999999999994E-3</v>
      </c>
      <c r="E252" s="3" t="str">
        <f>VLOOKUP(NoviaFunds[[#This Row],[ISIN]],'Novia Web Query'!$A:$E,5,FALSE)</f>
        <v>31/07/2021</v>
      </c>
      <c r="F252" t="str">
        <f>VLOOKUP(NoviaFunds[[#This Row],[Sector]],Sectors[],2,FALSE)</f>
        <v>European Equities</v>
      </c>
    </row>
    <row r="253" spans="1:6" x14ac:dyDescent="0.2">
      <c r="A253" t="str">
        <f>'Novia Web Query'!A253</f>
        <v>GB00B28S0218</v>
      </c>
      <c r="B253" t="str">
        <f>VLOOKUP(NoviaFunds[[#This Row],[ISIN]],'Novia Web Query'!$A:$E,2,FALSE)</f>
        <v>ASI Global Absolute Return Strategies Inst Acc GBP in GB</v>
      </c>
      <c r="C253" t="str">
        <f>VLOOKUP(NoviaFunds[[#This Row],[ISIN]],'Novia Web Query'!$A:$E,3,FALSE)</f>
        <v>UT Targeted Absolute Return</v>
      </c>
      <c r="D253" s="139">
        <f>VLOOKUP(NoviaFunds[[#This Row],[ISIN]],'Novia Web Query'!$A:$E,4,FALSE)/100</f>
        <v>8.6999999999999994E-3</v>
      </c>
      <c r="E253" s="3" t="str">
        <f>VLOOKUP(NoviaFunds[[#This Row],[ISIN]],'Novia Web Query'!$A:$E,5,FALSE)</f>
        <v>31/12/2020</v>
      </c>
      <c r="F253" t="str">
        <f>VLOOKUP(NoviaFunds[[#This Row],[Sector]],Sectors[],2,FALSE)</f>
        <v>Absolute Return</v>
      </c>
    </row>
    <row r="254" spans="1:6" x14ac:dyDescent="0.2">
      <c r="A254" t="str">
        <f>'Novia Web Query'!A254</f>
        <v>GB00B7K3T226</v>
      </c>
      <c r="B254" t="str">
        <f>VLOOKUP(NoviaFunds[[#This Row],[ISIN]],'Novia Web Query'!$A:$E,2,FALSE)</f>
        <v>ASI Global Absolute Return Strategies Platform 1 Acc GBP in GB</v>
      </c>
      <c r="C254" t="str">
        <f>VLOOKUP(NoviaFunds[[#This Row],[ISIN]],'Novia Web Query'!$A:$E,3,FALSE)</f>
        <v>UT Targeted Absolute Return</v>
      </c>
      <c r="D254" s="139">
        <f>VLOOKUP(NoviaFunds[[#This Row],[ISIN]],'Novia Web Query'!$A:$E,4,FALSE)/100</f>
        <v>9.1999999999999998E-3</v>
      </c>
      <c r="E254" s="3" t="str">
        <f>VLOOKUP(NoviaFunds[[#This Row],[ISIN]],'Novia Web Query'!$A:$E,5,FALSE)</f>
        <v>31/12/2020</v>
      </c>
      <c r="F254" t="str">
        <f>VLOOKUP(NoviaFunds[[#This Row],[Sector]],Sectors[],2,FALSE)</f>
        <v>Absolute Return</v>
      </c>
    </row>
    <row r="255" spans="1:6" x14ac:dyDescent="0.2">
      <c r="A255" t="str">
        <f>'Novia Web Query'!A255</f>
        <v>GB00B28S0093</v>
      </c>
      <c r="B255" t="str">
        <f>VLOOKUP(NoviaFunds[[#This Row],[ISIN]],'Novia Web Query'!$A:$E,2,FALSE)</f>
        <v>ASI Global Absolute Return Strategies Ret Acc GBP in GB**</v>
      </c>
      <c r="C255" t="str">
        <f>VLOOKUP(NoviaFunds[[#This Row],[ISIN]],'Novia Web Query'!$A:$E,3,FALSE)</f>
        <v>UT Targeted Absolute Return</v>
      </c>
      <c r="D255" s="139">
        <f>VLOOKUP(NoviaFunds[[#This Row],[ISIN]],'Novia Web Query'!$A:$E,4,FALSE)/100</f>
        <v>1.34E-2</v>
      </c>
      <c r="E255" s="3" t="str">
        <f>VLOOKUP(NoviaFunds[[#This Row],[ISIN]],'Novia Web Query'!$A:$E,5,FALSE)</f>
        <v>31/12/2020</v>
      </c>
      <c r="F255" t="str">
        <f>VLOOKUP(NoviaFunds[[#This Row],[Sector]],Sectors[],2,FALSE)</f>
        <v>Absolute Return</v>
      </c>
    </row>
    <row r="256" spans="1:6" x14ac:dyDescent="0.2">
      <c r="A256" t="str">
        <f>'Novia Web Query'!A256</f>
        <v>GB0004330261</v>
      </c>
      <c r="B256" t="str">
        <f>VLOOKUP(NoviaFunds[[#This Row],[ISIN]],'Novia Web Query'!$A:$E,2,FALSE)</f>
        <v>ASI Global Balanced Growth Ret Acc GBP in GB</v>
      </c>
      <c r="C256" t="str">
        <f>VLOOKUP(NoviaFunds[[#This Row],[ISIN]],'Novia Web Query'!$A:$E,3,FALSE)</f>
        <v>UT Mixed Investment 40-85% Shares</v>
      </c>
      <c r="D256" s="139">
        <f>VLOOKUP(NoviaFunds[[#This Row],[ISIN]],'Novia Web Query'!$A:$E,4,FALSE)/100</f>
        <v>1.04E-2</v>
      </c>
      <c r="E256" s="3" t="str">
        <f>VLOOKUP(NoviaFunds[[#This Row],[ISIN]],'Novia Web Query'!$A:$E,5,FALSE)</f>
        <v>28/02/2021</v>
      </c>
      <c r="F256" t="str">
        <f>VLOOKUP(NoviaFunds[[#This Row],[Sector]],Sectors[],2,FALSE)</f>
        <v>Mixed 40%-85%</v>
      </c>
    </row>
    <row r="257" spans="1:6" x14ac:dyDescent="0.2">
      <c r="A257" t="str">
        <f>'Novia Web Query'!A257</f>
        <v>GB0006135270</v>
      </c>
      <c r="B257" t="str">
        <f>VLOOKUP(NoviaFunds[[#This Row],[ISIN]],'Novia Web Query'!$A:$E,2,FALSE)</f>
        <v>ASI Global Balanced Growth Ret CAT Acc GBP in GB</v>
      </c>
      <c r="C257" t="str">
        <f>VLOOKUP(NoviaFunds[[#This Row],[ISIN]],'Novia Web Query'!$A:$E,3,FALSE)</f>
        <v>UT Mixed Investment 40-85% Shares</v>
      </c>
      <c r="D257" s="139">
        <f>VLOOKUP(NoviaFunds[[#This Row],[ISIN]],'Novia Web Query'!$A:$E,4,FALSE)/100</f>
        <v>0.01</v>
      </c>
      <c r="E257" s="3" t="str">
        <f>VLOOKUP(NoviaFunds[[#This Row],[ISIN]],'Novia Web Query'!$A:$E,5,FALSE)</f>
        <v>28/02/2021</v>
      </c>
      <c r="F257" t="str">
        <f>VLOOKUP(NoviaFunds[[#This Row],[Sector]],Sectors[],2,FALSE)</f>
        <v>Mixed 40%-85%</v>
      </c>
    </row>
    <row r="258" spans="1:6" x14ac:dyDescent="0.2">
      <c r="A258" t="str">
        <f>'Novia Web Query'!A258</f>
        <v>GB00B5VBS792</v>
      </c>
      <c r="B258" t="str">
        <f>VLOOKUP(NoviaFunds[[#This Row],[ISIN]],'Novia Web Query'!$A:$E,2,FALSE)</f>
        <v>ASI Global Balanced Growth Ret Platform 1 Acc GBP in GB</v>
      </c>
      <c r="C258" t="str">
        <f>VLOOKUP(NoviaFunds[[#This Row],[ISIN]],'Novia Web Query'!$A:$E,3,FALSE)</f>
        <v>UT Mixed Investment 40-85% Shares</v>
      </c>
      <c r="D258" s="139">
        <f>VLOOKUP(NoviaFunds[[#This Row],[ISIN]],'Novia Web Query'!$A:$E,4,FALSE)/100</f>
        <v>6.8000000000000005E-3</v>
      </c>
      <c r="E258" s="3" t="str">
        <f>VLOOKUP(NoviaFunds[[#This Row],[ISIN]],'Novia Web Query'!$A:$E,5,FALSE)</f>
        <v>28/02/2021</v>
      </c>
      <c r="F258" t="str">
        <f>VLOOKUP(NoviaFunds[[#This Row],[Sector]],Sectors[],2,FALSE)</f>
        <v>Mixed 40%-85%</v>
      </c>
    </row>
    <row r="259" spans="1:6" x14ac:dyDescent="0.2">
      <c r="A259" t="str">
        <f>'Novia Web Query'!A259</f>
        <v>GB00B7CQ5768</v>
      </c>
      <c r="B259" t="str">
        <f>VLOOKUP(NoviaFunds[[#This Row],[ISIN]],'Novia Web Query'!$A:$E,2,FALSE)</f>
        <v>ASI Global Balanced Growth Ret Platform 1 Inc GBP TR in GB</v>
      </c>
      <c r="C259" t="str">
        <f>VLOOKUP(NoviaFunds[[#This Row],[ISIN]],'Novia Web Query'!$A:$E,3,FALSE)</f>
        <v>UT Mixed Investment 40-85% Shares</v>
      </c>
      <c r="D259" s="139">
        <f>VLOOKUP(NoviaFunds[[#This Row],[ISIN]],'Novia Web Query'!$A:$E,4,FALSE)/100</f>
        <v>6.7000000000000002E-3</v>
      </c>
      <c r="E259" s="3" t="str">
        <f>VLOOKUP(NoviaFunds[[#This Row],[ISIN]],'Novia Web Query'!$A:$E,5,FALSE)</f>
        <v>28/02/2021</v>
      </c>
      <c r="F259" t="str">
        <f>VLOOKUP(NoviaFunds[[#This Row],[Sector]],Sectors[],2,FALSE)</f>
        <v>Mixed 40%-85%</v>
      </c>
    </row>
    <row r="260" spans="1:6" x14ac:dyDescent="0.2">
      <c r="A260" t="str">
        <f>'Novia Web Query'!A260</f>
        <v>GB0031682403</v>
      </c>
      <c r="B260" t="str">
        <f>VLOOKUP(NoviaFunds[[#This Row],[ISIN]],'Novia Web Query'!$A:$E,2,FALSE)</f>
        <v>ASI Global Equity A Acc in GB</v>
      </c>
      <c r="C260" t="str">
        <f>VLOOKUP(NoviaFunds[[#This Row],[ISIN]],'Novia Web Query'!$A:$E,3,FALSE)</f>
        <v>UT Global</v>
      </c>
      <c r="D260" s="139">
        <f>VLOOKUP(NoviaFunds[[#This Row],[ISIN]],'Novia Web Query'!$A:$E,4,FALSE)/100</f>
        <v>1.29E-2</v>
      </c>
      <c r="E260" s="3" t="str">
        <f>VLOOKUP(NoviaFunds[[#This Row],[ISIN]],'Novia Web Query'!$A:$E,5,FALSE)</f>
        <v>31/10/2021</v>
      </c>
      <c r="F260" t="str">
        <f>VLOOKUP(NoviaFunds[[#This Row],[Sector]],Sectors[],2,FALSE)</f>
        <v>Other Equities</v>
      </c>
    </row>
    <row r="261" spans="1:6" x14ac:dyDescent="0.2">
      <c r="A261" t="str">
        <f>'Novia Web Query'!A261</f>
        <v>GB0031682627</v>
      </c>
      <c r="B261" t="str">
        <f>VLOOKUP(NoviaFunds[[#This Row],[ISIN]],'Novia Web Query'!$A:$E,2,FALSE)</f>
        <v>ASI Global Equity A Inc TR in GB</v>
      </c>
      <c r="C261" t="str">
        <f>VLOOKUP(NoviaFunds[[#This Row],[ISIN]],'Novia Web Query'!$A:$E,3,FALSE)</f>
        <v>UT Global</v>
      </c>
      <c r="D261" s="139">
        <f>VLOOKUP(NoviaFunds[[#This Row],[ISIN]],'Novia Web Query'!$A:$E,4,FALSE)/100</f>
        <v>1.29E-2</v>
      </c>
      <c r="E261" s="3" t="str">
        <f>VLOOKUP(NoviaFunds[[#This Row],[ISIN]],'Novia Web Query'!$A:$E,5,FALSE)</f>
        <v>31/10/2021</v>
      </c>
      <c r="F261" t="str">
        <f>VLOOKUP(NoviaFunds[[#This Row],[Sector]],Sectors[],2,FALSE)</f>
        <v>Other Equities</v>
      </c>
    </row>
    <row r="262" spans="1:6" x14ac:dyDescent="0.2">
      <c r="A262" t="str">
        <f>'Novia Web Query'!A262</f>
        <v>GB0031682734</v>
      </c>
      <c r="B262" t="str">
        <f>VLOOKUP(NoviaFunds[[#This Row],[ISIN]],'Novia Web Query'!$A:$E,2,FALSE)</f>
        <v>ASI Global Equity I Acc in GB</v>
      </c>
      <c r="C262" t="str">
        <f>VLOOKUP(NoviaFunds[[#This Row],[ISIN]],'Novia Web Query'!$A:$E,3,FALSE)</f>
        <v>UT Global</v>
      </c>
      <c r="D262" s="139">
        <f>VLOOKUP(NoviaFunds[[#This Row],[ISIN]],'Novia Web Query'!$A:$E,4,FALSE)/100</f>
        <v>8.3999999999999995E-3</v>
      </c>
      <c r="E262" s="3" t="str">
        <f>VLOOKUP(NoviaFunds[[#This Row],[ISIN]],'Novia Web Query'!$A:$E,5,FALSE)</f>
        <v>31/10/2021</v>
      </c>
      <c r="F262" t="str">
        <f>VLOOKUP(NoviaFunds[[#This Row],[Sector]],Sectors[],2,FALSE)</f>
        <v>Other Equities</v>
      </c>
    </row>
    <row r="263" spans="1:6" x14ac:dyDescent="0.2">
      <c r="A263" t="str">
        <f>'Novia Web Query'!A263</f>
        <v>GB00B83WC467</v>
      </c>
      <c r="B263" t="str">
        <f>VLOOKUP(NoviaFunds[[#This Row],[ISIN]],'Novia Web Query'!$A:$E,2,FALSE)</f>
        <v>ASI Global Equity I Inc TR in GB**</v>
      </c>
      <c r="C263" t="str">
        <f>VLOOKUP(NoviaFunds[[#This Row],[ISIN]],'Novia Web Query'!$A:$E,3,FALSE)</f>
        <v>UT Global</v>
      </c>
      <c r="D263" s="139">
        <f>VLOOKUP(NoviaFunds[[#This Row],[ISIN]],'Novia Web Query'!$A:$E,4,FALSE)/100</f>
        <v>8.3999999999999995E-3</v>
      </c>
      <c r="E263" s="3" t="str">
        <f>VLOOKUP(NoviaFunds[[#This Row],[ISIN]],'Novia Web Query'!$A:$E,5,FALSE)</f>
        <v>31/10/2021</v>
      </c>
      <c r="F263" t="str">
        <f>VLOOKUP(NoviaFunds[[#This Row],[Sector]],Sectors[],2,FALSE)</f>
        <v>Other Equities</v>
      </c>
    </row>
    <row r="264" spans="1:6" x14ac:dyDescent="0.2">
      <c r="A264" t="str">
        <f>'Novia Web Query'!A264</f>
        <v>GB0004483540</v>
      </c>
      <c r="B264" t="str">
        <f>VLOOKUP(NoviaFunds[[#This Row],[ISIN]],'Novia Web Query'!$A:$E,2,FALSE)</f>
        <v>ASI Global Focused Equity Ret Acc GBP in GB</v>
      </c>
      <c r="C264" t="str">
        <f>VLOOKUP(NoviaFunds[[#This Row],[ISIN]],'Novia Web Query'!$A:$E,3,FALSE)</f>
        <v>UT Global</v>
      </c>
      <c r="D264" s="139">
        <f>VLOOKUP(NoviaFunds[[#This Row],[ISIN]],'Novia Web Query'!$A:$E,4,FALSE)/100</f>
        <v>1.38E-2</v>
      </c>
      <c r="E264" s="3" t="str">
        <f>VLOOKUP(NoviaFunds[[#This Row],[ISIN]],'Novia Web Query'!$A:$E,5,FALSE)</f>
        <v>28/02/2021</v>
      </c>
      <c r="F264" t="str">
        <f>VLOOKUP(NoviaFunds[[#This Row],[Sector]],Sectors[],2,FALSE)</f>
        <v>Other Equities</v>
      </c>
    </row>
    <row r="265" spans="1:6" x14ac:dyDescent="0.2">
      <c r="A265" t="str">
        <f>'Novia Web Query'!A265</f>
        <v>GB00B6915J97</v>
      </c>
      <c r="B265" t="str">
        <f>VLOOKUP(NoviaFunds[[#This Row],[ISIN]],'Novia Web Query'!$A:$E,2,FALSE)</f>
        <v>ASI Global Focused Equity Ret Platform 1 Acc GBP in GB</v>
      </c>
      <c r="C265" t="str">
        <f>VLOOKUP(NoviaFunds[[#This Row],[ISIN]],'Novia Web Query'!$A:$E,3,FALSE)</f>
        <v>UT Global</v>
      </c>
      <c r="D265" s="139">
        <f>VLOOKUP(NoviaFunds[[#This Row],[ISIN]],'Novia Web Query'!$A:$E,4,FALSE)/100</f>
        <v>1.01E-2</v>
      </c>
      <c r="E265" s="3" t="str">
        <f>VLOOKUP(NoviaFunds[[#This Row],[ISIN]],'Novia Web Query'!$A:$E,5,FALSE)</f>
        <v>28/02/2021</v>
      </c>
      <c r="F265" t="str">
        <f>VLOOKUP(NoviaFunds[[#This Row],[Sector]],Sectors[],2,FALSE)</f>
        <v>Other Equities</v>
      </c>
    </row>
    <row r="266" spans="1:6" x14ac:dyDescent="0.2">
      <c r="A266" t="str">
        <f>'Novia Web Query'!A266</f>
        <v>GB0004330600</v>
      </c>
      <c r="B266" t="str">
        <f>VLOOKUP(NoviaFunds[[#This Row],[ISIN]],'Novia Web Query'!$A:$E,2,FALSE)</f>
        <v>ASI Global Income Equity Ret Founder Acc GBP in GB</v>
      </c>
      <c r="C266" t="str">
        <f>VLOOKUP(NoviaFunds[[#This Row],[ISIN]],'Novia Web Query'!$A:$E,3,FALSE)</f>
        <v>UT Global Equity Income</v>
      </c>
      <c r="D266" s="139">
        <f>VLOOKUP(NoviaFunds[[#This Row],[ISIN]],'Novia Web Query'!$A:$E,4,FALSE)/100</f>
        <v>1.04E-2</v>
      </c>
      <c r="E266" s="3" t="str">
        <f>VLOOKUP(NoviaFunds[[#This Row],[ISIN]],'Novia Web Query'!$A:$E,5,FALSE)</f>
        <v>28/02/2021</v>
      </c>
      <c r="F266" t="str">
        <f>VLOOKUP(NoviaFunds[[#This Row],[Sector]],Sectors[],2,FALSE)</f>
        <v>Other Equities</v>
      </c>
    </row>
    <row r="267" spans="1:6" x14ac:dyDescent="0.2">
      <c r="A267" t="str">
        <f>'Novia Web Query'!A267</f>
        <v>GB00B7FVHF03</v>
      </c>
      <c r="B267" t="str">
        <f>VLOOKUP(NoviaFunds[[#This Row],[ISIN]],'Novia Web Query'!$A:$E,2,FALSE)</f>
        <v>ASI Global Income Equity Ret Platform 1 Acc GBP in GB</v>
      </c>
      <c r="C267" t="str">
        <f>VLOOKUP(NoviaFunds[[#This Row],[ISIN]],'Novia Web Query'!$A:$E,3,FALSE)</f>
        <v>UT Global Equity Income</v>
      </c>
      <c r="D267" s="139">
        <f>VLOOKUP(NoviaFunds[[#This Row],[ISIN]],'Novia Web Query'!$A:$E,4,FALSE)/100</f>
        <v>9.1999999999999998E-3</v>
      </c>
      <c r="E267" s="3" t="str">
        <f>VLOOKUP(NoviaFunds[[#This Row],[ISIN]],'Novia Web Query'!$A:$E,5,FALSE)</f>
        <v>28/02/2021</v>
      </c>
      <c r="F267" t="str">
        <f>VLOOKUP(NoviaFunds[[#This Row],[Sector]],Sectors[],2,FALSE)</f>
        <v>Other Equities</v>
      </c>
    </row>
    <row r="268" spans="1:6" x14ac:dyDescent="0.2">
      <c r="A268" t="str">
        <f>'Novia Web Query'!A268</f>
        <v>GB00B76FLF97</v>
      </c>
      <c r="B268" t="str">
        <f>VLOOKUP(NoviaFunds[[#This Row],[ISIN]],'Novia Web Query'!$A:$E,2,FALSE)</f>
        <v>ASI Global Income Equity Ret Platform 1 Inc GBP TR in GB</v>
      </c>
      <c r="C268" t="str">
        <f>VLOOKUP(NoviaFunds[[#This Row],[ISIN]],'Novia Web Query'!$A:$E,3,FALSE)</f>
        <v>UT Global Equity Income</v>
      </c>
      <c r="D268" s="139">
        <f>VLOOKUP(NoviaFunds[[#This Row],[ISIN]],'Novia Web Query'!$A:$E,4,FALSE)/100</f>
        <v>9.1999999999999998E-3</v>
      </c>
      <c r="E268" s="3" t="str">
        <f>VLOOKUP(NoviaFunds[[#This Row],[ISIN]],'Novia Web Query'!$A:$E,5,FALSE)</f>
        <v>28/02/2021</v>
      </c>
      <c r="F268" t="str">
        <f>VLOOKUP(NoviaFunds[[#This Row],[Sector]],Sectors[],2,FALSE)</f>
        <v>Other Equities</v>
      </c>
    </row>
    <row r="269" spans="1:6" x14ac:dyDescent="0.2">
      <c r="A269" t="str">
        <f>'Novia Web Query'!A269</f>
        <v>GB00B00ZJP21</v>
      </c>
      <c r="B269" t="str">
        <f>VLOOKUP(NoviaFunds[[#This Row],[ISIN]],'Novia Web Query'!$A:$E,2,FALSE)</f>
        <v>ASI Global Inflation Linked Bond Inst Acc GBP in GB</v>
      </c>
      <c r="C269" t="str">
        <f>VLOOKUP(NoviaFunds[[#This Row],[ISIN]],'Novia Web Query'!$A:$E,3,FALSE)</f>
        <v>UT Global Bonds</v>
      </c>
      <c r="D269" s="139">
        <f>VLOOKUP(NoviaFunds[[#This Row],[ISIN]],'Novia Web Query'!$A:$E,4,FALSE)/100</f>
        <v>5.0000000000000001E-3</v>
      </c>
      <c r="E269" s="3" t="str">
        <f>VLOOKUP(NoviaFunds[[#This Row],[ISIN]],'Novia Web Query'!$A:$E,5,FALSE)</f>
        <v>30/11/2020</v>
      </c>
      <c r="F269" t="str">
        <f>VLOOKUP(NoviaFunds[[#This Row],[Sector]],Sectors[],2,FALSE)</f>
        <v>Global Investment Grade</v>
      </c>
    </row>
    <row r="270" spans="1:6" x14ac:dyDescent="0.2">
      <c r="A270" t="str">
        <f>'Novia Web Query'!A270</f>
        <v>GB00B00ZJX05</v>
      </c>
      <c r="B270" t="str">
        <f>VLOOKUP(NoviaFunds[[#This Row],[ISIN]],'Novia Web Query'!$A:$E,2,FALSE)</f>
        <v>ASI Global Inflation Linked Bond Inst Inc GBP TR in GB</v>
      </c>
      <c r="C270" t="str">
        <f>VLOOKUP(NoviaFunds[[#This Row],[ISIN]],'Novia Web Query'!$A:$E,3,FALSE)</f>
        <v>UT Global Bonds</v>
      </c>
      <c r="D270" s="139">
        <f>VLOOKUP(NoviaFunds[[#This Row],[ISIN]],'Novia Web Query'!$A:$E,4,FALSE)/100</f>
        <v>5.0000000000000001E-3</v>
      </c>
      <c r="E270" s="3" t="str">
        <f>VLOOKUP(NoviaFunds[[#This Row],[ISIN]],'Novia Web Query'!$A:$E,5,FALSE)</f>
        <v>30/11/2020</v>
      </c>
      <c r="F270" t="str">
        <f>VLOOKUP(NoviaFunds[[#This Row],[Sector]],Sectors[],2,FALSE)</f>
        <v>Global Investment Grade</v>
      </c>
    </row>
    <row r="271" spans="1:6" x14ac:dyDescent="0.2">
      <c r="A271" t="str">
        <f>'Novia Web Query'!A271</f>
        <v>GB00B7C0H946</v>
      </c>
      <c r="B271" t="str">
        <f>VLOOKUP(NoviaFunds[[#This Row],[ISIN]],'Novia Web Query'!$A:$E,2,FALSE)</f>
        <v>ASI Global Inflation Linked Bond Platform 1 Acc GBP in GB</v>
      </c>
      <c r="C271" t="str">
        <f>VLOOKUP(NoviaFunds[[#This Row],[ISIN]],'Novia Web Query'!$A:$E,3,FALSE)</f>
        <v>UT Global Bonds</v>
      </c>
      <c r="D271" s="139">
        <f>VLOOKUP(NoviaFunds[[#This Row],[ISIN]],'Novia Web Query'!$A:$E,4,FALSE)/100</f>
        <v>5.5000000000000005E-3</v>
      </c>
      <c r="E271" s="3" t="str">
        <f>VLOOKUP(NoviaFunds[[#This Row],[ISIN]],'Novia Web Query'!$A:$E,5,FALSE)</f>
        <v>30/11/2020</v>
      </c>
      <c r="F271" t="str">
        <f>VLOOKUP(NoviaFunds[[#This Row],[Sector]],Sectors[],2,FALSE)</f>
        <v>Global Investment Grade</v>
      </c>
    </row>
    <row r="272" spans="1:6" x14ac:dyDescent="0.2">
      <c r="A272" t="str">
        <f>'Novia Web Query'!A272</f>
        <v>GB00B4PPHB71</v>
      </c>
      <c r="B272" t="str">
        <f>VLOOKUP(NoviaFunds[[#This Row],[ISIN]],'Novia Web Query'!$A:$E,2,FALSE)</f>
        <v>ASI Global Inflation Linked Bond Platform 1 Inc GBP TR in GB</v>
      </c>
      <c r="C272" t="str">
        <f>VLOOKUP(NoviaFunds[[#This Row],[ISIN]],'Novia Web Query'!$A:$E,3,FALSE)</f>
        <v>UT Global Bonds</v>
      </c>
      <c r="D272" s="139">
        <f>VLOOKUP(NoviaFunds[[#This Row],[ISIN]],'Novia Web Query'!$A:$E,4,FALSE)/100</f>
        <v>5.5000000000000005E-3</v>
      </c>
      <c r="E272" s="3" t="str">
        <f>VLOOKUP(NoviaFunds[[#This Row],[ISIN]],'Novia Web Query'!$A:$E,5,FALSE)</f>
        <v>30/11/2020</v>
      </c>
      <c r="F272" t="str">
        <f>VLOOKUP(NoviaFunds[[#This Row],[Sector]],Sectors[],2,FALSE)</f>
        <v>Global Investment Grade</v>
      </c>
    </row>
    <row r="273" spans="1:6" x14ac:dyDescent="0.2">
      <c r="A273" t="str">
        <f>'Novia Web Query'!A273</f>
        <v>GB00B00ZJK75</v>
      </c>
      <c r="B273" t="str">
        <f>VLOOKUP(NoviaFunds[[#This Row],[ISIN]],'Novia Web Query'!$A:$E,2,FALSE)</f>
        <v>ASI Global Inflation Linked Bond Ret Acc GBP in GB</v>
      </c>
      <c r="C273" t="str">
        <f>VLOOKUP(NoviaFunds[[#This Row],[ISIN]],'Novia Web Query'!$A:$E,3,FALSE)</f>
        <v>UT Global Bonds</v>
      </c>
      <c r="D273" s="139">
        <f>VLOOKUP(NoviaFunds[[#This Row],[ISIN]],'Novia Web Query'!$A:$E,4,FALSE)/100</f>
        <v>9.1999999999999998E-3</v>
      </c>
      <c r="E273" s="3" t="str">
        <f>VLOOKUP(NoviaFunds[[#This Row],[ISIN]],'Novia Web Query'!$A:$E,5,FALSE)</f>
        <v>30/11/2020</v>
      </c>
      <c r="F273" t="str">
        <f>VLOOKUP(NoviaFunds[[#This Row],[Sector]],Sectors[],2,FALSE)</f>
        <v>Global Investment Grade</v>
      </c>
    </row>
    <row r="274" spans="1:6" x14ac:dyDescent="0.2">
      <c r="A274" t="str">
        <f>'Novia Web Query'!A274</f>
        <v>GB00B00ZJM99</v>
      </c>
      <c r="B274" t="str">
        <f>VLOOKUP(NoviaFunds[[#This Row],[ISIN]],'Novia Web Query'!$A:$E,2,FALSE)</f>
        <v>ASI Global Inflation Linked Bond Ret Inc GBP TR in GB</v>
      </c>
      <c r="C274" t="str">
        <f>VLOOKUP(NoviaFunds[[#This Row],[ISIN]],'Novia Web Query'!$A:$E,3,FALSE)</f>
        <v>UT Global Bonds</v>
      </c>
      <c r="D274" s="139">
        <f>VLOOKUP(NoviaFunds[[#This Row],[ISIN]],'Novia Web Query'!$A:$E,4,FALSE)/100</f>
        <v>9.1999999999999998E-3</v>
      </c>
      <c r="E274" s="3" t="str">
        <f>VLOOKUP(NoviaFunds[[#This Row],[ISIN]],'Novia Web Query'!$A:$E,5,FALSE)</f>
        <v>30/11/2020</v>
      </c>
      <c r="F274" t="str">
        <f>VLOOKUP(NoviaFunds[[#This Row],[Sector]],Sectors[],2,FALSE)</f>
        <v>Global Investment Grade</v>
      </c>
    </row>
    <row r="275" spans="1:6" x14ac:dyDescent="0.2">
      <c r="A275" t="str">
        <f>'Novia Web Query'!A275</f>
        <v>GB00BG08N175</v>
      </c>
      <c r="B275" t="str">
        <f>VLOOKUP(NoviaFunds[[#This Row],[ISIN]],'Novia Web Query'!$A:$E,2,FALSE)</f>
        <v>ASI Global Inflation-Linked Bond Tracker B Acc in GB</v>
      </c>
      <c r="C275" t="str">
        <f>VLOOKUP(NoviaFunds[[#This Row],[ISIN]],'Novia Web Query'!$A:$E,3,FALSE)</f>
        <v>UT Global Bonds</v>
      </c>
      <c r="D275" s="139">
        <f>VLOOKUP(NoviaFunds[[#This Row],[ISIN]],'Novia Web Query'!$A:$E,4,FALSE)/100</f>
        <v>1.2999999999999999E-3</v>
      </c>
      <c r="E275" s="3" t="str">
        <f>VLOOKUP(NoviaFunds[[#This Row],[ISIN]],'Novia Web Query'!$A:$E,5,FALSE)</f>
        <v>31/12/2020</v>
      </c>
      <c r="F275" t="str">
        <f>VLOOKUP(NoviaFunds[[#This Row],[Sector]],Sectors[],2,FALSE)</f>
        <v>Global Investment Grade</v>
      </c>
    </row>
    <row r="276" spans="1:6" x14ac:dyDescent="0.2">
      <c r="A276" t="str">
        <f>'Novia Web Query'!A276</f>
        <v>GB00B0LD3X11</v>
      </c>
      <c r="B276" t="str">
        <f>VLOOKUP(NoviaFunds[[#This Row],[ISIN]],'Novia Web Query'!$A:$E,2,FALSE)</f>
        <v>ASI Global Real Estate Inst Acc GBP in GB</v>
      </c>
      <c r="C276" t="str">
        <f>VLOOKUP(NoviaFunds[[#This Row],[ISIN]],'Novia Web Query'!$A:$E,3,FALSE)</f>
        <v>UT Property Other</v>
      </c>
      <c r="D276" s="139">
        <f>VLOOKUP(NoviaFunds[[#This Row],[ISIN]],'Novia Web Query'!$A:$E,4,FALSE)/100</f>
        <v>1.1299999999999999E-2</v>
      </c>
      <c r="E276" s="3" t="str">
        <f>VLOOKUP(NoviaFunds[[#This Row],[ISIN]],'Novia Web Query'!$A:$E,5,FALSE)</f>
        <v>30/11/2020</v>
      </c>
      <c r="F276" t="e">
        <f>VLOOKUP(NoviaFunds[[#This Row],[Sector]],Sectors[],2,FALSE)</f>
        <v>#N/A</v>
      </c>
    </row>
    <row r="277" spans="1:6" x14ac:dyDescent="0.2">
      <c r="A277" t="str">
        <f>'Novia Web Query'!A277</f>
        <v>GB00B0LD3Y28</v>
      </c>
      <c r="B277" t="str">
        <f>VLOOKUP(NoviaFunds[[#This Row],[ISIN]],'Novia Web Query'!$A:$E,2,FALSE)</f>
        <v>ASI Global Real Estate Inst Inc GBP TR in GB</v>
      </c>
      <c r="C277" t="str">
        <f>VLOOKUP(NoviaFunds[[#This Row],[ISIN]],'Novia Web Query'!$A:$E,3,FALSE)</f>
        <v>UT Property Other</v>
      </c>
      <c r="D277" s="139">
        <f>VLOOKUP(NoviaFunds[[#This Row],[ISIN]],'Novia Web Query'!$A:$E,4,FALSE)/100</f>
        <v>1.1299999999999999E-2</v>
      </c>
      <c r="E277" s="3" t="str">
        <f>VLOOKUP(NoviaFunds[[#This Row],[ISIN]],'Novia Web Query'!$A:$E,5,FALSE)</f>
        <v>30/11/2020</v>
      </c>
      <c r="F277" t="e">
        <f>VLOOKUP(NoviaFunds[[#This Row],[Sector]],Sectors[],2,FALSE)</f>
        <v>#N/A</v>
      </c>
    </row>
    <row r="278" spans="1:6" x14ac:dyDescent="0.2">
      <c r="A278" t="str">
        <f>'Novia Web Query'!A278</f>
        <v>GB00B774LD38</v>
      </c>
      <c r="B278" t="str">
        <f>VLOOKUP(NoviaFunds[[#This Row],[ISIN]],'Novia Web Query'!$A:$E,2,FALSE)</f>
        <v>ASI Global Real Estate Platform 1 Acc GBP in GB</v>
      </c>
      <c r="C278" t="str">
        <f>VLOOKUP(NoviaFunds[[#This Row],[ISIN]],'Novia Web Query'!$A:$E,3,FALSE)</f>
        <v>UT Property Other</v>
      </c>
      <c r="D278" s="139">
        <f>VLOOKUP(NoviaFunds[[#This Row],[ISIN]],'Novia Web Query'!$A:$E,4,FALSE)/100</f>
        <v>1.23E-2</v>
      </c>
      <c r="E278" s="3" t="str">
        <f>VLOOKUP(NoviaFunds[[#This Row],[ISIN]],'Novia Web Query'!$A:$E,5,FALSE)</f>
        <v>30/11/2020</v>
      </c>
      <c r="F278" t="e">
        <f>VLOOKUP(NoviaFunds[[#This Row],[Sector]],Sectors[],2,FALSE)</f>
        <v>#N/A</v>
      </c>
    </row>
    <row r="279" spans="1:6" x14ac:dyDescent="0.2">
      <c r="A279" t="str">
        <f>'Novia Web Query'!A279</f>
        <v>GB00B700D764</v>
      </c>
      <c r="B279" t="str">
        <f>VLOOKUP(NoviaFunds[[#This Row],[ISIN]],'Novia Web Query'!$A:$E,2,FALSE)</f>
        <v>ASI Global Real Estate Platform 1 Inc GBP TR in GB</v>
      </c>
      <c r="C279" t="str">
        <f>VLOOKUP(NoviaFunds[[#This Row],[ISIN]],'Novia Web Query'!$A:$E,3,FALSE)</f>
        <v>UT Property Other</v>
      </c>
      <c r="D279" s="139">
        <f>VLOOKUP(NoviaFunds[[#This Row],[ISIN]],'Novia Web Query'!$A:$E,4,FALSE)/100</f>
        <v>1.23E-2</v>
      </c>
      <c r="E279" s="3" t="str">
        <f>VLOOKUP(NoviaFunds[[#This Row],[ISIN]],'Novia Web Query'!$A:$E,5,FALSE)</f>
        <v>30/11/2020</v>
      </c>
      <c r="F279" t="e">
        <f>VLOOKUP(NoviaFunds[[#This Row],[Sector]],Sectors[],2,FALSE)</f>
        <v>#N/A</v>
      </c>
    </row>
    <row r="280" spans="1:6" x14ac:dyDescent="0.2">
      <c r="A280" t="str">
        <f>'Novia Web Query'!A280</f>
        <v>GB00B0LD3V96</v>
      </c>
      <c r="B280" t="str">
        <f>VLOOKUP(NoviaFunds[[#This Row],[ISIN]],'Novia Web Query'!$A:$E,2,FALSE)</f>
        <v>ASI Global Real Estate Ret Acc GBP in GB</v>
      </c>
      <c r="C280" t="str">
        <f>VLOOKUP(NoviaFunds[[#This Row],[ISIN]],'Novia Web Query'!$A:$E,3,FALSE)</f>
        <v>UT Property Other</v>
      </c>
      <c r="D280" s="139">
        <f>VLOOKUP(NoviaFunds[[#This Row],[ISIN]],'Novia Web Query'!$A:$E,4,FALSE)/100</f>
        <v>1.6500000000000001E-2</v>
      </c>
      <c r="E280" s="3" t="str">
        <f>VLOOKUP(NoviaFunds[[#This Row],[ISIN]],'Novia Web Query'!$A:$E,5,FALSE)</f>
        <v>30/04/2020</v>
      </c>
      <c r="F280" t="e">
        <f>VLOOKUP(NoviaFunds[[#This Row],[Sector]],Sectors[],2,FALSE)</f>
        <v>#N/A</v>
      </c>
    </row>
    <row r="281" spans="1:6" x14ac:dyDescent="0.2">
      <c r="A281" t="str">
        <f>'Novia Web Query'!A281</f>
        <v>GB00B0LD3W04</v>
      </c>
      <c r="B281" t="str">
        <f>VLOOKUP(NoviaFunds[[#This Row],[ISIN]],'Novia Web Query'!$A:$E,2,FALSE)</f>
        <v>ASI Global Real Estate Ret Inc GBP TR in GB</v>
      </c>
      <c r="C281" t="str">
        <f>VLOOKUP(NoviaFunds[[#This Row],[ISIN]],'Novia Web Query'!$A:$E,3,FALSE)</f>
        <v>UT Property Other</v>
      </c>
      <c r="D281" s="139">
        <f>VLOOKUP(NoviaFunds[[#This Row],[ISIN]],'Novia Web Query'!$A:$E,4,FALSE)/100</f>
        <v>1.6500000000000001E-2</v>
      </c>
      <c r="E281" s="3" t="str">
        <f>VLOOKUP(NoviaFunds[[#This Row],[ISIN]],'Novia Web Query'!$A:$E,5,FALSE)</f>
        <v>30/11/2020</v>
      </c>
      <c r="F281" t="e">
        <f>VLOOKUP(NoviaFunds[[#This Row],[Sector]],Sectors[],2,FALSE)</f>
        <v>#N/A</v>
      </c>
    </row>
    <row r="282" spans="1:6" x14ac:dyDescent="0.2">
      <c r="A282" t="str">
        <f>'Novia Web Query'!A282</f>
        <v>GB00B1LBR414</v>
      </c>
      <c r="B282" t="str">
        <f>VLOOKUP(NoviaFunds[[#This Row],[ISIN]],'Novia Web Query'!$A:$E,2,FALSE)</f>
        <v>ASI Global Real Estate Share Inst Inc GBP TR in GB</v>
      </c>
      <c r="C282" t="str">
        <f>VLOOKUP(NoviaFunds[[#This Row],[ISIN]],'Novia Web Query'!$A:$E,3,FALSE)</f>
        <v>UT Property Other</v>
      </c>
      <c r="D282" s="139">
        <f>VLOOKUP(NoviaFunds[[#This Row],[ISIN]],'Novia Web Query'!$A:$E,4,FALSE)/100</f>
        <v>9.0000000000000011E-3</v>
      </c>
      <c r="E282" s="3" t="str">
        <f>VLOOKUP(NoviaFunds[[#This Row],[ISIN]],'Novia Web Query'!$A:$E,5,FALSE)</f>
        <v>30/11/2020</v>
      </c>
      <c r="F282" t="e">
        <f>VLOOKUP(NoviaFunds[[#This Row],[Sector]],Sectors[],2,FALSE)</f>
        <v>#N/A</v>
      </c>
    </row>
    <row r="283" spans="1:6" x14ac:dyDescent="0.2">
      <c r="A283" t="str">
        <f>'Novia Web Query'!A283</f>
        <v>GB00B7MR5W47</v>
      </c>
      <c r="B283" t="str">
        <f>VLOOKUP(NoviaFunds[[#This Row],[ISIN]],'Novia Web Query'!$A:$E,2,FALSE)</f>
        <v>ASI Global Real Estate Share Platform 1 Acc GBP in GB</v>
      </c>
      <c r="C283" t="str">
        <f>VLOOKUP(NoviaFunds[[#This Row],[ISIN]],'Novia Web Query'!$A:$E,3,FALSE)</f>
        <v>UT Property Other</v>
      </c>
      <c r="D283" s="139">
        <f>VLOOKUP(NoviaFunds[[#This Row],[ISIN]],'Novia Web Query'!$A:$E,4,FALSE)/100</f>
        <v>9.4999999999999998E-3</v>
      </c>
      <c r="E283" s="3" t="str">
        <f>VLOOKUP(NoviaFunds[[#This Row],[ISIN]],'Novia Web Query'!$A:$E,5,FALSE)</f>
        <v>30/11/2020</v>
      </c>
      <c r="F283" t="e">
        <f>VLOOKUP(NoviaFunds[[#This Row],[Sector]],Sectors[],2,FALSE)</f>
        <v>#N/A</v>
      </c>
    </row>
    <row r="284" spans="1:6" x14ac:dyDescent="0.2">
      <c r="A284" t="str">
        <f>'Novia Web Query'!A284</f>
        <v>GB00B6TQN017</v>
      </c>
      <c r="B284" t="str">
        <f>VLOOKUP(NoviaFunds[[#This Row],[ISIN]],'Novia Web Query'!$A:$E,2,FALSE)</f>
        <v>ASI Global Real Estate Share Platform 1 Inc GBP TR in GB</v>
      </c>
      <c r="C284" t="str">
        <f>VLOOKUP(NoviaFunds[[#This Row],[ISIN]],'Novia Web Query'!$A:$E,3,FALSE)</f>
        <v>UT Property Other</v>
      </c>
      <c r="D284" s="139">
        <f>VLOOKUP(NoviaFunds[[#This Row],[ISIN]],'Novia Web Query'!$A:$E,4,FALSE)/100</f>
        <v>9.4999999999999998E-3</v>
      </c>
      <c r="E284" s="3" t="str">
        <f>VLOOKUP(NoviaFunds[[#This Row],[ISIN]],'Novia Web Query'!$A:$E,5,FALSE)</f>
        <v>30/11/2020</v>
      </c>
      <c r="F284" t="e">
        <f>VLOOKUP(NoviaFunds[[#This Row],[Sector]],Sectors[],2,FALSE)</f>
        <v>#N/A</v>
      </c>
    </row>
    <row r="285" spans="1:6" x14ac:dyDescent="0.2">
      <c r="A285" t="str">
        <f>'Novia Web Query'!A285</f>
        <v>GB00B1LBR182</v>
      </c>
      <c r="B285" t="str">
        <f>VLOOKUP(NoviaFunds[[#This Row],[ISIN]],'Novia Web Query'!$A:$E,2,FALSE)</f>
        <v>ASI Global Real Estate Share Ret Acc GBP in GB</v>
      </c>
      <c r="C285" t="str">
        <f>VLOOKUP(NoviaFunds[[#This Row],[ISIN]],'Novia Web Query'!$A:$E,3,FALSE)</f>
        <v>UT Property Other</v>
      </c>
      <c r="D285" s="139">
        <f>VLOOKUP(NoviaFunds[[#This Row],[ISIN]],'Novia Web Query'!$A:$E,4,FALSE)/100</f>
        <v>1.37E-2</v>
      </c>
      <c r="E285" s="3" t="str">
        <f>VLOOKUP(NoviaFunds[[#This Row],[ISIN]],'Novia Web Query'!$A:$E,5,FALSE)</f>
        <v>30/11/2020</v>
      </c>
      <c r="F285" t="e">
        <f>VLOOKUP(NoviaFunds[[#This Row],[Sector]],Sectors[],2,FALSE)</f>
        <v>#N/A</v>
      </c>
    </row>
    <row r="286" spans="1:6" x14ac:dyDescent="0.2">
      <c r="A286" t="str">
        <f>'Novia Web Query'!A286</f>
        <v>GB00B1LBR299</v>
      </c>
      <c r="B286" t="str">
        <f>VLOOKUP(NoviaFunds[[#This Row],[ISIN]],'Novia Web Query'!$A:$E,2,FALSE)</f>
        <v>ASI Global Real Estate Share Ret Inc GBP TR in GB</v>
      </c>
      <c r="C286" t="str">
        <f>VLOOKUP(NoviaFunds[[#This Row],[ISIN]],'Novia Web Query'!$A:$E,3,FALSE)</f>
        <v>UT Property Other</v>
      </c>
      <c r="D286" s="139">
        <f>VLOOKUP(NoviaFunds[[#This Row],[ISIN]],'Novia Web Query'!$A:$E,4,FALSE)/100</f>
        <v>1.37E-2</v>
      </c>
      <c r="E286" s="3" t="str">
        <f>VLOOKUP(NoviaFunds[[#This Row],[ISIN]],'Novia Web Query'!$A:$E,5,FALSE)</f>
        <v>30/11/2020</v>
      </c>
      <c r="F286" t="e">
        <f>VLOOKUP(NoviaFunds[[#This Row],[Sector]],Sectors[],2,FALSE)</f>
        <v>#N/A</v>
      </c>
    </row>
    <row r="287" spans="1:6" x14ac:dyDescent="0.2">
      <c r="A287" t="str">
        <f>'Novia Web Query'!A287</f>
        <v>GB00B4KHN986</v>
      </c>
      <c r="B287" t="str">
        <f>VLOOKUP(NoviaFunds[[#This Row],[ISIN]],'Novia Web Query'!$A:$E,2,FALSE)</f>
        <v>ASI Global Smaller Companies Ret Acc GBP in GB</v>
      </c>
      <c r="C287" t="str">
        <f>VLOOKUP(NoviaFunds[[#This Row],[ISIN]],'Novia Web Query'!$A:$E,3,FALSE)</f>
        <v>UT Global</v>
      </c>
      <c r="D287" s="139">
        <f>VLOOKUP(NoviaFunds[[#This Row],[ISIN]],'Novia Web Query'!$A:$E,4,FALSE)/100</f>
        <v>1.47E-2</v>
      </c>
      <c r="E287" s="3" t="str">
        <f>VLOOKUP(NoviaFunds[[#This Row],[ISIN]],'Novia Web Query'!$A:$E,5,FALSE)</f>
        <v>28/02/2021</v>
      </c>
      <c r="F287" t="str">
        <f>VLOOKUP(NoviaFunds[[#This Row],[Sector]],Sectors[],2,FALSE)</f>
        <v>Other Equities</v>
      </c>
    </row>
    <row r="288" spans="1:6" x14ac:dyDescent="0.2">
      <c r="A288" t="str">
        <f>'Novia Web Query'!A288</f>
        <v>GB00B7KVX245</v>
      </c>
      <c r="B288" t="str">
        <f>VLOOKUP(NoviaFunds[[#This Row],[ISIN]],'Novia Web Query'!$A:$E,2,FALSE)</f>
        <v>ASI Global Smaller Companies Ret Platform 1 Acc GBP in GB</v>
      </c>
      <c r="C288" t="str">
        <f>VLOOKUP(NoviaFunds[[#This Row],[ISIN]],'Novia Web Query'!$A:$E,3,FALSE)</f>
        <v>UT Global</v>
      </c>
      <c r="D288" s="139">
        <f>VLOOKUP(NoviaFunds[[#This Row],[ISIN]],'Novia Web Query'!$A:$E,4,FALSE)/100</f>
        <v>1.0500000000000001E-2</v>
      </c>
      <c r="E288" s="3" t="str">
        <f>VLOOKUP(NoviaFunds[[#This Row],[ISIN]],'Novia Web Query'!$A:$E,5,FALSE)</f>
        <v>28/02/2021</v>
      </c>
      <c r="F288" t="str">
        <f>VLOOKUP(NoviaFunds[[#This Row],[Sector]],Sectors[],2,FALSE)</f>
        <v>Other Equities</v>
      </c>
    </row>
    <row r="289" spans="1:6" x14ac:dyDescent="0.2">
      <c r="A289" t="str">
        <f>'Novia Web Query'!A289</f>
        <v>GB0006833718</v>
      </c>
      <c r="B289" t="str">
        <f>VLOOKUP(NoviaFunds[[#This Row],[ISIN]],'Novia Web Query'!$A:$E,2,FALSE)</f>
        <v>ASI Global Sustainable and Responsible Investment Equity A Acc in GB</v>
      </c>
      <c r="C289" t="str">
        <f>VLOOKUP(NoviaFunds[[#This Row],[ISIN]],'Novia Web Query'!$A:$E,3,FALSE)</f>
        <v>UT Global</v>
      </c>
      <c r="D289" s="139">
        <f>VLOOKUP(NoviaFunds[[#This Row],[ISIN]],'Novia Web Query'!$A:$E,4,FALSE)/100</f>
        <v>1.29E-2</v>
      </c>
      <c r="E289" s="3" t="str">
        <f>VLOOKUP(NoviaFunds[[#This Row],[ISIN]],'Novia Web Query'!$A:$E,5,FALSE)</f>
        <v>31/10/2021</v>
      </c>
      <c r="F289" t="str">
        <f>VLOOKUP(NoviaFunds[[#This Row],[Sector]],Sectors[],2,FALSE)</f>
        <v>Other Equities</v>
      </c>
    </row>
    <row r="290" spans="1:6" x14ac:dyDescent="0.2">
      <c r="A290" t="str">
        <f>'Novia Web Query'!A290</f>
        <v>GB0006833601</v>
      </c>
      <c r="B290" t="str">
        <f>VLOOKUP(NoviaFunds[[#This Row],[ISIN]],'Novia Web Query'!$A:$E,2,FALSE)</f>
        <v>ASI Global Sustainable and Responsible Investment Equity A Inc TR in GB</v>
      </c>
      <c r="C290" t="str">
        <f>VLOOKUP(NoviaFunds[[#This Row],[ISIN]],'Novia Web Query'!$A:$E,3,FALSE)</f>
        <v>UT Global</v>
      </c>
      <c r="D290" s="139">
        <f>VLOOKUP(NoviaFunds[[#This Row],[ISIN]],'Novia Web Query'!$A:$E,4,FALSE)/100</f>
        <v>1.29E-2</v>
      </c>
      <c r="E290" s="3" t="str">
        <f>VLOOKUP(NoviaFunds[[#This Row],[ISIN]],'Novia Web Query'!$A:$E,5,FALSE)</f>
        <v>31/10/2021</v>
      </c>
      <c r="F290" t="str">
        <f>VLOOKUP(NoviaFunds[[#This Row],[Sector]],Sectors[],2,FALSE)</f>
        <v>Other Equities</v>
      </c>
    </row>
    <row r="291" spans="1:6" x14ac:dyDescent="0.2">
      <c r="A291" t="str">
        <f>'Novia Web Query'!A291</f>
        <v>GB0006833932</v>
      </c>
      <c r="B291" t="str">
        <f>VLOOKUP(NoviaFunds[[#This Row],[ISIN]],'Novia Web Query'!$A:$E,2,FALSE)</f>
        <v>ASI Global Sustainable and Responsible Investment Equity I Acc in GB</v>
      </c>
      <c r="C291" t="str">
        <f>VLOOKUP(NoviaFunds[[#This Row],[ISIN]],'Novia Web Query'!$A:$E,3,FALSE)</f>
        <v>UT Global</v>
      </c>
      <c r="D291" s="139">
        <f>VLOOKUP(NoviaFunds[[#This Row],[ISIN]],'Novia Web Query'!$A:$E,4,FALSE)/100</f>
        <v>8.3999999999999995E-3</v>
      </c>
      <c r="E291" s="3" t="str">
        <f>VLOOKUP(NoviaFunds[[#This Row],[ISIN]],'Novia Web Query'!$A:$E,5,FALSE)</f>
        <v>31/10/2021</v>
      </c>
      <c r="F291" t="str">
        <f>VLOOKUP(NoviaFunds[[#This Row],[Sector]],Sectors[],2,FALSE)</f>
        <v>Other Equities</v>
      </c>
    </row>
    <row r="292" spans="1:6" x14ac:dyDescent="0.2">
      <c r="A292" t="str">
        <f>'Novia Web Query'!A292</f>
        <v>GB0006833825</v>
      </c>
      <c r="B292" t="str">
        <f>VLOOKUP(NoviaFunds[[#This Row],[ISIN]],'Novia Web Query'!$A:$E,2,FALSE)</f>
        <v>ASI Global Sustainable and Responsible Investment Equity I Inc TR in GB</v>
      </c>
      <c r="C292" t="str">
        <f>VLOOKUP(NoviaFunds[[#This Row],[ISIN]],'Novia Web Query'!$A:$E,3,FALSE)</f>
        <v>UT Global</v>
      </c>
      <c r="D292" s="139">
        <f>VLOOKUP(NoviaFunds[[#This Row],[ISIN]],'Novia Web Query'!$A:$E,4,FALSE)/100</f>
        <v>8.3999999999999995E-3</v>
      </c>
      <c r="E292" s="3" t="str">
        <f>VLOOKUP(NoviaFunds[[#This Row],[ISIN]],'Novia Web Query'!$A:$E,5,FALSE)</f>
        <v>31/10/2021</v>
      </c>
      <c r="F292" t="str">
        <f>VLOOKUP(NoviaFunds[[#This Row],[Sector]],Sectors[],2,FALSE)</f>
        <v>Other Equities</v>
      </c>
    </row>
    <row r="293" spans="1:6" x14ac:dyDescent="0.2">
      <c r="A293" t="str">
        <f>'Novia Web Query'!A293</f>
        <v>GB0000936244</v>
      </c>
      <c r="B293" t="str">
        <f>VLOOKUP(NoviaFunds[[#This Row],[ISIN]],'Novia Web Query'!$A:$E,2,FALSE)</f>
        <v>ASI High Yield Bond Inst Acc GBP in GB</v>
      </c>
      <c r="C293" t="str">
        <f>VLOOKUP(NoviaFunds[[#This Row],[ISIN]],'Novia Web Query'!$A:$E,3,FALSE)</f>
        <v>UT Sterling High Yield</v>
      </c>
      <c r="D293" s="139">
        <f>VLOOKUP(NoviaFunds[[#This Row],[ISIN]],'Novia Web Query'!$A:$E,4,FALSE)/100</f>
        <v>7.0999999999999995E-3</v>
      </c>
      <c r="E293" s="3" t="str">
        <f>VLOOKUP(NoviaFunds[[#This Row],[ISIN]],'Novia Web Query'!$A:$E,5,FALSE)</f>
        <v>28/02/2021</v>
      </c>
      <c r="F293" t="str">
        <f>VLOOKUP(NoviaFunds[[#This Row],[Sector]],Sectors[],2,FALSE)</f>
        <v>High Yield</v>
      </c>
    </row>
    <row r="294" spans="1:6" x14ac:dyDescent="0.2">
      <c r="A294" t="str">
        <f>'Novia Web Query'!A294</f>
        <v>GB0000938844</v>
      </c>
      <c r="B294" t="str">
        <f>VLOOKUP(NoviaFunds[[#This Row],[ISIN]],'Novia Web Query'!$A:$E,2,FALSE)</f>
        <v>ASI High Yield Bond Ret Acc GBP in GB</v>
      </c>
      <c r="C294" t="str">
        <f>VLOOKUP(NoviaFunds[[#This Row],[ISIN]],'Novia Web Query'!$A:$E,3,FALSE)</f>
        <v>UT Sterling High Yield</v>
      </c>
      <c r="D294" s="139">
        <f>VLOOKUP(NoviaFunds[[#This Row],[ISIN]],'Novia Web Query'!$A:$E,4,FALSE)/100</f>
        <v>1.03E-2</v>
      </c>
      <c r="E294" s="3" t="str">
        <f>VLOOKUP(NoviaFunds[[#This Row],[ISIN]],'Novia Web Query'!$A:$E,5,FALSE)</f>
        <v>28/02/2021</v>
      </c>
      <c r="F294" t="str">
        <f>VLOOKUP(NoviaFunds[[#This Row],[Sector]],Sectors[],2,FALSE)</f>
        <v>High Yield</v>
      </c>
    </row>
    <row r="295" spans="1:6" x14ac:dyDescent="0.2">
      <c r="A295" t="str">
        <f>'Novia Web Query'!A295</f>
        <v>GB0000937093</v>
      </c>
      <c r="B295" t="str">
        <f>VLOOKUP(NoviaFunds[[#This Row],[ISIN]],'Novia Web Query'!$A:$E,2,FALSE)</f>
        <v>ASI High Yield Bond Ret Inc GBP TR in GB</v>
      </c>
      <c r="C295" t="str">
        <f>VLOOKUP(NoviaFunds[[#This Row],[ISIN]],'Novia Web Query'!$A:$E,3,FALSE)</f>
        <v>UT Sterling High Yield</v>
      </c>
      <c r="D295" s="139">
        <f>VLOOKUP(NoviaFunds[[#This Row],[ISIN]],'Novia Web Query'!$A:$E,4,FALSE)/100</f>
        <v>1.03E-2</v>
      </c>
      <c r="E295" s="3" t="str">
        <f>VLOOKUP(NoviaFunds[[#This Row],[ISIN]],'Novia Web Query'!$A:$E,5,FALSE)</f>
        <v>28/02/2021</v>
      </c>
      <c r="F295" t="str">
        <f>VLOOKUP(NoviaFunds[[#This Row],[Sector]],Sectors[],2,FALSE)</f>
        <v>High Yield</v>
      </c>
    </row>
    <row r="296" spans="1:6" x14ac:dyDescent="0.2">
      <c r="A296" t="str">
        <f>'Novia Web Query'!A296</f>
        <v>GB00B79RR984</v>
      </c>
      <c r="B296" t="str">
        <f>VLOOKUP(NoviaFunds[[#This Row],[ISIN]],'Novia Web Query'!$A:$E,2,FALSE)</f>
        <v>ASI High Yield Bond Ret Platform 1 Acc GBP in GB</v>
      </c>
      <c r="C296" t="str">
        <f>VLOOKUP(NoviaFunds[[#This Row],[ISIN]],'Novia Web Query'!$A:$E,3,FALSE)</f>
        <v>UT Sterling High Yield</v>
      </c>
      <c r="D296" s="139">
        <f>VLOOKUP(NoviaFunds[[#This Row],[ISIN]],'Novia Web Query'!$A:$E,4,FALSE)/100</f>
        <v>7.6E-3</v>
      </c>
      <c r="E296" s="3" t="str">
        <f>VLOOKUP(NoviaFunds[[#This Row],[ISIN]],'Novia Web Query'!$A:$E,5,FALSE)</f>
        <v>28/02/2021</v>
      </c>
      <c r="F296" t="str">
        <f>VLOOKUP(NoviaFunds[[#This Row],[Sector]],Sectors[],2,FALSE)</f>
        <v>High Yield</v>
      </c>
    </row>
    <row r="297" spans="1:6" x14ac:dyDescent="0.2">
      <c r="A297" t="str">
        <f>'Novia Web Query'!A297</f>
        <v>GB00B7G7DD75</v>
      </c>
      <c r="B297" t="str">
        <f>VLOOKUP(NoviaFunds[[#This Row],[ISIN]],'Novia Web Query'!$A:$E,2,FALSE)</f>
        <v>ASI High Yield Bond Ret Platform 1 Inc GBP TR in GB</v>
      </c>
      <c r="C297" t="str">
        <f>VLOOKUP(NoviaFunds[[#This Row],[ISIN]],'Novia Web Query'!$A:$E,3,FALSE)</f>
        <v>UT Sterling High Yield</v>
      </c>
      <c r="D297" s="139">
        <f>VLOOKUP(NoviaFunds[[#This Row],[ISIN]],'Novia Web Query'!$A:$E,4,FALSE)/100</f>
        <v>7.6E-3</v>
      </c>
      <c r="E297" s="3" t="str">
        <f>VLOOKUP(NoviaFunds[[#This Row],[ISIN]],'Novia Web Query'!$A:$E,5,FALSE)</f>
        <v>28/02/2021</v>
      </c>
      <c r="F297" t="str">
        <f>VLOOKUP(NoviaFunds[[#This Row],[Sector]],Sectors[],2,FALSE)</f>
        <v>High Yield</v>
      </c>
    </row>
    <row r="298" spans="1:6" x14ac:dyDescent="0.2">
      <c r="A298" t="str">
        <f>'Novia Web Query'!A298</f>
        <v>GB0004330048</v>
      </c>
      <c r="B298" t="str">
        <f>VLOOKUP(NoviaFunds[[#This Row],[ISIN]],'Novia Web Query'!$A:$E,2,FALSE)</f>
        <v>ASI Investment Grade Corporate Bond Ret Acc GBP in GB</v>
      </c>
      <c r="C298" t="str">
        <f>VLOOKUP(NoviaFunds[[#This Row],[ISIN]],'Novia Web Query'!$A:$E,3,FALSE)</f>
        <v>UT Sterling Corporate Bond</v>
      </c>
      <c r="D298" s="139">
        <f>VLOOKUP(NoviaFunds[[#This Row],[ISIN]],'Novia Web Query'!$A:$E,4,FALSE)/100</f>
        <v>1.0200000000000001E-2</v>
      </c>
      <c r="E298" s="3" t="str">
        <f>VLOOKUP(NoviaFunds[[#This Row],[ISIN]],'Novia Web Query'!$A:$E,5,FALSE)</f>
        <v>28/02/2021</v>
      </c>
      <c r="F298" t="str">
        <f>VLOOKUP(NoviaFunds[[#This Row],[Sector]],Sectors[],2,FALSE)</f>
        <v>Sterling Corporate Bonds</v>
      </c>
    </row>
    <row r="299" spans="1:6" x14ac:dyDescent="0.2">
      <c r="A299" t="str">
        <f>'Novia Web Query'!A299</f>
        <v>GB0004329826</v>
      </c>
      <c r="B299" t="str">
        <f>VLOOKUP(NoviaFunds[[#This Row],[ISIN]],'Novia Web Query'!$A:$E,2,FALSE)</f>
        <v>ASI Investment Grade Corporate Bond Ret Inc GBP TR in GB</v>
      </c>
      <c r="C299" t="str">
        <f>VLOOKUP(NoviaFunds[[#This Row],[ISIN]],'Novia Web Query'!$A:$E,3,FALSE)</f>
        <v>UT Sterling Corporate Bond</v>
      </c>
      <c r="D299" s="139">
        <f>VLOOKUP(NoviaFunds[[#This Row],[ISIN]],'Novia Web Query'!$A:$E,4,FALSE)/100</f>
        <v>1.0200000000000001E-2</v>
      </c>
      <c r="E299" s="3" t="str">
        <f>VLOOKUP(NoviaFunds[[#This Row],[ISIN]],'Novia Web Query'!$A:$E,5,FALSE)</f>
        <v>28/02/2021</v>
      </c>
      <c r="F299" t="str">
        <f>VLOOKUP(NoviaFunds[[#This Row],[Sector]],Sectors[],2,FALSE)</f>
        <v>Sterling Corporate Bonds</v>
      </c>
    </row>
    <row r="300" spans="1:6" x14ac:dyDescent="0.2">
      <c r="A300" t="str">
        <f>'Novia Web Query'!A300</f>
        <v>GB00B6TRYW36</v>
      </c>
      <c r="B300" t="str">
        <f>VLOOKUP(NoviaFunds[[#This Row],[ISIN]],'Novia Web Query'!$A:$E,2,FALSE)</f>
        <v>ASI Investment Grade Corporate Bond Ret Platform 1 Acc GBP in GB</v>
      </c>
      <c r="C300" t="str">
        <f>VLOOKUP(NoviaFunds[[#This Row],[ISIN]],'Novia Web Query'!$A:$E,3,FALSE)</f>
        <v>UT Sterling Corporate Bond</v>
      </c>
      <c r="D300" s="139">
        <f>VLOOKUP(NoviaFunds[[#This Row],[ISIN]],'Novia Web Query'!$A:$E,4,FALSE)/100</f>
        <v>6.5000000000000006E-3</v>
      </c>
      <c r="E300" s="3" t="str">
        <f>VLOOKUP(NoviaFunds[[#This Row],[ISIN]],'Novia Web Query'!$A:$E,5,FALSE)</f>
        <v>28/02/2021</v>
      </c>
      <c r="F300" t="str">
        <f>VLOOKUP(NoviaFunds[[#This Row],[Sector]],Sectors[],2,FALSE)</f>
        <v>Sterling Corporate Bonds</v>
      </c>
    </row>
    <row r="301" spans="1:6" x14ac:dyDescent="0.2">
      <c r="A301" t="str">
        <f>'Novia Web Query'!A301</f>
        <v>GB00B76CD438</v>
      </c>
      <c r="B301" t="str">
        <f>VLOOKUP(NoviaFunds[[#This Row],[ISIN]],'Novia Web Query'!$A:$E,2,FALSE)</f>
        <v>ASI Investment Grade Corporate Bond Ret Platform 1 Inc GBP TR in GB</v>
      </c>
      <c r="C301" t="str">
        <f>VLOOKUP(NoviaFunds[[#This Row],[ISIN]],'Novia Web Query'!$A:$E,3,FALSE)</f>
        <v>UT Sterling Corporate Bond</v>
      </c>
      <c r="D301" s="139">
        <f>VLOOKUP(NoviaFunds[[#This Row],[ISIN]],'Novia Web Query'!$A:$E,4,FALSE)/100</f>
        <v>6.5000000000000006E-3</v>
      </c>
      <c r="E301" s="3" t="str">
        <f>VLOOKUP(NoviaFunds[[#This Row],[ISIN]],'Novia Web Query'!$A:$E,5,FALSE)</f>
        <v>28/02/2021</v>
      </c>
      <c r="F301" t="str">
        <f>VLOOKUP(NoviaFunds[[#This Row],[Sector]],Sectors[],2,FALSE)</f>
        <v>Sterling Corporate Bonds</v>
      </c>
    </row>
    <row r="302" spans="1:6" x14ac:dyDescent="0.2">
      <c r="A302" t="str">
        <f>'Novia Web Query'!A302</f>
        <v>GB00BRJL8317</v>
      </c>
      <c r="B302" t="str">
        <f>VLOOKUP(NoviaFunds[[#This Row],[ISIN]],'Novia Web Query'!$A:$E,2,FALSE)</f>
        <v>ASI Japan Equity Enhanced Index B in GB</v>
      </c>
      <c r="C302" t="str">
        <f>VLOOKUP(NoviaFunds[[#This Row],[ISIN]],'Novia Web Query'!$A:$E,3,FALSE)</f>
        <v>UT Japan</v>
      </c>
      <c r="D302" s="139">
        <f>VLOOKUP(NoviaFunds[[#This Row],[ISIN]],'Novia Web Query'!$A:$E,4,FALSE)/100</f>
        <v>2.7000000000000001E-3</v>
      </c>
      <c r="E302" s="3" t="str">
        <f>VLOOKUP(NoviaFunds[[#This Row],[ISIN]],'Novia Web Query'!$A:$E,5,FALSE)</f>
        <v>30/09/2021</v>
      </c>
      <c r="F302" t="str">
        <f>VLOOKUP(NoviaFunds[[#This Row],[Sector]],Sectors[],2,FALSE)</f>
        <v>Japanese Equities</v>
      </c>
    </row>
    <row r="303" spans="1:6" x14ac:dyDescent="0.2">
      <c r="A303" t="str">
        <f>'Novia Web Query'!A303</f>
        <v>GB0004521620</v>
      </c>
      <c r="B303" t="str">
        <f>VLOOKUP(NoviaFunds[[#This Row],[ISIN]],'Novia Web Query'!$A:$E,2,FALSE)</f>
        <v>ASI Japanese Equity A Acc in GB</v>
      </c>
      <c r="C303" t="str">
        <f>VLOOKUP(NoviaFunds[[#This Row],[ISIN]],'Novia Web Query'!$A:$E,3,FALSE)</f>
        <v>UT Japan</v>
      </c>
      <c r="D303" s="139">
        <f>VLOOKUP(NoviaFunds[[#This Row],[ISIN]],'Novia Web Query'!$A:$E,4,FALSE)/100</f>
        <v>1.32E-2</v>
      </c>
      <c r="E303" s="3" t="str">
        <f>VLOOKUP(NoviaFunds[[#This Row],[ISIN]],'Novia Web Query'!$A:$E,5,FALSE)</f>
        <v>31/07/2021</v>
      </c>
      <c r="F303" t="str">
        <f>VLOOKUP(NoviaFunds[[#This Row],[Sector]],Sectors[],2,FALSE)</f>
        <v>Japanese Equities</v>
      </c>
    </row>
    <row r="304" spans="1:6" x14ac:dyDescent="0.2">
      <c r="A304" t="str">
        <f>'Novia Web Query'!A304</f>
        <v>GB0004521737</v>
      </c>
      <c r="B304" t="str">
        <f>VLOOKUP(NoviaFunds[[#This Row],[ISIN]],'Novia Web Query'!$A:$E,2,FALSE)</f>
        <v>ASI Japanese Equity I Acc in GB**</v>
      </c>
      <c r="C304" t="str">
        <f>VLOOKUP(NoviaFunds[[#This Row],[ISIN]],'Novia Web Query'!$A:$E,3,FALSE)</f>
        <v>UT Japan</v>
      </c>
      <c r="D304" s="139">
        <f>VLOOKUP(NoviaFunds[[#This Row],[ISIN]],'Novia Web Query'!$A:$E,4,FALSE)/100</f>
        <v>8.6999999999999994E-3</v>
      </c>
      <c r="E304" s="3" t="str">
        <f>VLOOKUP(NoviaFunds[[#This Row],[ISIN]],'Novia Web Query'!$A:$E,5,FALSE)</f>
        <v>31/07/2021</v>
      </c>
      <c r="F304" t="str">
        <f>VLOOKUP(NoviaFunds[[#This Row],[Sector]],Sectors[],2,FALSE)</f>
        <v>Japanese Equities</v>
      </c>
    </row>
    <row r="305" spans="1:6" x14ac:dyDescent="0.2">
      <c r="A305" t="str">
        <f>'Novia Web Query'!A305</f>
        <v>GB00B41QSW23</v>
      </c>
      <c r="B305" t="str">
        <f>VLOOKUP(NoviaFunds[[#This Row],[ISIN]],'Novia Web Query'!$A:$E,2,FALSE)</f>
        <v>ASI Latin American Equity A Acc in GB</v>
      </c>
      <c r="C305" t="str">
        <f>VLOOKUP(NoviaFunds[[#This Row],[ISIN]],'Novia Web Query'!$A:$E,3,FALSE)</f>
        <v>UT Latin America</v>
      </c>
      <c r="D305" s="139">
        <f>VLOOKUP(NoviaFunds[[#This Row],[ISIN]],'Novia Web Query'!$A:$E,4,FALSE)/100</f>
        <v>1.6399999999999998E-2</v>
      </c>
      <c r="E305" s="3" t="str">
        <f>VLOOKUP(NoviaFunds[[#This Row],[ISIN]],'Novia Web Query'!$A:$E,5,FALSE)</f>
        <v>31/07/2021</v>
      </c>
      <c r="F305" t="e">
        <f>VLOOKUP(NoviaFunds[[#This Row],[Sector]],Sectors[],2,FALSE)</f>
        <v>#N/A</v>
      </c>
    </row>
    <row r="306" spans="1:6" x14ac:dyDescent="0.2">
      <c r="A306" t="str">
        <f>'Novia Web Query'!A306</f>
        <v>GB00B4R0SD95</v>
      </c>
      <c r="B306" t="str">
        <f>VLOOKUP(NoviaFunds[[#This Row],[ISIN]],'Novia Web Query'!$A:$E,2,FALSE)</f>
        <v>ASI Latin American Equity I Acc in GB</v>
      </c>
      <c r="C306" t="str">
        <f>VLOOKUP(NoviaFunds[[#This Row],[ISIN]],'Novia Web Query'!$A:$E,3,FALSE)</f>
        <v>UT Latin America</v>
      </c>
      <c r="D306" s="139">
        <f>VLOOKUP(NoviaFunds[[#This Row],[ISIN]],'Novia Web Query'!$A:$E,4,FALSE)/100</f>
        <v>1.1899999999999999E-2</v>
      </c>
      <c r="E306" s="3" t="str">
        <f>VLOOKUP(NoviaFunds[[#This Row],[ISIN]],'Novia Web Query'!$A:$E,5,FALSE)</f>
        <v>31/07/2021</v>
      </c>
      <c r="F306" t="e">
        <f>VLOOKUP(NoviaFunds[[#This Row],[Sector]],Sectors[],2,FALSE)</f>
        <v>#N/A</v>
      </c>
    </row>
    <row r="307" spans="1:6" x14ac:dyDescent="0.2">
      <c r="A307" t="str">
        <f>'Novia Web Query'!A307</f>
        <v>GB0031682171</v>
      </c>
      <c r="B307" t="str">
        <f>VLOOKUP(NoviaFunds[[#This Row],[ISIN]],'Novia Web Query'!$A:$E,2,FALSE)</f>
        <v>ASI Multi Asset A Acc in GB</v>
      </c>
      <c r="C307" t="str">
        <f>VLOOKUP(NoviaFunds[[#This Row],[ISIN]],'Novia Web Query'!$A:$E,3,FALSE)</f>
        <v>UT Mixed Investment 40-85% Shares</v>
      </c>
      <c r="D307" s="139">
        <f>VLOOKUP(NoviaFunds[[#This Row],[ISIN]],'Novia Web Query'!$A:$E,4,FALSE)/100</f>
        <v>1.3500000000000002E-2</v>
      </c>
      <c r="E307" s="3" t="str">
        <f>VLOOKUP(NoviaFunds[[#This Row],[ISIN]],'Novia Web Query'!$A:$E,5,FALSE)</f>
        <v>31/07/2021</v>
      </c>
      <c r="F307" t="str">
        <f>VLOOKUP(NoviaFunds[[#This Row],[Sector]],Sectors[],2,FALSE)</f>
        <v>Mixed 40%-85%</v>
      </c>
    </row>
    <row r="308" spans="1:6" x14ac:dyDescent="0.2">
      <c r="A308" t="str">
        <f>'Novia Web Query'!A308</f>
        <v>GB0031682288</v>
      </c>
      <c r="B308" t="str">
        <f>VLOOKUP(NoviaFunds[[#This Row],[ISIN]],'Novia Web Query'!$A:$E,2,FALSE)</f>
        <v>ASI Multi Asset A Inc TR in GB</v>
      </c>
      <c r="C308" t="str">
        <f>VLOOKUP(NoviaFunds[[#This Row],[ISIN]],'Novia Web Query'!$A:$E,3,FALSE)</f>
        <v>UT Mixed Investment 40-85% Shares</v>
      </c>
      <c r="D308" s="139">
        <f>VLOOKUP(NoviaFunds[[#This Row],[ISIN]],'Novia Web Query'!$A:$E,4,FALSE)/100</f>
        <v>1.3500000000000002E-2</v>
      </c>
      <c r="E308" s="3" t="str">
        <f>VLOOKUP(NoviaFunds[[#This Row],[ISIN]],'Novia Web Query'!$A:$E,5,FALSE)</f>
        <v>31/07/2021</v>
      </c>
      <c r="F308" t="str">
        <f>VLOOKUP(NoviaFunds[[#This Row],[Sector]],Sectors[],2,FALSE)</f>
        <v>Mixed 40%-85%</v>
      </c>
    </row>
    <row r="309" spans="1:6" x14ac:dyDescent="0.2">
      <c r="A309" t="str">
        <f>'Novia Web Query'!A309</f>
        <v>GB0031682395</v>
      </c>
      <c r="B309" t="str">
        <f>VLOOKUP(NoviaFunds[[#This Row],[ISIN]],'Novia Web Query'!$A:$E,2,FALSE)</f>
        <v>ASI Multi Asset I Acc in GB</v>
      </c>
      <c r="C309" t="str">
        <f>VLOOKUP(NoviaFunds[[#This Row],[ISIN]],'Novia Web Query'!$A:$E,3,FALSE)</f>
        <v>UT Mixed Investment 40-85% Shares</v>
      </c>
      <c r="D309" s="139">
        <f>VLOOKUP(NoviaFunds[[#This Row],[ISIN]],'Novia Web Query'!$A:$E,4,FALSE)/100</f>
        <v>9.0000000000000011E-3</v>
      </c>
      <c r="E309" s="3" t="str">
        <f>VLOOKUP(NoviaFunds[[#This Row],[ISIN]],'Novia Web Query'!$A:$E,5,FALSE)</f>
        <v>31/07/2021</v>
      </c>
      <c r="F309" t="str">
        <f>VLOOKUP(NoviaFunds[[#This Row],[Sector]],Sectors[],2,FALSE)</f>
        <v>Mixed 40%-85%</v>
      </c>
    </row>
    <row r="310" spans="1:6" x14ac:dyDescent="0.2">
      <c r="A310" t="str">
        <f>'Novia Web Query'!A310</f>
        <v>GB00B1GCQ869</v>
      </c>
      <c r="B310" t="str">
        <f>VLOOKUP(NoviaFunds[[#This Row],[ISIN]],'Novia Web Query'!$A:$E,2,FALSE)</f>
        <v>ASI Multi Asset I Inc TR in GB**</v>
      </c>
      <c r="C310" t="str">
        <f>VLOOKUP(NoviaFunds[[#This Row],[ISIN]],'Novia Web Query'!$A:$E,3,FALSE)</f>
        <v>UT Mixed Investment 40-85% Shares</v>
      </c>
      <c r="D310" s="139">
        <f>VLOOKUP(NoviaFunds[[#This Row],[ISIN]],'Novia Web Query'!$A:$E,4,FALSE)/100</f>
        <v>9.0000000000000011E-3</v>
      </c>
      <c r="E310" s="3" t="str">
        <f>VLOOKUP(NoviaFunds[[#This Row],[ISIN]],'Novia Web Query'!$A:$E,5,FALSE)</f>
        <v>31/07/2021</v>
      </c>
      <c r="F310" t="str">
        <f>VLOOKUP(NoviaFunds[[#This Row],[Sector]],Sectors[],2,FALSE)</f>
        <v>Mixed 40%-85%</v>
      </c>
    </row>
    <row r="311" spans="1:6" x14ac:dyDescent="0.2">
      <c r="A311" t="str">
        <f>'Novia Web Query'!A311</f>
        <v>GB00B843VR45</v>
      </c>
      <c r="B311" t="str">
        <f>VLOOKUP(NoviaFunds[[#This Row],[ISIN]],'Novia Web Query'!$A:$E,2,FALSE)</f>
        <v>ASI Multi Manager Balanced Managed Portfolio I Acc in GB</v>
      </c>
      <c r="C311" t="str">
        <f>VLOOKUP(NoviaFunds[[#This Row],[ISIN]],'Novia Web Query'!$A:$E,3,FALSE)</f>
        <v>UT Mixed Investment 40-85% Shares</v>
      </c>
      <c r="D311" s="139">
        <f>VLOOKUP(NoviaFunds[[#This Row],[ISIN]],'Novia Web Query'!$A:$E,4,FALSE)/100</f>
        <v>1.29E-2</v>
      </c>
      <c r="E311" s="3" t="str">
        <f>VLOOKUP(NoviaFunds[[#This Row],[ISIN]],'Novia Web Query'!$A:$E,5,FALSE)</f>
        <v>31/10/2020</v>
      </c>
      <c r="F311" t="str">
        <f>VLOOKUP(NoviaFunds[[#This Row],[Sector]],Sectors[],2,FALSE)</f>
        <v>Mixed 40%-85%</v>
      </c>
    </row>
    <row r="312" spans="1:6" x14ac:dyDescent="0.2">
      <c r="A312" t="str">
        <f>'Novia Web Query'!A312</f>
        <v>GB00B83W7300</v>
      </c>
      <c r="B312" t="str">
        <f>VLOOKUP(NoviaFunds[[#This Row],[ISIN]],'Novia Web Query'!$A:$E,2,FALSE)</f>
        <v>ASI Multi Manager Balanced Managed Portfolio I Inc TR in GB**</v>
      </c>
      <c r="C312" t="str">
        <f>VLOOKUP(NoviaFunds[[#This Row],[ISIN]],'Novia Web Query'!$A:$E,3,FALSE)</f>
        <v>UT Mixed Investment 40-85% Shares</v>
      </c>
      <c r="D312" s="139">
        <f>VLOOKUP(NoviaFunds[[#This Row],[ISIN]],'Novia Web Query'!$A:$E,4,FALSE)/100</f>
        <v>1.29E-2</v>
      </c>
      <c r="E312" s="3" t="str">
        <f>VLOOKUP(NoviaFunds[[#This Row],[ISIN]],'Novia Web Query'!$A:$E,5,FALSE)</f>
        <v>31/10/2020</v>
      </c>
      <c r="F312" t="str">
        <f>VLOOKUP(NoviaFunds[[#This Row],[Sector]],Sectors[],2,FALSE)</f>
        <v>Mixed 40%-85%</v>
      </c>
    </row>
    <row r="313" spans="1:6" x14ac:dyDescent="0.2">
      <c r="A313" t="str">
        <f>'Novia Web Query'!A313</f>
        <v>GB00B0LNTV16</v>
      </c>
      <c r="B313" t="str">
        <f>VLOOKUP(NoviaFunds[[#This Row],[ISIN]],'Novia Web Query'!$A:$E,2,FALSE)</f>
        <v>ASI Multi Manager Balanced Managed Portfolio R Acc in GB</v>
      </c>
      <c r="C313" t="str">
        <f>VLOOKUP(NoviaFunds[[#This Row],[ISIN]],'Novia Web Query'!$A:$E,3,FALSE)</f>
        <v>UT Mixed Investment 40-85% Shares</v>
      </c>
      <c r="D313" s="139">
        <f>VLOOKUP(NoviaFunds[[#This Row],[ISIN]],'Novia Web Query'!$A:$E,4,FALSE)/100</f>
        <v>1.7399999999999999E-2</v>
      </c>
      <c r="E313" s="3" t="str">
        <f>VLOOKUP(NoviaFunds[[#This Row],[ISIN]],'Novia Web Query'!$A:$E,5,FALSE)</f>
        <v>31/10/2020</v>
      </c>
      <c r="F313" t="str">
        <f>VLOOKUP(NoviaFunds[[#This Row],[Sector]],Sectors[],2,FALSE)</f>
        <v>Mixed 40%-85%</v>
      </c>
    </row>
    <row r="314" spans="1:6" x14ac:dyDescent="0.2">
      <c r="A314" t="str">
        <f>'Novia Web Query'!A314</f>
        <v>GB00B8GLGR18</v>
      </c>
      <c r="B314" t="str">
        <f>VLOOKUP(NoviaFunds[[#This Row],[ISIN]],'Novia Web Query'!$A:$E,2,FALSE)</f>
        <v>ASI Multi Manager Cautious Managed Portfolio I Acc in GB</v>
      </c>
      <c r="C314" t="str">
        <f>VLOOKUP(NoviaFunds[[#This Row],[ISIN]],'Novia Web Query'!$A:$E,3,FALSE)</f>
        <v>UT Mixed Investment 20-60% Shares</v>
      </c>
      <c r="D314" s="139">
        <f>VLOOKUP(NoviaFunds[[#This Row],[ISIN]],'Novia Web Query'!$A:$E,4,FALSE)/100</f>
        <v>1.23E-2</v>
      </c>
      <c r="E314" s="3" t="str">
        <f>VLOOKUP(NoviaFunds[[#This Row],[ISIN]],'Novia Web Query'!$A:$E,5,FALSE)</f>
        <v>31/10/2020</v>
      </c>
      <c r="F314" t="str">
        <f>VLOOKUP(NoviaFunds[[#This Row],[Sector]],Sectors[],2,FALSE)</f>
        <v>Mixed 20%-60%</v>
      </c>
    </row>
    <row r="315" spans="1:6" x14ac:dyDescent="0.2">
      <c r="A315" t="str">
        <f>'Novia Web Query'!A315</f>
        <v>GB00B6Z4Y178</v>
      </c>
      <c r="B315" t="str">
        <f>VLOOKUP(NoviaFunds[[#This Row],[ISIN]],'Novia Web Query'!$A:$E,2,FALSE)</f>
        <v>ASI Multi Manager Cautious Managed Portfolio I Inc TR in GB**</v>
      </c>
      <c r="C315" t="str">
        <f>VLOOKUP(NoviaFunds[[#This Row],[ISIN]],'Novia Web Query'!$A:$E,3,FALSE)</f>
        <v>UT Mixed Investment 20-60% Shares</v>
      </c>
      <c r="D315" s="139">
        <f>VLOOKUP(NoviaFunds[[#This Row],[ISIN]],'Novia Web Query'!$A:$E,4,FALSE)/100</f>
        <v>1.23E-2</v>
      </c>
      <c r="E315" s="3" t="str">
        <f>VLOOKUP(NoviaFunds[[#This Row],[ISIN]],'Novia Web Query'!$A:$E,5,FALSE)</f>
        <v>31/10/2020</v>
      </c>
      <c r="F315" t="str">
        <f>VLOOKUP(NoviaFunds[[#This Row],[Sector]],Sectors[],2,FALSE)</f>
        <v>Mixed 20%-60%</v>
      </c>
    </row>
    <row r="316" spans="1:6" x14ac:dyDescent="0.2">
      <c r="A316" t="str">
        <f>'Novia Web Query'!A316</f>
        <v>GB0030672512</v>
      </c>
      <c r="B316" t="str">
        <f>VLOOKUP(NoviaFunds[[#This Row],[ISIN]],'Novia Web Query'!$A:$E,2,FALSE)</f>
        <v>ASI Multi Manager Cautious Managed Portfolio R Acc in GB</v>
      </c>
      <c r="C316" t="str">
        <f>VLOOKUP(NoviaFunds[[#This Row],[ISIN]],'Novia Web Query'!$A:$E,3,FALSE)</f>
        <v>UT Mixed Investment 20-60% Shares</v>
      </c>
      <c r="D316" s="139">
        <f>VLOOKUP(NoviaFunds[[#This Row],[ISIN]],'Novia Web Query'!$A:$E,4,FALSE)/100</f>
        <v>1.6799999999999999E-2</v>
      </c>
      <c r="E316" s="3" t="str">
        <f>VLOOKUP(NoviaFunds[[#This Row],[ISIN]],'Novia Web Query'!$A:$E,5,FALSE)</f>
        <v>31/10/2020</v>
      </c>
      <c r="F316" t="str">
        <f>VLOOKUP(NoviaFunds[[#This Row],[Sector]],Sectors[],2,FALSE)</f>
        <v>Mixed 20%-60%</v>
      </c>
    </row>
    <row r="317" spans="1:6" x14ac:dyDescent="0.2">
      <c r="A317" t="str">
        <f>'Novia Web Query'!A317</f>
        <v>GB0030672405</v>
      </c>
      <c r="B317" t="str">
        <f>VLOOKUP(NoviaFunds[[#This Row],[ISIN]],'Novia Web Query'!$A:$E,2,FALSE)</f>
        <v>ASI Multi Manager Cautious Managed Portfolio R Inc TR in GB</v>
      </c>
      <c r="C317" t="str">
        <f>VLOOKUP(NoviaFunds[[#This Row],[ISIN]],'Novia Web Query'!$A:$E,3,FALSE)</f>
        <v>UT Mixed Investment 20-60% Shares</v>
      </c>
      <c r="D317" s="139">
        <f>VLOOKUP(NoviaFunds[[#This Row],[ISIN]],'Novia Web Query'!$A:$E,4,FALSE)/100</f>
        <v>1.6799999999999999E-2</v>
      </c>
      <c r="E317" s="3" t="str">
        <f>VLOOKUP(NoviaFunds[[#This Row],[ISIN]],'Novia Web Query'!$A:$E,5,FALSE)</f>
        <v>31/10/2020</v>
      </c>
      <c r="F317" t="str">
        <f>VLOOKUP(NoviaFunds[[#This Row],[Sector]],Sectors[],2,FALSE)</f>
        <v>Mixed 20%-60%</v>
      </c>
    </row>
    <row r="318" spans="1:6" x14ac:dyDescent="0.2">
      <c r="A318" t="str">
        <f>'Novia Web Query'!A318</f>
        <v>GB00B7GQCS25</v>
      </c>
      <c r="B318" t="str">
        <f>VLOOKUP(NoviaFunds[[#This Row],[ISIN]],'Novia Web Query'!$A:$E,2,FALSE)</f>
        <v>ASI Multi Manager Equity Managed Portfolio I Acc in GB</v>
      </c>
      <c r="C318" t="str">
        <f>VLOOKUP(NoviaFunds[[#This Row],[ISIN]],'Novia Web Query'!$A:$E,3,FALSE)</f>
        <v>UT Flexible Investment</v>
      </c>
      <c r="D318" s="139">
        <f>VLOOKUP(NoviaFunds[[#This Row],[ISIN]],'Novia Web Query'!$A:$E,4,FALSE)/100</f>
        <v>1.26E-2</v>
      </c>
      <c r="E318" s="3" t="str">
        <f>VLOOKUP(NoviaFunds[[#This Row],[ISIN]],'Novia Web Query'!$A:$E,5,FALSE)</f>
        <v>31/10/2020</v>
      </c>
      <c r="F318" t="str">
        <f>VLOOKUP(NoviaFunds[[#This Row],[Sector]],Sectors[],2,FALSE)</f>
        <v>Flexible</v>
      </c>
    </row>
    <row r="319" spans="1:6" x14ac:dyDescent="0.2">
      <c r="A319" t="str">
        <f>'Novia Web Query'!A319</f>
        <v>GB00B83VDH39</v>
      </c>
      <c r="B319" t="str">
        <f>VLOOKUP(NoviaFunds[[#This Row],[ISIN]],'Novia Web Query'!$A:$E,2,FALSE)</f>
        <v>ASI Multi Manager Equity Managed Portfolio I Inc TR in GB**</v>
      </c>
      <c r="C319" t="str">
        <f>VLOOKUP(NoviaFunds[[#This Row],[ISIN]],'Novia Web Query'!$A:$E,3,FALSE)</f>
        <v>UT Flexible Investment</v>
      </c>
      <c r="D319" s="139">
        <f>VLOOKUP(NoviaFunds[[#This Row],[ISIN]],'Novia Web Query'!$A:$E,4,FALSE)/100</f>
        <v>1.26E-2</v>
      </c>
      <c r="E319" s="3" t="str">
        <f>VLOOKUP(NoviaFunds[[#This Row],[ISIN]],'Novia Web Query'!$A:$E,5,FALSE)</f>
        <v>31/10/2020</v>
      </c>
      <c r="F319" t="str">
        <f>VLOOKUP(NoviaFunds[[#This Row],[Sector]],Sectors[],2,FALSE)</f>
        <v>Flexible</v>
      </c>
    </row>
    <row r="320" spans="1:6" x14ac:dyDescent="0.2">
      <c r="A320" t="str">
        <f>'Novia Web Query'!A320</f>
        <v>GB0030670912</v>
      </c>
      <c r="B320" t="str">
        <f>VLOOKUP(NoviaFunds[[#This Row],[ISIN]],'Novia Web Query'!$A:$E,2,FALSE)</f>
        <v>ASI Multi Manager Equity Managed Portfolio R Acc in GB</v>
      </c>
      <c r="C320" t="str">
        <f>VLOOKUP(NoviaFunds[[#This Row],[ISIN]],'Novia Web Query'!$A:$E,3,FALSE)</f>
        <v>UT Flexible Investment</v>
      </c>
      <c r="D320" s="139">
        <f>VLOOKUP(NoviaFunds[[#This Row],[ISIN]],'Novia Web Query'!$A:$E,4,FALSE)/100</f>
        <v>1.7100000000000001E-2</v>
      </c>
      <c r="E320" s="3" t="str">
        <f>VLOOKUP(NoviaFunds[[#This Row],[ISIN]],'Novia Web Query'!$A:$E,5,FALSE)</f>
        <v>31/10/2020</v>
      </c>
      <c r="F320" t="str">
        <f>VLOOKUP(NoviaFunds[[#This Row],[Sector]],Sectors[],2,FALSE)</f>
        <v>Flexible</v>
      </c>
    </row>
    <row r="321" spans="1:6" x14ac:dyDescent="0.2">
      <c r="A321" t="str">
        <f>'Novia Web Query'!A321</f>
        <v>GB0030670805</v>
      </c>
      <c r="B321" t="str">
        <f>VLOOKUP(NoviaFunds[[#This Row],[ISIN]],'Novia Web Query'!$A:$E,2,FALSE)</f>
        <v>ASI Multi Manager Equity Managed Portfolio R Inc TR in GB</v>
      </c>
      <c r="C321" t="str">
        <f>VLOOKUP(NoviaFunds[[#This Row],[ISIN]],'Novia Web Query'!$A:$E,3,FALSE)</f>
        <v>UT Flexible Investment</v>
      </c>
      <c r="D321" s="139">
        <f>VLOOKUP(NoviaFunds[[#This Row],[ISIN]],'Novia Web Query'!$A:$E,4,FALSE)/100</f>
        <v>1.7100000000000001E-2</v>
      </c>
      <c r="E321" s="3" t="str">
        <f>VLOOKUP(NoviaFunds[[#This Row],[ISIN]],'Novia Web Query'!$A:$E,5,FALSE)</f>
        <v>31/10/2020</v>
      </c>
      <c r="F321" t="str">
        <f>VLOOKUP(NoviaFunds[[#This Row],[Sector]],Sectors[],2,FALSE)</f>
        <v>Flexible</v>
      </c>
    </row>
    <row r="322" spans="1:6" x14ac:dyDescent="0.2">
      <c r="A322" t="str">
        <f>'Novia Web Query'!A322</f>
        <v>GB00B87TVT17</v>
      </c>
      <c r="B322" t="str">
        <f>VLOOKUP(NoviaFunds[[#This Row],[ISIN]],'Novia Web Query'!$A:$E,2,FALSE)</f>
        <v>ASI Multi Manager Ethical Portfolio I Acc in GB</v>
      </c>
      <c r="C322" t="str">
        <f>VLOOKUP(NoviaFunds[[#This Row],[ISIN]],'Novia Web Query'!$A:$E,3,FALSE)</f>
        <v>UT Specialist</v>
      </c>
      <c r="D322" s="139">
        <f>VLOOKUP(NoviaFunds[[#This Row],[ISIN]],'Novia Web Query'!$A:$E,4,FALSE)/100</f>
        <v>1.5300000000000001E-2</v>
      </c>
      <c r="E322" s="3" t="str">
        <f>VLOOKUP(NoviaFunds[[#This Row],[ISIN]],'Novia Web Query'!$A:$E,5,FALSE)</f>
        <v>31/10/2020</v>
      </c>
      <c r="F322" t="str">
        <f>VLOOKUP(NoviaFunds[[#This Row],[Sector]],Sectors[],2,FALSE)</f>
        <v>Specialist</v>
      </c>
    </row>
    <row r="323" spans="1:6" x14ac:dyDescent="0.2">
      <c r="A323" t="str">
        <f>'Novia Web Query'!A323</f>
        <v>GB00B8868L21</v>
      </c>
      <c r="B323" t="str">
        <f>VLOOKUP(NoviaFunds[[#This Row],[ISIN]],'Novia Web Query'!$A:$E,2,FALSE)</f>
        <v>ASI Multi Manager Ethical Portfolio I Inc TR in GB**</v>
      </c>
      <c r="C323" t="str">
        <f>VLOOKUP(NoviaFunds[[#This Row],[ISIN]],'Novia Web Query'!$A:$E,3,FALSE)</f>
        <v>UT Specialist</v>
      </c>
      <c r="D323" s="139">
        <f>VLOOKUP(NoviaFunds[[#This Row],[ISIN]],'Novia Web Query'!$A:$E,4,FALSE)/100</f>
        <v>1.5300000000000001E-2</v>
      </c>
      <c r="E323" s="3" t="str">
        <f>VLOOKUP(NoviaFunds[[#This Row],[ISIN]],'Novia Web Query'!$A:$E,5,FALSE)</f>
        <v>31/10/2020</v>
      </c>
      <c r="F323" t="str">
        <f>VLOOKUP(NoviaFunds[[#This Row],[Sector]],Sectors[],2,FALSE)</f>
        <v>Specialist</v>
      </c>
    </row>
    <row r="324" spans="1:6" x14ac:dyDescent="0.2">
      <c r="A324" t="str">
        <f>'Novia Web Query'!A324</f>
        <v>GB00B0LNTT93</v>
      </c>
      <c r="B324" t="str">
        <f>VLOOKUP(NoviaFunds[[#This Row],[ISIN]],'Novia Web Query'!$A:$E,2,FALSE)</f>
        <v>ASI Multi Manager Ethical Portfolio R Acc in GB</v>
      </c>
      <c r="C324" t="str">
        <f>VLOOKUP(NoviaFunds[[#This Row],[ISIN]],'Novia Web Query'!$A:$E,3,FALSE)</f>
        <v>UT Specialist</v>
      </c>
      <c r="D324" s="139">
        <f>VLOOKUP(NoviaFunds[[#This Row],[ISIN]],'Novia Web Query'!$A:$E,4,FALSE)/100</f>
        <v>1.9799999999999998E-2</v>
      </c>
      <c r="E324" s="3" t="str">
        <f>VLOOKUP(NoviaFunds[[#This Row],[ISIN]],'Novia Web Query'!$A:$E,5,FALSE)</f>
        <v>31/10/2020</v>
      </c>
      <c r="F324" t="str">
        <f>VLOOKUP(NoviaFunds[[#This Row],[Sector]],Sectors[],2,FALSE)</f>
        <v>Specialist</v>
      </c>
    </row>
    <row r="325" spans="1:6" x14ac:dyDescent="0.2">
      <c r="A325" t="str">
        <f>'Novia Web Query'!A325</f>
        <v>GB00B8340374</v>
      </c>
      <c r="B325" t="str">
        <f>VLOOKUP(NoviaFunds[[#This Row],[ISIN]],'Novia Web Query'!$A:$E,2,FALSE)</f>
        <v>ASI Multi Manager Multi Asset Distribution Portfolio I Acc in GB</v>
      </c>
      <c r="C325" t="str">
        <f>VLOOKUP(NoviaFunds[[#This Row],[ISIN]],'Novia Web Query'!$A:$E,3,FALSE)</f>
        <v>UT Mixed Investment 20-60% Shares</v>
      </c>
      <c r="D325" s="139">
        <f>VLOOKUP(NoviaFunds[[#This Row],[ISIN]],'Novia Web Query'!$A:$E,4,FALSE)/100</f>
        <v>1.26E-2</v>
      </c>
      <c r="E325" s="3" t="str">
        <f>VLOOKUP(NoviaFunds[[#This Row],[ISIN]],'Novia Web Query'!$A:$E,5,FALSE)</f>
        <v>31/10/2020</v>
      </c>
      <c r="F325" t="str">
        <f>VLOOKUP(NoviaFunds[[#This Row],[Sector]],Sectors[],2,FALSE)</f>
        <v>Mixed 20%-60%</v>
      </c>
    </row>
    <row r="326" spans="1:6" x14ac:dyDescent="0.2">
      <c r="A326" t="str">
        <f>'Novia Web Query'!A326</f>
        <v>GB00B8HP4451</v>
      </c>
      <c r="B326" t="str">
        <f>VLOOKUP(NoviaFunds[[#This Row],[ISIN]],'Novia Web Query'!$A:$E,2,FALSE)</f>
        <v>ASI Multi Manager Multi Asset Distribution Portfolio I Inc TR in GB**</v>
      </c>
      <c r="C326" t="str">
        <f>VLOOKUP(NoviaFunds[[#This Row],[ISIN]],'Novia Web Query'!$A:$E,3,FALSE)</f>
        <v>UT Mixed Investment 20-60% Shares</v>
      </c>
      <c r="D326" s="139">
        <f>VLOOKUP(NoviaFunds[[#This Row],[ISIN]],'Novia Web Query'!$A:$E,4,FALSE)/100</f>
        <v>1.26E-2</v>
      </c>
      <c r="E326" s="3" t="str">
        <f>VLOOKUP(NoviaFunds[[#This Row],[ISIN]],'Novia Web Query'!$A:$E,5,FALSE)</f>
        <v>31/10/2020</v>
      </c>
      <c r="F326" t="str">
        <f>VLOOKUP(NoviaFunds[[#This Row],[Sector]],Sectors[],2,FALSE)</f>
        <v>Mixed 20%-60%</v>
      </c>
    </row>
    <row r="327" spans="1:6" x14ac:dyDescent="0.2">
      <c r="A327" t="str">
        <f>'Novia Web Query'!A327</f>
        <v>GB00B0LNTS86</v>
      </c>
      <c r="B327" t="str">
        <f>VLOOKUP(NoviaFunds[[#This Row],[ISIN]],'Novia Web Query'!$A:$E,2,FALSE)</f>
        <v>ASI Multi Manager Multi Asset Distribution Portfolio R Acc in GB</v>
      </c>
      <c r="C327" t="str">
        <f>VLOOKUP(NoviaFunds[[#This Row],[ISIN]],'Novia Web Query'!$A:$E,3,FALSE)</f>
        <v>UT Mixed Investment 20-60% Shares</v>
      </c>
      <c r="D327" s="139">
        <f>VLOOKUP(NoviaFunds[[#This Row],[ISIN]],'Novia Web Query'!$A:$E,4,FALSE)/100</f>
        <v>1.7100000000000001E-2</v>
      </c>
      <c r="E327" s="3" t="str">
        <f>VLOOKUP(NoviaFunds[[#This Row],[ISIN]],'Novia Web Query'!$A:$E,5,FALSE)</f>
        <v>31/10/2020</v>
      </c>
      <c r="F327" t="str">
        <f>VLOOKUP(NoviaFunds[[#This Row],[Sector]],Sectors[],2,FALSE)</f>
        <v>Mixed 20%-60%</v>
      </c>
    </row>
    <row r="328" spans="1:6" x14ac:dyDescent="0.2">
      <c r="A328" t="str">
        <f>'Novia Web Query'!A328</f>
        <v>GB00B0LNRJ55</v>
      </c>
      <c r="B328" t="str">
        <f>VLOOKUP(NoviaFunds[[#This Row],[ISIN]],'Novia Web Query'!$A:$E,2,FALSE)</f>
        <v>ASI Multi Manager Multi Asset Distribution Portfolio R Inc TR in GB</v>
      </c>
      <c r="C328" t="str">
        <f>VLOOKUP(NoviaFunds[[#This Row],[ISIN]],'Novia Web Query'!$A:$E,3,FALSE)</f>
        <v>UT Mixed Investment 20-60% Shares</v>
      </c>
      <c r="D328" s="139">
        <f>VLOOKUP(NoviaFunds[[#This Row],[ISIN]],'Novia Web Query'!$A:$E,4,FALSE)/100</f>
        <v>1.7100000000000001E-2</v>
      </c>
      <c r="E328" s="3" t="str">
        <f>VLOOKUP(NoviaFunds[[#This Row],[ISIN]],'Novia Web Query'!$A:$E,5,FALSE)</f>
        <v>31/10/2020</v>
      </c>
      <c r="F328" t="str">
        <f>VLOOKUP(NoviaFunds[[#This Row],[Sector]],Sectors[],2,FALSE)</f>
        <v>Mixed 20%-60%</v>
      </c>
    </row>
    <row r="329" spans="1:6" x14ac:dyDescent="0.2">
      <c r="A329" t="str">
        <f>'Novia Web Query'!A329</f>
        <v>GB00B2941F80</v>
      </c>
      <c r="B329" t="str">
        <f>VLOOKUP(NoviaFunds[[#This Row],[ISIN]],'Novia Web Query'!$A:$E,2,FALSE)</f>
        <v>ASI Multi-Manager Diversity A in GB</v>
      </c>
      <c r="C329" t="str">
        <f>VLOOKUP(NoviaFunds[[#This Row],[ISIN]],'Novia Web Query'!$A:$E,3,FALSE)</f>
        <v>UT Mixed Investment 20-60% Shares</v>
      </c>
      <c r="D329" s="139">
        <f>VLOOKUP(NoviaFunds[[#This Row],[ISIN]],'Novia Web Query'!$A:$E,4,FALSE)/100</f>
        <v>1.6899999999999998E-2</v>
      </c>
      <c r="E329" s="3" t="str">
        <f>VLOOKUP(NoviaFunds[[#This Row],[ISIN]],'Novia Web Query'!$A:$E,5,FALSE)</f>
        <v>31/10/2021</v>
      </c>
      <c r="F329" t="str">
        <f>VLOOKUP(NoviaFunds[[#This Row],[Sector]],Sectors[],2,FALSE)</f>
        <v>Mixed 20%-60%</v>
      </c>
    </row>
    <row r="330" spans="1:6" x14ac:dyDescent="0.2">
      <c r="A330" t="str">
        <f>'Novia Web Query'!A330</f>
        <v>GB00B7DZK008</v>
      </c>
      <c r="B330" t="str">
        <f>VLOOKUP(NoviaFunds[[#This Row],[ISIN]],'Novia Web Query'!$A:$E,2,FALSE)</f>
        <v>ASI Multi-Manager Diversity D Acc GBP in GB</v>
      </c>
      <c r="C330" t="str">
        <f>VLOOKUP(NoviaFunds[[#This Row],[ISIN]],'Novia Web Query'!$A:$E,3,FALSE)</f>
        <v>UT Mixed Investment 20-60% Shares</v>
      </c>
      <c r="D330" s="139">
        <f>VLOOKUP(NoviaFunds[[#This Row],[ISIN]],'Novia Web Query'!$A:$E,4,FALSE)/100</f>
        <v>1.24E-2</v>
      </c>
      <c r="E330" s="3" t="str">
        <f>VLOOKUP(NoviaFunds[[#This Row],[ISIN]],'Novia Web Query'!$A:$E,5,FALSE)</f>
        <v>31/10/2021</v>
      </c>
      <c r="F330" t="str">
        <f>VLOOKUP(NoviaFunds[[#This Row],[Sector]],Sectors[],2,FALSE)</f>
        <v>Mixed 20%-60%</v>
      </c>
    </row>
    <row r="331" spans="1:6" x14ac:dyDescent="0.2">
      <c r="A331" t="str">
        <f>'Novia Web Query'!A331</f>
        <v>GB00B62FNJ48</v>
      </c>
      <c r="B331" t="str">
        <f>VLOOKUP(NoviaFunds[[#This Row],[ISIN]],'Novia Web Query'!$A:$E,2,FALSE)</f>
        <v>ASI MyFolio Managed I Platform 1 Acc GBP in GB</v>
      </c>
      <c r="C331" t="str">
        <f>VLOOKUP(NoviaFunds[[#This Row],[ISIN]],'Novia Web Query'!$A:$E,3,FALSE)</f>
        <v>UT Volatility Managed</v>
      </c>
      <c r="D331" s="139">
        <f>VLOOKUP(NoviaFunds[[#This Row],[ISIN]],'Novia Web Query'!$A:$E,4,FALSE)/100</f>
        <v>7.7000000000000002E-3</v>
      </c>
      <c r="E331" s="3" t="str">
        <f>VLOOKUP(NoviaFunds[[#This Row],[ISIN]],'Novia Web Query'!$A:$E,5,FALSE)</f>
        <v>31/12/2021</v>
      </c>
      <c r="F331" t="e">
        <f>VLOOKUP(NoviaFunds[[#This Row],[Sector]],Sectors[],2,FALSE)</f>
        <v>#N/A</v>
      </c>
    </row>
    <row r="332" spans="1:6" x14ac:dyDescent="0.2">
      <c r="A332" t="str">
        <f>'Novia Web Query'!A332</f>
        <v>GB00BHZCR750</v>
      </c>
      <c r="B332" t="str">
        <f>VLOOKUP(NoviaFunds[[#This Row],[ISIN]],'Novia Web Query'!$A:$E,2,FALSE)</f>
        <v>ASI MyFolio Managed I Platform 1 Inc GBP TR in GB**</v>
      </c>
      <c r="C332" t="str">
        <f>VLOOKUP(NoviaFunds[[#This Row],[ISIN]],'Novia Web Query'!$A:$E,3,FALSE)</f>
        <v>UT Volatility Managed</v>
      </c>
      <c r="D332" s="139">
        <f>VLOOKUP(NoviaFunds[[#This Row],[ISIN]],'Novia Web Query'!$A:$E,4,FALSE)/100</f>
        <v>7.7000000000000002E-3</v>
      </c>
      <c r="E332" s="3" t="str">
        <f>VLOOKUP(NoviaFunds[[#This Row],[ISIN]],'Novia Web Query'!$A:$E,5,FALSE)</f>
        <v>30/06/2021</v>
      </c>
      <c r="F332" t="e">
        <f>VLOOKUP(NoviaFunds[[#This Row],[Sector]],Sectors[],2,FALSE)</f>
        <v>#N/A</v>
      </c>
    </row>
    <row r="333" spans="1:6" x14ac:dyDescent="0.2">
      <c r="A333" t="str">
        <f>'Novia Web Query'!A333</f>
        <v>GB00B4ZDNP79</v>
      </c>
      <c r="B333" t="str">
        <f>VLOOKUP(NoviaFunds[[#This Row],[ISIN]],'Novia Web Query'!$A:$E,2,FALSE)</f>
        <v>ASI MyFolio Managed I Ret Acc GBP in GB</v>
      </c>
      <c r="C333" t="str">
        <f>VLOOKUP(NoviaFunds[[#This Row],[ISIN]],'Novia Web Query'!$A:$E,3,FALSE)</f>
        <v>UT Volatility Managed</v>
      </c>
      <c r="D333" s="139">
        <f>VLOOKUP(NoviaFunds[[#This Row],[ISIN]],'Novia Web Query'!$A:$E,4,FALSE)/100</f>
        <v>1.1699999999999999E-2</v>
      </c>
      <c r="E333" s="3" t="str">
        <f>VLOOKUP(NoviaFunds[[#This Row],[ISIN]],'Novia Web Query'!$A:$E,5,FALSE)</f>
        <v>31/12/2021</v>
      </c>
      <c r="F333" t="e">
        <f>VLOOKUP(NoviaFunds[[#This Row],[Sector]],Sectors[],2,FALSE)</f>
        <v>#N/A</v>
      </c>
    </row>
    <row r="334" spans="1:6" x14ac:dyDescent="0.2">
      <c r="A334" t="str">
        <f>'Novia Web Query'!A334</f>
        <v>GB00B3RHFQ59</v>
      </c>
      <c r="B334" t="str">
        <f>VLOOKUP(NoviaFunds[[#This Row],[ISIN]],'Novia Web Query'!$A:$E,2,FALSE)</f>
        <v>ASI MyFolio Managed II Platform 1 Acc GBP in GB</v>
      </c>
      <c r="C334" t="str">
        <f>VLOOKUP(NoviaFunds[[#This Row],[ISIN]],'Novia Web Query'!$A:$E,3,FALSE)</f>
        <v>UT Volatility Managed</v>
      </c>
      <c r="D334" s="139">
        <f>VLOOKUP(NoviaFunds[[#This Row],[ISIN]],'Novia Web Query'!$A:$E,4,FALSE)/100</f>
        <v>8.199999999999999E-3</v>
      </c>
      <c r="E334" s="3" t="str">
        <f>VLOOKUP(NoviaFunds[[#This Row],[ISIN]],'Novia Web Query'!$A:$E,5,FALSE)</f>
        <v>31/12/2021</v>
      </c>
      <c r="F334" t="e">
        <f>VLOOKUP(NoviaFunds[[#This Row],[Sector]],Sectors[],2,FALSE)</f>
        <v>#N/A</v>
      </c>
    </row>
    <row r="335" spans="1:6" x14ac:dyDescent="0.2">
      <c r="A335" t="str">
        <f>'Novia Web Query'!A335</f>
        <v>GB00BHZCRD14</v>
      </c>
      <c r="B335" t="str">
        <f>VLOOKUP(NoviaFunds[[#This Row],[ISIN]],'Novia Web Query'!$A:$E,2,FALSE)</f>
        <v>ASI MyFolio Managed II Platform 1 Inc GBP TR in GB**</v>
      </c>
      <c r="C335" t="str">
        <f>VLOOKUP(NoviaFunds[[#This Row],[ISIN]],'Novia Web Query'!$A:$E,3,FALSE)</f>
        <v>UT Volatility Managed</v>
      </c>
      <c r="D335" s="139">
        <f>VLOOKUP(NoviaFunds[[#This Row],[ISIN]],'Novia Web Query'!$A:$E,4,FALSE)/100</f>
        <v>8.199999999999999E-3</v>
      </c>
      <c r="E335" s="3" t="str">
        <f>VLOOKUP(NoviaFunds[[#This Row],[ISIN]],'Novia Web Query'!$A:$E,5,FALSE)</f>
        <v>30/06/2021</v>
      </c>
      <c r="F335" t="e">
        <f>VLOOKUP(NoviaFunds[[#This Row],[Sector]],Sectors[],2,FALSE)</f>
        <v>#N/A</v>
      </c>
    </row>
    <row r="336" spans="1:6" x14ac:dyDescent="0.2">
      <c r="A336" t="str">
        <f>'Novia Web Query'!A336</f>
        <v>GB00B55QXL97</v>
      </c>
      <c r="B336" t="str">
        <f>VLOOKUP(NoviaFunds[[#This Row],[ISIN]],'Novia Web Query'!$A:$E,2,FALSE)</f>
        <v>ASI MyFolio Managed II Ret Acc GBP in GB</v>
      </c>
      <c r="C336" t="str">
        <f>VLOOKUP(NoviaFunds[[#This Row],[ISIN]],'Novia Web Query'!$A:$E,3,FALSE)</f>
        <v>UT Volatility Managed</v>
      </c>
      <c r="D336" s="139">
        <f>VLOOKUP(NoviaFunds[[#This Row],[ISIN]],'Novia Web Query'!$A:$E,4,FALSE)/100</f>
        <v>1.2199999999999999E-2</v>
      </c>
      <c r="E336" s="3" t="str">
        <f>VLOOKUP(NoviaFunds[[#This Row],[ISIN]],'Novia Web Query'!$A:$E,5,FALSE)</f>
        <v>31/12/2021</v>
      </c>
      <c r="F336" t="e">
        <f>VLOOKUP(NoviaFunds[[#This Row],[Sector]],Sectors[],2,FALSE)</f>
        <v>#N/A</v>
      </c>
    </row>
    <row r="337" spans="1:6" x14ac:dyDescent="0.2">
      <c r="A337" t="str">
        <f>'Novia Web Query'!A337</f>
        <v>GB00B53X7B00</v>
      </c>
      <c r="B337" t="str">
        <f>VLOOKUP(NoviaFunds[[#This Row],[ISIN]],'Novia Web Query'!$A:$E,2,FALSE)</f>
        <v>ASI MyFolio Managed III Inst Acc GBP in GB</v>
      </c>
      <c r="C337" t="str">
        <f>VLOOKUP(NoviaFunds[[#This Row],[ISIN]],'Novia Web Query'!$A:$E,3,FALSE)</f>
        <v>UT Volatility Managed</v>
      </c>
      <c r="D337" s="139">
        <f>VLOOKUP(NoviaFunds[[#This Row],[ISIN]],'Novia Web Query'!$A:$E,4,FALSE)/100</f>
        <v>8.199999999999999E-3</v>
      </c>
      <c r="E337" s="3" t="str">
        <f>VLOOKUP(NoviaFunds[[#This Row],[ISIN]],'Novia Web Query'!$A:$E,5,FALSE)</f>
        <v>31/12/2021</v>
      </c>
      <c r="F337" t="e">
        <f>VLOOKUP(NoviaFunds[[#This Row],[Sector]],Sectors[],2,FALSE)</f>
        <v>#N/A</v>
      </c>
    </row>
    <row r="338" spans="1:6" x14ac:dyDescent="0.2">
      <c r="A338" t="str">
        <f>'Novia Web Query'!A338</f>
        <v>GB00B701F734</v>
      </c>
      <c r="B338" t="str">
        <f>VLOOKUP(NoviaFunds[[#This Row],[ISIN]],'Novia Web Query'!$A:$E,2,FALSE)</f>
        <v>ASI MyFolio Managed III Platform 1 Acc GBP in GB</v>
      </c>
      <c r="C338" t="str">
        <f>VLOOKUP(NoviaFunds[[#This Row],[ISIN]],'Novia Web Query'!$A:$E,3,FALSE)</f>
        <v>UT Volatility Managed</v>
      </c>
      <c r="D338" s="139">
        <f>VLOOKUP(NoviaFunds[[#This Row],[ISIN]],'Novia Web Query'!$A:$E,4,FALSE)/100</f>
        <v>8.6999999999999994E-3</v>
      </c>
      <c r="E338" s="3" t="str">
        <f>VLOOKUP(NoviaFunds[[#This Row],[ISIN]],'Novia Web Query'!$A:$E,5,FALSE)</f>
        <v>31/12/2021</v>
      </c>
      <c r="F338" t="e">
        <f>VLOOKUP(NoviaFunds[[#This Row],[Sector]],Sectors[],2,FALSE)</f>
        <v>#N/A</v>
      </c>
    </row>
    <row r="339" spans="1:6" x14ac:dyDescent="0.2">
      <c r="A339" t="str">
        <f>'Novia Web Query'!A339</f>
        <v>GB00BHZCRJ75</v>
      </c>
      <c r="B339" t="str">
        <f>VLOOKUP(NoviaFunds[[#This Row],[ISIN]],'Novia Web Query'!$A:$E,2,FALSE)</f>
        <v>ASI MyFolio Managed III Platform 1 Inc GBP TR in GB**</v>
      </c>
      <c r="C339" t="str">
        <f>VLOOKUP(NoviaFunds[[#This Row],[ISIN]],'Novia Web Query'!$A:$E,3,FALSE)</f>
        <v>UT Volatility Managed</v>
      </c>
      <c r="D339" s="139">
        <f>VLOOKUP(NoviaFunds[[#This Row],[ISIN]],'Novia Web Query'!$A:$E,4,FALSE)/100</f>
        <v>8.6999999999999994E-3</v>
      </c>
      <c r="E339" s="3" t="str">
        <f>VLOOKUP(NoviaFunds[[#This Row],[ISIN]],'Novia Web Query'!$A:$E,5,FALSE)</f>
        <v>30/06/2021</v>
      </c>
      <c r="F339" t="e">
        <f>VLOOKUP(NoviaFunds[[#This Row],[Sector]],Sectors[],2,FALSE)</f>
        <v>#N/A</v>
      </c>
    </row>
    <row r="340" spans="1:6" x14ac:dyDescent="0.2">
      <c r="A340" t="str">
        <f>'Novia Web Query'!A340</f>
        <v>GB00B5333L24</v>
      </c>
      <c r="B340" t="str">
        <f>VLOOKUP(NoviaFunds[[#This Row],[ISIN]],'Novia Web Query'!$A:$E,2,FALSE)</f>
        <v>ASI MyFolio Managed III Ret Acc GBP in GB</v>
      </c>
      <c r="C340" t="str">
        <f>VLOOKUP(NoviaFunds[[#This Row],[ISIN]],'Novia Web Query'!$A:$E,3,FALSE)</f>
        <v>UT Volatility Managed</v>
      </c>
      <c r="D340" s="139">
        <f>VLOOKUP(NoviaFunds[[#This Row],[ISIN]],'Novia Web Query'!$A:$E,4,FALSE)/100</f>
        <v>1.2699999999999999E-2</v>
      </c>
      <c r="E340" s="3" t="str">
        <f>VLOOKUP(NoviaFunds[[#This Row],[ISIN]],'Novia Web Query'!$A:$E,5,FALSE)</f>
        <v>31/12/2021</v>
      </c>
      <c r="F340" t="e">
        <f>VLOOKUP(NoviaFunds[[#This Row],[Sector]],Sectors[],2,FALSE)</f>
        <v>#N/A</v>
      </c>
    </row>
    <row r="341" spans="1:6" x14ac:dyDescent="0.2">
      <c r="A341" t="str">
        <f>'Novia Web Query'!A341</f>
        <v>GB00B759VC93</v>
      </c>
      <c r="B341" t="str">
        <f>VLOOKUP(NoviaFunds[[#This Row],[ISIN]],'Novia Web Query'!$A:$E,2,FALSE)</f>
        <v>ASI MyFolio Managed IV Platform 1 Acc GBP in GB</v>
      </c>
      <c r="C341" t="str">
        <f>VLOOKUP(NoviaFunds[[#This Row],[ISIN]],'Novia Web Query'!$A:$E,3,FALSE)</f>
        <v>UT Volatility Managed</v>
      </c>
      <c r="D341" s="139">
        <f>VLOOKUP(NoviaFunds[[#This Row],[ISIN]],'Novia Web Query'!$A:$E,4,FALSE)/100</f>
        <v>9.0000000000000011E-3</v>
      </c>
      <c r="E341" s="3" t="str">
        <f>VLOOKUP(NoviaFunds[[#This Row],[ISIN]],'Novia Web Query'!$A:$E,5,FALSE)</f>
        <v>31/12/2021</v>
      </c>
      <c r="F341" t="e">
        <f>VLOOKUP(NoviaFunds[[#This Row],[Sector]],Sectors[],2,FALSE)</f>
        <v>#N/A</v>
      </c>
    </row>
    <row r="342" spans="1:6" x14ac:dyDescent="0.2">
      <c r="A342" t="str">
        <f>'Novia Web Query'!A342</f>
        <v>GB00BHZCRN12</v>
      </c>
      <c r="B342" t="str">
        <f>VLOOKUP(NoviaFunds[[#This Row],[ISIN]],'Novia Web Query'!$A:$E,2,FALSE)</f>
        <v>ASI MyFolio Managed IV Platform 1 Inc GBP TR in GB**</v>
      </c>
      <c r="C342" t="str">
        <f>VLOOKUP(NoviaFunds[[#This Row],[ISIN]],'Novia Web Query'!$A:$E,3,FALSE)</f>
        <v>UT Volatility Managed</v>
      </c>
      <c r="D342" s="139">
        <f>VLOOKUP(NoviaFunds[[#This Row],[ISIN]],'Novia Web Query'!$A:$E,4,FALSE)/100</f>
        <v>9.0000000000000011E-3</v>
      </c>
      <c r="E342" s="3" t="str">
        <f>VLOOKUP(NoviaFunds[[#This Row],[ISIN]],'Novia Web Query'!$A:$E,5,FALSE)</f>
        <v>30/06/2021</v>
      </c>
      <c r="F342" t="e">
        <f>VLOOKUP(NoviaFunds[[#This Row],[Sector]],Sectors[],2,FALSE)</f>
        <v>#N/A</v>
      </c>
    </row>
    <row r="343" spans="1:6" x14ac:dyDescent="0.2">
      <c r="A343" t="str">
        <f>'Novia Web Query'!A343</f>
        <v>GB00B4SD6F58</v>
      </c>
      <c r="B343" t="str">
        <f>VLOOKUP(NoviaFunds[[#This Row],[ISIN]],'Novia Web Query'!$A:$E,2,FALSE)</f>
        <v>ASI MyFolio Managed IV Ret Acc GBP in GB</v>
      </c>
      <c r="C343" t="str">
        <f>VLOOKUP(NoviaFunds[[#This Row],[ISIN]],'Novia Web Query'!$A:$E,3,FALSE)</f>
        <v>UT Volatility Managed</v>
      </c>
      <c r="D343" s="139">
        <f>VLOOKUP(NoviaFunds[[#This Row],[ISIN]],'Novia Web Query'!$A:$E,4,FALSE)/100</f>
        <v>1.3000000000000001E-2</v>
      </c>
      <c r="E343" s="3" t="str">
        <f>VLOOKUP(NoviaFunds[[#This Row],[ISIN]],'Novia Web Query'!$A:$E,5,FALSE)</f>
        <v>31/12/2021</v>
      </c>
      <c r="F343" t="e">
        <f>VLOOKUP(NoviaFunds[[#This Row],[Sector]],Sectors[],2,FALSE)</f>
        <v>#N/A</v>
      </c>
    </row>
    <row r="344" spans="1:6" x14ac:dyDescent="0.2">
      <c r="A344" t="str">
        <f>'Novia Web Query'!A344</f>
        <v>GB00B7LL4310</v>
      </c>
      <c r="B344" t="str">
        <f>VLOOKUP(NoviaFunds[[#This Row],[ISIN]],'Novia Web Query'!$A:$E,2,FALSE)</f>
        <v>ASI MyFolio Managed V Platform 1 Acc GBP in GB</v>
      </c>
      <c r="C344" t="str">
        <f>VLOOKUP(NoviaFunds[[#This Row],[ISIN]],'Novia Web Query'!$A:$E,3,FALSE)</f>
        <v>UT Volatility Managed</v>
      </c>
      <c r="D344" s="139">
        <f>VLOOKUP(NoviaFunds[[#This Row],[ISIN]],'Novia Web Query'!$A:$E,4,FALSE)/100</f>
        <v>9.0000000000000011E-3</v>
      </c>
      <c r="E344" s="3" t="str">
        <f>VLOOKUP(NoviaFunds[[#This Row],[ISIN]],'Novia Web Query'!$A:$E,5,FALSE)</f>
        <v>31/12/2021</v>
      </c>
      <c r="F344" t="e">
        <f>VLOOKUP(NoviaFunds[[#This Row],[Sector]],Sectors[],2,FALSE)</f>
        <v>#N/A</v>
      </c>
    </row>
    <row r="345" spans="1:6" x14ac:dyDescent="0.2">
      <c r="A345" t="str">
        <f>'Novia Web Query'!A345</f>
        <v>GB00B7KSN259</v>
      </c>
      <c r="B345" t="str">
        <f>VLOOKUP(NoviaFunds[[#This Row],[ISIN]],'Novia Web Query'!$A:$E,2,FALSE)</f>
        <v>ASI MyFolio Market I Platform 1 Acc GBP in GB</v>
      </c>
      <c r="C345" t="str">
        <f>VLOOKUP(NoviaFunds[[#This Row],[ISIN]],'Novia Web Query'!$A:$E,3,FALSE)</f>
        <v>UT Volatility Managed</v>
      </c>
      <c r="D345" s="139">
        <f>VLOOKUP(NoviaFunds[[#This Row],[ISIN]],'Novia Web Query'!$A:$E,4,FALSE)/100</f>
        <v>3.0999999999999999E-3</v>
      </c>
      <c r="E345" s="3" t="str">
        <f>VLOOKUP(NoviaFunds[[#This Row],[ISIN]],'Novia Web Query'!$A:$E,5,FALSE)</f>
        <v>31/12/2021</v>
      </c>
      <c r="F345" t="e">
        <f>VLOOKUP(NoviaFunds[[#This Row],[Sector]],Sectors[],2,FALSE)</f>
        <v>#N/A</v>
      </c>
    </row>
    <row r="346" spans="1:6" x14ac:dyDescent="0.2">
      <c r="A346" t="str">
        <f>'Novia Web Query'!A346</f>
        <v>GB00B5335D89</v>
      </c>
      <c r="B346" t="str">
        <f>VLOOKUP(NoviaFunds[[#This Row],[ISIN]],'Novia Web Query'!$A:$E,2,FALSE)</f>
        <v>ASI MyFolio Market I Ret Acc GBP in GB</v>
      </c>
      <c r="C346" t="str">
        <f>VLOOKUP(NoviaFunds[[#This Row],[ISIN]],'Novia Web Query'!$A:$E,3,FALSE)</f>
        <v>UT Volatility Managed</v>
      </c>
      <c r="D346" s="139">
        <f>VLOOKUP(NoviaFunds[[#This Row],[ISIN]],'Novia Web Query'!$A:$E,4,FALSE)/100</f>
        <v>7.0999999999999995E-3</v>
      </c>
      <c r="E346" s="3" t="str">
        <f>VLOOKUP(NoviaFunds[[#This Row],[ISIN]],'Novia Web Query'!$A:$E,5,FALSE)</f>
        <v>31/12/2021</v>
      </c>
      <c r="F346" t="e">
        <f>VLOOKUP(NoviaFunds[[#This Row],[Sector]],Sectors[],2,FALSE)</f>
        <v>#N/A</v>
      </c>
    </row>
    <row r="347" spans="1:6" x14ac:dyDescent="0.2">
      <c r="A347" t="str">
        <f>'Novia Web Query'!A347</f>
        <v>GB00B41R9999</v>
      </c>
      <c r="B347" t="str">
        <f>VLOOKUP(NoviaFunds[[#This Row],[ISIN]],'Novia Web Query'!$A:$E,2,FALSE)</f>
        <v>ASI MyFolio Market II Platform 1 Acc GBP in GB</v>
      </c>
      <c r="C347" t="str">
        <f>VLOOKUP(NoviaFunds[[#This Row],[ISIN]],'Novia Web Query'!$A:$E,3,FALSE)</f>
        <v>UT Volatility Managed</v>
      </c>
      <c r="D347" s="139">
        <f>VLOOKUP(NoviaFunds[[#This Row],[ISIN]],'Novia Web Query'!$A:$E,4,FALSE)/100</f>
        <v>3.3E-3</v>
      </c>
      <c r="E347" s="3" t="str">
        <f>VLOOKUP(NoviaFunds[[#This Row],[ISIN]],'Novia Web Query'!$A:$E,5,FALSE)</f>
        <v>31/12/2021</v>
      </c>
      <c r="F347" t="e">
        <f>VLOOKUP(NoviaFunds[[#This Row],[Sector]],Sectors[],2,FALSE)</f>
        <v>#N/A</v>
      </c>
    </row>
    <row r="348" spans="1:6" x14ac:dyDescent="0.2">
      <c r="A348" t="str">
        <f>'Novia Web Query'!A348</f>
        <v>GB00B55ZKX71</v>
      </c>
      <c r="B348" t="str">
        <f>VLOOKUP(NoviaFunds[[#This Row],[ISIN]],'Novia Web Query'!$A:$E,2,FALSE)</f>
        <v>ASI MyFolio Market II Ret Acc GBP in GB</v>
      </c>
      <c r="C348" t="str">
        <f>VLOOKUP(NoviaFunds[[#This Row],[ISIN]],'Novia Web Query'!$A:$E,3,FALSE)</f>
        <v>UT Volatility Managed</v>
      </c>
      <c r="D348" s="139">
        <f>VLOOKUP(NoviaFunds[[#This Row],[ISIN]],'Novia Web Query'!$A:$E,4,FALSE)/100</f>
        <v>7.3000000000000001E-3</v>
      </c>
      <c r="E348" s="3" t="str">
        <f>VLOOKUP(NoviaFunds[[#This Row],[ISIN]],'Novia Web Query'!$A:$E,5,FALSE)</f>
        <v>31/12/2021</v>
      </c>
      <c r="F348" t="e">
        <f>VLOOKUP(NoviaFunds[[#This Row],[Sector]],Sectors[],2,FALSE)</f>
        <v>#N/A</v>
      </c>
    </row>
    <row r="349" spans="1:6" x14ac:dyDescent="0.2">
      <c r="A349" t="str">
        <f>'Novia Web Query'!A349</f>
        <v>GB00B758J660</v>
      </c>
      <c r="B349" t="str">
        <f>VLOOKUP(NoviaFunds[[#This Row],[ISIN]],'Novia Web Query'!$A:$E,2,FALSE)</f>
        <v>ASI MyFolio Market III Platform 1 Acc GBP in GB</v>
      </c>
      <c r="C349" t="str">
        <f>VLOOKUP(NoviaFunds[[#This Row],[ISIN]],'Novia Web Query'!$A:$E,3,FALSE)</f>
        <v>UT Volatility Managed</v>
      </c>
      <c r="D349" s="139">
        <f>VLOOKUP(NoviaFunds[[#This Row],[ISIN]],'Novia Web Query'!$A:$E,4,FALSE)/100</f>
        <v>3.4999999999999996E-3</v>
      </c>
      <c r="E349" s="3" t="str">
        <f>VLOOKUP(NoviaFunds[[#This Row],[ISIN]],'Novia Web Query'!$A:$E,5,FALSE)</f>
        <v>31/12/2021</v>
      </c>
      <c r="F349" t="e">
        <f>VLOOKUP(NoviaFunds[[#This Row],[Sector]],Sectors[],2,FALSE)</f>
        <v>#N/A</v>
      </c>
    </row>
    <row r="350" spans="1:6" x14ac:dyDescent="0.2">
      <c r="A350" t="str">
        <f>'Novia Web Query'!A350</f>
        <v>GB00B585DT13</v>
      </c>
      <c r="B350" t="str">
        <f>VLOOKUP(NoviaFunds[[#This Row],[ISIN]],'Novia Web Query'!$A:$E,2,FALSE)</f>
        <v>ASI MyFolio Market III Ret Acc GBP in GB</v>
      </c>
      <c r="C350" t="str">
        <f>VLOOKUP(NoviaFunds[[#This Row],[ISIN]],'Novia Web Query'!$A:$E,3,FALSE)</f>
        <v>UT Volatility Managed</v>
      </c>
      <c r="D350" s="139">
        <f>VLOOKUP(NoviaFunds[[#This Row],[ISIN]],'Novia Web Query'!$A:$E,4,FALSE)/100</f>
        <v>7.4999999999999997E-3</v>
      </c>
      <c r="E350" s="3" t="str">
        <f>VLOOKUP(NoviaFunds[[#This Row],[ISIN]],'Novia Web Query'!$A:$E,5,FALSE)</f>
        <v>31/12/2021</v>
      </c>
      <c r="F350" t="e">
        <f>VLOOKUP(NoviaFunds[[#This Row],[Sector]],Sectors[],2,FALSE)</f>
        <v>#N/A</v>
      </c>
    </row>
    <row r="351" spans="1:6" x14ac:dyDescent="0.2">
      <c r="A351" t="str">
        <f>'Novia Web Query'!A351</f>
        <v>GB00B77CW014</v>
      </c>
      <c r="B351" t="str">
        <f>VLOOKUP(NoviaFunds[[#This Row],[ISIN]],'Novia Web Query'!$A:$E,2,FALSE)</f>
        <v>ASI MyFolio Market IV Platform 1 Acc GBP in GB</v>
      </c>
      <c r="C351" t="str">
        <f>VLOOKUP(NoviaFunds[[#This Row],[ISIN]],'Novia Web Query'!$A:$E,3,FALSE)</f>
        <v>UT Volatility Managed</v>
      </c>
      <c r="D351" s="139">
        <f>VLOOKUP(NoviaFunds[[#This Row],[ISIN]],'Novia Web Query'!$A:$E,4,FALSE)/100</f>
        <v>3.4999999999999996E-3</v>
      </c>
      <c r="E351" s="3" t="str">
        <f>VLOOKUP(NoviaFunds[[#This Row],[ISIN]],'Novia Web Query'!$A:$E,5,FALSE)</f>
        <v>31/12/2021</v>
      </c>
      <c r="F351" t="e">
        <f>VLOOKUP(NoviaFunds[[#This Row],[Sector]],Sectors[],2,FALSE)</f>
        <v>#N/A</v>
      </c>
    </row>
    <row r="352" spans="1:6" x14ac:dyDescent="0.2">
      <c r="A352" t="str">
        <f>'Novia Web Query'!A352</f>
        <v>GB00B55VSY27</v>
      </c>
      <c r="B352" t="str">
        <f>VLOOKUP(NoviaFunds[[#This Row],[ISIN]],'Novia Web Query'!$A:$E,2,FALSE)</f>
        <v>ASI MyFolio Market IV Ret Acc GBP in GB</v>
      </c>
      <c r="C352" t="str">
        <f>VLOOKUP(NoviaFunds[[#This Row],[ISIN]],'Novia Web Query'!$A:$E,3,FALSE)</f>
        <v>UT Volatility Managed</v>
      </c>
      <c r="D352" s="139">
        <f>VLOOKUP(NoviaFunds[[#This Row],[ISIN]],'Novia Web Query'!$A:$E,4,FALSE)/100</f>
        <v>7.4999999999999997E-3</v>
      </c>
      <c r="E352" s="3" t="str">
        <f>VLOOKUP(NoviaFunds[[#This Row],[ISIN]],'Novia Web Query'!$A:$E,5,FALSE)</f>
        <v>31/12/2021</v>
      </c>
      <c r="F352" t="e">
        <f>VLOOKUP(NoviaFunds[[#This Row],[Sector]],Sectors[],2,FALSE)</f>
        <v>#N/A</v>
      </c>
    </row>
    <row r="353" spans="1:6" x14ac:dyDescent="0.2">
      <c r="A353" t="str">
        <f>'Novia Web Query'!A353</f>
        <v>GB00B3T5XZ20</v>
      </c>
      <c r="B353" t="str">
        <f>VLOOKUP(NoviaFunds[[#This Row],[ISIN]],'Novia Web Query'!$A:$E,2,FALSE)</f>
        <v>ASI MyFolio Market V Platform 1 Acc GBP in GB</v>
      </c>
      <c r="C353" t="str">
        <f>VLOOKUP(NoviaFunds[[#This Row],[ISIN]],'Novia Web Query'!$A:$E,3,FALSE)</f>
        <v>UT Volatility Managed</v>
      </c>
      <c r="D353" s="139">
        <f>VLOOKUP(NoviaFunds[[#This Row],[ISIN]],'Novia Web Query'!$A:$E,4,FALSE)/100</f>
        <v>3.0000000000000001E-3</v>
      </c>
      <c r="E353" s="3" t="str">
        <f>VLOOKUP(NoviaFunds[[#This Row],[ISIN]],'Novia Web Query'!$A:$E,5,FALSE)</f>
        <v>31/12/2021</v>
      </c>
      <c r="F353" t="e">
        <f>VLOOKUP(NoviaFunds[[#This Row],[Sector]],Sectors[],2,FALSE)</f>
        <v>#N/A</v>
      </c>
    </row>
    <row r="354" spans="1:6" x14ac:dyDescent="0.2">
      <c r="A354" t="str">
        <f>'Novia Web Query'!A354</f>
        <v>GB00B74TWC77</v>
      </c>
      <c r="B354" t="str">
        <f>VLOOKUP(NoviaFunds[[#This Row],[ISIN]],'Novia Web Query'!$A:$E,2,FALSE)</f>
        <v>ASI MyFolio Monthly Income II Platform 1 Acc GBP in GB</v>
      </c>
      <c r="C354" t="str">
        <f>VLOOKUP(NoviaFunds[[#This Row],[ISIN]],'Novia Web Query'!$A:$E,3,FALSE)</f>
        <v>UT Volatility Managed</v>
      </c>
      <c r="D354" s="139">
        <f>VLOOKUP(NoviaFunds[[#This Row],[ISIN]],'Novia Web Query'!$A:$E,4,FALSE)/100</f>
        <v>9.4999999999999998E-3</v>
      </c>
      <c r="E354" s="3" t="str">
        <f>VLOOKUP(NoviaFunds[[#This Row],[ISIN]],'Novia Web Query'!$A:$E,5,FALSE)</f>
        <v>31/12/2021</v>
      </c>
      <c r="F354" t="e">
        <f>VLOOKUP(NoviaFunds[[#This Row],[Sector]],Sectors[],2,FALSE)</f>
        <v>#N/A</v>
      </c>
    </row>
    <row r="355" spans="1:6" x14ac:dyDescent="0.2">
      <c r="A355" t="str">
        <f>'Novia Web Query'!A355</f>
        <v>GB00B6S7NM79</v>
      </c>
      <c r="B355" t="str">
        <f>VLOOKUP(NoviaFunds[[#This Row],[ISIN]],'Novia Web Query'!$A:$E,2,FALSE)</f>
        <v>ASI MyFolio Monthly Income II Platform 1 Inc GBP TR in GB</v>
      </c>
      <c r="C355" t="str">
        <f>VLOOKUP(NoviaFunds[[#This Row],[ISIN]],'Novia Web Query'!$A:$E,3,FALSE)</f>
        <v>UT Volatility Managed</v>
      </c>
      <c r="D355" s="139">
        <f>VLOOKUP(NoviaFunds[[#This Row],[ISIN]],'Novia Web Query'!$A:$E,4,FALSE)/100</f>
        <v>9.4999999999999998E-3</v>
      </c>
      <c r="E355" s="3" t="str">
        <f>VLOOKUP(NoviaFunds[[#This Row],[ISIN]],'Novia Web Query'!$A:$E,5,FALSE)</f>
        <v>31/12/2021</v>
      </c>
      <c r="F355" t="e">
        <f>VLOOKUP(NoviaFunds[[#This Row],[Sector]],Sectors[],2,FALSE)</f>
        <v>#N/A</v>
      </c>
    </row>
    <row r="356" spans="1:6" x14ac:dyDescent="0.2">
      <c r="A356" t="str">
        <f>'Novia Web Query'!A356</f>
        <v>GB00B7680C87</v>
      </c>
      <c r="B356" t="str">
        <f>VLOOKUP(NoviaFunds[[#This Row],[ISIN]],'Novia Web Query'!$A:$E,2,FALSE)</f>
        <v>ASI MyFolio Monthly Income III Platform 1 Acc GBP in GB</v>
      </c>
      <c r="C356" t="str">
        <f>VLOOKUP(NoviaFunds[[#This Row],[ISIN]],'Novia Web Query'!$A:$E,3,FALSE)</f>
        <v>UT Volatility Managed</v>
      </c>
      <c r="D356" s="139">
        <f>VLOOKUP(NoviaFunds[[#This Row],[ISIN]],'Novia Web Query'!$A:$E,4,FALSE)/100</f>
        <v>1.01E-2</v>
      </c>
      <c r="E356" s="3" t="str">
        <f>VLOOKUP(NoviaFunds[[#This Row],[ISIN]],'Novia Web Query'!$A:$E,5,FALSE)</f>
        <v>31/12/2021</v>
      </c>
      <c r="F356" t="e">
        <f>VLOOKUP(NoviaFunds[[#This Row],[Sector]],Sectors[],2,FALSE)</f>
        <v>#N/A</v>
      </c>
    </row>
    <row r="357" spans="1:6" x14ac:dyDescent="0.2">
      <c r="A357" t="str">
        <f>'Novia Web Query'!A357</f>
        <v>GB00B4L19681</v>
      </c>
      <c r="B357" t="str">
        <f>VLOOKUP(NoviaFunds[[#This Row],[ISIN]],'Novia Web Query'!$A:$E,2,FALSE)</f>
        <v>ASI MyFolio Monthly Income III Platform 1 Inc GBP TR in GB</v>
      </c>
      <c r="C357" t="str">
        <f>VLOOKUP(NoviaFunds[[#This Row],[ISIN]],'Novia Web Query'!$A:$E,3,FALSE)</f>
        <v>UT Volatility Managed</v>
      </c>
      <c r="D357" s="139">
        <f>VLOOKUP(NoviaFunds[[#This Row],[ISIN]],'Novia Web Query'!$A:$E,4,FALSE)/100</f>
        <v>1.01E-2</v>
      </c>
      <c r="E357" s="3" t="str">
        <f>VLOOKUP(NoviaFunds[[#This Row],[ISIN]],'Novia Web Query'!$A:$E,5,FALSE)</f>
        <v>31/12/2021</v>
      </c>
      <c r="F357" t="e">
        <f>VLOOKUP(NoviaFunds[[#This Row],[Sector]],Sectors[],2,FALSE)</f>
        <v>#N/A</v>
      </c>
    </row>
    <row r="358" spans="1:6" x14ac:dyDescent="0.2">
      <c r="A358" t="str">
        <f>'Novia Web Query'!A358</f>
        <v>GB00B787JZ98</v>
      </c>
      <c r="B358" t="str">
        <f>VLOOKUP(NoviaFunds[[#This Row],[ISIN]],'Novia Web Query'!$A:$E,2,FALSE)</f>
        <v>ASI MyFolio Monthly Income III Ret Inc GBP TR in GB</v>
      </c>
      <c r="C358" t="str">
        <f>VLOOKUP(NoviaFunds[[#This Row],[ISIN]],'Novia Web Query'!$A:$E,3,FALSE)</f>
        <v>UT Volatility Managed</v>
      </c>
      <c r="D358" s="139">
        <f>VLOOKUP(NoviaFunds[[#This Row],[ISIN]],'Novia Web Query'!$A:$E,4,FALSE)/100</f>
        <v>1.41E-2</v>
      </c>
      <c r="E358" s="3" t="str">
        <f>VLOOKUP(NoviaFunds[[#This Row],[ISIN]],'Novia Web Query'!$A:$E,5,FALSE)</f>
        <v>31/12/2021</v>
      </c>
      <c r="F358" t="e">
        <f>VLOOKUP(NoviaFunds[[#This Row],[Sector]],Sectors[],2,FALSE)</f>
        <v>#N/A</v>
      </c>
    </row>
    <row r="359" spans="1:6" x14ac:dyDescent="0.2">
      <c r="A359" t="str">
        <f>'Novia Web Query'!A359</f>
        <v>GB00B4X43N09</v>
      </c>
      <c r="B359" t="str">
        <f>VLOOKUP(NoviaFunds[[#This Row],[ISIN]],'Novia Web Query'!$A:$E,2,FALSE)</f>
        <v>ASI MyFolio Monthly Income IV Platform 1 Acc GBP in GB</v>
      </c>
      <c r="C359" t="str">
        <f>VLOOKUP(NoviaFunds[[#This Row],[ISIN]],'Novia Web Query'!$A:$E,3,FALSE)</f>
        <v>UT Volatility Managed</v>
      </c>
      <c r="D359" s="139">
        <f>VLOOKUP(NoviaFunds[[#This Row],[ISIN]],'Novia Web Query'!$A:$E,4,FALSE)/100</f>
        <v>1.1399999999999999E-2</v>
      </c>
      <c r="E359" s="3" t="str">
        <f>VLOOKUP(NoviaFunds[[#This Row],[ISIN]],'Novia Web Query'!$A:$E,5,FALSE)</f>
        <v>31/12/2021</v>
      </c>
      <c r="F359" t="e">
        <f>VLOOKUP(NoviaFunds[[#This Row],[Sector]],Sectors[],2,FALSE)</f>
        <v>#N/A</v>
      </c>
    </row>
    <row r="360" spans="1:6" x14ac:dyDescent="0.2">
      <c r="A360" t="str">
        <f>'Novia Web Query'!A360</f>
        <v>GB00B7F2PP90</v>
      </c>
      <c r="B360" t="str">
        <f>VLOOKUP(NoviaFunds[[#This Row],[ISIN]],'Novia Web Query'!$A:$E,2,FALSE)</f>
        <v>ASI MyFolio Monthly Income IV Platform 1 Inc GBP TR in GB</v>
      </c>
      <c r="C360" t="str">
        <f>VLOOKUP(NoviaFunds[[#This Row],[ISIN]],'Novia Web Query'!$A:$E,3,FALSE)</f>
        <v>UT Volatility Managed</v>
      </c>
      <c r="D360" s="139">
        <f>VLOOKUP(NoviaFunds[[#This Row],[ISIN]],'Novia Web Query'!$A:$E,4,FALSE)/100</f>
        <v>1.1399999999999999E-2</v>
      </c>
      <c r="E360" s="3" t="str">
        <f>VLOOKUP(NoviaFunds[[#This Row],[ISIN]],'Novia Web Query'!$A:$E,5,FALSE)</f>
        <v>31/12/2021</v>
      </c>
      <c r="F360" t="e">
        <f>VLOOKUP(NoviaFunds[[#This Row],[Sector]],Sectors[],2,FALSE)</f>
        <v>#N/A</v>
      </c>
    </row>
    <row r="361" spans="1:6" x14ac:dyDescent="0.2">
      <c r="A361" t="str">
        <f>'Novia Web Query'!A361</f>
        <v>GB00B7FMDY47</v>
      </c>
      <c r="B361" t="str">
        <f>VLOOKUP(NoviaFunds[[#This Row],[ISIN]],'Novia Web Query'!$A:$E,2,FALSE)</f>
        <v>ASI MyFolio Multi Manager I Platform 1 Acc GBP in GB</v>
      </c>
      <c r="C361" t="str">
        <f>VLOOKUP(NoviaFunds[[#This Row],[ISIN]],'Novia Web Query'!$A:$E,3,FALSE)</f>
        <v>UT Volatility Managed</v>
      </c>
      <c r="D361" s="139">
        <f>VLOOKUP(NoviaFunds[[#This Row],[ISIN]],'Novia Web Query'!$A:$E,4,FALSE)/100</f>
        <v>1.04E-2</v>
      </c>
      <c r="E361" s="3" t="str">
        <f>VLOOKUP(NoviaFunds[[#This Row],[ISIN]],'Novia Web Query'!$A:$E,5,FALSE)</f>
        <v>31/12/2021</v>
      </c>
      <c r="F361" t="e">
        <f>VLOOKUP(NoviaFunds[[#This Row],[Sector]],Sectors[],2,FALSE)</f>
        <v>#N/A</v>
      </c>
    </row>
    <row r="362" spans="1:6" x14ac:dyDescent="0.2">
      <c r="A362" t="str">
        <f>'Novia Web Query'!A362</f>
        <v>GB00B5119S76</v>
      </c>
      <c r="B362" t="str">
        <f>VLOOKUP(NoviaFunds[[#This Row],[ISIN]],'Novia Web Query'!$A:$E,2,FALSE)</f>
        <v>ASI MyFolio Multi Manager I Ret Acc GBP in GB</v>
      </c>
      <c r="C362" t="str">
        <f>VLOOKUP(NoviaFunds[[#This Row],[ISIN]],'Novia Web Query'!$A:$E,3,FALSE)</f>
        <v>UT Volatility Managed</v>
      </c>
      <c r="D362" s="139">
        <f>VLOOKUP(NoviaFunds[[#This Row],[ISIN]],'Novia Web Query'!$A:$E,4,FALSE)/100</f>
        <v>1.44E-2</v>
      </c>
      <c r="E362" s="3" t="str">
        <f>VLOOKUP(NoviaFunds[[#This Row],[ISIN]],'Novia Web Query'!$A:$E,5,FALSE)</f>
        <v>31/12/2021</v>
      </c>
      <c r="F362" t="e">
        <f>VLOOKUP(NoviaFunds[[#This Row],[Sector]],Sectors[],2,FALSE)</f>
        <v>#N/A</v>
      </c>
    </row>
    <row r="363" spans="1:6" x14ac:dyDescent="0.2">
      <c r="A363" t="str">
        <f>'Novia Web Query'!A363</f>
        <v>GB00B7FH4R99</v>
      </c>
      <c r="B363" t="str">
        <f>VLOOKUP(NoviaFunds[[#This Row],[ISIN]],'Novia Web Query'!$A:$E,2,FALSE)</f>
        <v>ASI MyFolio Multi Manager II Platform 1 Acc GBP in GB</v>
      </c>
      <c r="C363" t="str">
        <f>VLOOKUP(NoviaFunds[[#This Row],[ISIN]],'Novia Web Query'!$A:$E,3,FALSE)</f>
        <v>UT Volatility Managed</v>
      </c>
      <c r="D363" s="139">
        <f>VLOOKUP(NoviaFunds[[#This Row],[ISIN]],'Novia Web Query'!$A:$E,4,FALSE)/100</f>
        <v>1.1200000000000002E-2</v>
      </c>
      <c r="E363" s="3" t="str">
        <f>VLOOKUP(NoviaFunds[[#This Row],[ISIN]],'Novia Web Query'!$A:$E,5,FALSE)</f>
        <v>31/12/2021</v>
      </c>
      <c r="F363" t="e">
        <f>VLOOKUP(NoviaFunds[[#This Row],[Sector]],Sectors[],2,FALSE)</f>
        <v>#N/A</v>
      </c>
    </row>
    <row r="364" spans="1:6" x14ac:dyDescent="0.2">
      <c r="A364" t="str">
        <f>'Novia Web Query'!A364</f>
        <v>GB00B55PLK10</v>
      </c>
      <c r="B364" t="str">
        <f>VLOOKUP(NoviaFunds[[#This Row],[ISIN]],'Novia Web Query'!$A:$E,2,FALSE)</f>
        <v>ASI MyFolio Multi Manager II Ret Acc GBP in GB</v>
      </c>
      <c r="C364" t="str">
        <f>VLOOKUP(NoviaFunds[[#This Row],[ISIN]],'Novia Web Query'!$A:$E,3,FALSE)</f>
        <v>UT Volatility Managed</v>
      </c>
      <c r="D364" s="139">
        <f>VLOOKUP(NoviaFunds[[#This Row],[ISIN]],'Novia Web Query'!$A:$E,4,FALSE)/100</f>
        <v>1.52E-2</v>
      </c>
      <c r="E364" s="3" t="str">
        <f>VLOOKUP(NoviaFunds[[#This Row],[ISIN]],'Novia Web Query'!$A:$E,5,FALSE)</f>
        <v>31/12/2021</v>
      </c>
      <c r="F364" t="e">
        <f>VLOOKUP(NoviaFunds[[#This Row],[Sector]],Sectors[],2,FALSE)</f>
        <v>#N/A</v>
      </c>
    </row>
    <row r="365" spans="1:6" x14ac:dyDescent="0.2">
      <c r="A365" t="str">
        <f>'Novia Web Query'!A365</f>
        <v>GB00B7G6TF84</v>
      </c>
      <c r="B365" t="str">
        <f>VLOOKUP(NoviaFunds[[#This Row],[ISIN]],'Novia Web Query'!$A:$E,2,FALSE)</f>
        <v>ASI MyFolio Multi Manager III Platform 1 Acc GBP in GB</v>
      </c>
      <c r="C365" t="str">
        <f>VLOOKUP(NoviaFunds[[#This Row],[ISIN]],'Novia Web Query'!$A:$E,3,FALSE)</f>
        <v>UT Volatility Managed</v>
      </c>
      <c r="D365" s="139">
        <f>VLOOKUP(NoviaFunds[[#This Row],[ISIN]],'Novia Web Query'!$A:$E,4,FALSE)/100</f>
        <v>1.21E-2</v>
      </c>
      <c r="E365" s="3" t="str">
        <f>VLOOKUP(NoviaFunds[[#This Row],[ISIN]],'Novia Web Query'!$A:$E,5,FALSE)</f>
        <v>31/12/2021</v>
      </c>
      <c r="F365" t="e">
        <f>VLOOKUP(NoviaFunds[[#This Row],[Sector]],Sectors[],2,FALSE)</f>
        <v>#N/A</v>
      </c>
    </row>
    <row r="366" spans="1:6" x14ac:dyDescent="0.2">
      <c r="A366" t="str">
        <f>'Novia Web Query'!A366</f>
        <v>GB00B4ZWVK55</v>
      </c>
      <c r="B366" t="str">
        <f>VLOOKUP(NoviaFunds[[#This Row],[ISIN]],'Novia Web Query'!$A:$E,2,FALSE)</f>
        <v>ASI MyFolio Multi Manager III Ret Acc GBP in GB</v>
      </c>
      <c r="C366" t="str">
        <f>VLOOKUP(NoviaFunds[[#This Row],[ISIN]],'Novia Web Query'!$A:$E,3,FALSE)</f>
        <v>UT Volatility Managed</v>
      </c>
      <c r="D366" s="139">
        <f>VLOOKUP(NoviaFunds[[#This Row],[ISIN]],'Novia Web Query'!$A:$E,4,FALSE)/100</f>
        <v>1.61E-2</v>
      </c>
      <c r="E366" s="3" t="str">
        <f>VLOOKUP(NoviaFunds[[#This Row],[ISIN]],'Novia Web Query'!$A:$E,5,FALSE)</f>
        <v>31/12/2021</v>
      </c>
      <c r="F366" t="e">
        <f>VLOOKUP(NoviaFunds[[#This Row],[Sector]],Sectors[],2,FALSE)</f>
        <v>#N/A</v>
      </c>
    </row>
    <row r="367" spans="1:6" x14ac:dyDescent="0.2">
      <c r="A367" t="str">
        <f>'Novia Web Query'!A367</f>
        <v>GB00B6XW0B53</v>
      </c>
      <c r="B367" t="str">
        <f>VLOOKUP(NoviaFunds[[#This Row],[ISIN]],'Novia Web Query'!$A:$E,2,FALSE)</f>
        <v>ASI MyFolio Multi Manager IV Platform 1 Acc GBP in GB</v>
      </c>
      <c r="C367" t="str">
        <f>VLOOKUP(NoviaFunds[[#This Row],[ISIN]],'Novia Web Query'!$A:$E,3,FALSE)</f>
        <v>UT Volatility Managed</v>
      </c>
      <c r="D367" s="139">
        <f>VLOOKUP(NoviaFunds[[#This Row],[ISIN]],'Novia Web Query'!$A:$E,4,FALSE)/100</f>
        <v>1.2800000000000001E-2</v>
      </c>
      <c r="E367" s="3" t="str">
        <f>VLOOKUP(NoviaFunds[[#This Row],[ISIN]],'Novia Web Query'!$A:$E,5,FALSE)</f>
        <v>31/12/2021</v>
      </c>
      <c r="F367" t="e">
        <f>VLOOKUP(NoviaFunds[[#This Row],[Sector]],Sectors[],2,FALSE)</f>
        <v>#N/A</v>
      </c>
    </row>
    <row r="368" spans="1:6" x14ac:dyDescent="0.2">
      <c r="A368" t="str">
        <f>'Novia Web Query'!A368</f>
        <v>GB00B55QRR32</v>
      </c>
      <c r="B368" t="str">
        <f>VLOOKUP(NoviaFunds[[#This Row],[ISIN]],'Novia Web Query'!$A:$E,2,FALSE)</f>
        <v>ASI MyFolio Multi Manager IV Ret Acc GBP in GB</v>
      </c>
      <c r="C368" t="str">
        <f>VLOOKUP(NoviaFunds[[#This Row],[ISIN]],'Novia Web Query'!$A:$E,3,FALSE)</f>
        <v>UT Volatility Managed</v>
      </c>
      <c r="D368" s="139">
        <f>VLOOKUP(NoviaFunds[[#This Row],[ISIN]],'Novia Web Query'!$A:$E,4,FALSE)/100</f>
        <v>1.6799999999999999E-2</v>
      </c>
      <c r="E368" s="3" t="str">
        <f>VLOOKUP(NoviaFunds[[#This Row],[ISIN]],'Novia Web Query'!$A:$E,5,FALSE)</f>
        <v>31/12/2021</v>
      </c>
      <c r="F368" t="e">
        <f>VLOOKUP(NoviaFunds[[#This Row],[Sector]],Sectors[],2,FALSE)</f>
        <v>#N/A</v>
      </c>
    </row>
    <row r="369" spans="1:6" x14ac:dyDescent="0.2">
      <c r="A369" t="str">
        <f>'Novia Web Query'!A369</f>
        <v>GB00B7MMLL01</v>
      </c>
      <c r="B369" t="str">
        <f>VLOOKUP(NoviaFunds[[#This Row],[ISIN]],'Novia Web Query'!$A:$E,2,FALSE)</f>
        <v>ASI MyFolio Multi Manager V Platform 1 Acc GBP in GB</v>
      </c>
      <c r="C369" t="str">
        <f>VLOOKUP(NoviaFunds[[#This Row],[ISIN]],'Novia Web Query'!$A:$E,3,FALSE)</f>
        <v>UT Volatility Managed</v>
      </c>
      <c r="D369" s="139">
        <f>VLOOKUP(NoviaFunds[[#This Row],[ISIN]],'Novia Web Query'!$A:$E,4,FALSE)/100</f>
        <v>1.3100000000000001E-2</v>
      </c>
      <c r="E369" s="3" t="str">
        <f>VLOOKUP(NoviaFunds[[#This Row],[ISIN]],'Novia Web Query'!$A:$E,5,FALSE)</f>
        <v>31/12/2021</v>
      </c>
      <c r="F369" t="e">
        <f>VLOOKUP(NoviaFunds[[#This Row],[Sector]],Sectors[],2,FALSE)</f>
        <v>#N/A</v>
      </c>
    </row>
    <row r="370" spans="1:6" x14ac:dyDescent="0.2">
      <c r="A370" t="str">
        <f>'Novia Web Query'!A370</f>
        <v>GB00BHZCS162</v>
      </c>
      <c r="B370" t="str">
        <f>VLOOKUP(NoviaFunds[[#This Row],[ISIN]],'Novia Web Query'!$A:$E,2,FALSE)</f>
        <v>ASI MyFolio Multi Manager V Platform 1 Inc GBP TR in GB**</v>
      </c>
      <c r="C370" t="str">
        <f>VLOOKUP(NoviaFunds[[#This Row],[ISIN]],'Novia Web Query'!$A:$E,3,FALSE)</f>
        <v>UT Volatility Managed</v>
      </c>
      <c r="D370" s="139">
        <f>VLOOKUP(NoviaFunds[[#This Row],[ISIN]],'Novia Web Query'!$A:$E,4,FALSE)/100</f>
        <v>1.3100000000000001E-2</v>
      </c>
      <c r="E370" s="3" t="str">
        <f>VLOOKUP(NoviaFunds[[#This Row],[ISIN]],'Novia Web Query'!$A:$E,5,FALSE)</f>
        <v>30/06/2021</v>
      </c>
      <c r="F370" t="e">
        <f>VLOOKUP(NoviaFunds[[#This Row],[Sector]],Sectors[],2,FALSE)</f>
        <v>#N/A</v>
      </c>
    </row>
    <row r="371" spans="1:6" x14ac:dyDescent="0.2">
      <c r="A371" t="str">
        <f>'Novia Web Query'!A371</f>
        <v>GB00BN4R5Z73</v>
      </c>
      <c r="B371" t="str">
        <f>VLOOKUP(NoviaFunds[[#This Row],[ISIN]],'Novia Web Query'!$A:$E,2,FALSE)</f>
        <v>ASI MyFolio Sustainable I Platform P Fixed Acc GBP in GB</v>
      </c>
      <c r="C371" t="str">
        <f>VLOOKUP(NoviaFunds[[#This Row],[ISIN]],'Novia Web Query'!$A:$E,3,FALSE)</f>
        <v>UT Volatility Managed</v>
      </c>
      <c r="D371" s="139">
        <f>VLOOKUP(NoviaFunds[[#This Row],[ISIN]],'Novia Web Query'!$A:$E,4,FALSE)/100</f>
        <v>6.5000000000000006E-3</v>
      </c>
      <c r="E371" s="3" t="str">
        <f>VLOOKUP(NoviaFunds[[#This Row],[ISIN]],'Novia Web Query'!$A:$E,5,FALSE)</f>
        <v>31/12/2021</v>
      </c>
      <c r="F371" t="e">
        <f>VLOOKUP(NoviaFunds[[#This Row],[Sector]],Sectors[],2,FALSE)</f>
        <v>#N/A</v>
      </c>
    </row>
    <row r="372" spans="1:6" x14ac:dyDescent="0.2">
      <c r="A372" t="str">
        <f>'Novia Web Query'!A372</f>
        <v>GB00BN4R6103</v>
      </c>
      <c r="B372" t="str">
        <f>VLOOKUP(NoviaFunds[[#This Row],[ISIN]],'Novia Web Query'!$A:$E,2,FALSE)</f>
        <v>ASI MyFolio Sustainable II Platform P Fixed Acc GBP in GB</v>
      </c>
      <c r="C372" t="str">
        <f>VLOOKUP(NoviaFunds[[#This Row],[ISIN]],'Novia Web Query'!$A:$E,3,FALSE)</f>
        <v>UT Volatility Managed</v>
      </c>
      <c r="D372" s="139">
        <f>VLOOKUP(NoviaFunds[[#This Row],[ISIN]],'Novia Web Query'!$A:$E,4,FALSE)/100</f>
        <v>6.5000000000000006E-3</v>
      </c>
      <c r="E372" s="3" t="str">
        <f>VLOOKUP(NoviaFunds[[#This Row],[ISIN]],'Novia Web Query'!$A:$E,5,FALSE)</f>
        <v>31/12/2021</v>
      </c>
      <c r="F372" t="e">
        <f>VLOOKUP(NoviaFunds[[#This Row],[Sector]],Sectors[],2,FALSE)</f>
        <v>#N/A</v>
      </c>
    </row>
    <row r="373" spans="1:6" x14ac:dyDescent="0.2">
      <c r="A373" t="str">
        <f>'Novia Web Query'!A373</f>
        <v>GB00BN4R6327</v>
      </c>
      <c r="B373" t="str">
        <f>VLOOKUP(NoviaFunds[[#This Row],[ISIN]],'Novia Web Query'!$A:$E,2,FALSE)</f>
        <v>ASI MyFolio Sustainable III Platform P Fixed Acc GBP in GB</v>
      </c>
      <c r="C373" t="str">
        <f>VLOOKUP(NoviaFunds[[#This Row],[ISIN]],'Novia Web Query'!$A:$E,3,FALSE)</f>
        <v>UT Volatility Managed</v>
      </c>
      <c r="D373" s="139">
        <f>VLOOKUP(NoviaFunds[[#This Row],[ISIN]],'Novia Web Query'!$A:$E,4,FALSE)/100</f>
        <v>6.5000000000000006E-3</v>
      </c>
      <c r="E373" s="3" t="str">
        <f>VLOOKUP(NoviaFunds[[#This Row],[ISIN]],'Novia Web Query'!$A:$E,5,FALSE)</f>
        <v>31/12/2021</v>
      </c>
      <c r="F373" t="e">
        <f>VLOOKUP(NoviaFunds[[#This Row],[Sector]],Sectors[],2,FALSE)</f>
        <v>#N/A</v>
      </c>
    </row>
    <row r="374" spans="1:6" x14ac:dyDescent="0.2">
      <c r="A374" t="str">
        <f>'Novia Web Query'!A374</f>
        <v>GB00BN4R6541</v>
      </c>
      <c r="B374" t="str">
        <f>VLOOKUP(NoviaFunds[[#This Row],[ISIN]],'Novia Web Query'!$A:$E,2,FALSE)</f>
        <v>ASI MyFolio Sustainable IV Platform P Fixed Acc GBP in GB</v>
      </c>
      <c r="C374" t="str">
        <f>VLOOKUP(NoviaFunds[[#This Row],[ISIN]],'Novia Web Query'!$A:$E,3,FALSE)</f>
        <v>UT Volatility Managed</v>
      </c>
      <c r="D374" s="139">
        <f>VLOOKUP(NoviaFunds[[#This Row],[ISIN]],'Novia Web Query'!$A:$E,4,FALSE)/100</f>
        <v>6.5000000000000006E-3</v>
      </c>
      <c r="E374" s="3" t="str">
        <f>VLOOKUP(NoviaFunds[[#This Row],[ISIN]],'Novia Web Query'!$A:$E,5,FALSE)</f>
        <v>31/12/2021</v>
      </c>
      <c r="F374" t="e">
        <f>VLOOKUP(NoviaFunds[[#This Row],[Sector]],Sectors[],2,FALSE)</f>
        <v>#N/A</v>
      </c>
    </row>
    <row r="375" spans="1:6" x14ac:dyDescent="0.2">
      <c r="A375" t="str">
        <f>'Novia Web Query'!A375</f>
        <v>GB00BN4R6764</v>
      </c>
      <c r="B375" t="str">
        <f>VLOOKUP(NoviaFunds[[#This Row],[ISIN]],'Novia Web Query'!$A:$E,2,FALSE)</f>
        <v>ASI MyFolio Sustainable V Platform P Fixed Acc GBP in GB</v>
      </c>
      <c r="C375" t="str">
        <f>VLOOKUP(NoviaFunds[[#This Row],[ISIN]],'Novia Web Query'!$A:$E,3,FALSE)</f>
        <v>UT Volatility Managed</v>
      </c>
      <c r="D375" s="139">
        <f>VLOOKUP(NoviaFunds[[#This Row],[ISIN]],'Novia Web Query'!$A:$E,4,FALSE)/100</f>
        <v>6.5000000000000006E-3</v>
      </c>
      <c r="E375" s="3" t="str">
        <f>VLOOKUP(NoviaFunds[[#This Row],[ISIN]],'Novia Web Query'!$A:$E,5,FALSE)</f>
        <v>31/12/2021</v>
      </c>
      <c r="F375" t="e">
        <f>VLOOKUP(NoviaFunds[[#This Row],[Sector]],Sectors[],2,FALSE)</f>
        <v>#N/A</v>
      </c>
    </row>
    <row r="376" spans="1:6" x14ac:dyDescent="0.2">
      <c r="A376" t="str">
        <f>'Novia Web Query'!A376</f>
        <v>GB00BZCGBT64</v>
      </c>
      <c r="B376" t="str">
        <f>VLOOKUP(NoviaFunds[[#This Row],[ISIN]],'Novia Web Query'!$A:$E,2,FALSE)</f>
        <v>ASI Short Dated Corporate Bond Platform 1 Inc GBP TR in GB</v>
      </c>
      <c r="C376" t="str">
        <f>VLOOKUP(NoviaFunds[[#This Row],[ISIN]],'Novia Web Query'!$A:$E,3,FALSE)</f>
        <v>UT Sterling Corporate Bond</v>
      </c>
      <c r="D376" s="139">
        <f>VLOOKUP(NoviaFunds[[#This Row],[ISIN]],'Novia Web Query'!$A:$E,4,FALSE)/100</f>
        <v>5.6999999999999993E-3</v>
      </c>
      <c r="E376" s="3" t="str">
        <f>VLOOKUP(NoviaFunds[[#This Row],[ISIN]],'Novia Web Query'!$A:$E,5,FALSE)</f>
        <v>30/11/2020</v>
      </c>
      <c r="F376" t="str">
        <f>VLOOKUP(NoviaFunds[[#This Row],[Sector]],Sectors[],2,FALSE)</f>
        <v>Sterling Corporate Bonds</v>
      </c>
    </row>
    <row r="377" spans="1:6" x14ac:dyDescent="0.2">
      <c r="A377" t="str">
        <f>'Novia Web Query'!A377</f>
        <v>GB0032785031</v>
      </c>
      <c r="B377" t="str">
        <f>VLOOKUP(NoviaFunds[[#This Row],[ISIN]],'Novia Web Query'!$A:$E,2,FALSE)</f>
        <v>ASI Short Duration Credit Inst Acc GBP in GB</v>
      </c>
      <c r="C377" t="str">
        <f>VLOOKUP(NoviaFunds[[#This Row],[ISIN]],'Novia Web Query'!$A:$E,3,FALSE)</f>
        <v>UT Sterling Corporate Bond</v>
      </c>
      <c r="D377" s="139">
        <f>VLOOKUP(NoviaFunds[[#This Row],[ISIN]],'Novia Web Query'!$A:$E,4,FALSE)/100</f>
        <v>6.5000000000000006E-3</v>
      </c>
      <c r="E377" s="3" t="str">
        <f>VLOOKUP(NoviaFunds[[#This Row],[ISIN]],'Novia Web Query'!$A:$E,5,FALSE)</f>
        <v>28/02/2021</v>
      </c>
      <c r="F377" t="str">
        <f>VLOOKUP(NoviaFunds[[#This Row],[Sector]],Sectors[],2,FALSE)</f>
        <v>Sterling Corporate Bonds</v>
      </c>
    </row>
    <row r="378" spans="1:6" x14ac:dyDescent="0.2">
      <c r="A378" t="str">
        <f>'Novia Web Query'!A378</f>
        <v>GB0032784737</v>
      </c>
      <c r="B378" t="str">
        <f>VLOOKUP(NoviaFunds[[#This Row],[ISIN]],'Novia Web Query'!$A:$E,2,FALSE)</f>
        <v>ASI Short Duration Credit Ret Acc GBP in GB</v>
      </c>
      <c r="C378" t="str">
        <f>VLOOKUP(NoviaFunds[[#This Row],[ISIN]],'Novia Web Query'!$A:$E,3,FALSE)</f>
        <v>UT Sterling Corporate Bond</v>
      </c>
      <c r="D378" s="139">
        <f>VLOOKUP(NoviaFunds[[#This Row],[ISIN]],'Novia Web Query'!$A:$E,4,FALSE)/100</f>
        <v>1.0700000000000001E-2</v>
      </c>
      <c r="E378" s="3" t="str">
        <f>VLOOKUP(NoviaFunds[[#This Row],[ISIN]],'Novia Web Query'!$A:$E,5,FALSE)</f>
        <v>28/02/2021</v>
      </c>
      <c r="F378" t="str">
        <f>VLOOKUP(NoviaFunds[[#This Row],[Sector]],Sectors[],2,FALSE)</f>
        <v>Sterling Corporate Bonds</v>
      </c>
    </row>
    <row r="379" spans="1:6" x14ac:dyDescent="0.2">
      <c r="A379" t="str">
        <f>'Novia Web Query'!A379</f>
        <v>GB0032784620</v>
      </c>
      <c r="B379" t="str">
        <f>VLOOKUP(NoviaFunds[[#This Row],[ISIN]],'Novia Web Query'!$A:$E,2,FALSE)</f>
        <v>ASI Short Duration Credit Ret Inc GBP TR in GB</v>
      </c>
      <c r="C379" t="str">
        <f>VLOOKUP(NoviaFunds[[#This Row],[ISIN]],'Novia Web Query'!$A:$E,3,FALSE)</f>
        <v>UT Sterling Corporate Bond</v>
      </c>
      <c r="D379" s="139">
        <f>VLOOKUP(NoviaFunds[[#This Row],[ISIN]],'Novia Web Query'!$A:$E,4,FALSE)/100</f>
        <v>1.0700000000000001E-2</v>
      </c>
      <c r="E379" s="3" t="str">
        <f>VLOOKUP(NoviaFunds[[#This Row],[ISIN]],'Novia Web Query'!$A:$E,5,FALSE)</f>
        <v>28/02/2021</v>
      </c>
      <c r="F379" t="str">
        <f>VLOOKUP(NoviaFunds[[#This Row],[Sector]],Sectors[],2,FALSE)</f>
        <v>Sterling Corporate Bonds</v>
      </c>
    </row>
    <row r="380" spans="1:6" x14ac:dyDescent="0.2">
      <c r="A380" t="str">
        <f>'Novia Web Query'!A380</f>
        <v>GB00B7F7XT42</v>
      </c>
      <c r="B380" t="str">
        <f>VLOOKUP(NoviaFunds[[#This Row],[ISIN]],'Novia Web Query'!$A:$E,2,FALSE)</f>
        <v>ASI Short Duration Credit Ret Platform 1 Acc GBP in GB</v>
      </c>
      <c r="C380" t="str">
        <f>VLOOKUP(NoviaFunds[[#This Row],[ISIN]],'Novia Web Query'!$A:$E,3,FALSE)</f>
        <v>UT Sterling Corporate Bond</v>
      </c>
      <c r="D380" s="139">
        <f>VLOOKUP(NoviaFunds[[#This Row],[ISIN]],'Novia Web Query'!$A:$E,4,FALSE)/100</f>
        <v>6.9999999999999993E-3</v>
      </c>
      <c r="E380" s="3" t="str">
        <f>VLOOKUP(NoviaFunds[[#This Row],[ISIN]],'Novia Web Query'!$A:$E,5,FALSE)</f>
        <v>28/02/2021</v>
      </c>
      <c r="F380" t="str">
        <f>VLOOKUP(NoviaFunds[[#This Row],[Sector]],Sectors[],2,FALSE)</f>
        <v>Sterling Corporate Bonds</v>
      </c>
    </row>
    <row r="381" spans="1:6" x14ac:dyDescent="0.2">
      <c r="A381" t="str">
        <f>'Novia Web Query'!A381</f>
        <v>GB00B63SCK67</v>
      </c>
      <c r="B381" t="str">
        <f>VLOOKUP(NoviaFunds[[#This Row],[ISIN]],'Novia Web Query'!$A:$E,2,FALSE)</f>
        <v>ASI Short Duration Credit Ret Platform 1 Inc GBP TR in GB</v>
      </c>
      <c r="C381" t="str">
        <f>VLOOKUP(NoviaFunds[[#This Row],[ISIN]],'Novia Web Query'!$A:$E,3,FALSE)</f>
        <v>UT Sterling Corporate Bond</v>
      </c>
      <c r="D381" s="139">
        <f>VLOOKUP(NoviaFunds[[#This Row],[ISIN]],'Novia Web Query'!$A:$E,4,FALSE)/100</f>
        <v>6.9999999999999993E-3</v>
      </c>
      <c r="E381" s="3" t="str">
        <f>VLOOKUP(NoviaFunds[[#This Row],[ISIN]],'Novia Web Query'!$A:$E,5,FALSE)</f>
        <v>28/02/2021</v>
      </c>
      <c r="F381" t="str">
        <f>VLOOKUP(NoviaFunds[[#This Row],[Sector]],Sectors[],2,FALSE)</f>
        <v>Sterling Corporate Bonds</v>
      </c>
    </row>
    <row r="382" spans="1:6" x14ac:dyDescent="0.2">
      <c r="A382" t="str">
        <f>'Novia Web Query'!A382</f>
        <v>GB00BP25R734</v>
      </c>
      <c r="B382" t="str">
        <f>VLOOKUP(NoviaFunds[[#This Row],[ISIN]],'Novia Web Query'!$A:$E,2,FALSE)</f>
        <v>ASI Short Duration Global Inflation-Linked Bond Inst S Acc GBP in GB</v>
      </c>
      <c r="C382" t="str">
        <f>VLOOKUP(NoviaFunds[[#This Row],[ISIN]],'Novia Web Query'!$A:$E,3,FALSE)</f>
        <v>UT Global Bonds</v>
      </c>
      <c r="D382" s="139">
        <f>VLOOKUP(NoviaFunds[[#This Row],[ISIN]],'Novia Web Query'!$A:$E,4,FALSE)/100</f>
        <v>3.0999999999999999E-3</v>
      </c>
      <c r="E382" s="3" t="str">
        <f>VLOOKUP(NoviaFunds[[#This Row],[ISIN]],'Novia Web Query'!$A:$E,5,FALSE)</f>
        <v>30/11/2020</v>
      </c>
      <c r="F382" t="str">
        <f>VLOOKUP(NoviaFunds[[#This Row],[Sector]],Sectors[],2,FALSE)</f>
        <v>Global Investment Grade</v>
      </c>
    </row>
    <row r="383" spans="1:6" x14ac:dyDescent="0.2">
      <c r="A383" t="str">
        <f>'Novia Web Query'!A383</f>
        <v>GB00BP25R841</v>
      </c>
      <c r="B383" t="str">
        <f>VLOOKUP(NoviaFunds[[#This Row],[ISIN]],'Novia Web Query'!$A:$E,2,FALSE)</f>
        <v>ASI Short Duration Global Inflation-Linked Bond Inst S Inc GBP TR in GB</v>
      </c>
      <c r="C383" t="str">
        <f>VLOOKUP(NoviaFunds[[#This Row],[ISIN]],'Novia Web Query'!$A:$E,3,FALSE)</f>
        <v>UT Global Bonds</v>
      </c>
      <c r="D383" s="139">
        <f>VLOOKUP(NoviaFunds[[#This Row],[ISIN]],'Novia Web Query'!$A:$E,4,FALSE)/100</f>
        <v>3.0999999999999999E-3</v>
      </c>
      <c r="E383" s="3" t="str">
        <f>VLOOKUP(NoviaFunds[[#This Row],[ISIN]],'Novia Web Query'!$A:$E,5,FALSE)</f>
        <v>30/11/2020</v>
      </c>
      <c r="F383" t="str">
        <f>VLOOKUP(NoviaFunds[[#This Row],[Sector]],Sectors[],2,FALSE)</f>
        <v>Global Investment Grade</v>
      </c>
    </row>
    <row r="384" spans="1:6" x14ac:dyDescent="0.2">
      <c r="A384" t="str">
        <f>'Novia Web Query'!A384</f>
        <v>GB00BP25RB79</v>
      </c>
      <c r="B384" t="str">
        <f>VLOOKUP(NoviaFunds[[#This Row],[ISIN]],'Novia Web Query'!$A:$E,2,FALSE)</f>
        <v>ASI Short Duration Global Inflation-Linked Bond Platform 1 Acc GBP in GB</v>
      </c>
      <c r="C384" t="str">
        <f>VLOOKUP(NoviaFunds[[#This Row],[ISIN]],'Novia Web Query'!$A:$E,3,FALSE)</f>
        <v>UT Global Bonds</v>
      </c>
      <c r="D384" s="139">
        <f>VLOOKUP(NoviaFunds[[#This Row],[ISIN]],'Novia Web Query'!$A:$E,4,FALSE)/100</f>
        <v>4.5999999999999999E-3</v>
      </c>
      <c r="E384" s="3" t="str">
        <f>VLOOKUP(NoviaFunds[[#This Row],[ISIN]],'Novia Web Query'!$A:$E,5,FALSE)</f>
        <v>30/11/2020</v>
      </c>
      <c r="F384" t="str">
        <f>VLOOKUP(NoviaFunds[[#This Row],[Sector]],Sectors[],2,FALSE)</f>
        <v>Global Investment Grade</v>
      </c>
    </row>
    <row r="385" spans="1:6" x14ac:dyDescent="0.2">
      <c r="A385" t="str">
        <f>'Novia Web Query'!A385</f>
        <v>GB00BP25RC86</v>
      </c>
      <c r="B385" t="str">
        <f>VLOOKUP(NoviaFunds[[#This Row],[ISIN]],'Novia Web Query'!$A:$E,2,FALSE)</f>
        <v>ASI Short Duration Global Inflation-Linked Bond Platform 1 Inc GBP TR in GB</v>
      </c>
      <c r="C385" t="str">
        <f>VLOOKUP(NoviaFunds[[#This Row],[ISIN]],'Novia Web Query'!$A:$E,3,FALSE)</f>
        <v>UT Global Bonds</v>
      </c>
      <c r="D385" s="139">
        <f>VLOOKUP(NoviaFunds[[#This Row],[ISIN]],'Novia Web Query'!$A:$E,4,FALSE)/100</f>
        <v>4.5999999999999999E-3</v>
      </c>
      <c r="E385" s="3" t="str">
        <f>VLOOKUP(NoviaFunds[[#This Row],[ISIN]],'Novia Web Query'!$A:$E,5,FALSE)</f>
        <v>30/11/2020</v>
      </c>
      <c r="F385" t="str">
        <f>VLOOKUP(NoviaFunds[[#This Row],[Sector]],Sectors[],2,FALSE)</f>
        <v>Global Investment Grade</v>
      </c>
    </row>
    <row r="386" spans="1:6" x14ac:dyDescent="0.2">
      <c r="A386" t="str">
        <f>'Novia Web Query'!A386</f>
        <v>GB00BWK27087</v>
      </c>
      <c r="B386" t="str">
        <f>VLOOKUP(NoviaFunds[[#This Row],[ISIN]],'Novia Web Query'!$A:$E,2,FALSE)</f>
        <v>ASI Sterling Bond I Acc in GB</v>
      </c>
      <c r="C386" t="str">
        <f>VLOOKUP(NoviaFunds[[#This Row],[ISIN]],'Novia Web Query'!$A:$E,3,FALSE)</f>
        <v>UT Sterling Strategic Bond</v>
      </c>
      <c r="D386" s="139">
        <f>VLOOKUP(NoviaFunds[[#This Row],[ISIN]],'Novia Web Query'!$A:$E,4,FALSE)/100</f>
        <v>6.0999999999999995E-3</v>
      </c>
      <c r="E386" s="3" t="str">
        <f>VLOOKUP(NoviaFunds[[#This Row],[ISIN]],'Novia Web Query'!$A:$E,5,FALSE)</f>
        <v>31/07/2021</v>
      </c>
      <c r="F386" t="str">
        <f>VLOOKUP(NoviaFunds[[#This Row],[Sector]],Sectors[],2,FALSE)</f>
        <v>Other Bonds</v>
      </c>
    </row>
    <row r="387" spans="1:6" x14ac:dyDescent="0.2">
      <c r="A387" t="str">
        <f>'Novia Web Query'!A387</f>
        <v>GB00BWK27194</v>
      </c>
      <c r="B387" t="str">
        <f>VLOOKUP(NoviaFunds[[#This Row],[ISIN]],'Novia Web Query'!$A:$E,2,FALSE)</f>
        <v>ASI Sterling Bond I Inc TR in GB</v>
      </c>
      <c r="C387" t="str">
        <f>VLOOKUP(NoviaFunds[[#This Row],[ISIN]],'Novia Web Query'!$A:$E,3,FALSE)</f>
        <v>UT Sterling Strategic Bond</v>
      </c>
      <c r="D387" s="139">
        <f>VLOOKUP(NoviaFunds[[#This Row],[ISIN]],'Novia Web Query'!$A:$E,4,FALSE)/100</f>
        <v>6.0999999999999995E-3</v>
      </c>
      <c r="E387" s="3" t="str">
        <f>VLOOKUP(NoviaFunds[[#This Row],[ISIN]],'Novia Web Query'!$A:$E,5,FALSE)</f>
        <v>31/07/2021</v>
      </c>
      <c r="F387" t="str">
        <f>VLOOKUP(NoviaFunds[[#This Row],[Sector]],Sectors[],2,FALSE)</f>
        <v>Other Bonds</v>
      </c>
    </row>
    <row r="388" spans="1:6" x14ac:dyDescent="0.2">
      <c r="A388" t="str">
        <f>'Novia Web Query'!A388</f>
        <v>GB00BWK27319</v>
      </c>
      <c r="B388" t="str">
        <f>VLOOKUP(NoviaFunds[[#This Row],[ISIN]],'Novia Web Query'!$A:$E,2,FALSE)</f>
        <v>ASI Sterling Inflation-Linked Bond A Acc in GB</v>
      </c>
      <c r="C388" t="str">
        <f>VLOOKUP(NoviaFunds[[#This Row],[ISIN]],'Novia Web Query'!$A:$E,3,FALSE)</f>
        <v>UT UK Gilts</v>
      </c>
      <c r="D388" s="139">
        <f>VLOOKUP(NoviaFunds[[#This Row],[ISIN]],'Novia Web Query'!$A:$E,4,FALSE)/100</f>
        <v>7.9000000000000008E-3</v>
      </c>
      <c r="E388" s="3" t="str">
        <f>VLOOKUP(NoviaFunds[[#This Row],[ISIN]],'Novia Web Query'!$A:$E,5,FALSE)</f>
        <v>31/10/2021</v>
      </c>
      <c r="F388" t="str">
        <f>VLOOKUP(NoviaFunds[[#This Row],[Sector]],Sectors[],2,FALSE)</f>
        <v>Gilts</v>
      </c>
    </row>
    <row r="389" spans="1:6" x14ac:dyDescent="0.2">
      <c r="A389" t="str">
        <f>'Novia Web Query'!A389</f>
        <v>GB00BWK27533</v>
      </c>
      <c r="B389" t="str">
        <f>VLOOKUP(NoviaFunds[[#This Row],[ISIN]],'Novia Web Query'!$A:$E,2,FALSE)</f>
        <v>ASI Sterling Inflation-Linked Bond I Acc in GB</v>
      </c>
      <c r="C389" t="str">
        <f>VLOOKUP(NoviaFunds[[#This Row],[ISIN]],'Novia Web Query'!$A:$E,3,FALSE)</f>
        <v>UT UK Gilts</v>
      </c>
      <c r="D389" s="139">
        <f>VLOOKUP(NoviaFunds[[#This Row],[ISIN]],'Novia Web Query'!$A:$E,4,FALSE)/100</f>
        <v>2.8999999999999998E-3</v>
      </c>
      <c r="E389" s="3" t="str">
        <f>VLOOKUP(NoviaFunds[[#This Row],[ISIN]],'Novia Web Query'!$A:$E,5,FALSE)</f>
        <v>31/10/2021</v>
      </c>
      <c r="F389" t="str">
        <f>VLOOKUP(NoviaFunds[[#This Row],[Sector]],Sectors[],2,FALSE)</f>
        <v>Gilts</v>
      </c>
    </row>
    <row r="390" spans="1:6" x14ac:dyDescent="0.2">
      <c r="A390" t="str">
        <f>'Novia Web Query'!A390</f>
        <v>GB00BWK27640</v>
      </c>
      <c r="B390" t="str">
        <f>VLOOKUP(NoviaFunds[[#This Row],[ISIN]],'Novia Web Query'!$A:$E,2,FALSE)</f>
        <v>ASI Sterling Inflation-Linked Bond I Inc TR in GB</v>
      </c>
      <c r="C390" t="str">
        <f>VLOOKUP(NoviaFunds[[#This Row],[ISIN]],'Novia Web Query'!$A:$E,3,FALSE)</f>
        <v>UT UK Gilts</v>
      </c>
      <c r="D390" s="139">
        <f>VLOOKUP(NoviaFunds[[#This Row],[ISIN]],'Novia Web Query'!$A:$E,4,FALSE)/100</f>
        <v>2.8999999999999998E-3</v>
      </c>
      <c r="E390" s="3" t="str">
        <f>VLOOKUP(NoviaFunds[[#This Row],[ISIN]],'Novia Web Query'!$A:$E,5,FALSE)</f>
        <v>31/10/2021</v>
      </c>
      <c r="F390" t="str">
        <f>VLOOKUP(NoviaFunds[[#This Row],[Sector]],Sectors[],2,FALSE)</f>
        <v>Gilts</v>
      </c>
    </row>
    <row r="391" spans="1:6" x14ac:dyDescent="0.2">
      <c r="A391" t="str">
        <f>'Novia Web Query'!A391</f>
        <v>GB00BZ4BR353</v>
      </c>
      <c r="B391" t="str">
        <f>VLOOKUP(NoviaFunds[[#This Row],[ISIN]],'Novia Web Query'!$A:$E,2,FALSE)</f>
        <v>ASI Sterling Long Dated Government Bond I Acc in GB</v>
      </c>
      <c r="C391" t="str">
        <f>VLOOKUP(NoviaFunds[[#This Row],[ISIN]],'Novia Web Query'!$A:$E,3,FALSE)</f>
        <v>UT UK Gilts</v>
      </c>
      <c r="D391" s="139">
        <f>VLOOKUP(NoviaFunds[[#This Row],[ISIN]],'Novia Web Query'!$A:$E,4,FALSE)/100</f>
        <v>2.8999999999999998E-3</v>
      </c>
      <c r="E391" s="3" t="str">
        <f>VLOOKUP(NoviaFunds[[#This Row],[ISIN]],'Novia Web Query'!$A:$E,5,FALSE)</f>
        <v>31/10/2021</v>
      </c>
      <c r="F391" t="str">
        <f>VLOOKUP(NoviaFunds[[#This Row],[Sector]],Sectors[],2,FALSE)</f>
        <v>Gilts</v>
      </c>
    </row>
    <row r="392" spans="1:6" x14ac:dyDescent="0.2">
      <c r="A392" t="str">
        <f>'Novia Web Query'!A392</f>
        <v>GB00B1BW3H93</v>
      </c>
      <c r="B392" t="str">
        <f>VLOOKUP(NoviaFunds[[#This Row],[ISIN]],'Novia Web Query'!$A:$E,2,FALSE)</f>
        <v>ASI Sterling Money Market A Acc TR in GB</v>
      </c>
      <c r="C392" t="str">
        <f>VLOOKUP(NoviaFunds[[#This Row],[ISIN]],'Novia Web Query'!$A:$E,3,FALSE)</f>
        <v>UT Standard Money Market</v>
      </c>
      <c r="D392" s="139">
        <f>VLOOKUP(NoviaFunds[[#This Row],[ISIN]],'Novia Web Query'!$A:$E,4,FALSE)/100</f>
        <v>2.5000000000000001E-3</v>
      </c>
      <c r="E392" s="3" t="str">
        <f>VLOOKUP(NoviaFunds[[#This Row],[ISIN]],'Novia Web Query'!$A:$E,5,FALSE)</f>
        <v>31/07/2021</v>
      </c>
      <c r="F392" t="e">
        <f>VLOOKUP(NoviaFunds[[#This Row],[Sector]],Sectors[],2,FALSE)</f>
        <v>#N/A</v>
      </c>
    </row>
    <row r="393" spans="1:6" x14ac:dyDescent="0.2">
      <c r="A393" t="str">
        <f>'Novia Web Query'!A393</f>
        <v>GB00B1BW3G86</v>
      </c>
      <c r="B393" t="str">
        <f>VLOOKUP(NoviaFunds[[#This Row],[ISIN]],'Novia Web Query'!$A:$E,2,FALSE)</f>
        <v>ASI Sterling Money Market A Inc TR in GB</v>
      </c>
      <c r="C393" t="str">
        <f>VLOOKUP(NoviaFunds[[#This Row],[ISIN]],'Novia Web Query'!$A:$E,3,FALSE)</f>
        <v>UT Standard Money Market</v>
      </c>
      <c r="D393" s="139">
        <f>VLOOKUP(NoviaFunds[[#This Row],[ISIN]],'Novia Web Query'!$A:$E,4,FALSE)/100</f>
        <v>2.5000000000000001E-3</v>
      </c>
      <c r="E393" s="3" t="str">
        <f>VLOOKUP(NoviaFunds[[#This Row],[ISIN]],'Novia Web Query'!$A:$E,5,FALSE)</f>
        <v>31/07/2021</v>
      </c>
      <c r="F393" t="e">
        <f>VLOOKUP(NoviaFunds[[#This Row],[Sector]],Sectors[],2,FALSE)</f>
        <v>#N/A</v>
      </c>
    </row>
    <row r="394" spans="1:6" x14ac:dyDescent="0.2">
      <c r="A394" t="str">
        <f>'Novia Web Query'!A394</f>
        <v>GB00B1C42332</v>
      </c>
      <c r="B394" t="str">
        <f>VLOOKUP(NoviaFunds[[#This Row],[ISIN]],'Novia Web Query'!$A:$E,2,FALSE)</f>
        <v>ASI Sterling Money Market I Acc TR in GB</v>
      </c>
      <c r="C394" t="str">
        <f>VLOOKUP(NoviaFunds[[#This Row],[ISIN]],'Novia Web Query'!$A:$E,3,FALSE)</f>
        <v>UT Standard Money Market</v>
      </c>
      <c r="D394" s="139">
        <f>VLOOKUP(NoviaFunds[[#This Row],[ISIN]],'Novia Web Query'!$A:$E,4,FALSE)/100</f>
        <v>1.5E-3</v>
      </c>
      <c r="E394" s="3" t="str">
        <f>VLOOKUP(NoviaFunds[[#This Row],[ISIN]],'Novia Web Query'!$A:$E,5,FALSE)</f>
        <v>31/07/2021</v>
      </c>
      <c r="F394" t="e">
        <f>VLOOKUP(NoviaFunds[[#This Row],[Sector]],Sectors[],2,FALSE)</f>
        <v>#N/A</v>
      </c>
    </row>
    <row r="395" spans="1:6" x14ac:dyDescent="0.2">
      <c r="A395" t="str">
        <f>'Novia Web Query'!A395</f>
        <v>GB00B1C42449</v>
      </c>
      <c r="B395" t="str">
        <f>VLOOKUP(NoviaFunds[[#This Row],[ISIN]],'Novia Web Query'!$A:$E,2,FALSE)</f>
        <v>ASI Sterling Money Market I Inc TR in GB**</v>
      </c>
      <c r="C395" t="str">
        <f>VLOOKUP(NoviaFunds[[#This Row],[ISIN]],'Novia Web Query'!$A:$E,3,FALSE)</f>
        <v>UT Standard Money Market</v>
      </c>
      <c r="D395" s="139">
        <f>VLOOKUP(NoviaFunds[[#This Row],[ISIN]],'Novia Web Query'!$A:$E,4,FALSE)/100</f>
        <v>1.5E-3</v>
      </c>
      <c r="E395" s="3" t="str">
        <f>VLOOKUP(NoviaFunds[[#This Row],[ISIN]],'Novia Web Query'!$A:$E,5,FALSE)</f>
        <v>31/07/2021</v>
      </c>
      <c r="F395" t="e">
        <f>VLOOKUP(NoviaFunds[[#This Row],[Sector]],Sectors[],2,FALSE)</f>
        <v>#N/A</v>
      </c>
    </row>
    <row r="396" spans="1:6" x14ac:dyDescent="0.2">
      <c r="A396" t="str">
        <f>'Novia Web Query'!A396</f>
        <v>GB00BWK25H14</v>
      </c>
      <c r="B396" t="str">
        <f>VLOOKUP(NoviaFunds[[#This Row],[ISIN]],'Novia Web Query'!$A:$E,2,FALSE)</f>
        <v>ASI Sterling Short Term Government Bond A Acc in GB</v>
      </c>
      <c r="C396" t="str">
        <f>VLOOKUP(NoviaFunds[[#This Row],[ISIN]],'Novia Web Query'!$A:$E,3,FALSE)</f>
        <v>UT UK Gilts</v>
      </c>
      <c r="D396" s="139">
        <f>VLOOKUP(NoviaFunds[[#This Row],[ISIN]],'Novia Web Query'!$A:$E,4,FALSE)/100</f>
        <v>7.4999999999999997E-3</v>
      </c>
      <c r="E396" s="3" t="str">
        <f>VLOOKUP(NoviaFunds[[#This Row],[ISIN]],'Novia Web Query'!$A:$E,5,FALSE)</f>
        <v>31/10/2021</v>
      </c>
      <c r="F396" t="str">
        <f>VLOOKUP(NoviaFunds[[#This Row],[Sector]],Sectors[],2,FALSE)</f>
        <v>Gilts</v>
      </c>
    </row>
    <row r="397" spans="1:6" x14ac:dyDescent="0.2">
      <c r="A397" t="str">
        <f>'Novia Web Query'!A397</f>
        <v>GB00BWK25J38</v>
      </c>
      <c r="B397" t="str">
        <f>VLOOKUP(NoviaFunds[[#This Row],[ISIN]],'Novia Web Query'!$A:$E,2,FALSE)</f>
        <v>ASI Sterling Short Term Government Bond A Inc TR in GB</v>
      </c>
      <c r="C397" t="str">
        <f>VLOOKUP(NoviaFunds[[#This Row],[ISIN]],'Novia Web Query'!$A:$E,3,FALSE)</f>
        <v>UT UK Gilts</v>
      </c>
      <c r="D397" s="139">
        <f>VLOOKUP(NoviaFunds[[#This Row],[ISIN]],'Novia Web Query'!$A:$E,4,FALSE)/100</f>
        <v>7.4999999999999997E-3</v>
      </c>
      <c r="E397" s="3" t="str">
        <f>VLOOKUP(NoviaFunds[[#This Row],[ISIN]],'Novia Web Query'!$A:$E,5,FALSE)</f>
        <v>31/10/2021</v>
      </c>
      <c r="F397" t="str">
        <f>VLOOKUP(NoviaFunds[[#This Row],[Sector]],Sectors[],2,FALSE)</f>
        <v>Gilts</v>
      </c>
    </row>
    <row r="398" spans="1:6" x14ac:dyDescent="0.2">
      <c r="A398" t="str">
        <f>'Novia Web Query'!A398</f>
        <v>GB00BWK25K43</v>
      </c>
      <c r="B398" t="str">
        <f>VLOOKUP(NoviaFunds[[#This Row],[ISIN]],'Novia Web Query'!$A:$E,2,FALSE)</f>
        <v>ASI Sterling Short Term Government Bond I Acc in GB</v>
      </c>
      <c r="C398" t="str">
        <f>VLOOKUP(NoviaFunds[[#This Row],[ISIN]],'Novia Web Query'!$A:$E,3,FALSE)</f>
        <v>UT UK Gilts</v>
      </c>
      <c r="D398" s="139">
        <f>VLOOKUP(NoviaFunds[[#This Row],[ISIN]],'Novia Web Query'!$A:$E,4,FALSE)/100</f>
        <v>2.5000000000000001E-3</v>
      </c>
      <c r="E398" s="3" t="str">
        <f>VLOOKUP(NoviaFunds[[#This Row],[ISIN]],'Novia Web Query'!$A:$E,5,FALSE)</f>
        <v>31/10/2021</v>
      </c>
      <c r="F398" t="str">
        <f>VLOOKUP(NoviaFunds[[#This Row],[Sector]],Sectors[],2,FALSE)</f>
        <v>Gilts</v>
      </c>
    </row>
    <row r="399" spans="1:6" x14ac:dyDescent="0.2">
      <c r="A399" t="str">
        <f>'Novia Web Query'!A399</f>
        <v>GB00BWK25L59</v>
      </c>
      <c r="B399" t="str">
        <f>VLOOKUP(NoviaFunds[[#This Row],[ISIN]],'Novia Web Query'!$A:$E,2,FALSE)</f>
        <v>ASI Sterling Short Term Government Bond I Inc TR in GB</v>
      </c>
      <c r="C399" t="str">
        <f>VLOOKUP(NoviaFunds[[#This Row],[ISIN]],'Novia Web Query'!$A:$E,3,FALSE)</f>
        <v>UT UK Gilts</v>
      </c>
      <c r="D399" s="139">
        <f>VLOOKUP(NoviaFunds[[#This Row],[ISIN]],'Novia Web Query'!$A:$E,4,FALSE)/100</f>
        <v>2.5000000000000001E-3</v>
      </c>
      <c r="E399" s="3" t="str">
        <f>VLOOKUP(NoviaFunds[[#This Row],[ISIN]],'Novia Web Query'!$A:$E,5,FALSE)</f>
        <v>31/10/2021</v>
      </c>
      <c r="F399" t="str">
        <f>VLOOKUP(NoviaFunds[[#This Row],[Sector]],Sectors[],2,FALSE)</f>
        <v>Gilts</v>
      </c>
    </row>
    <row r="400" spans="1:6" x14ac:dyDescent="0.2">
      <c r="A400" t="str">
        <f>'Novia Web Query'!A400</f>
        <v>GB00BWK27Z36</v>
      </c>
      <c r="B400" t="str">
        <f>VLOOKUP(NoviaFunds[[#This Row],[ISIN]],'Novia Web Query'!$A:$E,2,FALSE)</f>
        <v>ASI Strategic Bond I Acc in GB</v>
      </c>
      <c r="C400" t="str">
        <f>VLOOKUP(NoviaFunds[[#This Row],[ISIN]],'Novia Web Query'!$A:$E,3,FALSE)</f>
        <v>UT Sterling Strategic Bond</v>
      </c>
      <c r="D400" s="139">
        <f>VLOOKUP(NoviaFunds[[#This Row],[ISIN]],'Novia Web Query'!$A:$E,4,FALSE)/100</f>
        <v>6.1999999999999998E-3</v>
      </c>
      <c r="E400" s="3" t="str">
        <f>VLOOKUP(NoviaFunds[[#This Row],[ISIN]],'Novia Web Query'!$A:$E,5,FALSE)</f>
        <v>31/07/2021</v>
      </c>
      <c r="F400" t="str">
        <f>VLOOKUP(NoviaFunds[[#This Row],[Sector]],Sectors[],2,FALSE)</f>
        <v>Other Bonds</v>
      </c>
    </row>
    <row r="401" spans="1:6" x14ac:dyDescent="0.2">
      <c r="A401" t="str">
        <f>'Novia Web Query'!A401</f>
        <v>GB00BWK28168</v>
      </c>
      <c r="B401" t="str">
        <f>VLOOKUP(NoviaFunds[[#This Row],[ISIN]],'Novia Web Query'!$A:$E,2,FALSE)</f>
        <v>ASI Strategic Bond I Gr Acc in GB</v>
      </c>
      <c r="C401" t="str">
        <f>VLOOKUP(NoviaFunds[[#This Row],[ISIN]],'Novia Web Query'!$A:$E,3,FALSE)</f>
        <v>UT Sterling Strategic Bond</v>
      </c>
      <c r="D401" s="139">
        <f>VLOOKUP(NoviaFunds[[#This Row],[ISIN]],'Novia Web Query'!$A:$E,4,FALSE)/100</f>
        <v>6.1999999999999998E-3</v>
      </c>
      <c r="E401" s="3" t="str">
        <f>VLOOKUP(NoviaFunds[[#This Row],[ISIN]],'Novia Web Query'!$A:$E,5,FALSE)</f>
        <v>31/07/2021</v>
      </c>
      <c r="F401" t="str">
        <f>VLOOKUP(NoviaFunds[[#This Row],[Sector]],Sectors[],2,FALSE)</f>
        <v>Other Bonds</v>
      </c>
    </row>
    <row r="402" spans="1:6" x14ac:dyDescent="0.2">
      <c r="A402" t="str">
        <f>'Novia Web Query'!A402</f>
        <v>GB00BWK28275</v>
      </c>
      <c r="B402" t="str">
        <f>VLOOKUP(NoviaFunds[[#This Row],[ISIN]],'Novia Web Query'!$A:$E,2,FALSE)</f>
        <v>ASI Strategic Bond I Gr Inc TR in GB</v>
      </c>
      <c r="C402" t="str">
        <f>VLOOKUP(NoviaFunds[[#This Row],[ISIN]],'Novia Web Query'!$A:$E,3,FALSE)</f>
        <v>UT Sterling Strategic Bond</v>
      </c>
      <c r="D402" s="139">
        <f>VLOOKUP(NoviaFunds[[#This Row],[ISIN]],'Novia Web Query'!$A:$E,4,FALSE)/100</f>
        <v>6.1999999999999998E-3</v>
      </c>
      <c r="E402" s="3" t="str">
        <f>VLOOKUP(NoviaFunds[[#This Row],[ISIN]],'Novia Web Query'!$A:$E,5,FALSE)</f>
        <v>31/07/2021</v>
      </c>
      <c r="F402" t="str">
        <f>VLOOKUP(NoviaFunds[[#This Row],[Sector]],Sectors[],2,FALSE)</f>
        <v>Other Bonds</v>
      </c>
    </row>
    <row r="403" spans="1:6" x14ac:dyDescent="0.2">
      <c r="A403" t="str">
        <f>'Novia Web Query'!A403</f>
        <v>GB00BWK28051</v>
      </c>
      <c r="B403" t="str">
        <f>VLOOKUP(NoviaFunds[[#This Row],[ISIN]],'Novia Web Query'!$A:$E,2,FALSE)</f>
        <v>ASI Strategic Bond I Inc TR in GB</v>
      </c>
      <c r="C403" t="str">
        <f>VLOOKUP(NoviaFunds[[#This Row],[ISIN]],'Novia Web Query'!$A:$E,3,FALSE)</f>
        <v>UT Sterling Strategic Bond</v>
      </c>
      <c r="D403" s="139">
        <f>VLOOKUP(NoviaFunds[[#This Row],[ISIN]],'Novia Web Query'!$A:$E,4,FALSE)/100</f>
        <v>6.1999999999999998E-3</v>
      </c>
      <c r="E403" s="3" t="str">
        <f>VLOOKUP(NoviaFunds[[#This Row],[ISIN]],'Novia Web Query'!$A:$E,5,FALSE)</f>
        <v>31/07/2021</v>
      </c>
      <c r="F403" t="str">
        <f>VLOOKUP(NoviaFunds[[#This Row],[Sector]],Sectors[],2,FALSE)</f>
        <v>Other Bonds</v>
      </c>
    </row>
    <row r="404" spans="1:6" x14ac:dyDescent="0.2">
      <c r="A404" t="str">
        <f>'Novia Web Query'!A404</f>
        <v>GB00B1YXMW71</v>
      </c>
      <c r="B404" t="str">
        <f>VLOOKUP(NoviaFunds[[#This Row],[ISIN]],'Novia Web Query'!$A:$E,2,FALSE)</f>
        <v>ASI Strategic Investment Allocation in GB</v>
      </c>
      <c r="C404" t="str">
        <f>VLOOKUP(NoviaFunds[[#This Row],[ISIN]],'Novia Web Query'!$A:$E,3,FALSE)</f>
        <v>UT Specialist</v>
      </c>
      <c r="D404" s="139">
        <f>VLOOKUP(NoviaFunds[[#This Row],[ISIN]],'Novia Web Query'!$A:$E,4,FALSE)/100</f>
        <v>9.0000000000000011E-3</v>
      </c>
      <c r="E404" s="3" t="str">
        <f>VLOOKUP(NoviaFunds[[#This Row],[ISIN]],'Novia Web Query'!$A:$E,5,FALSE)</f>
        <v>31/01/2021</v>
      </c>
      <c r="F404" t="str">
        <f>VLOOKUP(NoviaFunds[[#This Row],[Sector]],Sectors[],2,FALSE)</f>
        <v>Specialist</v>
      </c>
    </row>
    <row r="405" spans="1:6" x14ac:dyDescent="0.2">
      <c r="A405" t="str">
        <f>'Novia Web Query'!A405</f>
        <v>GB00B0LG6H52</v>
      </c>
      <c r="B405" t="str">
        <f>VLOOKUP(NoviaFunds[[#This Row],[ISIN]],'Novia Web Query'!$A:$E,2,FALSE)</f>
        <v>ASI UK Equity A Acc in GB</v>
      </c>
      <c r="C405" t="str">
        <f>VLOOKUP(NoviaFunds[[#This Row],[ISIN]],'Novia Web Query'!$A:$E,3,FALSE)</f>
        <v>UT UK All Companies</v>
      </c>
      <c r="D405" s="139">
        <f>VLOOKUP(NoviaFunds[[#This Row],[ISIN]],'Novia Web Query'!$A:$E,4,FALSE)/100</f>
        <v>1.3000000000000001E-2</v>
      </c>
      <c r="E405" s="3" t="str">
        <f>VLOOKUP(NoviaFunds[[#This Row],[ISIN]],'Novia Web Query'!$A:$E,5,FALSE)</f>
        <v>31/07/2021</v>
      </c>
      <c r="F405" t="str">
        <f>VLOOKUP(NoviaFunds[[#This Row],[Sector]],Sectors[],2,FALSE)</f>
        <v>UK Equities</v>
      </c>
    </row>
    <row r="406" spans="1:6" x14ac:dyDescent="0.2">
      <c r="A406" t="str">
        <f>'Novia Web Query'!A406</f>
        <v>GB00B0LG6G46</v>
      </c>
      <c r="B406" t="str">
        <f>VLOOKUP(NoviaFunds[[#This Row],[ISIN]],'Novia Web Query'!$A:$E,2,FALSE)</f>
        <v>ASI UK Equity A Inc TR in GB</v>
      </c>
      <c r="C406" t="str">
        <f>VLOOKUP(NoviaFunds[[#This Row],[ISIN]],'Novia Web Query'!$A:$E,3,FALSE)</f>
        <v>UT UK All Companies</v>
      </c>
      <c r="D406" s="139">
        <f>VLOOKUP(NoviaFunds[[#This Row],[ISIN]],'Novia Web Query'!$A:$E,4,FALSE)/100</f>
        <v>1.3000000000000001E-2</v>
      </c>
      <c r="E406" s="3" t="str">
        <f>VLOOKUP(NoviaFunds[[#This Row],[ISIN]],'Novia Web Query'!$A:$E,5,FALSE)</f>
        <v>31/07/2021</v>
      </c>
      <c r="F406" t="str">
        <f>VLOOKUP(NoviaFunds[[#This Row],[Sector]],Sectors[],2,FALSE)</f>
        <v>UK Equities</v>
      </c>
    </row>
    <row r="407" spans="1:6" x14ac:dyDescent="0.2">
      <c r="A407" t="str">
        <f>'Novia Web Query'!A407</f>
        <v>GB00B0LG6K81</v>
      </c>
      <c r="B407" t="str">
        <f>VLOOKUP(NoviaFunds[[#This Row],[ISIN]],'Novia Web Query'!$A:$E,2,FALSE)</f>
        <v>ASI UK Equity I Acc TR in GB**</v>
      </c>
      <c r="C407" t="str">
        <f>VLOOKUP(NoviaFunds[[#This Row],[ISIN]],'Novia Web Query'!$A:$E,3,FALSE)</f>
        <v>UT UK All Companies</v>
      </c>
      <c r="D407" s="139">
        <f>VLOOKUP(NoviaFunds[[#This Row],[ISIN]],'Novia Web Query'!$A:$E,4,FALSE)/100</f>
        <v>8.5000000000000006E-3</v>
      </c>
      <c r="E407" s="3" t="str">
        <f>VLOOKUP(NoviaFunds[[#This Row],[ISIN]],'Novia Web Query'!$A:$E,5,FALSE)</f>
        <v>31/07/2021</v>
      </c>
      <c r="F407" t="str">
        <f>VLOOKUP(NoviaFunds[[#This Row],[Sector]],Sectors[],2,FALSE)</f>
        <v>UK Equities</v>
      </c>
    </row>
    <row r="408" spans="1:6" x14ac:dyDescent="0.2">
      <c r="A408" t="str">
        <f>'Novia Web Query'!A408</f>
        <v>GB00B0LG6J76</v>
      </c>
      <c r="B408" t="str">
        <f>VLOOKUP(NoviaFunds[[#This Row],[ISIN]],'Novia Web Query'!$A:$E,2,FALSE)</f>
        <v>ASI UK Equity I Inc TR in GB**</v>
      </c>
      <c r="C408" t="str">
        <f>VLOOKUP(NoviaFunds[[#This Row],[ISIN]],'Novia Web Query'!$A:$E,3,FALSE)</f>
        <v>UT UK All Companies</v>
      </c>
      <c r="D408" s="139">
        <f>VLOOKUP(NoviaFunds[[#This Row],[ISIN]],'Novia Web Query'!$A:$E,4,FALSE)/100</f>
        <v>8.5000000000000006E-3</v>
      </c>
      <c r="E408" s="3" t="str">
        <f>VLOOKUP(NoviaFunds[[#This Row],[ISIN]],'Novia Web Query'!$A:$E,5,FALSE)</f>
        <v>31/07/2021</v>
      </c>
      <c r="F408" t="str">
        <f>VLOOKUP(NoviaFunds[[#This Row],[Sector]],Sectors[],2,FALSE)</f>
        <v>UK Equities</v>
      </c>
    </row>
    <row r="409" spans="1:6" x14ac:dyDescent="0.2">
      <c r="A409" t="str">
        <f>'Novia Web Query'!A409</f>
        <v>GB00BDZRCQ62</v>
      </c>
      <c r="B409" t="str">
        <f>VLOOKUP(NoviaFunds[[#This Row],[ISIN]],'Novia Web Query'!$A:$E,2,FALSE)</f>
        <v>ASI UK Equity Index Managed B Inc TR in GB**</v>
      </c>
      <c r="C409" t="str">
        <f>VLOOKUP(NoviaFunds[[#This Row],[ISIN]],'Novia Web Query'!$A:$E,3,FALSE)</f>
        <v>UT UK All Companies</v>
      </c>
      <c r="D409" s="139">
        <f>VLOOKUP(NoviaFunds[[#This Row],[ISIN]],'Novia Web Query'!$A:$E,4,FALSE)/100</f>
        <v>3.3E-3</v>
      </c>
      <c r="E409" s="3" t="str">
        <f>VLOOKUP(NoviaFunds[[#This Row],[ISIN]],'Novia Web Query'!$A:$E,5,FALSE)</f>
        <v>30/09/2021</v>
      </c>
      <c r="F409" t="str">
        <f>VLOOKUP(NoviaFunds[[#This Row],[Sector]],Sectors[],2,FALSE)</f>
        <v>UK Equities</v>
      </c>
    </row>
    <row r="410" spans="1:6" x14ac:dyDescent="0.2">
      <c r="A410" t="str">
        <f>'Novia Web Query'!A410</f>
        <v>GB0004333059</v>
      </c>
      <c r="B410" t="str">
        <f>VLOOKUP(NoviaFunds[[#This Row],[ISIN]],'Novia Web Query'!$A:$E,2,FALSE)</f>
        <v>ASI UK Ethical Equity Inst Acc GBP in GB**</v>
      </c>
      <c r="C410" t="str">
        <f>VLOOKUP(NoviaFunds[[#This Row],[ISIN]],'Novia Web Query'!$A:$E,3,FALSE)</f>
        <v>UT UK All Companies</v>
      </c>
      <c r="D410" s="139">
        <f>VLOOKUP(NoviaFunds[[#This Row],[ISIN]],'Novia Web Query'!$A:$E,4,FALSE)/100</f>
        <v>8.5000000000000006E-3</v>
      </c>
      <c r="E410" s="3" t="str">
        <f>VLOOKUP(NoviaFunds[[#This Row],[ISIN]],'Novia Web Query'!$A:$E,5,FALSE)</f>
        <v>28/02/2021</v>
      </c>
      <c r="F410" t="str">
        <f>VLOOKUP(NoviaFunds[[#This Row],[Sector]],Sectors[],2,FALSE)</f>
        <v>UK Equities</v>
      </c>
    </row>
    <row r="411" spans="1:6" x14ac:dyDescent="0.2">
      <c r="A411" t="str">
        <f>'Novia Web Query'!A411</f>
        <v>GB0004331012</v>
      </c>
      <c r="B411" t="str">
        <f>VLOOKUP(NoviaFunds[[#This Row],[ISIN]],'Novia Web Query'!$A:$E,2,FALSE)</f>
        <v>ASI UK Ethical Equity Ret Acc GBP in GB</v>
      </c>
      <c r="C411" t="str">
        <f>VLOOKUP(NoviaFunds[[#This Row],[ISIN]],'Novia Web Query'!$A:$E,3,FALSE)</f>
        <v>UT UK All Companies</v>
      </c>
      <c r="D411" s="139">
        <f>VLOOKUP(NoviaFunds[[#This Row],[ISIN]],'Novia Web Query'!$A:$E,4,FALSE)/100</f>
        <v>1.32E-2</v>
      </c>
      <c r="E411" s="3" t="str">
        <f>VLOOKUP(NoviaFunds[[#This Row],[ISIN]],'Novia Web Query'!$A:$E,5,FALSE)</f>
        <v>28/02/2021</v>
      </c>
      <c r="F411" t="str">
        <f>VLOOKUP(NoviaFunds[[#This Row],[Sector]],Sectors[],2,FALSE)</f>
        <v>UK Equities</v>
      </c>
    </row>
    <row r="412" spans="1:6" x14ac:dyDescent="0.2">
      <c r="A412" t="str">
        <f>'Novia Web Query'!A412</f>
        <v>GB00B6Y80X40</v>
      </c>
      <c r="B412" t="str">
        <f>VLOOKUP(NoviaFunds[[#This Row],[ISIN]],'Novia Web Query'!$A:$E,2,FALSE)</f>
        <v>ASI UK Ethical Equity Ret Platform 1 Acc GBP in GB</v>
      </c>
      <c r="C412" t="str">
        <f>VLOOKUP(NoviaFunds[[#This Row],[ISIN]],'Novia Web Query'!$A:$E,3,FALSE)</f>
        <v>UT UK All Companies</v>
      </c>
      <c r="D412" s="139">
        <f>VLOOKUP(NoviaFunds[[#This Row],[ISIN]],'Novia Web Query'!$A:$E,4,FALSE)/100</f>
        <v>9.0000000000000011E-3</v>
      </c>
      <c r="E412" s="3" t="str">
        <f>VLOOKUP(NoviaFunds[[#This Row],[ISIN]],'Novia Web Query'!$A:$E,5,FALSE)</f>
        <v>28/02/2021</v>
      </c>
      <c r="F412" t="str">
        <f>VLOOKUP(NoviaFunds[[#This Row],[Sector]],Sectors[],2,FALSE)</f>
        <v>UK Equities</v>
      </c>
    </row>
    <row r="413" spans="1:6" x14ac:dyDescent="0.2">
      <c r="A413" t="str">
        <f>'Novia Web Query'!A413</f>
        <v>GB00BVFNS394</v>
      </c>
      <c r="B413" t="str">
        <f>VLOOKUP(NoviaFunds[[#This Row],[ISIN]],'Novia Web Query'!$A:$E,2,FALSE)</f>
        <v>ASI UK Ethical Equity Ret Platform Inc GBP TR in GB**</v>
      </c>
      <c r="C413" t="str">
        <f>VLOOKUP(NoviaFunds[[#This Row],[ISIN]],'Novia Web Query'!$A:$E,3,FALSE)</f>
        <v>UT UK All Companies</v>
      </c>
      <c r="D413" s="139">
        <f>VLOOKUP(NoviaFunds[[#This Row],[ISIN]],'Novia Web Query'!$A:$E,4,FALSE)/100</f>
        <v>9.0000000000000011E-3</v>
      </c>
      <c r="E413" s="3" t="str">
        <f>VLOOKUP(NoviaFunds[[#This Row],[ISIN]],'Novia Web Query'!$A:$E,5,FALSE)</f>
        <v>28/02/2021</v>
      </c>
      <c r="F413" t="str">
        <f>VLOOKUP(NoviaFunds[[#This Row],[Sector]],Sectors[],2,FALSE)</f>
        <v>UK Equities</v>
      </c>
    </row>
    <row r="414" spans="1:6" x14ac:dyDescent="0.2">
      <c r="A414" t="str">
        <f>'Novia Web Query'!A414</f>
        <v>GB0004328745</v>
      </c>
      <c r="B414" t="str">
        <f>VLOOKUP(NoviaFunds[[#This Row],[ISIN]],'Novia Web Query'!$A:$E,2,FALSE)</f>
        <v>ASI UK Government Bond Ret Acc GBP TR in GB**</v>
      </c>
      <c r="C414" t="str">
        <f>VLOOKUP(NoviaFunds[[#This Row],[ISIN]],'Novia Web Query'!$A:$E,3,FALSE)</f>
        <v>UT UK Gilts</v>
      </c>
      <c r="D414" s="139">
        <f>VLOOKUP(NoviaFunds[[#This Row],[ISIN]],'Novia Web Query'!$A:$E,4,FALSE)/100</f>
        <v>7.1999999999999998E-3</v>
      </c>
      <c r="E414" s="3" t="str">
        <f>VLOOKUP(NoviaFunds[[#This Row],[ISIN]],'Novia Web Query'!$A:$E,5,FALSE)</f>
        <v>01/06/2021</v>
      </c>
      <c r="F414" t="str">
        <f>VLOOKUP(NoviaFunds[[#This Row],[Sector]],Sectors[],2,FALSE)</f>
        <v>Gilts</v>
      </c>
    </row>
    <row r="415" spans="1:6" x14ac:dyDescent="0.2">
      <c r="A415" t="str">
        <f>'Novia Web Query'!A415</f>
        <v>GB0004331129</v>
      </c>
      <c r="B415" t="str">
        <f>VLOOKUP(NoviaFunds[[#This Row],[ISIN]],'Novia Web Query'!$A:$E,2,FALSE)</f>
        <v>ASI UK Government Bond Ret Inc GBP TR in GB</v>
      </c>
      <c r="C415" t="str">
        <f>VLOOKUP(NoviaFunds[[#This Row],[ISIN]],'Novia Web Query'!$A:$E,3,FALSE)</f>
        <v>UT UK Gilts</v>
      </c>
      <c r="D415" s="139">
        <f>VLOOKUP(NoviaFunds[[#This Row],[ISIN]],'Novia Web Query'!$A:$E,4,FALSE)/100</f>
        <v>7.1999999999999998E-3</v>
      </c>
      <c r="E415" s="3" t="str">
        <f>VLOOKUP(NoviaFunds[[#This Row],[ISIN]],'Novia Web Query'!$A:$E,5,FALSE)</f>
        <v>01/06/2021</v>
      </c>
      <c r="F415" t="str">
        <f>VLOOKUP(NoviaFunds[[#This Row],[Sector]],Sectors[],2,FALSE)</f>
        <v>Gilts</v>
      </c>
    </row>
    <row r="416" spans="1:6" x14ac:dyDescent="0.2">
      <c r="A416" t="str">
        <f>'Novia Web Query'!A416</f>
        <v>GB00B6WZXS38</v>
      </c>
      <c r="B416" t="str">
        <f>VLOOKUP(NoviaFunds[[#This Row],[ISIN]],'Novia Web Query'!$A:$E,2,FALSE)</f>
        <v>ASI UK Government Bond Ret Platform 1 Acc GBP in GB</v>
      </c>
      <c r="C416" t="str">
        <f>VLOOKUP(NoviaFunds[[#This Row],[ISIN]],'Novia Web Query'!$A:$E,3,FALSE)</f>
        <v>UT UK Gilts</v>
      </c>
      <c r="D416" s="139">
        <f>VLOOKUP(NoviaFunds[[#This Row],[ISIN]],'Novia Web Query'!$A:$E,4,FALSE)/100</f>
        <v>3.4999999999999996E-3</v>
      </c>
      <c r="E416" s="3" t="str">
        <f>VLOOKUP(NoviaFunds[[#This Row],[ISIN]],'Novia Web Query'!$A:$E,5,FALSE)</f>
        <v>01/06/2021</v>
      </c>
      <c r="F416" t="str">
        <f>VLOOKUP(NoviaFunds[[#This Row],[Sector]],Sectors[],2,FALSE)</f>
        <v>Gilts</v>
      </c>
    </row>
    <row r="417" spans="1:6" x14ac:dyDescent="0.2">
      <c r="A417" t="str">
        <f>'Novia Web Query'!A417</f>
        <v>GB00B5MP5686</v>
      </c>
      <c r="B417" t="str">
        <f>VLOOKUP(NoviaFunds[[#This Row],[ISIN]],'Novia Web Query'!$A:$E,2,FALSE)</f>
        <v>ASI UK Government Bond Ret Platform 1 Inc GBP TR in GB</v>
      </c>
      <c r="C417" t="str">
        <f>VLOOKUP(NoviaFunds[[#This Row],[ISIN]],'Novia Web Query'!$A:$E,3,FALSE)</f>
        <v>UT UK Gilts</v>
      </c>
      <c r="D417" s="139">
        <f>VLOOKUP(NoviaFunds[[#This Row],[ISIN]],'Novia Web Query'!$A:$E,4,FALSE)/100</f>
        <v>3.4999999999999996E-3</v>
      </c>
      <c r="E417" s="3" t="str">
        <f>VLOOKUP(NoviaFunds[[#This Row],[ISIN]],'Novia Web Query'!$A:$E,5,FALSE)</f>
        <v>01/06/2021</v>
      </c>
      <c r="F417" t="str">
        <f>VLOOKUP(NoviaFunds[[#This Row],[Sector]],Sectors[],2,FALSE)</f>
        <v>Gilts</v>
      </c>
    </row>
    <row r="418" spans="1:6" x14ac:dyDescent="0.2">
      <c r="A418" t="str">
        <f>'Novia Web Query'!A418</f>
        <v>GB0004330717</v>
      </c>
      <c r="B418" t="str">
        <f>VLOOKUP(NoviaFunds[[#This Row],[ISIN]],'Novia Web Query'!$A:$E,2,FALSE)</f>
        <v>ASI UK Growth Equity Ret Acc GBP in GB</v>
      </c>
      <c r="C418" t="str">
        <f>VLOOKUP(NoviaFunds[[#This Row],[ISIN]],'Novia Web Query'!$A:$E,3,FALSE)</f>
        <v>UT UK All Companies</v>
      </c>
      <c r="D418" s="139">
        <f>VLOOKUP(NoviaFunds[[#This Row],[ISIN]],'Novia Web Query'!$A:$E,4,FALSE)/100</f>
        <v>1.3300000000000001E-2</v>
      </c>
      <c r="E418" s="3" t="str">
        <f>VLOOKUP(NoviaFunds[[#This Row],[ISIN]],'Novia Web Query'!$A:$E,5,FALSE)</f>
        <v>28/02/2021</v>
      </c>
      <c r="F418" t="str">
        <f>VLOOKUP(NoviaFunds[[#This Row],[Sector]],Sectors[],2,FALSE)</f>
        <v>UK Equities</v>
      </c>
    </row>
    <row r="419" spans="1:6" x14ac:dyDescent="0.2">
      <c r="A419" t="str">
        <f>'Novia Web Query'!A419</f>
        <v>GB00B7J4W502</v>
      </c>
      <c r="B419" t="str">
        <f>VLOOKUP(NoviaFunds[[#This Row],[ISIN]],'Novia Web Query'!$A:$E,2,FALSE)</f>
        <v>ASI UK Growth Equity Ret Platform 1 Acc GBP in GB</v>
      </c>
      <c r="C419" t="str">
        <f>VLOOKUP(NoviaFunds[[#This Row],[ISIN]],'Novia Web Query'!$A:$E,3,FALSE)</f>
        <v>UT UK All Companies</v>
      </c>
      <c r="D419" s="139">
        <f>VLOOKUP(NoviaFunds[[#This Row],[ISIN]],'Novia Web Query'!$A:$E,4,FALSE)/100</f>
        <v>9.1000000000000004E-3</v>
      </c>
      <c r="E419" s="3" t="str">
        <f>VLOOKUP(NoviaFunds[[#This Row],[ISIN]],'Novia Web Query'!$A:$E,5,FALSE)</f>
        <v>28/02/2021</v>
      </c>
      <c r="F419" t="str">
        <f>VLOOKUP(NoviaFunds[[#This Row],[Sector]],Sectors[],2,FALSE)</f>
        <v>UK Equities</v>
      </c>
    </row>
    <row r="420" spans="1:6" x14ac:dyDescent="0.2">
      <c r="A420" t="str">
        <f>'Novia Web Query'!A420</f>
        <v>GB0004330485</v>
      </c>
      <c r="B420" t="str">
        <f>VLOOKUP(NoviaFunds[[#This Row],[ISIN]],'Novia Web Query'!$A:$E,2,FALSE)</f>
        <v>ASI UK High Alpha Equity Ret Acc GBP in GB</v>
      </c>
      <c r="C420" t="str">
        <f>VLOOKUP(NoviaFunds[[#This Row],[ISIN]],'Novia Web Query'!$A:$E,3,FALSE)</f>
        <v>UT UK All Companies</v>
      </c>
      <c r="D420" s="139">
        <f>VLOOKUP(NoviaFunds[[#This Row],[ISIN]],'Novia Web Query'!$A:$E,4,FALSE)/100</f>
        <v>1.3300000000000001E-2</v>
      </c>
      <c r="E420" s="3" t="str">
        <f>VLOOKUP(NoviaFunds[[#This Row],[ISIN]],'Novia Web Query'!$A:$E,5,FALSE)</f>
        <v>28/02/2021</v>
      </c>
      <c r="F420" t="str">
        <f>VLOOKUP(NoviaFunds[[#This Row],[Sector]],Sectors[],2,FALSE)</f>
        <v>UK Equities</v>
      </c>
    </row>
    <row r="421" spans="1:6" x14ac:dyDescent="0.2">
      <c r="A421" t="str">
        <f>'Novia Web Query'!A421</f>
        <v>GB0004330378</v>
      </c>
      <c r="B421" t="str">
        <f>VLOOKUP(NoviaFunds[[#This Row],[ISIN]],'Novia Web Query'!$A:$E,2,FALSE)</f>
        <v>ASI UK High Alpha Equity Ret Inc GBP TR in GB</v>
      </c>
      <c r="C421" t="str">
        <f>VLOOKUP(NoviaFunds[[#This Row],[ISIN]],'Novia Web Query'!$A:$E,3,FALSE)</f>
        <v>UT UK All Companies</v>
      </c>
      <c r="D421" s="139">
        <f>VLOOKUP(NoviaFunds[[#This Row],[ISIN]],'Novia Web Query'!$A:$E,4,FALSE)/100</f>
        <v>1.3300000000000001E-2</v>
      </c>
      <c r="E421" s="3" t="str">
        <f>VLOOKUP(NoviaFunds[[#This Row],[ISIN]],'Novia Web Query'!$A:$E,5,FALSE)</f>
        <v>28/02/2021</v>
      </c>
      <c r="F421" t="str">
        <f>VLOOKUP(NoviaFunds[[#This Row],[Sector]],Sectors[],2,FALSE)</f>
        <v>UK Equities</v>
      </c>
    </row>
    <row r="422" spans="1:6" x14ac:dyDescent="0.2">
      <c r="A422" t="str">
        <f>'Novia Web Query'!A422</f>
        <v>GB00B76G2B50</v>
      </c>
      <c r="B422" t="str">
        <f>VLOOKUP(NoviaFunds[[#This Row],[ISIN]],'Novia Web Query'!$A:$E,2,FALSE)</f>
        <v>ASI UK High Alpha Equity Ret Platform 1 Acc GBP in GB</v>
      </c>
      <c r="C422" t="str">
        <f>VLOOKUP(NoviaFunds[[#This Row],[ISIN]],'Novia Web Query'!$A:$E,3,FALSE)</f>
        <v>UT UK All Companies</v>
      </c>
      <c r="D422" s="139">
        <f>VLOOKUP(NoviaFunds[[#This Row],[ISIN]],'Novia Web Query'!$A:$E,4,FALSE)/100</f>
        <v>9.1000000000000004E-3</v>
      </c>
      <c r="E422" s="3" t="str">
        <f>VLOOKUP(NoviaFunds[[#This Row],[ISIN]],'Novia Web Query'!$A:$E,5,FALSE)</f>
        <v>28/02/2021</v>
      </c>
      <c r="F422" t="str">
        <f>VLOOKUP(NoviaFunds[[#This Row],[Sector]],Sectors[],2,FALSE)</f>
        <v>UK Equities</v>
      </c>
    </row>
    <row r="423" spans="1:6" x14ac:dyDescent="0.2">
      <c r="A423" t="str">
        <f>'Novia Web Query'!A423</f>
        <v>GB00B7D6MV88</v>
      </c>
      <c r="B423" t="str">
        <f>VLOOKUP(NoviaFunds[[#This Row],[ISIN]],'Novia Web Query'!$A:$E,2,FALSE)</f>
        <v>ASI UK High Alpha Equity Ret Platform 1 Inc GBP TR in GB</v>
      </c>
      <c r="C423" t="str">
        <f>VLOOKUP(NoviaFunds[[#This Row],[ISIN]],'Novia Web Query'!$A:$E,3,FALSE)</f>
        <v>UT UK All Companies</v>
      </c>
      <c r="D423" s="139">
        <f>VLOOKUP(NoviaFunds[[#This Row],[ISIN]],'Novia Web Query'!$A:$E,4,FALSE)/100</f>
        <v>9.1000000000000004E-3</v>
      </c>
      <c r="E423" s="3" t="str">
        <f>VLOOKUP(NoviaFunds[[#This Row],[ISIN]],'Novia Web Query'!$A:$E,5,FALSE)</f>
        <v>28/02/2021</v>
      </c>
      <c r="F423" t="str">
        <f>VLOOKUP(NoviaFunds[[#This Row],[Sector]],Sectors[],2,FALSE)</f>
        <v>UK Equities</v>
      </c>
    </row>
    <row r="424" spans="1:6" x14ac:dyDescent="0.2">
      <c r="A424" t="str">
        <f>'Novia Web Query'!A424</f>
        <v>GB0004332531</v>
      </c>
      <c r="B424" t="str">
        <f>VLOOKUP(NoviaFunds[[#This Row],[ISIN]],'Novia Web Query'!$A:$E,2,FALSE)</f>
        <v>ASI UK High Income Equity Inst Inc GBP TR in GB**</v>
      </c>
      <c r="C424" t="str">
        <f>VLOOKUP(NoviaFunds[[#This Row],[ISIN]],'Novia Web Query'!$A:$E,3,FALSE)</f>
        <v>UT UK Equity Income</v>
      </c>
      <c r="D424" s="139">
        <f>VLOOKUP(NoviaFunds[[#This Row],[ISIN]],'Novia Web Query'!$A:$E,4,FALSE)/100</f>
        <v>8.5000000000000006E-3</v>
      </c>
      <c r="E424" s="3" t="str">
        <f>VLOOKUP(NoviaFunds[[#This Row],[ISIN]],'Novia Web Query'!$A:$E,5,FALSE)</f>
        <v>28/02/2021</v>
      </c>
      <c r="F424" t="str">
        <f>VLOOKUP(NoviaFunds[[#This Row],[Sector]],Sectors[],2,FALSE)</f>
        <v>UK Equities</v>
      </c>
    </row>
    <row r="425" spans="1:6" x14ac:dyDescent="0.2">
      <c r="A425" t="str">
        <f>'Novia Web Query'!A425</f>
        <v>GB0004330931</v>
      </c>
      <c r="B425" t="str">
        <f>VLOOKUP(NoviaFunds[[#This Row],[ISIN]],'Novia Web Query'!$A:$E,2,FALSE)</f>
        <v>ASI UK High Income Equity Ret Acc GBP in GB</v>
      </c>
      <c r="C425" t="str">
        <f>VLOOKUP(NoviaFunds[[#This Row],[ISIN]],'Novia Web Query'!$A:$E,3,FALSE)</f>
        <v>UT UK Equity Income</v>
      </c>
      <c r="D425" s="139">
        <f>VLOOKUP(NoviaFunds[[#This Row],[ISIN]],'Novia Web Query'!$A:$E,4,FALSE)/100</f>
        <v>1.32E-2</v>
      </c>
      <c r="E425" s="3" t="str">
        <f>VLOOKUP(NoviaFunds[[#This Row],[ISIN]],'Novia Web Query'!$A:$E,5,FALSE)</f>
        <v>28/02/2021</v>
      </c>
      <c r="F425" t="str">
        <f>VLOOKUP(NoviaFunds[[#This Row],[Sector]],Sectors[],2,FALSE)</f>
        <v>UK Equities</v>
      </c>
    </row>
    <row r="426" spans="1:6" x14ac:dyDescent="0.2">
      <c r="A426" t="str">
        <f>'Novia Web Query'!A426</f>
        <v>GB0004330824</v>
      </c>
      <c r="B426" t="str">
        <f>VLOOKUP(NoviaFunds[[#This Row],[ISIN]],'Novia Web Query'!$A:$E,2,FALSE)</f>
        <v>ASI UK High Income Equity Ret Inc GBP TR in GB</v>
      </c>
      <c r="C426" t="str">
        <f>VLOOKUP(NoviaFunds[[#This Row],[ISIN]],'Novia Web Query'!$A:$E,3,FALSE)</f>
        <v>UT UK Equity Income</v>
      </c>
      <c r="D426" s="139">
        <f>VLOOKUP(NoviaFunds[[#This Row],[ISIN]],'Novia Web Query'!$A:$E,4,FALSE)/100</f>
        <v>1.32E-2</v>
      </c>
      <c r="E426" s="3" t="str">
        <f>VLOOKUP(NoviaFunds[[#This Row],[ISIN]],'Novia Web Query'!$A:$E,5,FALSE)</f>
        <v>28/02/2021</v>
      </c>
      <c r="F426" t="str">
        <f>VLOOKUP(NoviaFunds[[#This Row],[Sector]],Sectors[],2,FALSE)</f>
        <v>UK Equities</v>
      </c>
    </row>
    <row r="427" spans="1:6" x14ac:dyDescent="0.2">
      <c r="A427" t="str">
        <f>'Novia Web Query'!A427</f>
        <v>GB00B7FTRJ84</v>
      </c>
      <c r="B427" t="str">
        <f>VLOOKUP(NoviaFunds[[#This Row],[ISIN]],'Novia Web Query'!$A:$E,2,FALSE)</f>
        <v>ASI UK High Income Equity Ret Platform 1 Acc GBP in GB</v>
      </c>
      <c r="C427" t="str">
        <f>VLOOKUP(NoviaFunds[[#This Row],[ISIN]],'Novia Web Query'!$A:$E,3,FALSE)</f>
        <v>UT UK Equity Income</v>
      </c>
      <c r="D427" s="139">
        <f>VLOOKUP(NoviaFunds[[#This Row],[ISIN]],'Novia Web Query'!$A:$E,4,FALSE)/100</f>
        <v>9.0000000000000011E-3</v>
      </c>
      <c r="E427" s="3" t="str">
        <f>VLOOKUP(NoviaFunds[[#This Row],[ISIN]],'Novia Web Query'!$A:$E,5,FALSE)</f>
        <v>28/02/2021</v>
      </c>
      <c r="F427" t="str">
        <f>VLOOKUP(NoviaFunds[[#This Row],[Sector]],Sectors[],2,FALSE)</f>
        <v>UK Equities</v>
      </c>
    </row>
    <row r="428" spans="1:6" x14ac:dyDescent="0.2">
      <c r="A428" t="str">
        <f>'Novia Web Query'!A428</f>
        <v>GB00B558NM60</v>
      </c>
      <c r="B428" t="str">
        <f>VLOOKUP(NoviaFunds[[#This Row],[ISIN]],'Novia Web Query'!$A:$E,2,FALSE)</f>
        <v>ASI UK High Income Equity Ret Platform 1 Inc GBP TR in GB</v>
      </c>
      <c r="C428" t="str">
        <f>VLOOKUP(NoviaFunds[[#This Row],[ISIN]],'Novia Web Query'!$A:$E,3,FALSE)</f>
        <v>UT UK Equity Income</v>
      </c>
      <c r="D428" s="139">
        <f>VLOOKUP(NoviaFunds[[#This Row],[ISIN]],'Novia Web Query'!$A:$E,4,FALSE)/100</f>
        <v>9.0000000000000011E-3</v>
      </c>
      <c r="E428" s="3" t="str">
        <f>VLOOKUP(NoviaFunds[[#This Row],[ISIN]],'Novia Web Query'!$A:$E,5,FALSE)</f>
        <v>28/02/2021</v>
      </c>
      <c r="F428" t="str">
        <f>VLOOKUP(NoviaFunds[[#This Row],[Sector]],Sectors[],2,FALSE)</f>
        <v>UK Equities</v>
      </c>
    </row>
    <row r="429" spans="1:6" x14ac:dyDescent="0.2">
      <c r="A429" t="str">
        <f>'Novia Web Query'!A429</f>
        <v>GB00B0XWN705</v>
      </c>
      <c r="B429" t="str">
        <f>VLOOKUP(NoviaFunds[[#This Row],[ISIN]],'Novia Web Query'!$A:$E,2,FALSE)</f>
        <v>ASI UK Income Equity A Acc in GB</v>
      </c>
      <c r="C429" t="str">
        <f>VLOOKUP(NoviaFunds[[#This Row],[ISIN]],'Novia Web Query'!$A:$E,3,FALSE)</f>
        <v>UT UK Equity Income</v>
      </c>
      <c r="D429" s="139">
        <f>VLOOKUP(NoviaFunds[[#This Row],[ISIN]],'Novia Web Query'!$A:$E,4,FALSE)/100</f>
        <v>1.3000000000000001E-2</v>
      </c>
      <c r="E429" s="3" t="str">
        <f>VLOOKUP(NoviaFunds[[#This Row],[ISIN]],'Novia Web Query'!$A:$E,5,FALSE)</f>
        <v>31/07/2021</v>
      </c>
      <c r="F429" t="str">
        <f>VLOOKUP(NoviaFunds[[#This Row],[Sector]],Sectors[],2,FALSE)</f>
        <v>UK Equities</v>
      </c>
    </row>
    <row r="430" spans="1:6" x14ac:dyDescent="0.2">
      <c r="A430" t="str">
        <f>'Novia Web Query'!A430</f>
        <v>GB00B0XWN812</v>
      </c>
      <c r="B430" t="str">
        <f>VLOOKUP(NoviaFunds[[#This Row],[ISIN]],'Novia Web Query'!$A:$E,2,FALSE)</f>
        <v>ASI UK Income Equity A Inc TR in GB</v>
      </c>
      <c r="C430" t="str">
        <f>VLOOKUP(NoviaFunds[[#This Row],[ISIN]],'Novia Web Query'!$A:$E,3,FALSE)</f>
        <v>UT UK Equity Income</v>
      </c>
      <c r="D430" s="139">
        <f>VLOOKUP(NoviaFunds[[#This Row],[ISIN]],'Novia Web Query'!$A:$E,4,FALSE)/100</f>
        <v>1.3000000000000001E-2</v>
      </c>
      <c r="E430" s="3" t="str">
        <f>VLOOKUP(NoviaFunds[[#This Row],[ISIN]],'Novia Web Query'!$A:$E,5,FALSE)</f>
        <v>31/07/2021</v>
      </c>
      <c r="F430" t="str">
        <f>VLOOKUP(NoviaFunds[[#This Row],[Sector]],Sectors[],2,FALSE)</f>
        <v>UK Equities</v>
      </c>
    </row>
    <row r="431" spans="1:6" x14ac:dyDescent="0.2">
      <c r="A431" t="str">
        <f>'Novia Web Query'!A431</f>
        <v>GB00B0XWN929</v>
      </c>
      <c r="B431" t="str">
        <f>VLOOKUP(NoviaFunds[[#This Row],[ISIN]],'Novia Web Query'!$A:$E,2,FALSE)</f>
        <v>ASI UK Income Equity I Acc in GB</v>
      </c>
      <c r="C431" t="str">
        <f>VLOOKUP(NoviaFunds[[#This Row],[ISIN]],'Novia Web Query'!$A:$E,3,FALSE)</f>
        <v>UT UK Equity Income</v>
      </c>
      <c r="D431" s="139">
        <f>VLOOKUP(NoviaFunds[[#This Row],[ISIN]],'Novia Web Query'!$A:$E,4,FALSE)/100</f>
        <v>8.5000000000000006E-3</v>
      </c>
      <c r="E431" s="3" t="str">
        <f>VLOOKUP(NoviaFunds[[#This Row],[ISIN]],'Novia Web Query'!$A:$E,5,FALSE)</f>
        <v>31/07/2021</v>
      </c>
      <c r="F431" t="str">
        <f>VLOOKUP(NoviaFunds[[#This Row],[Sector]],Sectors[],2,FALSE)</f>
        <v>UK Equities</v>
      </c>
    </row>
    <row r="432" spans="1:6" x14ac:dyDescent="0.2">
      <c r="A432" t="str">
        <f>'Novia Web Query'!A432</f>
        <v>GB00B0XWNB45</v>
      </c>
      <c r="B432" t="str">
        <f>VLOOKUP(NoviaFunds[[#This Row],[ISIN]],'Novia Web Query'!$A:$E,2,FALSE)</f>
        <v>ASI UK Income Equity I Inc TR in GB**</v>
      </c>
      <c r="C432" t="str">
        <f>VLOOKUP(NoviaFunds[[#This Row],[ISIN]],'Novia Web Query'!$A:$E,3,FALSE)</f>
        <v>UT UK Equity Income</v>
      </c>
      <c r="D432" s="139">
        <f>VLOOKUP(NoviaFunds[[#This Row],[ISIN]],'Novia Web Query'!$A:$E,4,FALSE)/100</f>
        <v>8.5000000000000006E-3</v>
      </c>
      <c r="E432" s="3" t="str">
        <f>VLOOKUP(NoviaFunds[[#This Row],[ISIN]],'Novia Web Query'!$A:$E,5,FALSE)</f>
        <v>31/07/2021</v>
      </c>
      <c r="F432" t="str">
        <f>VLOOKUP(NoviaFunds[[#This Row],[Sector]],Sectors[],2,FALSE)</f>
        <v>UK Equities</v>
      </c>
    </row>
    <row r="433" spans="1:6" x14ac:dyDescent="0.2">
      <c r="A433" t="str">
        <f>'Novia Web Query'!A433</f>
        <v>GB00B1LBST30</v>
      </c>
      <c r="B433" t="str">
        <f>VLOOKUP(NoviaFunds[[#This Row],[ISIN]],'Novia Web Query'!$A:$E,2,FALSE)</f>
        <v>ASI UK Income Unconstrained Equity Inst Acc GBP in GB</v>
      </c>
      <c r="C433" t="str">
        <f>VLOOKUP(NoviaFunds[[#This Row],[ISIN]],'Novia Web Query'!$A:$E,3,FALSE)</f>
        <v>UT UK Equity Income</v>
      </c>
      <c r="D433" s="139">
        <f>VLOOKUP(NoviaFunds[[#This Row],[ISIN]],'Novia Web Query'!$A:$E,4,FALSE)/100</f>
        <v>9.0000000000000011E-3</v>
      </c>
      <c r="E433" s="3" t="str">
        <f>VLOOKUP(NoviaFunds[[#This Row],[ISIN]],'Novia Web Query'!$A:$E,5,FALSE)</f>
        <v>30/11/2020</v>
      </c>
      <c r="F433" t="str">
        <f>VLOOKUP(NoviaFunds[[#This Row],[Sector]],Sectors[],2,FALSE)</f>
        <v>UK Equities</v>
      </c>
    </row>
    <row r="434" spans="1:6" x14ac:dyDescent="0.2">
      <c r="A434" t="str">
        <f>'Novia Web Query'!A434</f>
        <v>GB00B1LBSV51</v>
      </c>
      <c r="B434" t="str">
        <f>VLOOKUP(NoviaFunds[[#This Row],[ISIN]],'Novia Web Query'!$A:$E,2,FALSE)</f>
        <v>ASI UK Income Unconstrained Equity Inst Inc GBP TR in GB</v>
      </c>
      <c r="C434" t="str">
        <f>VLOOKUP(NoviaFunds[[#This Row],[ISIN]],'Novia Web Query'!$A:$E,3,FALSE)</f>
        <v>UT UK Equity Income</v>
      </c>
      <c r="D434" s="139">
        <f>VLOOKUP(NoviaFunds[[#This Row],[ISIN]],'Novia Web Query'!$A:$E,4,FALSE)/100</f>
        <v>9.0000000000000011E-3</v>
      </c>
      <c r="E434" s="3" t="str">
        <f>VLOOKUP(NoviaFunds[[#This Row],[ISIN]],'Novia Web Query'!$A:$E,5,FALSE)</f>
        <v>30/11/2020</v>
      </c>
      <c r="F434" t="str">
        <f>VLOOKUP(NoviaFunds[[#This Row],[Sector]],Sectors[],2,FALSE)</f>
        <v>UK Equities</v>
      </c>
    </row>
    <row r="435" spans="1:6" x14ac:dyDescent="0.2">
      <c r="A435" t="str">
        <f>'Novia Web Query'!A435</f>
        <v>GB00B79X9673</v>
      </c>
      <c r="B435" t="str">
        <f>VLOOKUP(NoviaFunds[[#This Row],[ISIN]],'Novia Web Query'!$A:$E,2,FALSE)</f>
        <v>ASI UK Income Unconstrained Equity Platform 1 Acc GBP in GB</v>
      </c>
      <c r="C435" t="str">
        <f>VLOOKUP(NoviaFunds[[#This Row],[ISIN]],'Novia Web Query'!$A:$E,3,FALSE)</f>
        <v>UT UK Equity Income</v>
      </c>
      <c r="D435" s="139">
        <f>VLOOKUP(NoviaFunds[[#This Row],[ISIN]],'Novia Web Query'!$A:$E,4,FALSE)/100</f>
        <v>1.15E-2</v>
      </c>
      <c r="E435" s="3" t="str">
        <f>VLOOKUP(NoviaFunds[[#This Row],[ISIN]],'Novia Web Query'!$A:$E,5,FALSE)</f>
        <v>30/11/2020</v>
      </c>
      <c r="F435" t="str">
        <f>VLOOKUP(NoviaFunds[[#This Row],[Sector]],Sectors[],2,FALSE)</f>
        <v>UK Equities</v>
      </c>
    </row>
    <row r="436" spans="1:6" x14ac:dyDescent="0.2">
      <c r="A436" t="str">
        <f>'Novia Web Query'!A436</f>
        <v>GB00B7G8Q193</v>
      </c>
      <c r="B436" t="str">
        <f>VLOOKUP(NoviaFunds[[#This Row],[ISIN]],'Novia Web Query'!$A:$E,2,FALSE)</f>
        <v>ASI UK Income Unconstrained Equity Platform 1 Inc GBP TR in GB</v>
      </c>
      <c r="C436" t="str">
        <f>VLOOKUP(NoviaFunds[[#This Row],[ISIN]],'Novia Web Query'!$A:$E,3,FALSE)</f>
        <v>UT UK Equity Income</v>
      </c>
      <c r="D436" s="139">
        <f>VLOOKUP(NoviaFunds[[#This Row],[ISIN]],'Novia Web Query'!$A:$E,4,FALSE)/100</f>
        <v>1.15E-2</v>
      </c>
      <c r="E436" s="3" t="str">
        <f>VLOOKUP(NoviaFunds[[#This Row],[ISIN]],'Novia Web Query'!$A:$E,5,FALSE)</f>
        <v>30/11/2020</v>
      </c>
      <c r="F436" t="str">
        <f>VLOOKUP(NoviaFunds[[#This Row],[Sector]],Sectors[],2,FALSE)</f>
        <v>UK Equities</v>
      </c>
    </row>
    <row r="437" spans="1:6" x14ac:dyDescent="0.2">
      <c r="A437" t="str">
        <f>'Novia Web Query'!A437</f>
        <v>GB00B1LBSR16</v>
      </c>
      <c r="B437" t="str">
        <f>VLOOKUP(NoviaFunds[[#This Row],[ISIN]],'Novia Web Query'!$A:$E,2,FALSE)</f>
        <v>ASI UK Income Unconstrained Equity Ret Acc GBP in GB</v>
      </c>
      <c r="C437" t="str">
        <f>VLOOKUP(NoviaFunds[[#This Row],[ISIN]],'Novia Web Query'!$A:$E,3,FALSE)</f>
        <v>UT UK Equity Income</v>
      </c>
      <c r="D437" s="139">
        <f>VLOOKUP(NoviaFunds[[#This Row],[ISIN]],'Novia Web Query'!$A:$E,4,FALSE)/100</f>
        <v>1.52E-2</v>
      </c>
      <c r="E437" s="3" t="str">
        <f>VLOOKUP(NoviaFunds[[#This Row],[ISIN]],'Novia Web Query'!$A:$E,5,FALSE)</f>
        <v>30/11/2020</v>
      </c>
      <c r="F437" t="str">
        <f>VLOOKUP(NoviaFunds[[#This Row],[Sector]],Sectors[],2,FALSE)</f>
        <v>UK Equities</v>
      </c>
    </row>
    <row r="438" spans="1:6" x14ac:dyDescent="0.2">
      <c r="A438" t="str">
        <f>'Novia Web Query'!A438</f>
        <v>GB00B1LBSS23</v>
      </c>
      <c r="B438" t="str">
        <f>VLOOKUP(NoviaFunds[[#This Row],[ISIN]],'Novia Web Query'!$A:$E,2,FALSE)</f>
        <v>ASI UK Income Unconstrained Equity Ret Inc GBP TR in GB</v>
      </c>
      <c r="C438" t="str">
        <f>VLOOKUP(NoviaFunds[[#This Row],[ISIN]],'Novia Web Query'!$A:$E,3,FALSE)</f>
        <v>UT UK Equity Income</v>
      </c>
      <c r="D438" s="139">
        <f>VLOOKUP(NoviaFunds[[#This Row],[ISIN]],'Novia Web Query'!$A:$E,4,FALSE)/100</f>
        <v>1.52E-2</v>
      </c>
      <c r="E438" s="3" t="str">
        <f>VLOOKUP(NoviaFunds[[#This Row],[ISIN]],'Novia Web Query'!$A:$E,5,FALSE)</f>
        <v>30/11/2020</v>
      </c>
      <c r="F438" t="str">
        <f>VLOOKUP(NoviaFunds[[#This Row],[Sector]],Sectors[],2,FALSE)</f>
        <v>UK Equities</v>
      </c>
    </row>
    <row r="439" spans="1:6" x14ac:dyDescent="0.2">
      <c r="A439" t="str">
        <f>'Novia Web Query'!A439</f>
        <v>GB00B0XWNR05</v>
      </c>
      <c r="B439" t="str">
        <f>VLOOKUP(NoviaFunds[[#This Row],[ISIN]],'Novia Web Query'!$A:$E,2,FALSE)</f>
        <v>ASI UK Mid Cap Equity A Acc in GB</v>
      </c>
      <c r="C439" t="str">
        <f>VLOOKUP(NoviaFunds[[#This Row],[ISIN]],'Novia Web Query'!$A:$E,3,FALSE)</f>
        <v>UT UK All Companies</v>
      </c>
      <c r="D439" s="139">
        <f>VLOOKUP(NoviaFunds[[#This Row],[ISIN]],'Novia Web Query'!$A:$E,4,FALSE)/100</f>
        <v>1.3000000000000001E-2</v>
      </c>
      <c r="E439" s="3" t="str">
        <f>VLOOKUP(NoviaFunds[[#This Row],[ISIN]],'Novia Web Query'!$A:$E,5,FALSE)</f>
        <v>31/07/2021</v>
      </c>
      <c r="F439" t="str">
        <f>VLOOKUP(NoviaFunds[[#This Row],[Sector]],Sectors[],2,FALSE)</f>
        <v>UK Equities</v>
      </c>
    </row>
    <row r="440" spans="1:6" x14ac:dyDescent="0.2">
      <c r="A440" t="str">
        <f>'Novia Web Query'!A440</f>
        <v>GB00B0XWNQ97</v>
      </c>
      <c r="B440" t="str">
        <f>VLOOKUP(NoviaFunds[[#This Row],[ISIN]],'Novia Web Query'!$A:$E,2,FALSE)</f>
        <v>ASI UK Mid Cap Equity A Inc TR in GB</v>
      </c>
      <c r="C440" t="str">
        <f>VLOOKUP(NoviaFunds[[#This Row],[ISIN]],'Novia Web Query'!$A:$E,3,FALSE)</f>
        <v>UT UK All Companies</v>
      </c>
      <c r="D440" s="139">
        <f>VLOOKUP(NoviaFunds[[#This Row],[ISIN]],'Novia Web Query'!$A:$E,4,FALSE)/100</f>
        <v>1.3000000000000001E-2</v>
      </c>
      <c r="E440" s="3" t="str">
        <f>VLOOKUP(NoviaFunds[[#This Row],[ISIN]],'Novia Web Query'!$A:$E,5,FALSE)</f>
        <v>31/07/2021</v>
      </c>
      <c r="F440" t="str">
        <f>VLOOKUP(NoviaFunds[[#This Row],[Sector]],Sectors[],2,FALSE)</f>
        <v>UK Equities</v>
      </c>
    </row>
    <row r="441" spans="1:6" x14ac:dyDescent="0.2">
      <c r="A441" t="str">
        <f>'Novia Web Query'!A441</f>
        <v>GB00B0XWNT29</v>
      </c>
      <c r="B441" t="str">
        <f>VLOOKUP(NoviaFunds[[#This Row],[ISIN]],'Novia Web Query'!$A:$E,2,FALSE)</f>
        <v>ASI UK Mid Cap Equity I Acc in GB</v>
      </c>
      <c r="C441" t="str">
        <f>VLOOKUP(NoviaFunds[[#This Row],[ISIN]],'Novia Web Query'!$A:$E,3,FALSE)</f>
        <v>UT UK All Companies</v>
      </c>
      <c r="D441" s="139">
        <f>VLOOKUP(NoviaFunds[[#This Row],[ISIN]],'Novia Web Query'!$A:$E,4,FALSE)/100</f>
        <v>8.5000000000000006E-3</v>
      </c>
      <c r="E441" s="3" t="str">
        <f>VLOOKUP(NoviaFunds[[#This Row],[ISIN]],'Novia Web Query'!$A:$E,5,FALSE)</f>
        <v>31/07/2021</v>
      </c>
      <c r="F441" t="str">
        <f>VLOOKUP(NoviaFunds[[#This Row],[Sector]],Sectors[],2,FALSE)</f>
        <v>UK Equities</v>
      </c>
    </row>
    <row r="442" spans="1:6" x14ac:dyDescent="0.2">
      <c r="A442" t="str">
        <f>'Novia Web Query'!A442</f>
        <v>GB00B0XWNS12</v>
      </c>
      <c r="B442" t="str">
        <f>VLOOKUP(NoviaFunds[[#This Row],[ISIN]],'Novia Web Query'!$A:$E,2,FALSE)</f>
        <v>ASI UK Mid Cap Equity I Inc TR in GB**</v>
      </c>
      <c r="C442" t="str">
        <f>VLOOKUP(NoviaFunds[[#This Row],[ISIN]],'Novia Web Query'!$A:$E,3,FALSE)</f>
        <v>UT UK All Companies</v>
      </c>
      <c r="D442" s="139">
        <f>VLOOKUP(NoviaFunds[[#This Row],[ISIN]],'Novia Web Query'!$A:$E,4,FALSE)/100</f>
        <v>8.5000000000000006E-3</v>
      </c>
      <c r="E442" s="3" t="str">
        <f>VLOOKUP(NoviaFunds[[#This Row],[ISIN]],'Novia Web Query'!$A:$E,5,FALSE)</f>
        <v>31/07/2021</v>
      </c>
      <c r="F442" t="str">
        <f>VLOOKUP(NoviaFunds[[#This Row],[Sector]],Sectors[],2,FALSE)</f>
        <v>UK Equities</v>
      </c>
    </row>
    <row r="443" spans="1:6" x14ac:dyDescent="0.2">
      <c r="A443" t="str">
        <f>'Novia Web Query'!A443</f>
        <v>GB0032094392</v>
      </c>
      <c r="B443" t="str">
        <f>VLOOKUP(NoviaFunds[[#This Row],[ISIN]],'Novia Web Query'!$A:$E,2,FALSE)</f>
        <v>ASI UK Opportunities Equity Ret Acc GBP in GB</v>
      </c>
      <c r="C443" t="str">
        <f>VLOOKUP(NoviaFunds[[#This Row],[ISIN]],'Novia Web Query'!$A:$E,3,FALSE)</f>
        <v>UT UK All Companies</v>
      </c>
      <c r="D443" s="139">
        <f>VLOOKUP(NoviaFunds[[#This Row],[ISIN]],'Novia Web Query'!$A:$E,4,FALSE)/100</f>
        <v>1.3300000000000001E-2</v>
      </c>
      <c r="E443" s="3" t="str">
        <f>VLOOKUP(NoviaFunds[[#This Row],[ISIN]],'Novia Web Query'!$A:$E,5,FALSE)</f>
        <v>28/02/2021</v>
      </c>
      <c r="F443" t="str">
        <f>VLOOKUP(NoviaFunds[[#This Row],[Sector]],Sectors[],2,FALSE)</f>
        <v>UK Equities</v>
      </c>
    </row>
    <row r="444" spans="1:6" x14ac:dyDescent="0.2">
      <c r="A444" t="str">
        <f>'Novia Web Query'!A444</f>
        <v>GB00B7LZCR36</v>
      </c>
      <c r="B444" t="str">
        <f>VLOOKUP(NoviaFunds[[#This Row],[ISIN]],'Novia Web Query'!$A:$E,2,FALSE)</f>
        <v>ASI UK Opportunities Equity Ret Platform 1 Acc GBP in GB</v>
      </c>
      <c r="C444" t="str">
        <f>VLOOKUP(NoviaFunds[[#This Row],[ISIN]],'Novia Web Query'!$A:$E,3,FALSE)</f>
        <v>UT UK All Companies</v>
      </c>
      <c r="D444" s="139">
        <f>VLOOKUP(NoviaFunds[[#This Row],[ISIN]],'Novia Web Query'!$A:$E,4,FALSE)/100</f>
        <v>9.1000000000000004E-3</v>
      </c>
      <c r="E444" s="3" t="str">
        <f>VLOOKUP(NoviaFunds[[#This Row],[ISIN]],'Novia Web Query'!$A:$E,5,FALSE)</f>
        <v>28/02/2021</v>
      </c>
      <c r="F444" t="str">
        <f>VLOOKUP(NoviaFunds[[#This Row],[Sector]],Sectors[],2,FALSE)</f>
        <v>UK Equities</v>
      </c>
    </row>
    <row r="445" spans="1:6" x14ac:dyDescent="0.2">
      <c r="A445" t="str">
        <f>'Novia Web Query'!A445</f>
        <v>GB00B7C4BJ40</v>
      </c>
      <c r="B445" t="str">
        <f>VLOOKUP(NoviaFunds[[#This Row],[ISIN]],'Novia Web Query'!$A:$E,2,FALSE)</f>
        <v>ASI UK Opportunities Equity Ret Platform 1 Inc GBP TR in GB</v>
      </c>
      <c r="C445" t="str">
        <f>VLOOKUP(NoviaFunds[[#This Row],[ISIN]],'Novia Web Query'!$A:$E,3,FALSE)</f>
        <v>UT UK All Companies</v>
      </c>
      <c r="D445" s="139">
        <f>VLOOKUP(NoviaFunds[[#This Row],[ISIN]],'Novia Web Query'!$A:$E,4,FALSE)/100</f>
        <v>9.1000000000000004E-3</v>
      </c>
      <c r="E445" s="3" t="str">
        <f>VLOOKUP(NoviaFunds[[#This Row],[ISIN]],'Novia Web Query'!$A:$E,5,FALSE)</f>
        <v>28/02/2021</v>
      </c>
      <c r="F445" t="str">
        <f>VLOOKUP(NoviaFunds[[#This Row],[Sector]],Sectors[],2,FALSE)</f>
        <v>UK Equities</v>
      </c>
    </row>
    <row r="446" spans="1:6" x14ac:dyDescent="0.2">
      <c r="A446" t="str">
        <f>'Novia Web Query'!A446</f>
        <v>GB00B0XWNM59</v>
      </c>
      <c r="B446" t="str">
        <f>VLOOKUP(NoviaFunds[[#This Row],[ISIN]],'Novia Web Query'!$A:$E,2,FALSE)</f>
        <v>ASI UK Real Estate Share A Acc TR in GB</v>
      </c>
      <c r="C446" t="str">
        <f>VLOOKUP(NoviaFunds[[#This Row],[ISIN]],'Novia Web Query'!$A:$E,3,FALSE)</f>
        <v>UT Property Other</v>
      </c>
      <c r="D446" s="139">
        <f>VLOOKUP(NoviaFunds[[#This Row],[ISIN]],'Novia Web Query'!$A:$E,4,FALSE)/100</f>
        <v>1.3000000000000001E-2</v>
      </c>
      <c r="E446" s="3" t="str">
        <f>VLOOKUP(NoviaFunds[[#This Row],[ISIN]],'Novia Web Query'!$A:$E,5,FALSE)</f>
        <v>31/07/2021</v>
      </c>
      <c r="F446" t="e">
        <f>VLOOKUP(NoviaFunds[[#This Row],[Sector]],Sectors[],2,FALSE)</f>
        <v>#N/A</v>
      </c>
    </row>
    <row r="447" spans="1:6" x14ac:dyDescent="0.2">
      <c r="A447" t="str">
        <f>'Novia Web Query'!A447</f>
        <v>GB00B0XWNN66</v>
      </c>
      <c r="B447" t="str">
        <f>VLOOKUP(NoviaFunds[[#This Row],[ISIN]],'Novia Web Query'!$A:$E,2,FALSE)</f>
        <v>ASI UK Real Estate Share I Acc TR in GB</v>
      </c>
      <c r="C447" t="str">
        <f>VLOOKUP(NoviaFunds[[#This Row],[ISIN]],'Novia Web Query'!$A:$E,3,FALSE)</f>
        <v>UT Property Other</v>
      </c>
      <c r="D447" s="139">
        <f>VLOOKUP(NoviaFunds[[#This Row],[ISIN]],'Novia Web Query'!$A:$E,4,FALSE)/100</f>
        <v>8.5000000000000006E-3</v>
      </c>
      <c r="E447" s="3" t="str">
        <f>VLOOKUP(NoviaFunds[[#This Row],[ISIN]],'Novia Web Query'!$A:$E,5,FALSE)</f>
        <v>31/07/2021</v>
      </c>
      <c r="F447" t="e">
        <f>VLOOKUP(NoviaFunds[[#This Row],[Sector]],Sectors[],2,FALSE)</f>
        <v>#N/A</v>
      </c>
    </row>
    <row r="448" spans="1:6" x14ac:dyDescent="0.2">
      <c r="A448" t="str">
        <f>'Novia Web Query'!A448</f>
        <v>GB0004333497</v>
      </c>
      <c r="B448" t="str">
        <f>VLOOKUP(NoviaFunds[[#This Row],[ISIN]],'Novia Web Query'!$A:$E,2,FALSE)</f>
        <v>ASI UK Smaller Companies Inst Acc GBP in GB**</v>
      </c>
      <c r="C448" t="str">
        <f>VLOOKUP(NoviaFunds[[#This Row],[ISIN]],'Novia Web Query'!$A:$E,3,FALSE)</f>
        <v>UT UK Smaller Companies</v>
      </c>
      <c r="D448" s="139">
        <f>VLOOKUP(NoviaFunds[[#This Row],[ISIN]],'Novia Web Query'!$A:$E,4,FALSE)/100</f>
        <v>8.8999999999999999E-3</v>
      </c>
      <c r="E448" s="3" t="str">
        <f>VLOOKUP(NoviaFunds[[#This Row],[ISIN]],'Novia Web Query'!$A:$E,5,FALSE)</f>
        <v>28/02/2021</v>
      </c>
      <c r="F448" t="str">
        <f>VLOOKUP(NoviaFunds[[#This Row],[Sector]],Sectors[],2,FALSE)</f>
        <v>UK Equities</v>
      </c>
    </row>
    <row r="449" spans="1:6" x14ac:dyDescent="0.2">
      <c r="A449" t="str">
        <f>'Novia Web Query'!A449</f>
        <v>GB0004331236</v>
      </c>
      <c r="B449" t="str">
        <f>VLOOKUP(NoviaFunds[[#This Row],[ISIN]],'Novia Web Query'!$A:$E,2,FALSE)</f>
        <v>ASI UK Smaller Companies Ret Acc GBP in GB</v>
      </c>
      <c r="C449" t="str">
        <f>VLOOKUP(NoviaFunds[[#This Row],[ISIN]],'Novia Web Query'!$A:$E,3,FALSE)</f>
        <v>UT UK Smaller Companies</v>
      </c>
      <c r="D449" s="139">
        <f>VLOOKUP(NoviaFunds[[#This Row],[ISIN]],'Novia Web Query'!$A:$E,4,FALSE)/100</f>
        <v>1.3600000000000001E-2</v>
      </c>
      <c r="E449" s="3" t="str">
        <f>VLOOKUP(NoviaFunds[[#This Row],[ISIN]],'Novia Web Query'!$A:$E,5,FALSE)</f>
        <v>28/02/2021</v>
      </c>
      <c r="F449" t="str">
        <f>VLOOKUP(NoviaFunds[[#This Row],[Sector]],Sectors[],2,FALSE)</f>
        <v>UK Equities</v>
      </c>
    </row>
    <row r="450" spans="1:6" x14ac:dyDescent="0.2">
      <c r="A450" t="str">
        <f>'Novia Web Query'!A450</f>
        <v>GB00B7FBH943</v>
      </c>
      <c r="B450" t="str">
        <f>VLOOKUP(NoviaFunds[[#This Row],[ISIN]],'Novia Web Query'!$A:$E,2,FALSE)</f>
        <v>ASI UK Smaller Companies Ret Platform 1 Acc GBP in GB</v>
      </c>
      <c r="C450" t="str">
        <f>VLOOKUP(NoviaFunds[[#This Row],[ISIN]],'Novia Web Query'!$A:$E,3,FALSE)</f>
        <v>UT UK Smaller Companies</v>
      </c>
      <c r="D450" s="139">
        <f>VLOOKUP(NoviaFunds[[#This Row],[ISIN]],'Novia Web Query'!$A:$E,4,FALSE)/100</f>
        <v>9.8999999999999991E-3</v>
      </c>
      <c r="E450" s="3" t="str">
        <f>VLOOKUP(NoviaFunds[[#This Row],[ISIN]],'Novia Web Query'!$A:$E,5,FALSE)</f>
        <v>28/02/2021</v>
      </c>
      <c r="F450" t="str">
        <f>VLOOKUP(NoviaFunds[[#This Row],[Sector]],Sectors[],2,FALSE)</f>
        <v>UK Equities</v>
      </c>
    </row>
    <row r="451" spans="1:6" x14ac:dyDescent="0.2">
      <c r="A451" t="str">
        <f>'Novia Web Query'!A451</f>
        <v>GB00B131GB92</v>
      </c>
      <c r="B451" t="str">
        <f>VLOOKUP(NoviaFunds[[#This Row],[ISIN]],'Novia Web Query'!$A:$E,2,FALSE)</f>
        <v>ASI UK Sustainable and Responsible Investment Equity A Acc in GB</v>
      </c>
      <c r="C451" t="str">
        <f>VLOOKUP(NoviaFunds[[#This Row],[ISIN]],'Novia Web Query'!$A:$E,3,FALSE)</f>
        <v>UT UK All Companies</v>
      </c>
      <c r="D451" s="139">
        <f>VLOOKUP(NoviaFunds[[#This Row],[ISIN]],'Novia Web Query'!$A:$E,4,FALSE)/100</f>
        <v>1.32E-2</v>
      </c>
      <c r="E451" s="3" t="str">
        <f>VLOOKUP(NoviaFunds[[#This Row],[ISIN]],'Novia Web Query'!$A:$E,5,FALSE)</f>
        <v>31/07/2021</v>
      </c>
      <c r="F451" t="str">
        <f>VLOOKUP(NoviaFunds[[#This Row],[Sector]],Sectors[],2,FALSE)</f>
        <v>UK Equities</v>
      </c>
    </row>
    <row r="452" spans="1:6" x14ac:dyDescent="0.2">
      <c r="A452" t="str">
        <f>'Novia Web Query'!A452</f>
        <v>GB00B131GC00</v>
      </c>
      <c r="B452" t="str">
        <f>VLOOKUP(NoviaFunds[[#This Row],[ISIN]],'Novia Web Query'!$A:$E,2,FALSE)</f>
        <v>ASI UK Sustainable and Responsible Investment Equity A Inc TR in GB</v>
      </c>
      <c r="C452" t="str">
        <f>VLOOKUP(NoviaFunds[[#This Row],[ISIN]],'Novia Web Query'!$A:$E,3,FALSE)</f>
        <v>UT UK All Companies</v>
      </c>
      <c r="D452" s="139">
        <f>VLOOKUP(NoviaFunds[[#This Row],[ISIN]],'Novia Web Query'!$A:$E,4,FALSE)/100</f>
        <v>1.32E-2</v>
      </c>
      <c r="E452" s="3" t="str">
        <f>VLOOKUP(NoviaFunds[[#This Row],[ISIN]],'Novia Web Query'!$A:$E,5,FALSE)</f>
        <v>31/07/2021</v>
      </c>
      <c r="F452" t="str">
        <f>VLOOKUP(NoviaFunds[[#This Row],[Sector]],Sectors[],2,FALSE)</f>
        <v>UK Equities</v>
      </c>
    </row>
    <row r="453" spans="1:6" x14ac:dyDescent="0.2">
      <c r="A453" t="str">
        <f>'Novia Web Query'!A453</f>
        <v>GB00B131GD17</v>
      </c>
      <c r="B453" t="str">
        <f>VLOOKUP(NoviaFunds[[#This Row],[ISIN]],'Novia Web Query'!$A:$E,2,FALSE)</f>
        <v>ASI UK Sustainable and Responsible Investment Equity I Acc in GB</v>
      </c>
      <c r="C453" t="str">
        <f>VLOOKUP(NoviaFunds[[#This Row],[ISIN]],'Novia Web Query'!$A:$E,3,FALSE)</f>
        <v>UT UK All Companies</v>
      </c>
      <c r="D453" s="139">
        <f>VLOOKUP(NoviaFunds[[#This Row],[ISIN]],'Novia Web Query'!$A:$E,4,FALSE)/100</f>
        <v>8.6999999999999994E-3</v>
      </c>
      <c r="E453" s="3" t="str">
        <f>VLOOKUP(NoviaFunds[[#This Row],[ISIN]],'Novia Web Query'!$A:$E,5,FALSE)</f>
        <v>31/07/2021</v>
      </c>
      <c r="F453" t="str">
        <f>VLOOKUP(NoviaFunds[[#This Row],[Sector]],Sectors[],2,FALSE)</f>
        <v>UK Equities</v>
      </c>
    </row>
    <row r="454" spans="1:6" x14ac:dyDescent="0.2">
      <c r="A454" t="str">
        <f>'Novia Web Query'!A454</f>
        <v>GB00B131GH54</v>
      </c>
      <c r="B454" t="str">
        <f>VLOOKUP(NoviaFunds[[#This Row],[ISIN]],'Novia Web Query'!$A:$E,2,FALSE)</f>
        <v>ASI UK Sustainable and Responsible Investment Equity I Inc TR in GB**</v>
      </c>
      <c r="C454" t="str">
        <f>VLOOKUP(NoviaFunds[[#This Row],[ISIN]],'Novia Web Query'!$A:$E,3,FALSE)</f>
        <v>UT UK All Companies</v>
      </c>
      <c r="D454" s="139">
        <f>VLOOKUP(NoviaFunds[[#This Row],[ISIN]],'Novia Web Query'!$A:$E,4,FALSE)/100</f>
        <v>8.6999999999999994E-3</v>
      </c>
      <c r="E454" s="3" t="str">
        <f>VLOOKUP(NoviaFunds[[#This Row],[ISIN]],'Novia Web Query'!$A:$E,5,FALSE)</f>
        <v>31/07/2021</v>
      </c>
      <c r="F454" t="str">
        <f>VLOOKUP(NoviaFunds[[#This Row],[Sector]],Sectors[],2,FALSE)</f>
        <v>UK Equities</v>
      </c>
    </row>
    <row r="455" spans="1:6" x14ac:dyDescent="0.2">
      <c r="A455" t="str">
        <f>'Novia Web Query'!A455</f>
        <v>GB00B0LD3C08</v>
      </c>
      <c r="B455" t="str">
        <f>VLOOKUP(NoviaFunds[[#This Row],[ISIN]],'Novia Web Query'!$A:$E,2,FALSE)</f>
        <v>ASI UK Unconstrained Equity Inst Acc GBP in GB</v>
      </c>
      <c r="C455" t="str">
        <f>VLOOKUP(NoviaFunds[[#This Row],[ISIN]],'Novia Web Query'!$A:$E,3,FALSE)</f>
        <v>UT UK All Companies</v>
      </c>
      <c r="D455" s="139">
        <f>VLOOKUP(NoviaFunds[[#This Row],[ISIN]],'Novia Web Query'!$A:$E,4,FALSE)/100</f>
        <v>9.0000000000000011E-3</v>
      </c>
      <c r="E455" s="3" t="str">
        <f>VLOOKUP(NoviaFunds[[#This Row],[ISIN]],'Novia Web Query'!$A:$E,5,FALSE)</f>
        <v>30/11/2020</v>
      </c>
      <c r="F455" t="str">
        <f>VLOOKUP(NoviaFunds[[#This Row],[Sector]],Sectors[],2,FALSE)</f>
        <v>UK Equities</v>
      </c>
    </row>
    <row r="456" spans="1:6" x14ac:dyDescent="0.2">
      <c r="A456" t="str">
        <f>'Novia Web Query'!A456</f>
        <v>GB00B0LD3B90</v>
      </c>
      <c r="B456" t="str">
        <f>VLOOKUP(NoviaFunds[[#This Row],[ISIN]],'Novia Web Query'!$A:$E,2,FALSE)</f>
        <v>ASI UK Unconstrained Equity Ret Acc GBP in GB</v>
      </c>
      <c r="C456" t="str">
        <f>VLOOKUP(NoviaFunds[[#This Row],[ISIN]],'Novia Web Query'!$A:$E,3,FALSE)</f>
        <v>UT UK All Companies</v>
      </c>
      <c r="D456" s="139">
        <f>VLOOKUP(NoviaFunds[[#This Row],[ISIN]],'Novia Web Query'!$A:$E,4,FALSE)/100</f>
        <v>1.52E-2</v>
      </c>
      <c r="E456" s="3" t="str">
        <f>VLOOKUP(NoviaFunds[[#This Row],[ISIN]],'Novia Web Query'!$A:$E,5,FALSE)</f>
        <v>30/11/2020</v>
      </c>
      <c r="F456" t="str">
        <f>VLOOKUP(NoviaFunds[[#This Row],[Sector]],Sectors[],2,FALSE)</f>
        <v>UK Equities</v>
      </c>
    </row>
    <row r="457" spans="1:6" x14ac:dyDescent="0.2">
      <c r="A457" t="str">
        <f>'Novia Web Query'!A457</f>
        <v>GB00B7LK2232</v>
      </c>
      <c r="B457" t="str">
        <f>VLOOKUP(NoviaFunds[[#This Row],[ISIN]],'Novia Web Query'!$A:$E,2,FALSE)</f>
        <v>ASI UK Unconstrained Equity Ret Platform 1 Acc GBP in GB</v>
      </c>
      <c r="C457" t="str">
        <f>VLOOKUP(NoviaFunds[[#This Row],[ISIN]],'Novia Web Query'!$A:$E,3,FALSE)</f>
        <v>UT UK All Companies</v>
      </c>
      <c r="D457" s="139">
        <f>VLOOKUP(NoviaFunds[[#This Row],[ISIN]],'Novia Web Query'!$A:$E,4,FALSE)/100</f>
        <v>1.15E-2</v>
      </c>
      <c r="E457" s="3" t="str">
        <f>VLOOKUP(NoviaFunds[[#This Row],[ISIN]],'Novia Web Query'!$A:$E,5,FALSE)</f>
        <v>30/11/2020</v>
      </c>
      <c r="F457" t="str">
        <f>VLOOKUP(NoviaFunds[[#This Row],[Sector]],Sectors[],2,FALSE)</f>
        <v>UK Equities</v>
      </c>
    </row>
    <row r="458" spans="1:6" x14ac:dyDescent="0.2">
      <c r="A458" t="str">
        <f>'Novia Web Query'!A458</f>
        <v>GB00B3N9CY25</v>
      </c>
      <c r="B458" t="str">
        <f>VLOOKUP(NoviaFunds[[#This Row],[ISIN]],'Novia Web Query'!$A:$E,2,FALSE)</f>
        <v>ASI World Income Equity A Inc TR in GB</v>
      </c>
      <c r="C458" t="str">
        <f>VLOOKUP(NoviaFunds[[#This Row],[ISIN]],'Novia Web Query'!$A:$E,3,FALSE)</f>
        <v>UT Global Equity Income</v>
      </c>
      <c r="D458" s="139">
        <f>VLOOKUP(NoviaFunds[[#This Row],[ISIN]],'Novia Web Query'!$A:$E,4,FALSE)/100</f>
        <v>1.32E-2</v>
      </c>
      <c r="E458" s="3" t="str">
        <f>VLOOKUP(NoviaFunds[[#This Row],[ISIN]],'Novia Web Query'!$A:$E,5,FALSE)</f>
        <v>01/12/2021</v>
      </c>
      <c r="F458" t="str">
        <f>VLOOKUP(NoviaFunds[[#This Row],[Sector]],Sectors[],2,FALSE)</f>
        <v>Other Equities</v>
      </c>
    </row>
    <row r="459" spans="1:6" x14ac:dyDescent="0.2">
      <c r="A459" t="str">
        <f>'Novia Web Query'!A459</f>
        <v>GB00B8MYXW82</v>
      </c>
      <c r="B459" t="str">
        <f>VLOOKUP(NoviaFunds[[#This Row],[ISIN]],'Novia Web Query'!$A:$E,2,FALSE)</f>
        <v>ASI World Income Equity I Acc in GB</v>
      </c>
      <c r="C459" t="str">
        <f>VLOOKUP(NoviaFunds[[#This Row],[ISIN]],'Novia Web Query'!$A:$E,3,FALSE)</f>
        <v>UT Global Equity Income</v>
      </c>
      <c r="D459" s="139">
        <f>VLOOKUP(NoviaFunds[[#This Row],[ISIN]],'Novia Web Query'!$A:$E,4,FALSE)/100</f>
        <v>8.6999999999999994E-3</v>
      </c>
      <c r="E459" s="3" t="str">
        <f>VLOOKUP(NoviaFunds[[#This Row],[ISIN]],'Novia Web Query'!$A:$E,5,FALSE)</f>
        <v>01/12/2021</v>
      </c>
      <c r="F459" t="str">
        <f>VLOOKUP(NoviaFunds[[#This Row],[Sector]],Sectors[],2,FALSE)</f>
        <v>Other Equities</v>
      </c>
    </row>
    <row r="460" spans="1:6" x14ac:dyDescent="0.2">
      <c r="A460" t="str">
        <f>'Novia Web Query'!A460</f>
        <v>GB00B3NG6H45</v>
      </c>
      <c r="B460" t="str">
        <f>VLOOKUP(NoviaFunds[[#This Row],[ISIN]],'Novia Web Query'!$A:$E,2,FALSE)</f>
        <v>ASI World Income Equity I Inc TR in GB</v>
      </c>
      <c r="C460" t="str">
        <f>VLOOKUP(NoviaFunds[[#This Row],[ISIN]],'Novia Web Query'!$A:$E,3,FALSE)</f>
        <v>UT Global Equity Income</v>
      </c>
      <c r="D460" s="139">
        <f>VLOOKUP(NoviaFunds[[#This Row],[ISIN]],'Novia Web Query'!$A:$E,4,FALSE)/100</f>
        <v>8.6999999999999994E-3</v>
      </c>
      <c r="E460" s="3" t="str">
        <f>VLOOKUP(NoviaFunds[[#This Row],[ISIN]],'Novia Web Query'!$A:$E,5,FALSE)</f>
        <v>01/12/2021</v>
      </c>
      <c r="F460" t="str">
        <f>VLOOKUP(NoviaFunds[[#This Row],[Sector]],Sectors[],2,FALSE)</f>
        <v>Other Equities</v>
      </c>
    </row>
    <row r="461" spans="1:6" x14ac:dyDescent="0.2">
      <c r="A461" t="str">
        <f>'Novia Web Query'!A461</f>
        <v>GB00B3Z57P41</v>
      </c>
      <c r="B461" t="str">
        <f>VLOOKUP(NoviaFunds[[#This Row],[ISIN]],'Novia Web Query'!$A:$E,2,FALSE)</f>
        <v>Aviva Inv AI Multi-asset Plus I 1 in GB</v>
      </c>
      <c r="C461" t="str">
        <f>VLOOKUP(NoviaFunds[[#This Row],[ISIN]],'Novia Web Query'!$A:$E,3,FALSE)</f>
        <v>UT Volatility Managed</v>
      </c>
      <c r="D461" s="139">
        <f>VLOOKUP(NoviaFunds[[#This Row],[ISIN]],'Novia Web Query'!$A:$E,4,FALSE)/100</f>
        <v>8.1000000000000013E-3</v>
      </c>
      <c r="E461" s="3" t="str">
        <f>VLOOKUP(NoviaFunds[[#This Row],[ISIN]],'Novia Web Query'!$A:$E,5,FALSE)</f>
        <v>28/02/2021</v>
      </c>
      <c r="F461" t="e">
        <f>VLOOKUP(NoviaFunds[[#This Row],[Sector]],Sectors[],2,FALSE)</f>
        <v>#N/A</v>
      </c>
    </row>
    <row r="462" spans="1:6" x14ac:dyDescent="0.2">
      <c r="A462" t="str">
        <f>'Novia Web Query'!A462</f>
        <v>GB00B70FJQ29</v>
      </c>
      <c r="B462" t="str">
        <f>VLOOKUP(NoviaFunds[[#This Row],[ISIN]],'Novia Web Query'!$A:$E,2,FALSE)</f>
        <v>Aviva Inv AI Multi-asset Plus I 2 in GB</v>
      </c>
      <c r="C462" t="str">
        <f>VLOOKUP(NoviaFunds[[#This Row],[ISIN]],'Novia Web Query'!$A:$E,3,FALSE)</f>
        <v>UT Volatility Managed</v>
      </c>
      <c r="D462" s="139">
        <f>VLOOKUP(NoviaFunds[[#This Row],[ISIN]],'Novia Web Query'!$A:$E,4,FALSE)/100</f>
        <v>5.5000000000000005E-3</v>
      </c>
      <c r="E462" s="3" t="str">
        <f>VLOOKUP(NoviaFunds[[#This Row],[ISIN]],'Novia Web Query'!$A:$E,5,FALSE)</f>
        <v>28/02/2021</v>
      </c>
      <c r="F462" t="e">
        <f>VLOOKUP(NoviaFunds[[#This Row],[Sector]],Sectors[],2,FALSE)</f>
        <v>#N/A</v>
      </c>
    </row>
    <row r="463" spans="1:6" x14ac:dyDescent="0.2">
      <c r="A463" t="str">
        <f>'Novia Web Query'!A463</f>
        <v>GB00B4XCWJ38</v>
      </c>
      <c r="B463" t="str">
        <f>VLOOKUP(NoviaFunds[[#This Row],[ISIN]],'Novia Web Query'!$A:$E,2,FALSE)</f>
        <v>Aviva Inv AI Multi-asset Plus II 1 in GB</v>
      </c>
      <c r="C463" t="str">
        <f>VLOOKUP(NoviaFunds[[#This Row],[ISIN]],'Novia Web Query'!$A:$E,3,FALSE)</f>
        <v>UT Volatility Managed</v>
      </c>
      <c r="D463" s="139">
        <f>VLOOKUP(NoviaFunds[[#This Row],[ISIN]],'Novia Web Query'!$A:$E,4,FALSE)/100</f>
        <v>8.0000000000000002E-3</v>
      </c>
      <c r="E463" s="3" t="str">
        <f>VLOOKUP(NoviaFunds[[#This Row],[ISIN]],'Novia Web Query'!$A:$E,5,FALSE)</f>
        <v>28/02/2021</v>
      </c>
      <c r="F463" t="e">
        <f>VLOOKUP(NoviaFunds[[#This Row],[Sector]],Sectors[],2,FALSE)</f>
        <v>#N/A</v>
      </c>
    </row>
    <row r="464" spans="1:6" x14ac:dyDescent="0.2">
      <c r="A464" t="str">
        <f>'Novia Web Query'!A464</f>
        <v>GB00B7JRQQ84</v>
      </c>
      <c r="B464" t="str">
        <f>VLOOKUP(NoviaFunds[[#This Row],[ISIN]],'Novia Web Query'!$A:$E,2,FALSE)</f>
        <v>Aviva Inv AI Multi-asset Plus II 2 in GB</v>
      </c>
      <c r="C464" t="str">
        <f>VLOOKUP(NoviaFunds[[#This Row],[ISIN]],'Novia Web Query'!$A:$E,3,FALSE)</f>
        <v>UT Volatility Managed</v>
      </c>
      <c r="D464" s="139">
        <f>VLOOKUP(NoviaFunds[[#This Row],[ISIN]],'Novia Web Query'!$A:$E,4,FALSE)/100</f>
        <v>5.6999999999999993E-3</v>
      </c>
      <c r="E464" s="3" t="str">
        <f>VLOOKUP(NoviaFunds[[#This Row],[ISIN]],'Novia Web Query'!$A:$E,5,FALSE)</f>
        <v>28/02/2021</v>
      </c>
      <c r="F464" t="e">
        <f>VLOOKUP(NoviaFunds[[#This Row],[Sector]],Sectors[],2,FALSE)</f>
        <v>#N/A</v>
      </c>
    </row>
    <row r="465" spans="1:6" x14ac:dyDescent="0.2">
      <c r="A465" t="str">
        <f>'Novia Web Query'!A465</f>
        <v>GB00B6X8K808</v>
      </c>
      <c r="B465" t="str">
        <f>VLOOKUP(NoviaFunds[[#This Row],[ISIN]],'Novia Web Query'!$A:$E,2,FALSE)</f>
        <v>Aviva Inv AI Multi-asset Plus III 1 in GB</v>
      </c>
      <c r="C465" t="str">
        <f>VLOOKUP(NoviaFunds[[#This Row],[ISIN]],'Novia Web Query'!$A:$E,3,FALSE)</f>
        <v>UT Volatility Managed</v>
      </c>
      <c r="D465" s="139">
        <f>VLOOKUP(NoviaFunds[[#This Row],[ISIN]],'Novia Web Query'!$A:$E,4,FALSE)/100</f>
        <v>8.0000000000000002E-3</v>
      </c>
      <c r="E465" s="3" t="str">
        <f>VLOOKUP(NoviaFunds[[#This Row],[ISIN]],'Novia Web Query'!$A:$E,5,FALSE)</f>
        <v>28/02/2021</v>
      </c>
      <c r="F465" t="e">
        <f>VLOOKUP(NoviaFunds[[#This Row],[Sector]],Sectors[],2,FALSE)</f>
        <v>#N/A</v>
      </c>
    </row>
    <row r="466" spans="1:6" x14ac:dyDescent="0.2">
      <c r="A466" t="str">
        <f>'Novia Web Query'!A466</f>
        <v>GB00B581Z480</v>
      </c>
      <c r="B466" t="str">
        <f>VLOOKUP(NoviaFunds[[#This Row],[ISIN]],'Novia Web Query'!$A:$E,2,FALSE)</f>
        <v>Aviva Inv AI Multi-asset Plus III 2 in GB</v>
      </c>
      <c r="C466" t="str">
        <f>VLOOKUP(NoviaFunds[[#This Row],[ISIN]],'Novia Web Query'!$A:$E,3,FALSE)</f>
        <v>UT Volatility Managed</v>
      </c>
      <c r="D466" s="139">
        <f>VLOOKUP(NoviaFunds[[#This Row],[ISIN]],'Novia Web Query'!$A:$E,4,FALSE)/100</f>
        <v>5.6999999999999993E-3</v>
      </c>
      <c r="E466" s="3" t="str">
        <f>VLOOKUP(NoviaFunds[[#This Row],[ISIN]],'Novia Web Query'!$A:$E,5,FALSE)</f>
        <v>28/02/2021</v>
      </c>
      <c r="F466" t="e">
        <f>VLOOKUP(NoviaFunds[[#This Row],[Sector]],Sectors[],2,FALSE)</f>
        <v>#N/A</v>
      </c>
    </row>
    <row r="467" spans="1:6" x14ac:dyDescent="0.2">
      <c r="A467" t="str">
        <f>'Novia Web Query'!A467</f>
        <v>GB00B4TVCM71</v>
      </c>
      <c r="B467" t="str">
        <f>VLOOKUP(NoviaFunds[[#This Row],[ISIN]],'Novia Web Query'!$A:$E,2,FALSE)</f>
        <v>Aviva Inv AI Multi-asset Plus IV 1 in GB</v>
      </c>
      <c r="C467" t="str">
        <f>VLOOKUP(NoviaFunds[[#This Row],[ISIN]],'Novia Web Query'!$A:$E,3,FALSE)</f>
        <v>UT Volatility Managed</v>
      </c>
      <c r="D467" s="139">
        <f>VLOOKUP(NoviaFunds[[#This Row],[ISIN]],'Novia Web Query'!$A:$E,4,FALSE)/100</f>
        <v>8.199999999999999E-3</v>
      </c>
      <c r="E467" s="3" t="str">
        <f>VLOOKUP(NoviaFunds[[#This Row],[ISIN]],'Novia Web Query'!$A:$E,5,FALSE)</f>
        <v>30/11/2020</v>
      </c>
      <c r="F467" t="e">
        <f>VLOOKUP(NoviaFunds[[#This Row],[Sector]],Sectors[],2,FALSE)</f>
        <v>#N/A</v>
      </c>
    </row>
    <row r="468" spans="1:6" x14ac:dyDescent="0.2">
      <c r="A468" t="str">
        <f>'Novia Web Query'!A468</f>
        <v>GB00B72W9168</v>
      </c>
      <c r="B468" t="str">
        <f>VLOOKUP(NoviaFunds[[#This Row],[ISIN]],'Novia Web Query'!$A:$E,2,FALSE)</f>
        <v>Aviva Inv AI Multi-asset Plus IV 2 in GB</v>
      </c>
      <c r="C468" t="str">
        <f>VLOOKUP(NoviaFunds[[#This Row],[ISIN]],'Novia Web Query'!$A:$E,3,FALSE)</f>
        <v>UT Volatility Managed</v>
      </c>
      <c r="D468" s="139">
        <f>VLOOKUP(NoviaFunds[[#This Row],[ISIN]],'Novia Web Query'!$A:$E,4,FALSE)/100</f>
        <v>6.0000000000000001E-3</v>
      </c>
      <c r="E468" s="3" t="str">
        <f>VLOOKUP(NoviaFunds[[#This Row],[ISIN]],'Novia Web Query'!$A:$E,5,FALSE)</f>
        <v>30/11/2020</v>
      </c>
      <c r="F468" t="e">
        <f>VLOOKUP(NoviaFunds[[#This Row],[Sector]],Sectors[],2,FALSE)</f>
        <v>#N/A</v>
      </c>
    </row>
    <row r="469" spans="1:6" x14ac:dyDescent="0.2">
      <c r="A469" t="str">
        <f>'Novia Web Query'!A469</f>
        <v>GB00B4Y26M34</v>
      </c>
      <c r="B469" t="str">
        <f>VLOOKUP(NoviaFunds[[#This Row],[ISIN]],'Novia Web Query'!$A:$E,2,FALSE)</f>
        <v>Aviva Inv AI Multi-asset Plus V 1 in GB</v>
      </c>
      <c r="C469" t="str">
        <f>VLOOKUP(NoviaFunds[[#This Row],[ISIN]],'Novia Web Query'!$A:$E,3,FALSE)</f>
        <v>UT Volatility Managed</v>
      </c>
      <c r="D469" s="139">
        <f>VLOOKUP(NoviaFunds[[#This Row],[ISIN]],'Novia Web Query'!$A:$E,4,FALSE)/100</f>
        <v>8.3000000000000001E-3</v>
      </c>
      <c r="E469" s="3" t="str">
        <f>VLOOKUP(NoviaFunds[[#This Row],[ISIN]],'Novia Web Query'!$A:$E,5,FALSE)</f>
        <v>30/11/2020</v>
      </c>
      <c r="F469" t="e">
        <f>VLOOKUP(NoviaFunds[[#This Row],[Sector]],Sectors[],2,FALSE)</f>
        <v>#N/A</v>
      </c>
    </row>
    <row r="470" spans="1:6" x14ac:dyDescent="0.2">
      <c r="A470" t="str">
        <f>'Novia Web Query'!A470</f>
        <v>GB00B7FM5934</v>
      </c>
      <c r="B470" t="str">
        <f>VLOOKUP(NoviaFunds[[#This Row],[ISIN]],'Novia Web Query'!$A:$E,2,FALSE)</f>
        <v>Aviva Inv AI Multi-asset Plus V 2 in GB</v>
      </c>
      <c r="C470" t="str">
        <f>VLOOKUP(NoviaFunds[[#This Row],[ISIN]],'Novia Web Query'!$A:$E,3,FALSE)</f>
        <v>UT Volatility Managed</v>
      </c>
      <c r="D470" s="139">
        <f>VLOOKUP(NoviaFunds[[#This Row],[ISIN]],'Novia Web Query'!$A:$E,4,FALSE)/100</f>
        <v>6.0000000000000001E-3</v>
      </c>
      <c r="E470" s="3" t="str">
        <f>VLOOKUP(NoviaFunds[[#This Row],[ISIN]],'Novia Web Query'!$A:$E,5,FALSE)</f>
        <v>30/11/2020</v>
      </c>
      <c r="F470" t="e">
        <f>VLOOKUP(NoviaFunds[[#This Row],[Sector]],Sectors[],2,FALSE)</f>
        <v>#N/A</v>
      </c>
    </row>
    <row r="471" spans="1:6" x14ac:dyDescent="0.2">
      <c r="A471" t="str">
        <f>'Novia Web Query'!A471</f>
        <v>GB0004457973</v>
      </c>
      <c r="B471" t="str">
        <f>VLOOKUP(NoviaFunds[[#This Row],[ISIN]],'Novia Web Query'!$A:$E,2,FALSE)</f>
        <v>Aviva Inv Continental European Equity 1 in GB</v>
      </c>
      <c r="C471" t="str">
        <f>VLOOKUP(NoviaFunds[[#This Row],[ISIN]],'Novia Web Query'!$A:$E,3,FALSE)</f>
        <v>UT Europe Excluding UK</v>
      </c>
      <c r="D471" s="139">
        <f>VLOOKUP(NoviaFunds[[#This Row],[ISIN]],'Novia Web Query'!$A:$E,4,FALSE)/100</f>
        <v>0.01</v>
      </c>
      <c r="E471" s="3" t="str">
        <f>VLOOKUP(NoviaFunds[[#This Row],[ISIN]],'Novia Web Query'!$A:$E,5,FALSE)</f>
        <v>16/11/2020</v>
      </c>
      <c r="F471" t="str">
        <f>VLOOKUP(NoviaFunds[[#This Row],[Sector]],Sectors[],2,FALSE)</f>
        <v>European Equities</v>
      </c>
    </row>
    <row r="472" spans="1:6" x14ac:dyDescent="0.2">
      <c r="A472" t="str">
        <f>'Novia Web Query'!A472</f>
        <v>GB0004461322</v>
      </c>
      <c r="B472" t="str">
        <f>VLOOKUP(NoviaFunds[[#This Row],[ISIN]],'Novia Web Query'!$A:$E,2,FALSE)</f>
        <v>Aviva Inv Continental European Equity 2 in GB</v>
      </c>
      <c r="C472" t="str">
        <f>VLOOKUP(NoviaFunds[[#This Row],[ISIN]],'Novia Web Query'!$A:$E,3,FALSE)</f>
        <v>UT Europe Excluding UK</v>
      </c>
      <c r="D472" s="139">
        <f>VLOOKUP(NoviaFunds[[#This Row],[ISIN]],'Novia Web Query'!$A:$E,4,FALSE)/100</f>
        <v>8.5000000000000006E-3</v>
      </c>
      <c r="E472" s="3" t="str">
        <f>VLOOKUP(NoviaFunds[[#This Row],[ISIN]],'Novia Web Query'!$A:$E,5,FALSE)</f>
        <v>16/11/2020</v>
      </c>
      <c r="F472" t="str">
        <f>VLOOKUP(NoviaFunds[[#This Row],[Sector]],Sectors[],2,FALSE)</f>
        <v>European Equities</v>
      </c>
    </row>
    <row r="473" spans="1:6" x14ac:dyDescent="0.2">
      <c r="A473" t="str">
        <f>'Novia Web Query'!A473</f>
        <v>GB0004462957</v>
      </c>
      <c r="B473" t="str">
        <f>VLOOKUP(NoviaFunds[[#This Row],[ISIN]],'Novia Web Query'!$A:$E,2,FALSE)</f>
        <v>Aviva Inv Corporate Bond 2 TR in GB</v>
      </c>
      <c r="C473" t="str">
        <f>VLOOKUP(NoviaFunds[[#This Row],[ISIN]],'Novia Web Query'!$A:$E,3,FALSE)</f>
        <v>UT Sterling Corporate Bond</v>
      </c>
      <c r="D473" s="139">
        <f>VLOOKUP(NoviaFunds[[#This Row],[ISIN]],'Novia Web Query'!$A:$E,4,FALSE)/100</f>
        <v>6.1999999999999998E-3</v>
      </c>
      <c r="E473" s="3" t="str">
        <f>VLOOKUP(NoviaFunds[[#This Row],[ISIN]],'Novia Web Query'!$A:$E,5,FALSE)</f>
        <v>16/11/2020</v>
      </c>
      <c r="F473" t="str">
        <f>VLOOKUP(NoviaFunds[[#This Row],[Sector]],Sectors[],2,FALSE)</f>
        <v>Sterling Corporate Bonds</v>
      </c>
    </row>
    <row r="474" spans="1:6" x14ac:dyDescent="0.2">
      <c r="A474" t="str">
        <f>'Novia Web Query'!A474</f>
        <v>GB0033606590</v>
      </c>
      <c r="B474" t="str">
        <f>VLOOKUP(NoviaFunds[[#This Row],[ISIN]],'Novia Web Query'!$A:$E,2,FALSE)</f>
        <v>Aviva Inv Distribution 1 Acc in GB</v>
      </c>
      <c r="C474" t="str">
        <f>VLOOKUP(NoviaFunds[[#This Row],[ISIN]],'Novia Web Query'!$A:$E,3,FALSE)</f>
        <v>UT Mixed Investment 20-60% Shares</v>
      </c>
      <c r="D474" s="139">
        <f>VLOOKUP(NoviaFunds[[#This Row],[ISIN]],'Novia Web Query'!$A:$E,4,FALSE)/100</f>
        <v>8.8000000000000005E-3</v>
      </c>
      <c r="E474" s="3" t="str">
        <f>VLOOKUP(NoviaFunds[[#This Row],[ISIN]],'Novia Web Query'!$A:$E,5,FALSE)</f>
        <v>16/11/2020</v>
      </c>
      <c r="F474" t="str">
        <f>VLOOKUP(NoviaFunds[[#This Row],[Sector]],Sectors[],2,FALSE)</f>
        <v>Mixed 20%-60%</v>
      </c>
    </row>
    <row r="475" spans="1:6" x14ac:dyDescent="0.2">
      <c r="A475" t="str">
        <f>'Novia Web Query'!A475</f>
        <v>GB0030442213</v>
      </c>
      <c r="B475" t="str">
        <f>VLOOKUP(NoviaFunds[[#This Row],[ISIN]],'Novia Web Query'!$A:$E,2,FALSE)</f>
        <v>Aviva Inv Distribution 1 Inc TR in GB</v>
      </c>
      <c r="C475" t="str">
        <f>VLOOKUP(NoviaFunds[[#This Row],[ISIN]],'Novia Web Query'!$A:$E,3,FALSE)</f>
        <v>UT Mixed Investment 20-60% Shares</v>
      </c>
      <c r="D475" s="139">
        <f>VLOOKUP(NoviaFunds[[#This Row],[ISIN]],'Novia Web Query'!$A:$E,4,FALSE)/100</f>
        <v>8.8000000000000005E-3</v>
      </c>
      <c r="E475" s="3" t="str">
        <f>VLOOKUP(NoviaFunds[[#This Row],[ISIN]],'Novia Web Query'!$A:$E,5,FALSE)</f>
        <v>16/11/2020</v>
      </c>
      <c r="F475" t="str">
        <f>VLOOKUP(NoviaFunds[[#This Row],[Sector]],Sectors[],2,FALSE)</f>
        <v>Mixed 20%-60%</v>
      </c>
    </row>
    <row r="476" spans="1:6" x14ac:dyDescent="0.2">
      <c r="A476" t="str">
        <f>'Novia Web Query'!A476</f>
        <v>GB0030442320</v>
      </c>
      <c r="B476" t="str">
        <f>VLOOKUP(NoviaFunds[[#This Row],[ISIN]],'Novia Web Query'!$A:$E,2,FALSE)</f>
        <v>Aviva Inv Distribution 2 TR in GB</v>
      </c>
      <c r="C476" t="str">
        <f>VLOOKUP(NoviaFunds[[#This Row],[ISIN]],'Novia Web Query'!$A:$E,3,FALSE)</f>
        <v>UT Mixed Investment 20-60% Shares</v>
      </c>
      <c r="D476" s="139">
        <f>VLOOKUP(NoviaFunds[[#This Row],[ISIN]],'Novia Web Query'!$A:$E,4,FALSE)/100</f>
        <v>7.3000000000000001E-3</v>
      </c>
      <c r="E476" s="3" t="str">
        <f>VLOOKUP(NoviaFunds[[#This Row],[ISIN]],'Novia Web Query'!$A:$E,5,FALSE)</f>
        <v>16/11/2020</v>
      </c>
      <c r="F476" t="str">
        <f>VLOOKUP(NoviaFunds[[#This Row],[Sector]],Sectors[],2,FALSE)</f>
        <v>Mixed 20%-60%</v>
      </c>
    </row>
    <row r="477" spans="1:6" x14ac:dyDescent="0.2">
      <c r="A477" t="str">
        <f>'Novia Web Query'!A477</f>
        <v>GB00BYZC2W42</v>
      </c>
      <c r="B477" t="str">
        <f>VLOOKUP(NoviaFunds[[#This Row],[ISIN]],'Novia Web Query'!$A:$E,2,FALSE)</f>
        <v>Aviva Inv Distribution 2 Acc in GB</v>
      </c>
      <c r="C477" t="str">
        <f>VLOOKUP(NoviaFunds[[#This Row],[ISIN]],'Novia Web Query'!$A:$E,3,FALSE)</f>
        <v>UT Mixed Investment 20-60% Shares</v>
      </c>
      <c r="D477" s="139">
        <f>VLOOKUP(NoviaFunds[[#This Row],[ISIN]],'Novia Web Query'!$A:$E,4,FALSE)/100</f>
        <v>7.3000000000000001E-3</v>
      </c>
      <c r="E477" s="3" t="str">
        <f>VLOOKUP(NoviaFunds[[#This Row],[ISIN]],'Novia Web Query'!$A:$E,5,FALSE)</f>
        <v>16/11/2020</v>
      </c>
      <c r="F477" t="str">
        <f>VLOOKUP(NoviaFunds[[#This Row],[Sector]],Sectors[],2,FALSE)</f>
        <v>Mixed 20%-60%</v>
      </c>
    </row>
    <row r="478" spans="1:6" x14ac:dyDescent="0.2">
      <c r="A478" t="str">
        <f>'Novia Web Query'!A478</f>
        <v>GB00B4RFKY95</v>
      </c>
      <c r="B478" t="str">
        <f>VLOOKUP(NoviaFunds[[#This Row],[ISIN]],'Novia Web Query'!$A:$E,2,FALSE)</f>
        <v>Aviva Inv European Property I Inc GBP TR in GB</v>
      </c>
      <c r="C478" t="str">
        <f>VLOOKUP(NoviaFunds[[#This Row],[ISIN]],'Novia Web Query'!$A:$E,3,FALSE)</f>
        <v>UT UK Direct Property</v>
      </c>
      <c r="D478" s="139">
        <f>VLOOKUP(NoviaFunds[[#This Row],[ISIN]],'Novia Web Query'!$A:$E,4,FALSE)/100</f>
        <v>1.89E-2</v>
      </c>
      <c r="E478" s="3" t="str">
        <f>VLOOKUP(NoviaFunds[[#This Row],[ISIN]],'Novia Web Query'!$A:$E,5,FALSE)</f>
        <v>04/06/2018</v>
      </c>
      <c r="F478" t="e">
        <f>VLOOKUP(NoviaFunds[[#This Row],[Sector]],Sectors[],2,FALSE)</f>
        <v>#N/A</v>
      </c>
    </row>
    <row r="479" spans="1:6" x14ac:dyDescent="0.2">
      <c r="A479" t="str">
        <f>'Novia Web Query'!A479</f>
        <v>GB00BYXHPJ99</v>
      </c>
      <c r="B479" t="str">
        <f>VLOOKUP(NoviaFunds[[#This Row],[ISIN]],'Novia Web Query'!$A:$E,2,FALSE)</f>
        <v>Aviva Inv Global Equity Endurance 2 in GB</v>
      </c>
      <c r="C479" t="str">
        <f>VLOOKUP(NoviaFunds[[#This Row],[ISIN]],'Novia Web Query'!$A:$E,3,FALSE)</f>
        <v>UT Global</v>
      </c>
      <c r="D479" s="139">
        <f>VLOOKUP(NoviaFunds[[#This Row],[ISIN]],'Novia Web Query'!$A:$E,4,FALSE)/100</f>
        <v>8.6999999999999994E-3</v>
      </c>
      <c r="E479" s="3" t="str">
        <f>VLOOKUP(NoviaFunds[[#This Row],[ISIN]],'Novia Web Query'!$A:$E,5,FALSE)</f>
        <v>16/11/2020</v>
      </c>
      <c r="F479" t="str">
        <f>VLOOKUP(NoviaFunds[[#This Row],[Sector]],Sectors[],2,FALSE)</f>
        <v>Other Equities</v>
      </c>
    </row>
    <row r="480" spans="1:6" x14ac:dyDescent="0.2">
      <c r="A480" t="str">
        <f>'Novia Web Query'!A480</f>
        <v>GB0030441918</v>
      </c>
      <c r="B480" t="str">
        <f>VLOOKUP(NoviaFunds[[#This Row],[ISIN]],'Novia Web Query'!$A:$E,2,FALSE)</f>
        <v>Aviva Inv Global Equity Income 1 in GB</v>
      </c>
      <c r="C480" t="str">
        <f>VLOOKUP(NoviaFunds[[#This Row],[ISIN]],'Novia Web Query'!$A:$E,3,FALSE)</f>
        <v>UT Global Equity Income</v>
      </c>
      <c r="D480" s="139">
        <f>VLOOKUP(NoviaFunds[[#This Row],[ISIN]],'Novia Web Query'!$A:$E,4,FALSE)/100</f>
        <v>1.1200000000000002E-2</v>
      </c>
      <c r="E480" s="3" t="str">
        <f>VLOOKUP(NoviaFunds[[#This Row],[ISIN]],'Novia Web Query'!$A:$E,5,FALSE)</f>
        <v>16/11/2020</v>
      </c>
      <c r="F480" t="str">
        <f>VLOOKUP(NoviaFunds[[#This Row],[Sector]],Sectors[],2,FALSE)</f>
        <v>Other Equities</v>
      </c>
    </row>
    <row r="481" spans="1:6" x14ac:dyDescent="0.2">
      <c r="A481" t="str">
        <f>'Novia Web Query'!A481</f>
        <v>GB0030442098</v>
      </c>
      <c r="B481" t="str">
        <f>VLOOKUP(NoviaFunds[[#This Row],[ISIN]],'Novia Web Query'!$A:$E,2,FALSE)</f>
        <v>Aviva Inv Global Equity Income 2 Acc in GB</v>
      </c>
      <c r="C481" t="str">
        <f>VLOOKUP(NoviaFunds[[#This Row],[ISIN]],'Novia Web Query'!$A:$E,3,FALSE)</f>
        <v>UT Global Equity Income</v>
      </c>
      <c r="D481" s="139">
        <f>VLOOKUP(NoviaFunds[[#This Row],[ISIN]],'Novia Web Query'!$A:$E,4,FALSE)/100</f>
        <v>8.6999999999999994E-3</v>
      </c>
      <c r="E481" s="3" t="str">
        <f>VLOOKUP(NoviaFunds[[#This Row],[ISIN]],'Novia Web Query'!$A:$E,5,FALSE)</f>
        <v>16/11/2020</v>
      </c>
      <c r="F481" t="str">
        <f>VLOOKUP(NoviaFunds[[#This Row],[Sector]],Sectors[],2,FALSE)</f>
        <v>Other Equities</v>
      </c>
    </row>
    <row r="482" spans="1:6" x14ac:dyDescent="0.2">
      <c r="A482" t="str">
        <f>'Novia Web Query'!A482</f>
        <v>GB00B9LCNW07</v>
      </c>
      <c r="B482" t="str">
        <f>VLOOKUP(NoviaFunds[[#This Row],[ISIN]],'Novia Web Query'!$A:$E,2,FALSE)</f>
        <v>Aviva Inv Global Equity Income 2 Inc TR in GB</v>
      </c>
      <c r="C482" t="str">
        <f>VLOOKUP(NoviaFunds[[#This Row],[ISIN]],'Novia Web Query'!$A:$E,3,FALSE)</f>
        <v>UT Global Equity Income</v>
      </c>
      <c r="D482" s="139">
        <f>VLOOKUP(NoviaFunds[[#This Row],[ISIN]],'Novia Web Query'!$A:$E,4,FALSE)/100</f>
        <v>8.6999999999999994E-3</v>
      </c>
      <c r="E482" s="3" t="str">
        <f>VLOOKUP(NoviaFunds[[#This Row],[ISIN]],'Novia Web Query'!$A:$E,5,FALSE)</f>
        <v>16/11/2020</v>
      </c>
      <c r="F482" t="str">
        <f>VLOOKUP(NoviaFunds[[#This Row],[Sector]],Sectors[],2,FALSE)</f>
        <v>Other Equities</v>
      </c>
    </row>
    <row r="483" spans="1:6" x14ac:dyDescent="0.2">
      <c r="A483" t="str">
        <f>'Novia Web Query'!A483</f>
        <v>GB00B3CGJ878</v>
      </c>
      <c r="B483" t="str">
        <f>VLOOKUP(NoviaFunds[[#This Row],[ISIN]],'Novia Web Query'!$A:$E,2,FALSE)</f>
        <v>Aviva Inv High Yield Bond 1 Inc TR in GB</v>
      </c>
      <c r="C483" t="str">
        <f>VLOOKUP(NoviaFunds[[#This Row],[ISIN]],'Novia Web Query'!$A:$E,3,FALSE)</f>
        <v>UT Sterling High Yield</v>
      </c>
      <c r="D483" s="139">
        <f>VLOOKUP(NoviaFunds[[#This Row],[ISIN]],'Novia Web Query'!$A:$E,4,FALSE)/100</f>
        <v>8.8000000000000005E-3</v>
      </c>
      <c r="E483" s="3" t="str">
        <f>VLOOKUP(NoviaFunds[[#This Row],[ISIN]],'Novia Web Query'!$A:$E,5,FALSE)</f>
        <v>16/11/2020</v>
      </c>
      <c r="F483" t="str">
        <f>VLOOKUP(NoviaFunds[[#This Row],[Sector]],Sectors[],2,FALSE)</f>
        <v>High Yield</v>
      </c>
    </row>
    <row r="484" spans="1:6" x14ac:dyDescent="0.2">
      <c r="A484" t="str">
        <f>'Novia Web Query'!A484</f>
        <v>GB00B3CGJJ86</v>
      </c>
      <c r="B484" t="str">
        <f>VLOOKUP(NoviaFunds[[#This Row],[ISIN]],'Novia Web Query'!$A:$E,2,FALSE)</f>
        <v>Aviva Inv High Yield Bond 2 Inc TR in GB</v>
      </c>
      <c r="C484" t="str">
        <f>VLOOKUP(NoviaFunds[[#This Row],[ISIN]],'Novia Web Query'!$A:$E,3,FALSE)</f>
        <v>UT Sterling High Yield</v>
      </c>
      <c r="D484" s="139">
        <f>VLOOKUP(NoviaFunds[[#This Row],[ISIN]],'Novia Web Query'!$A:$E,4,FALSE)/100</f>
        <v>6.4000000000000003E-3</v>
      </c>
      <c r="E484" s="3" t="str">
        <f>VLOOKUP(NoviaFunds[[#This Row],[ISIN]],'Novia Web Query'!$A:$E,5,FALSE)</f>
        <v>16/11/2020</v>
      </c>
      <c r="F484" t="str">
        <f>VLOOKUP(NoviaFunds[[#This Row],[Sector]],Sectors[],2,FALSE)</f>
        <v>High Yield</v>
      </c>
    </row>
    <row r="485" spans="1:6" x14ac:dyDescent="0.2">
      <c r="A485" t="str">
        <f>'Novia Web Query'!A485</f>
        <v>GB0008531187</v>
      </c>
      <c r="B485" t="str">
        <f>VLOOKUP(NoviaFunds[[#This Row],[ISIN]],'Novia Web Query'!$A:$E,2,FALSE)</f>
        <v>Aviva Inv Higher Income Plus 1 TR in GB</v>
      </c>
      <c r="C485" t="str">
        <f>VLOOKUP(NoviaFunds[[#This Row],[ISIN]],'Novia Web Query'!$A:$E,3,FALSE)</f>
        <v>UT Sterling Strategic Bond</v>
      </c>
      <c r="D485" s="139">
        <f>VLOOKUP(NoviaFunds[[#This Row],[ISIN]],'Novia Web Query'!$A:$E,4,FALSE)/100</f>
        <v>8.6999999999999994E-3</v>
      </c>
      <c r="E485" s="3" t="str">
        <f>VLOOKUP(NoviaFunds[[#This Row],[ISIN]],'Novia Web Query'!$A:$E,5,FALSE)</f>
        <v>16/11/2020</v>
      </c>
      <c r="F485" t="str">
        <f>VLOOKUP(NoviaFunds[[#This Row],[Sector]],Sectors[],2,FALSE)</f>
        <v>Other Bonds</v>
      </c>
    </row>
    <row r="486" spans="1:6" x14ac:dyDescent="0.2">
      <c r="A486" t="str">
        <f>'Novia Web Query'!A486</f>
        <v>GB0008531302</v>
      </c>
      <c r="B486" t="str">
        <f>VLOOKUP(NoviaFunds[[#This Row],[ISIN]],'Novia Web Query'!$A:$E,2,FALSE)</f>
        <v>Aviva Inv Higher Income Plus 2 TR in GB</v>
      </c>
      <c r="C486" t="str">
        <f>VLOOKUP(NoviaFunds[[#This Row],[ISIN]],'Novia Web Query'!$A:$E,3,FALSE)</f>
        <v>UT Sterling Strategic Bond</v>
      </c>
      <c r="D486" s="139">
        <f>VLOOKUP(NoviaFunds[[#This Row],[ISIN]],'Novia Web Query'!$A:$E,4,FALSE)/100</f>
        <v>6.1999999999999998E-3</v>
      </c>
      <c r="E486" s="3" t="str">
        <f>VLOOKUP(NoviaFunds[[#This Row],[ISIN]],'Novia Web Query'!$A:$E,5,FALSE)</f>
        <v>16/11/2020</v>
      </c>
      <c r="F486" t="str">
        <f>VLOOKUP(NoviaFunds[[#This Row],[Sector]],Sectors[],2,FALSE)</f>
        <v>Other Bonds</v>
      </c>
    </row>
    <row r="487" spans="1:6" x14ac:dyDescent="0.2">
      <c r="A487" t="str">
        <f>'Novia Web Query'!A487</f>
        <v>GB00B2NRNX53</v>
      </c>
      <c r="B487" t="str">
        <f>VLOOKUP(NoviaFunds[[#This Row],[ISIN]],'Novia Web Query'!$A:$E,2,FALSE)</f>
        <v>Aviva Inv International Index Tracking 2 Acc in GB</v>
      </c>
      <c r="C487" t="str">
        <f>VLOOKUP(NoviaFunds[[#This Row],[ISIN]],'Novia Web Query'!$A:$E,3,FALSE)</f>
        <v>UT Global</v>
      </c>
      <c r="D487" s="139">
        <f>VLOOKUP(NoviaFunds[[#This Row],[ISIN]],'Novia Web Query'!$A:$E,4,FALSE)/100</f>
        <v>2.5000000000000001E-3</v>
      </c>
      <c r="E487" s="3" t="str">
        <f>VLOOKUP(NoviaFunds[[#This Row],[ISIN]],'Novia Web Query'!$A:$E,5,FALSE)</f>
        <v>16/11/2020</v>
      </c>
      <c r="F487" t="str">
        <f>VLOOKUP(NoviaFunds[[#This Row],[Sector]],Sectors[],2,FALSE)</f>
        <v>Other Equities</v>
      </c>
    </row>
    <row r="488" spans="1:6" x14ac:dyDescent="0.2">
      <c r="A488" t="str">
        <f>'Novia Web Query'!A488</f>
        <v>GB0004459573</v>
      </c>
      <c r="B488" t="str">
        <f>VLOOKUP(NoviaFunds[[#This Row],[ISIN]],'Novia Web Query'!$A:$E,2,FALSE)</f>
        <v>Aviva Inv Managed High Income 1 TR in GB</v>
      </c>
      <c r="C488" t="str">
        <f>VLOOKUP(NoviaFunds[[#This Row],[ISIN]],'Novia Web Query'!$A:$E,3,FALSE)</f>
        <v>UT Sterling Strategic Bond</v>
      </c>
      <c r="D488" s="139">
        <f>VLOOKUP(NoviaFunds[[#This Row],[ISIN]],'Novia Web Query'!$A:$E,4,FALSE)/100</f>
        <v>8.8000000000000005E-3</v>
      </c>
      <c r="E488" s="3" t="str">
        <f>VLOOKUP(NoviaFunds[[#This Row],[ISIN]],'Novia Web Query'!$A:$E,5,FALSE)</f>
        <v>16/11/2020</v>
      </c>
      <c r="F488" t="str">
        <f>VLOOKUP(NoviaFunds[[#This Row],[Sector]],Sectors[],2,FALSE)</f>
        <v>Other Bonds</v>
      </c>
    </row>
    <row r="489" spans="1:6" x14ac:dyDescent="0.2">
      <c r="A489" t="str">
        <f>'Novia Web Query'!A489</f>
        <v>GB0004463039</v>
      </c>
      <c r="B489" t="str">
        <f>VLOOKUP(NoviaFunds[[#This Row],[ISIN]],'Novia Web Query'!$A:$E,2,FALSE)</f>
        <v>Aviva Inv Managed High Income 2 TR in GB</v>
      </c>
      <c r="C489" t="str">
        <f>VLOOKUP(NoviaFunds[[#This Row],[ISIN]],'Novia Web Query'!$A:$E,3,FALSE)</f>
        <v>UT Sterling Strategic Bond</v>
      </c>
      <c r="D489" s="139">
        <f>VLOOKUP(NoviaFunds[[#This Row],[ISIN]],'Novia Web Query'!$A:$E,4,FALSE)/100</f>
        <v>6.3E-3</v>
      </c>
      <c r="E489" s="3" t="str">
        <f>VLOOKUP(NoviaFunds[[#This Row],[ISIN]],'Novia Web Query'!$A:$E,5,FALSE)</f>
        <v>16/11/2020</v>
      </c>
      <c r="F489" t="str">
        <f>VLOOKUP(NoviaFunds[[#This Row],[Sector]],Sectors[],2,FALSE)</f>
        <v>Other Bonds</v>
      </c>
    </row>
    <row r="490" spans="1:6" x14ac:dyDescent="0.2">
      <c r="A490" t="str">
        <f>'Novia Web Query'!A490</f>
        <v>GB0030443286</v>
      </c>
      <c r="B490" t="str">
        <f>VLOOKUP(NoviaFunds[[#This Row],[ISIN]],'Novia Web Query'!$A:$E,2,FALSE)</f>
        <v>Aviva Inv Monthly Income Plus 1 Acc in GB</v>
      </c>
      <c r="C490" t="str">
        <f>VLOOKUP(NoviaFunds[[#This Row],[ISIN]],'Novia Web Query'!$A:$E,3,FALSE)</f>
        <v>UT Sterling Corporate Bond</v>
      </c>
      <c r="D490" s="139">
        <f>VLOOKUP(NoviaFunds[[#This Row],[ISIN]],'Novia Web Query'!$A:$E,4,FALSE)/100</f>
        <v>7.7000000000000002E-3</v>
      </c>
      <c r="E490" s="3" t="str">
        <f>VLOOKUP(NoviaFunds[[#This Row],[ISIN]],'Novia Web Query'!$A:$E,5,FALSE)</f>
        <v>16/11/2020</v>
      </c>
      <c r="F490" t="str">
        <f>VLOOKUP(NoviaFunds[[#This Row],[Sector]],Sectors[],2,FALSE)</f>
        <v>Sterling Corporate Bonds</v>
      </c>
    </row>
    <row r="491" spans="1:6" x14ac:dyDescent="0.2">
      <c r="A491" t="str">
        <f>'Novia Web Query'!A491</f>
        <v>GB0030443518</v>
      </c>
      <c r="B491" t="str">
        <f>VLOOKUP(NoviaFunds[[#This Row],[ISIN]],'Novia Web Query'!$A:$E,2,FALSE)</f>
        <v>Aviva Inv Monthly Income Plus 1 Inc TR in GB</v>
      </c>
      <c r="C491" t="str">
        <f>VLOOKUP(NoviaFunds[[#This Row],[ISIN]],'Novia Web Query'!$A:$E,3,FALSE)</f>
        <v>UT Sterling Corporate Bond</v>
      </c>
      <c r="D491" s="139">
        <f>VLOOKUP(NoviaFunds[[#This Row],[ISIN]],'Novia Web Query'!$A:$E,4,FALSE)/100</f>
        <v>7.7000000000000002E-3</v>
      </c>
      <c r="E491" s="3" t="str">
        <f>VLOOKUP(NoviaFunds[[#This Row],[ISIN]],'Novia Web Query'!$A:$E,5,FALSE)</f>
        <v>16/11/2020</v>
      </c>
      <c r="F491" t="str">
        <f>VLOOKUP(NoviaFunds[[#This Row],[Sector]],Sectors[],2,FALSE)</f>
        <v>Sterling Corporate Bonds</v>
      </c>
    </row>
    <row r="492" spans="1:6" x14ac:dyDescent="0.2">
      <c r="A492" t="str">
        <f>'Novia Web Query'!A492</f>
        <v>GB00B7RBPT80</v>
      </c>
      <c r="B492" t="str">
        <f>VLOOKUP(NoviaFunds[[#This Row],[ISIN]],'Novia Web Query'!$A:$E,2,FALSE)</f>
        <v>Aviva Inv Monthly Income Plus 2 Acc in GB</v>
      </c>
      <c r="C492" t="str">
        <f>VLOOKUP(NoviaFunds[[#This Row],[ISIN]],'Novia Web Query'!$A:$E,3,FALSE)</f>
        <v>UT Sterling Corporate Bond</v>
      </c>
      <c r="D492" s="139">
        <f>VLOOKUP(NoviaFunds[[#This Row],[ISIN]],'Novia Web Query'!$A:$E,4,FALSE)/100</f>
        <v>6.3E-3</v>
      </c>
      <c r="E492" s="3" t="str">
        <f>VLOOKUP(NoviaFunds[[#This Row],[ISIN]],'Novia Web Query'!$A:$E,5,FALSE)</f>
        <v>16/11/2020</v>
      </c>
      <c r="F492" t="str">
        <f>VLOOKUP(NoviaFunds[[#This Row],[Sector]],Sectors[],2,FALSE)</f>
        <v>Sterling Corporate Bonds</v>
      </c>
    </row>
    <row r="493" spans="1:6" x14ac:dyDescent="0.2">
      <c r="A493" t="str">
        <f>'Novia Web Query'!A493</f>
        <v>GB00B7RBPR66</v>
      </c>
      <c r="B493" t="str">
        <f>VLOOKUP(NoviaFunds[[#This Row],[ISIN]],'Novia Web Query'!$A:$E,2,FALSE)</f>
        <v>Aviva Inv Monthly Income Plus 2 Inc TR in GB</v>
      </c>
      <c r="C493" t="str">
        <f>VLOOKUP(NoviaFunds[[#This Row],[ISIN]],'Novia Web Query'!$A:$E,3,FALSE)</f>
        <v>UT Sterling Corporate Bond</v>
      </c>
      <c r="D493" s="139">
        <f>VLOOKUP(NoviaFunds[[#This Row],[ISIN]],'Novia Web Query'!$A:$E,4,FALSE)/100</f>
        <v>6.3E-3</v>
      </c>
      <c r="E493" s="3" t="str">
        <f>VLOOKUP(NoviaFunds[[#This Row],[ISIN]],'Novia Web Query'!$A:$E,5,FALSE)</f>
        <v>16/11/2020</v>
      </c>
      <c r="F493" t="str">
        <f>VLOOKUP(NoviaFunds[[#This Row],[Sector]],Sectors[],2,FALSE)</f>
        <v>Sterling Corporate Bonds</v>
      </c>
    </row>
    <row r="494" spans="1:6" x14ac:dyDescent="0.2">
      <c r="A494" t="str">
        <f>'Novia Web Query'!A494</f>
        <v>GB00BMJ6DT26</v>
      </c>
      <c r="B494" t="str">
        <f>VLOOKUP(NoviaFunds[[#This Row],[ISIN]],'Novia Web Query'!$A:$E,2,FALSE)</f>
        <v>Aviva Inv Multi Strategy Target Return 2 in GB</v>
      </c>
      <c r="C494" t="str">
        <f>VLOOKUP(NoviaFunds[[#This Row],[ISIN]],'Novia Web Query'!$A:$E,3,FALSE)</f>
        <v>UT Targeted Absolute Return</v>
      </c>
      <c r="D494" s="139">
        <f>VLOOKUP(NoviaFunds[[#This Row],[ISIN]],'Novia Web Query'!$A:$E,4,FALSE)/100</f>
        <v>8.5000000000000006E-3</v>
      </c>
      <c r="E494" s="3" t="str">
        <f>VLOOKUP(NoviaFunds[[#This Row],[ISIN]],'Novia Web Query'!$A:$E,5,FALSE)</f>
        <v>16/11/2020</v>
      </c>
      <c r="F494" t="str">
        <f>VLOOKUP(NoviaFunds[[#This Row],[Sector]],Sectors[],2,FALSE)</f>
        <v>Absolute Return</v>
      </c>
    </row>
    <row r="495" spans="1:6" x14ac:dyDescent="0.2">
      <c r="A495" t="str">
        <f>'Novia Web Query'!A495</f>
        <v>GB00B1N94V93</v>
      </c>
      <c r="B495" t="str">
        <f>VLOOKUP(NoviaFunds[[#This Row],[ISIN]],'Novia Web Query'!$A:$E,2,FALSE)</f>
        <v>Aviva Inv Multimanager 20-60% Shares 1 TR in GB</v>
      </c>
      <c r="C495" t="str">
        <f>VLOOKUP(NoviaFunds[[#This Row],[ISIN]],'Novia Web Query'!$A:$E,3,FALSE)</f>
        <v>UT Mixed Investment 20-60% Shares</v>
      </c>
      <c r="D495" s="139">
        <f>VLOOKUP(NoviaFunds[[#This Row],[ISIN]],'Novia Web Query'!$A:$E,4,FALSE)/100</f>
        <v>1.46E-2</v>
      </c>
      <c r="E495" s="3" t="str">
        <f>VLOOKUP(NoviaFunds[[#This Row],[ISIN]],'Novia Web Query'!$A:$E,5,FALSE)</f>
        <v>02/08/2021</v>
      </c>
      <c r="F495" t="str">
        <f>VLOOKUP(NoviaFunds[[#This Row],[Sector]],Sectors[],2,FALSE)</f>
        <v>Mixed 20%-60%</v>
      </c>
    </row>
    <row r="496" spans="1:6" x14ac:dyDescent="0.2">
      <c r="A496" t="str">
        <f>'Novia Web Query'!A496</f>
        <v>GB00B1N94W01</v>
      </c>
      <c r="B496" t="str">
        <f>VLOOKUP(NoviaFunds[[#This Row],[ISIN]],'Novia Web Query'!$A:$E,2,FALSE)</f>
        <v>Aviva Inv Multimanager 20-60% Shares 2 in GB</v>
      </c>
      <c r="C496" t="str">
        <f>VLOOKUP(NoviaFunds[[#This Row],[ISIN]],'Novia Web Query'!$A:$E,3,FALSE)</f>
        <v>UT Mixed Investment 20-60% Shares</v>
      </c>
      <c r="D496" s="139">
        <f>VLOOKUP(NoviaFunds[[#This Row],[ISIN]],'Novia Web Query'!$A:$E,4,FALSE)/100</f>
        <v>1.3100000000000001E-2</v>
      </c>
      <c r="E496" s="3" t="str">
        <f>VLOOKUP(NoviaFunds[[#This Row],[ISIN]],'Novia Web Query'!$A:$E,5,FALSE)</f>
        <v>28/02/2021</v>
      </c>
      <c r="F496" t="str">
        <f>VLOOKUP(NoviaFunds[[#This Row],[Sector]],Sectors[],2,FALSE)</f>
        <v>Mixed 20%-60%</v>
      </c>
    </row>
    <row r="497" spans="1:6" x14ac:dyDescent="0.2">
      <c r="A497" t="str">
        <f>'Novia Web Query'!A497</f>
        <v>GB00B7ZZR410</v>
      </c>
      <c r="B497" t="str">
        <f>VLOOKUP(NoviaFunds[[#This Row],[ISIN]],'Novia Web Query'!$A:$E,2,FALSE)</f>
        <v>Aviva Inv Multimanager 20-60% Shares 2 Inc TR in GB</v>
      </c>
      <c r="C497" t="str">
        <f>VLOOKUP(NoviaFunds[[#This Row],[ISIN]],'Novia Web Query'!$A:$E,3,FALSE)</f>
        <v>UT Mixed Investment 20-60% Shares</v>
      </c>
      <c r="D497" s="139">
        <f>VLOOKUP(NoviaFunds[[#This Row],[ISIN]],'Novia Web Query'!$A:$E,4,FALSE)/100</f>
        <v>1.3100000000000001E-2</v>
      </c>
      <c r="E497" s="3" t="str">
        <f>VLOOKUP(NoviaFunds[[#This Row],[ISIN]],'Novia Web Query'!$A:$E,5,FALSE)</f>
        <v>28/02/2021</v>
      </c>
      <c r="F497" t="str">
        <f>VLOOKUP(NoviaFunds[[#This Row],[Sector]],Sectors[],2,FALSE)</f>
        <v>Mixed 20%-60%</v>
      </c>
    </row>
    <row r="498" spans="1:6" x14ac:dyDescent="0.2">
      <c r="A498" t="str">
        <f>'Novia Web Query'!A498</f>
        <v>GB00B1N94P34</v>
      </c>
      <c r="B498" t="str">
        <f>VLOOKUP(NoviaFunds[[#This Row],[ISIN]],'Novia Web Query'!$A:$E,2,FALSE)</f>
        <v>Aviva Inv Multimanager 40-85% Shares 1 TR in GB</v>
      </c>
      <c r="C498" t="str">
        <f>VLOOKUP(NoviaFunds[[#This Row],[ISIN]],'Novia Web Query'!$A:$E,3,FALSE)</f>
        <v>UT Mixed Investment 40-85% Shares</v>
      </c>
      <c r="D498" s="139">
        <f>VLOOKUP(NoviaFunds[[#This Row],[ISIN]],'Novia Web Query'!$A:$E,4,FALSE)/100</f>
        <v>1.5800000000000002E-2</v>
      </c>
      <c r="E498" s="3" t="str">
        <f>VLOOKUP(NoviaFunds[[#This Row],[ISIN]],'Novia Web Query'!$A:$E,5,FALSE)</f>
        <v>02/08/2021</v>
      </c>
      <c r="F498" t="str">
        <f>VLOOKUP(NoviaFunds[[#This Row],[Sector]],Sectors[],2,FALSE)</f>
        <v>Mixed 40%-85%</v>
      </c>
    </row>
    <row r="499" spans="1:6" x14ac:dyDescent="0.2">
      <c r="A499" t="str">
        <f>'Novia Web Query'!A499</f>
        <v>GB00B1N94Q41</v>
      </c>
      <c r="B499" t="str">
        <f>VLOOKUP(NoviaFunds[[#This Row],[ISIN]],'Novia Web Query'!$A:$E,2,FALSE)</f>
        <v>Aviva Inv Multimanager 40-85% Shares 2 in GB</v>
      </c>
      <c r="C499" t="str">
        <f>VLOOKUP(NoviaFunds[[#This Row],[ISIN]],'Novia Web Query'!$A:$E,3,FALSE)</f>
        <v>UT Mixed Investment 40-85% Shares</v>
      </c>
      <c r="D499" s="139">
        <f>VLOOKUP(NoviaFunds[[#This Row],[ISIN]],'Novia Web Query'!$A:$E,4,FALSE)/100</f>
        <v>1.43E-2</v>
      </c>
      <c r="E499" s="3" t="str">
        <f>VLOOKUP(NoviaFunds[[#This Row],[ISIN]],'Novia Web Query'!$A:$E,5,FALSE)</f>
        <v>28/02/2021</v>
      </c>
      <c r="F499" t="str">
        <f>VLOOKUP(NoviaFunds[[#This Row],[Sector]],Sectors[],2,FALSE)</f>
        <v>Mixed 40%-85%</v>
      </c>
    </row>
    <row r="500" spans="1:6" x14ac:dyDescent="0.2">
      <c r="A500" t="str">
        <f>'Novia Web Query'!A500</f>
        <v>GB00B8FV3N77</v>
      </c>
      <c r="B500" t="str">
        <f>VLOOKUP(NoviaFunds[[#This Row],[ISIN]],'Novia Web Query'!$A:$E,2,FALSE)</f>
        <v>Aviva Inv Multimanager 40-85% Shares 2 Inc TR in GB</v>
      </c>
      <c r="C500" t="str">
        <f>VLOOKUP(NoviaFunds[[#This Row],[ISIN]],'Novia Web Query'!$A:$E,3,FALSE)</f>
        <v>UT Mixed Investment 40-85% Shares</v>
      </c>
      <c r="D500" s="139">
        <f>VLOOKUP(NoviaFunds[[#This Row],[ISIN]],'Novia Web Query'!$A:$E,4,FALSE)/100</f>
        <v>1.43E-2</v>
      </c>
      <c r="E500" s="3" t="str">
        <f>VLOOKUP(NoviaFunds[[#This Row],[ISIN]],'Novia Web Query'!$A:$E,5,FALSE)</f>
        <v>28/02/2021</v>
      </c>
      <c r="F500" t="str">
        <f>VLOOKUP(NoviaFunds[[#This Row],[Sector]],Sectors[],2,FALSE)</f>
        <v>Mixed 40%-85%</v>
      </c>
    </row>
    <row r="501" spans="1:6" x14ac:dyDescent="0.2">
      <c r="A501" t="str">
        <f>'Novia Web Query'!A501</f>
        <v>GB00B1N95162</v>
      </c>
      <c r="B501" t="str">
        <f>VLOOKUP(NoviaFunds[[#This Row],[ISIN]],'Novia Web Query'!$A:$E,2,FALSE)</f>
        <v>Aviva Inv Multi-Manager Flexible 1 in GB</v>
      </c>
      <c r="C501" t="str">
        <f>VLOOKUP(NoviaFunds[[#This Row],[ISIN]],'Novia Web Query'!$A:$E,3,FALSE)</f>
        <v>UT Flexible Investment</v>
      </c>
      <c r="D501" s="139">
        <f>VLOOKUP(NoviaFunds[[#This Row],[ISIN]],'Novia Web Query'!$A:$E,4,FALSE)/100</f>
        <v>1.5700000000000002E-2</v>
      </c>
      <c r="E501" s="3" t="str">
        <f>VLOOKUP(NoviaFunds[[#This Row],[ISIN]],'Novia Web Query'!$A:$E,5,FALSE)</f>
        <v>02/08/2021</v>
      </c>
      <c r="F501" t="str">
        <f>VLOOKUP(NoviaFunds[[#This Row],[Sector]],Sectors[],2,FALSE)</f>
        <v>Flexible</v>
      </c>
    </row>
    <row r="502" spans="1:6" x14ac:dyDescent="0.2">
      <c r="A502" t="str">
        <f>'Novia Web Query'!A502</f>
        <v>GB00B1N95279</v>
      </c>
      <c r="B502" t="str">
        <f>VLOOKUP(NoviaFunds[[#This Row],[ISIN]],'Novia Web Query'!$A:$E,2,FALSE)</f>
        <v>Aviva Inv Multi-Manager Flexible 2 in GB</v>
      </c>
      <c r="C502" t="str">
        <f>VLOOKUP(NoviaFunds[[#This Row],[ISIN]],'Novia Web Query'!$A:$E,3,FALSE)</f>
        <v>UT Flexible Investment</v>
      </c>
      <c r="D502" s="139">
        <f>VLOOKUP(NoviaFunds[[#This Row],[ISIN]],'Novia Web Query'!$A:$E,4,FALSE)/100</f>
        <v>1.4199999999999999E-2</v>
      </c>
      <c r="E502" s="3" t="str">
        <f>VLOOKUP(NoviaFunds[[#This Row],[ISIN]],'Novia Web Query'!$A:$E,5,FALSE)</f>
        <v>28/02/2021</v>
      </c>
      <c r="F502" t="str">
        <f>VLOOKUP(NoviaFunds[[#This Row],[Sector]],Sectors[],2,FALSE)</f>
        <v>Flexible</v>
      </c>
    </row>
    <row r="503" spans="1:6" x14ac:dyDescent="0.2">
      <c r="A503" t="str">
        <f>'Novia Web Query'!A503</f>
        <v>GB00B3CGG643</v>
      </c>
      <c r="B503" t="str">
        <f>VLOOKUP(NoviaFunds[[#This Row],[ISIN]],'Novia Web Query'!$A:$E,2,FALSE)</f>
        <v>Aviva Inv Strategic Bond 1 Inc TR in GB</v>
      </c>
      <c r="C503" t="str">
        <f>VLOOKUP(NoviaFunds[[#This Row],[ISIN]],'Novia Web Query'!$A:$E,3,FALSE)</f>
        <v>UT Sterling Strategic Bond</v>
      </c>
      <c r="D503" s="139">
        <f>VLOOKUP(NoviaFunds[[#This Row],[ISIN]],'Novia Web Query'!$A:$E,4,FALSE)/100</f>
        <v>8.8000000000000005E-3</v>
      </c>
      <c r="E503" s="3" t="str">
        <f>VLOOKUP(NoviaFunds[[#This Row],[ISIN]],'Novia Web Query'!$A:$E,5,FALSE)</f>
        <v>16/11/2020</v>
      </c>
      <c r="F503" t="str">
        <f>VLOOKUP(NoviaFunds[[#This Row],[Sector]],Sectors[],2,FALSE)</f>
        <v>Other Bonds</v>
      </c>
    </row>
    <row r="504" spans="1:6" x14ac:dyDescent="0.2">
      <c r="A504" t="str">
        <f>'Novia Web Query'!A504</f>
        <v>GB00B3CGHN82</v>
      </c>
      <c r="B504" t="str">
        <f>VLOOKUP(NoviaFunds[[#This Row],[ISIN]],'Novia Web Query'!$A:$E,2,FALSE)</f>
        <v>Aviva Inv Strategic Bond 2 Inc TR in GB</v>
      </c>
      <c r="C504" t="str">
        <f>VLOOKUP(NoviaFunds[[#This Row],[ISIN]],'Novia Web Query'!$A:$E,3,FALSE)</f>
        <v>UT Sterling Strategic Bond</v>
      </c>
      <c r="D504" s="139">
        <f>VLOOKUP(NoviaFunds[[#This Row],[ISIN]],'Novia Web Query'!$A:$E,4,FALSE)/100</f>
        <v>6.3E-3</v>
      </c>
      <c r="E504" s="3" t="str">
        <f>VLOOKUP(NoviaFunds[[#This Row],[ISIN]],'Novia Web Query'!$A:$E,5,FALSE)</f>
        <v>16/11/2020</v>
      </c>
      <c r="F504" t="str">
        <f>VLOOKUP(NoviaFunds[[#This Row],[Sector]],Sectors[],2,FALSE)</f>
        <v>Other Bonds</v>
      </c>
    </row>
    <row r="505" spans="1:6" x14ac:dyDescent="0.2">
      <c r="A505" t="str">
        <f>'Novia Web Query'!A505</f>
        <v>GB0004459797</v>
      </c>
      <c r="B505" t="str">
        <f>VLOOKUP(NoviaFunds[[#This Row],[ISIN]],'Novia Web Query'!$A:$E,2,FALSE)</f>
        <v>Aviva Inv UK Index Tracking 1 TR in GB</v>
      </c>
      <c r="C505" t="str">
        <f>VLOOKUP(NoviaFunds[[#This Row],[ISIN]],'Novia Web Query'!$A:$E,3,FALSE)</f>
        <v>UT UK All Companies</v>
      </c>
      <c r="D505" s="139">
        <f>VLOOKUP(NoviaFunds[[#This Row],[ISIN]],'Novia Web Query'!$A:$E,4,FALSE)/100</f>
        <v>4.0999999999999995E-3</v>
      </c>
      <c r="E505" s="3" t="str">
        <f>VLOOKUP(NoviaFunds[[#This Row],[ISIN]],'Novia Web Query'!$A:$E,5,FALSE)</f>
        <v>16/11/2020</v>
      </c>
      <c r="F505" t="str">
        <f>VLOOKUP(NoviaFunds[[#This Row],[Sector]],Sectors[],2,FALSE)</f>
        <v>UK Equities</v>
      </c>
    </row>
    <row r="506" spans="1:6" x14ac:dyDescent="0.2">
      <c r="A506" t="str">
        <f>'Novia Web Query'!A506</f>
        <v>GB00B8XCGM21</v>
      </c>
      <c r="B506" t="str">
        <f>VLOOKUP(NoviaFunds[[#This Row],[ISIN]],'Novia Web Query'!$A:$E,2,FALSE)</f>
        <v>Aviva Inv UK Index Tracking 2 Inc TR in GB</v>
      </c>
      <c r="C506" t="str">
        <f>VLOOKUP(NoviaFunds[[#This Row],[ISIN]],'Novia Web Query'!$A:$E,3,FALSE)</f>
        <v>UT UK All Companies</v>
      </c>
      <c r="D506" s="139">
        <f>VLOOKUP(NoviaFunds[[#This Row],[ISIN]],'Novia Web Query'!$A:$E,4,FALSE)/100</f>
        <v>2E-3</v>
      </c>
      <c r="E506" s="3" t="str">
        <f>VLOOKUP(NoviaFunds[[#This Row],[ISIN]],'Novia Web Query'!$A:$E,5,FALSE)</f>
        <v>16/11/2020</v>
      </c>
      <c r="F506" t="str">
        <f>VLOOKUP(NoviaFunds[[#This Row],[Sector]],Sectors[],2,FALSE)</f>
        <v>UK Equities</v>
      </c>
    </row>
    <row r="507" spans="1:6" x14ac:dyDescent="0.2">
      <c r="A507" t="str">
        <f>'Novia Web Query'!A507</f>
        <v>GB0030943236</v>
      </c>
      <c r="B507" t="str">
        <f>VLOOKUP(NoviaFunds[[#This Row],[ISIN]],'Novia Web Query'!$A:$E,2,FALSE)</f>
        <v>Aviva Inv UK Listed Equity High Alpha 1 in GB</v>
      </c>
      <c r="C507" t="str">
        <f>VLOOKUP(NoviaFunds[[#This Row],[ISIN]],'Novia Web Query'!$A:$E,3,FALSE)</f>
        <v>UT UK All Companies</v>
      </c>
      <c r="D507" s="139">
        <f>VLOOKUP(NoviaFunds[[#This Row],[ISIN]],'Novia Web Query'!$A:$E,4,FALSE)/100</f>
        <v>0.01</v>
      </c>
      <c r="E507" s="3" t="str">
        <f>VLOOKUP(NoviaFunds[[#This Row],[ISIN]],'Novia Web Query'!$A:$E,5,FALSE)</f>
        <v>01/02/2021</v>
      </c>
      <c r="F507" t="str">
        <f>VLOOKUP(NoviaFunds[[#This Row],[Sector]],Sectors[],2,FALSE)</f>
        <v>UK Equities</v>
      </c>
    </row>
    <row r="508" spans="1:6" x14ac:dyDescent="0.2">
      <c r="A508" t="str">
        <f>'Novia Web Query'!A508</f>
        <v>GB0030944648</v>
      </c>
      <c r="B508" t="str">
        <f>VLOOKUP(NoviaFunds[[#This Row],[ISIN]],'Novia Web Query'!$A:$E,2,FALSE)</f>
        <v>Aviva Inv UK Listed Equity High Alpha 2 in GB</v>
      </c>
      <c r="C508" t="str">
        <f>VLOOKUP(NoviaFunds[[#This Row],[ISIN]],'Novia Web Query'!$A:$E,3,FALSE)</f>
        <v>UT UK All Companies</v>
      </c>
      <c r="D508" s="139">
        <f>VLOOKUP(NoviaFunds[[#This Row],[ISIN]],'Novia Web Query'!$A:$E,4,FALSE)/100</f>
        <v>7.3000000000000001E-3</v>
      </c>
      <c r="E508" s="3" t="str">
        <f>VLOOKUP(NoviaFunds[[#This Row],[ISIN]],'Novia Web Query'!$A:$E,5,FALSE)</f>
        <v>16/11/2020</v>
      </c>
      <c r="F508" t="str">
        <f>VLOOKUP(NoviaFunds[[#This Row],[Sector]],Sectors[],2,FALSE)</f>
        <v>UK Equities</v>
      </c>
    </row>
    <row r="509" spans="1:6" x14ac:dyDescent="0.2">
      <c r="A509" t="str">
        <f>'Novia Web Query'!A509</f>
        <v>GB0004457197</v>
      </c>
      <c r="B509" t="str">
        <f>VLOOKUP(NoviaFunds[[#This Row],[ISIN]],'Novia Web Query'!$A:$E,2,FALSE)</f>
        <v>Aviva Inv UK Listed Equity Income 1 TR in GB</v>
      </c>
      <c r="C509" t="str">
        <f>VLOOKUP(NoviaFunds[[#This Row],[ISIN]],'Novia Web Query'!$A:$E,3,FALSE)</f>
        <v>UT UK Equity Income</v>
      </c>
      <c r="D509" s="139">
        <f>VLOOKUP(NoviaFunds[[#This Row],[ISIN]],'Novia Web Query'!$A:$E,4,FALSE)/100</f>
        <v>0.01</v>
      </c>
      <c r="E509" s="3" t="str">
        <f>VLOOKUP(NoviaFunds[[#This Row],[ISIN]],'Novia Web Query'!$A:$E,5,FALSE)</f>
        <v>16/11/2020</v>
      </c>
      <c r="F509" t="str">
        <f>VLOOKUP(NoviaFunds[[#This Row],[Sector]],Sectors[],2,FALSE)</f>
        <v>UK Equities</v>
      </c>
    </row>
    <row r="510" spans="1:6" x14ac:dyDescent="0.2">
      <c r="A510" t="str">
        <f>'Novia Web Query'!A510</f>
        <v>GB0004460803</v>
      </c>
      <c r="B510" t="str">
        <f>VLOOKUP(NoviaFunds[[#This Row],[ISIN]],'Novia Web Query'!$A:$E,2,FALSE)</f>
        <v>Aviva Inv UK Listed Equity Income 2 TR in GB</v>
      </c>
      <c r="C510" t="str">
        <f>VLOOKUP(NoviaFunds[[#This Row],[ISIN]],'Novia Web Query'!$A:$E,3,FALSE)</f>
        <v>UT UK Equity Income</v>
      </c>
      <c r="D510" s="139">
        <f>VLOOKUP(NoviaFunds[[#This Row],[ISIN]],'Novia Web Query'!$A:$E,4,FALSE)/100</f>
        <v>8.1000000000000013E-3</v>
      </c>
      <c r="E510" s="3" t="str">
        <f>VLOOKUP(NoviaFunds[[#This Row],[ISIN]],'Novia Web Query'!$A:$E,5,FALSE)</f>
        <v>16/11/2020</v>
      </c>
      <c r="F510" t="str">
        <f>VLOOKUP(NoviaFunds[[#This Row],[Sector]],Sectors[],2,FALSE)</f>
        <v>UK Equities</v>
      </c>
    </row>
    <row r="511" spans="1:6" x14ac:dyDescent="0.2">
      <c r="A511" t="str">
        <f>'Novia Web Query'!A511</f>
        <v>GB00B6R51K64</v>
      </c>
      <c r="B511" t="str">
        <f>VLOOKUP(NoviaFunds[[#This Row],[ISIN]],'Novia Web Query'!$A:$E,2,FALSE)</f>
        <v>Aviva Inv UK Listed Equity Income 2 Acc in GB</v>
      </c>
      <c r="C511" t="str">
        <f>VLOOKUP(NoviaFunds[[#This Row],[ISIN]],'Novia Web Query'!$A:$E,3,FALSE)</f>
        <v>UT UK Equity Income</v>
      </c>
      <c r="D511" s="139">
        <f>VLOOKUP(NoviaFunds[[#This Row],[ISIN]],'Novia Web Query'!$A:$E,4,FALSE)/100</f>
        <v>8.1000000000000013E-3</v>
      </c>
      <c r="E511" s="3" t="str">
        <f>VLOOKUP(NoviaFunds[[#This Row],[ISIN]],'Novia Web Query'!$A:$E,5,FALSE)</f>
        <v>16/11/2020</v>
      </c>
      <c r="F511" t="str">
        <f>VLOOKUP(NoviaFunds[[#This Row],[Sector]],Sectors[],2,FALSE)</f>
        <v>UK Equities</v>
      </c>
    </row>
    <row r="512" spans="1:6" x14ac:dyDescent="0.2">
      <c r="A512" t="str">
        <f>'Novia Web Query'!A512</f>
        <v>GB0004456892</v>
      </c>
      <c r="B512" t="str">
        <f>VLOOKUP(NoviaFunds[[#This Row],[ISIN]],'Novia Web Query'!$A:$E,2,FALSE)</f>
        <v>Aviva Inv UK Listed Equity Unconstrained 1 TR in GB</v>
      </c>
      <c r="C512" t="str">
        <f>VLOOKUP(NoviaFunds[[#This Row],[ISIN]],'Novia Web Query'!$A:$E,3,FALSE)</f>
        <v>UT UK All Companies</v>
      </c>
      <c r="D512" s="139">
        <f>VLOOKUP(NoviaFunds[[#This Row],[ISIN]],'Novia Web Query'!$A:$E,4,FALSE)/100</f>
        <v>0.01</v>
      </c>
      <c r="E512" s="3" t="str">
        <f>VLOOKUP(NoviaFunds[[#This Row],[ISIN]],'Novia Web Query'!$A:$E,5,FALSE)</f>
        <v>16/11/2020</v>
      </c>
      <c r="F512" t="str">
        <f>VLOOKUP(NoviaFunds[[#This Row],[Sector]],Sectors[],2,FALSE)</f>
        <v>UK Equities</v>
      </c>
    </row>
    <row r="513" spans="1:6" x14ac:dyDescent="0.2">
      <c r="A513" t="str">
        <f>'Novia Web Query'!A513</f>
        <v>GB0004460357</v>
      </c>
      <c r="B513" t="str">
        <f>VLOOKUP(NoviaFunds[[#This Row],[ISIN]],'Novia Web Query'!$A:$E,2,FALSE)</f>
        <v>Aviva Inv UK Listed Equity Unconstrained 2 Acc in GB</v>
      </c>
      <c r="C513" t="str">
        <f>VLOOKUP(NoviaFunds[[#This Row],[ISIN]],'Novia Web Query'!$A:$E,3,FALSE)</f>
        <v>UT UK All Companies</v>
      </c>
      <c r="D513" s="139">
        <f>VLOOKUP(NoviaFunds[[#This Row],[ISIN]],'Novia Web Query'!$A:$E,4,FALSE)/100</f>
        <v>8.199999999999999E-3</v>
      </c>
      <c r="E513" s="3" t="str">
        <f>VLOOKUP(NoviaFunds[[#This Row],[ISIN]],'Novia Web Query'!$A:$E,5,FALSE)</f>
        <v>16/11/2020</v>
      </c>
      <c r="F513" t="str">
        <f>VLOOKUP(NoviaFunds[[#This Row],[Sector]],Sectors[],2,FALSE)</f>
        <v>UK Equities</v>
      </c>
    </row>
    <row r="514" spans="1:6" x14ac:dyDescent="0.2">
      <c r="A514" t="str">
        <f>'Novia Web Query'!A514</f>
        <v>GB00B7RBQX91</v>
      </c>
      <c r="B514" t="str">
        <f>VLOOKUP(NoviaFunds[[#This Row],[ISIN]],'Novia Web Query'!$A:$E,2,FALSE)</f>
        <v>Aviva Inv UK Listed Equity Unconstrained 2 Inc TR in GB</v>
      </c>
      <c r="C514" t="str">
        <f>VLOOKUP(NoviaFunds[[#This Row],[ISIN]],'Novia Web Query'!$A:$E,3,FALSE)</f>
        <v>UT UK All Companies</v>
      </c>
      <c r="D514" s="139">
        <f>VLOOKUP(NoviaFunds[[#This Row],[ISIN]],'Novia Web Query'!$A:$E,4,FALSE)/100</f>
        <v>8.199999999999999E-3</v>
      </c>
      <c r="E514" s="3" t="str">
        <f>VLOOKUP(NoviaFunds[[#This Row],[ISIN]],'Novia Web Query'!$A:$E,5,FALSE)</f>
        <v>16/11/2020</v>
      </c>
      <c r="F514" t="str">
        <f>VLOOKUP(NoviaFunds[[#This Row],[Sector]],Sectors[],2,FALSE)</f>
        <v>UK Equities</v>
      </c>
    </row>
    <row r="515" spans="1:6" x14ac:dyDescent="0.2">
      <c r="A515" t="str">
        <f>'Novia Web Query'!A515</f>
        <v>GB0004456900</v>
      </c>
      <c r="B515" t="str">
        <f>VLOOKUP(NoviaFunds[[#This Row],[ISIN]],'Novia Web Query'!$A:$E,2,FALSE)</f>
        <v>Aviva Inv UK Listed Small and Mid-Cap 1 in GB</v>
      </c>
      <c r="C515" t="str">
        <f>VLOOKUP(NoviaFunds[[#This Row],[ISIN]],'Novia Web Query'!$A:$E,3,FALSE)</f>
        <v>UT UK All Companies</v>
      </c>
      <c r="D515" s="139">
        <f>VLOOKUP(NoviaFunds[[#This Row],[ISIN]],'Novia Web Query'!$A:$E,4,FALSE)/100</f>
        <v>0.01</v>
      </c>
      <c r="E515" s="3" t="str">
        <f>VLOOKUP(NoviaFunds[[#This Row],[ISIN]],'Novia Web Query'!$A:$E,5,FALSE)</f>
        <v>16/11/2020</v>
      </c>
      <c r="F515" t="str">
        <f>VLOOKUP(NoviaFunds[[#This Row],[Sector]],Sectors[],2,FALSE)</f>
        <v>UK Equities</v>
      </c>
    </row>
    <row r="516" spans="1:6" x14ac:dyDescent="0.2">
      <c r="A516" t="str">
        <f>'Novia Web Query'!A516</f>
        <v>GB0004460571</v>
      </c>
      <c r="B516" t="str">
        <f>VLOOKUP(NoviaFunds[[#This Row],[ISIN]],'Novia Web Query'!$A:$E,2,FALSE)</f>
        <v>Aviva Inv UK Listed Small and Mid-Cap 2 in GB</v>
      </c>
      <c r="C516" t="str">
        <f>VLOOKUP(NoviaFunds[[#This Row],[ISIN]],'Novia Web Query'!$A:$E,3,FALSE)</f>
        <v>UT UK All Companies</v>
      </c>
      <c r="D516" s="139">
        <f>VLOOKUP(NoviaFunds[[#This Row],[ISIN]],'Novia Web Query'!$A:$E,4,FALSE)/100</f>
        <v>8.3000000000000001E-3</v>
      </c>
      <c r="E516" s="3" t="str">
        <f>VLOOKUP(NoviaFunds[[#This Row],[ISIN]],'Novia Web Query'!$A:$E,5,FALSE)</f>
        <v>16/11/2020</v>
      </c>
      <c r="F516" t="str">
        <f>VLOOKUP(NoviaFunds[[#This Row],[Sector]],Sectors[],2,FALSE)</f>
        <v>UK Equities</v>
      </c>
    </row>
    <row r="517" spans="1:6" x14ac:dyDescent="0.2">
      <c r="A517" t="str">
        <f>'Novia Web Query'!A517</f>
        <v>GB00BYYZ0S69</v>
      </c>
      <c r="B517" t="str">
        <f>VLOOKUP(NoviaFunds[[#This Row],[ISIN]],'Novia Web Query'!$A:$E,2,FALSE)</f>
        <v>Aviva Inv UK Property Feeder Acc 1 in GB</v>
      </c>
      <c r="C517" t="str">
        <f>VLOOKUP(NoviaFunds[[#This Row],[ISIN]],'Novia Web Query'!$A:$E,3,FALSE)</f>
        <v>UT UK Direct Property</v>
      </c>
      <c r="D517" s="139">
        <f>VLOOKUP(NoviaFunds[[#This Row],[ISIN]],'Novia Web Query'!$A:$E,4,FALSE)/100</f>
        <v>1.0200000000000001E-2</v>
      </c>
      <c r="E517" s="3" t="str">
        <f>VLOOKUP(NoviaFunds[[#This Row],[ISIN]],'Novia Web Query'!$A:$E,5,FALSE)</f>
        <v>16/11/2020</v>
      </c>
      <c r="F517" t="e">
        <f>VLOOKUP(NoviaFunds[[#This Row],[Sector]],Sectors[],2,FALSE)</f>
        <v>#N/A</v>
      </c>
    </row>
    <row r="518" spans="1:6" x14ac:dyDescent="0.2">
      <c r="A518" t="str">
        <f>'Novia Web Query'!A518</f>
        <v>GB00BYYZ0W06</v>
      </c>
      <c r="B518" t="str">
        <f>VLOOKUP(NoviaFunds[[#This Row],[ISIN]],'Novia Web Query'!$A:$E,2,FALSE)</f>
        <v>Aviva Inv UK Property Feeder Acc 2 in GB</v>
      </c>
      <c r="C518" t="str">
        <f>VLOOKUP(NoviaFunds[[#This Row],[ISIN]],'Novia Web Query'!$A:$E,3,FALSE)</f>
        <v>UT UK Direct Property</v>
      </c>
      <c r="D518" s="139">
        <f>VLOOKUP(NoviaFunds[[#This Row],[ISIN]],'Novia Web Query'!$A:$E,4,FALSE)/100</f>
        <v>7.4000000000000003E-3</v>
      </c>
      <c r="E518" s="3" t="str">
        <f>VLOOKUP(NoviaFunds[[#This Row],[ISIN]],'Novia Web Query'!$A:$E,5,FALSE)</f>
        <v>16/11/2020</v>
      </c>
      <c r="F518" t="e">
        <f>VLOOKUP(NoviaFunds[[#This Row],[Sector]],Sectors[],2,FALSE)</f>
        <v>#N/A</v>
      </c>
    </row>
    <row r="519" spans="1:6" x14ac:dyDescent="0.2">
      <c r="A519" t="str">
        <f>'Novia Web Query'!A519</f>
        <v>GB00BYYZ1N89</v>
      </c>
      <c r="B519" t="str">
        <f>VLOOKUP(NoviaFunds[[#This Row],[ISIN]],'Novia Web Query'!$A:$E,2,FALSE)</f>
        <v>Aviva Inv UK Property Feeder Inc 1 TR in GB</v>
      </c>
      <c r="C519" t="str">
        <f>VLOOKUP(NoviaFunds[[#This Row],[ISIN]],'Novia Web Query'!$A:$E,3,FALSE)</f>
        <v>UT UK Direct Property</v>
      </c>
      <c r="D519" s="139">
        <f>VLOOKUP(NoviaFunds[[#This Row],[ISIN]],'Novia Web Query'!$A:$E,4,FALSE)/100</f>
        <v>1.0200000000000001E-2</v>
      </c>
      <c r="E519" s="3" t="str">
        <f>VLOOKUP(NoviaFunds[[#This Row],[ISIN]],'Novia Web Query'!$A:$E,5,FALSE)</f>
        <v>16/11/2020</v>
      </c>
      <c r="F519" t="e">
        <f>VLOOKUP(NoviaFunds[[#This Row],[Sector]],Sectors[],2,FALSE)</f>
        <v>#N/A</v>
      </c>
    </row>
    <row r="520" spans="1:6" x14ac:dyDescent="0.2">
      <c r="A520" t="str">
        <f>'Novia Web Query'!A520</f>
        <v>GB00BYYZ2464</v>
      </c>
      <c r="B520" t="str">
        <f>VLOOKUP(NoviaFunds[[#This Row],[ISIN]],'Novia Web Query'!$A:$E,2,FALSE)</f>
        <v>Aviva Inv UK Property Feeder Inc 2 TR in GB</v>
      </c>
      <c r="C520" t="str">
        <f>VLOOKUP(NoviaFunds[[#This Row],[ISIN]],'Novia Web Query'!$A:$E,3,FALSE)</f>
        <v>UT UK Direct Property</v>
      </c>
      <c r="D520" s="139">
        <f>VLOOKUP(NoviaFunds[[#This Row],[ISIN]],'Novia Web Query'!$A:$E,4,FALSE)/100</f>
        <v>7.4000000000000003E-3</v>
      </c>
      <c r="E520" s="3" t="str">
        <f>VLOOKUP(NoviaFunds[[#This Row],[ISIN]],'Novia Web Query'!$A:$E,5,FALSE)</f>
        <v>16/11/2020</v>
      </c>
      <c r="F520" t="e">
        <f>VLOOKUP(NoviaFunds[[#This Row],[Sector]],Sectors[],2,FALSE)</f>
        <v>#N/A</v>
      </c>
    </row>
    <row r="521" spans="1:6" x14ac:dyDescent="0.2">
      <c r="A521" t="str">
        <f>'Novia Web Query'!A521</f>
        <v>GB0004457312</v>
      </c>
      <c r="B521" t="str">
        <f>VLOOKUP(NoviaFunds[[#This Row],[ISIN]],'Novia Web Query'!$A:$E,2,FALSE)</f>
        <v>Aviva Inv UK Smaller Companies 1 in GB</v>
      </c>
      <c r="C521" t="str">
        <f>VLOOKUP(NoviaFunds[[#This Row],[ISIN]],'Novia Web Query'!$A:$E,3,FALSE)</f>
        <v>UT UK Smaller Companies</v>
      </c>
      <c r="D521" s="139">
        <f>VLOOKUP(NoviaFunds[[#This Row],[ISIN]],'Novia Web Query'!$A:$E,4,FALSE)/100</f>
        <v>1.04E-2</v>
      </c>
      <c r="E521" s="3" t="str">
        <f>VLOOKUP(NoviaFunds[[#This Row],[ISIN]],'Novia Web Query'!$A:$E,5,FALSE)</f>
        <v>16/11/2020</v>
      </c>
      <c r="F521" t="str">
        <f>VLOOKUP(NoviaFunds[[#This Row],[Sector]],Sectors[],2,FALSE)</f>
        <v>UK Equities</v>
      </c>
    </row>
    <row r="522" spans="1:6" x14ac:dyDescent="0.2">
      <c r="A522" t="str">
        <f>'Novia Web Query'!A522</f>
        <v>GB0004462171</v>
      </c>
      <c r="B522" t="str">
        <f>VLOOKUP(NoviaFunds[[#This Row],[ISIN]],'Novia Web Query'!$A:$E,2,FALSE)</f>
        <v>Aviva Inv UK Smaller Companies 2 in GB</v>
      </c>
      <c r="C522" t="str">
        <f>VLOOKUP(NoviaFunds[[#This Row],[ISIN]],'Novia Web Query'!$A:$E,3,FALSE)</f>
        <v>UT UK Smaller Companies</v>
      </c>
      <c r="D522" s="139">
        <f>VLOOKUP(NoviaFunds[[#This Row],[ISIN]],'Novia Web Query'!$A:$E,4,FALSE)/100</f>
        <v>8.8999999999999999E-3</v>
      </c>
      <c r="E522" s="3" t="str">
        <f>VLOOKUP(NoviaFunds[[#This Row],[ISIN]],'Novia Web Query'!$A:$E,5,FALSE)</f>
        <v>16/11/2020</v>
      </c>
      <c r="F522" t="str">
        <f>VLOOKUP(NoviaFunds[[#This Row],[Sector]],Sectors[],2,FALSE)</f>
        <v>UK Equities</v>
      </c>
    </row>
    <row r="523" spans="1:6" x14ac:dyDescent="0.2">
      <c r="A523" t="str">
        <f>'Novia Web Query'!A523</f>
        <v>GB00B44GRT93</v>
      </c>
      <c r="B523" t="str">
        <f>VLOOKUP(NoviaFunds[[#This Row],[ISIN]],'Novia Web Query'!$A:$E,2,FALSE)</f>
        <v>Aviva Inv US Equity Income 1 Acc in GB</v>
      </c>
      <c r="C523" t="str">
        <f>VLOOKUP(NoviaFunds[[#This Row],[ISIN]],'Novia Web Query'!$A:$E,3,FALSE)</f>
        <v>UT North America</v>
      </c>
      <c r="D523" s="139">
        <f>VLOOKUP(NoviaFunds[[#This Row],[ISIN]],'Novia Web Query'!$A:$E,4,FALSE)/100</f>
        <v>0.01</v>
      </c>
      <c r="E523" s="3" t="str">
        <f>VLOOKUP(NoviaFunds[[#This Row],[ISIN]],'Novia Web Query'!$A:$E,5,FALSE)</f>
        <v>02/08/2021</v>
      </c>
      <c r="F523" t="str">
        <f>VLOOKUP(NoviaFunds[[#This Row],[Sector]],Sectors[],2,FALSE)</f>
        <v>USA Equities</v>
      </c>
    </row>
    <row r="524" spans="1:6" x14ac:dyDescent="0.2">
      <c r="A524" t="str">
        <f>'Novia Web Query'!A524</f>
        <v>GB00B451FS88</v>
      </c>
      <c r="B524" t="str">
        <f>VLOOKUP(NoviaFunds[[#This Row],[ISIN]],'Novia Web Query'!$A:$E,2,FALSE)</f>
        <v>Aviva Inv US Equity Income 1 Inc TR in GB</v>
      </c>
      <c r="C524" t="str">
        <f>VLOOKUP(NoviaFunds[[#This Row],[ISIN]],'Novia Web Query'!$A:$E,3,FALSE)</f>
        <v>UT North America</v>
      </c>
      <c r="D524" s="139">
        <f>VLOOKUP(NoviaFunds[[#This Row],[ISIN]],'Novia Web Query'!$A:$E,4,FALSE)/100</f>
        <v>0.01</v>
      </c>
      <c r="E524" s="3" t="str">
        <f>VLOOKUP(NoviaFunds[[#This Row],[ISIN]],'Novia Web Query'!$A:$E,5,FALSE)</f>
        <v>02/08/2021</v>
      </c>
      <c r="F524" t="str">
        <f>VLOOKUP(NoviaFunds[[#This Row],[Sector]],Sectors[],2,FALSE)</f>
        <v>USA Equities</v>
      </c>
    </row>
    <row r="525" spans="1:6" x14ac:dyDescent="0.2">
      <c r="A525" t="str">
        <f>'Novia Web Query'!A525</f>
        <v>GB00B3W62X39</v>
      </c>
      <c r="B525" t="str">
        <f>VLOOKUP(NoviaFunds[[#This Row],[ISIN]],'Novia Web Query'!$A:$E,2,FALSE)</f>
        <v>Aviva Inv US Equity Income 2 Inc TR in GB</v>
      </c>
      <c r="C525" t="str">
        <f>VLOOKUP(NoviaFunds[[#This Row],[ISIN]],'Novia Web Query'!$A:$E,3,FALSE)</f>
        <v>UT North America</v>
      </c>
      <c r="D525" s="139">
        <f>VLOOKUP(NoviaFunds[[#This Row],[ISIN]],'Novia Web Query'!$A:$E,4,FALSE)/100</f>
        <v>7.4999999999999997E-3</v>
      </c>
      <c r="E525" s="3" t="str">
        <f>VLOOKUP(NoviaFunds[[#This Row],[ISIN]],'Novia Web Query'!$A:$E,5,FALSE)</f>
        <v>02/08/2021</v>
      </c>
      <c r="F525" t="str">
        <f>VLOOKUP(NoviaFunds[[#This Row],[Sector]],Sectors[],2,FALSE)</f>
        <v>USA Equities</v>
      </c>
    </row>
    <row r="526" spans="1:6" x14ac:dyDescent="0.2">
      <c r="A526" t="str">
        <f>'Novia Web Query'!A526</f>
        <v>GB00BCGD4Q00</v>
      </c>
      <c r="B526" t="str">
        <f>VLOOKUP(NoviaFunds[[#This Row],[ISIN]],'Novia Web Query'!$A:$E,2,FALSE)</f>
        <v>Aviva Inv US Equity Income II 2 Acc GBP in GB</v>
      </c>
      <c r="C526" t="str">
        <f>VLOOKUP(NoviaFunds[[#This Row],[ISIN]],'Novia Web Query'!$A:$E,3,FALSE)</f>
        <v>UT North America</v>
      </c>
      <c r="D526" s="139">
        <f>VLOOKUP(NoviaFunds[[#This Row],[ISIN]],'Novia Web Query'!$A:$E,4,FALSE)/100</f>
        <v>7.4999999999999997E-3</v>
      </c>
      <c r="E526" s="3" t="str">
        <f>VLOOKUP(NoviaFunds[[#This Row],[ISIN]],'Novia Web Query'!$A:$E,5,FALSE)</f>
        <v>02/08/2021</v>
      </c>
      <c r="F526" t="str">
        <f>VLOOKUP(NoviaFunds[[#This Row],[Sector]],Sectors[],2,FALSE)</f>
        <v>USA Equities</v>
      </c>
    </row>
    <row r="527" spans="1:6" x14ac:dyDescent="0.2">
      <c r="A527" t="str">
        <f>'Novia Web Query'!A527</f>
        <v>GB00BCGD4P92</v>
      </c>
      <c r="B527" t="str">
        <f>VLOOKUP(NoviaFunds[[#This Row],[ISIN]],'Novia Web Query'!$A:$E,2,FALSE)</f>
        <v>Aviva Inv US Equity Income II 2 Inc GBP TR in GB</v>
      </c>
      <c r="C527" t="str">
        <f>VLOOKUP(NoviaFunds[[#This Row],[ISIN]],'Novia Web Query'!$A:$E,3,FALSE)</f>
        <v>UT North America</v>
      </c>
      <c r="D527" s="139">
        <f>VLOOKUP(NoviaFunds[[#This Row],[ISIN]],'Novia Web Query'!$A:$E,4,FALSE)/100</f>
        <v>7.4999999999999997E-3</v>
      </c>
      <c r="E527" s="3" t="str">
        <f>VLOOKUP(NoviaFunds[[#This Row],[ISIN]],'Novia Web Query'!$A:$E,5,FALSE)</f>
        <v>02/08/2021</v>
      </c>
      <c r="F527" t="str">
        <f>VLOOKUP(NoviaFunds[[#This Row],[Sector]],Sectors[],2,FALSE)</f>
        <v>USA Equities</v>
      </c>
    </row>
    <row r="528" spans="1:6" x14ac:dyDescent="0.2">
      <c r="A528" t="str">
        <f>'Novia Web Query'!A528</f>
        <v>GB0003499851</v>
      </c>
      <c r="B528" t="str">
        <f>VLOOKUP(NoviaFunds[[#This Row],[ISIN]],'Novia Web Query'!$A:$E,2,FALSE)</f>
        <v>AXA ACT Framlington Clean Economy R Acc in GB</v>
      </c>
      <c r="C528" t="str">
        <f>VLOOKUP(NoviaFunds[[#This Row],[ISIN]],'Novia Web Query'!$A:$E,3,FALSE)</f>
        <v>UT Global</v>
      </c>
      <c r="D528" s="139">
        <f>VLOOKUP(NoviaFunds[[#This Row],[ISIN]],'Novia Web Query'!$A:$E,4,FALSE)/100</f>
        <v>1.61E-2</v>
      </c>
      <c r="E528" s="3" t="str">
        <f>VLOOKUP(NoviaFunds[[#This Row],[ISIN]],'Novia Web Query'!$A:$E,5,FALSE)</f>
        <v>02/02/2021</v>
      </c>
      <c r="F528" t="str">
        <f>VLOOKUP(NoviaFunds[[#This Row],[Sector]],Sectors[],2,FALSE)</f>
        <v>Other Equities</v>
      </c>
    </row>
    <row r="529" spans="1:6" x14ac:dyDescent="0.2">
      <c r="A529" t="str">
        <f>'Novia Web Query'!A529</f>
        <v>GB00B7G8XW93</v>
      </c>
      <c r="B529" t="str">
        <f>VLOOKUP(NoviaFunds[[#This Row],[ISIN]],'Novia Web Query'!$A:$E,2,FALSE)</f>
        <v>AXA ACT Framlington Clean Economy Z Acc in GB</v>
      </c>
      <c r="C529" t="str">
        <f>VLOOKUP(NoviaFunds[[#This Row],[ISIN]],'Novia Web Query'!$A:$E,3,FALSE)</f>
        <v>UT Global</v>
      </c>
      <c r="D529" s="139">
        <f>VLOOKUP(NoviaFunds[[#This Row],[ISIN]],'Novia Web Query'!$A:$E,4,FALSE)/100</f>
        <v>8.6E-3</v>
      </c>
      <c r="E529" s="3" t="str">
        <f>VLOOKUP(NoviaFunds[[#This Row],[ISIN]],'Novia Web Query'!$A:$E,5,FALSE)</f>
        <v>02/02/2021</v>
      </c>
      <c r="F529" t="str">
        <f>VLOOKUP(NoviaFunds[[#This Row],[Sector]],Sectors[],2,FALSE)</f>
        <v>Other Equities</v>
      </c>
    </row>
    <row r="530" spans="1:6" x14ac:dyDescent="0.2">
      <c r="A530" t="str">
        <f>'Novia Web Query'!A530</f>
        <v>GB00B03KM006</v>
      </c>
      <c r="B530" t="str">
        <f>VLOOKUP(NoviaFunds[[#This Row],[ISIN]],'Novia Web Query'!$A:$E,2,FALSE)</f>
        <v>AXA Defensive Distribution Z Gr Acc in GB</v>
      </c>
      <c r="C530" t="str">
        <f>VLOOKUP(NoviaFunds[[#This Row],[ISIN]],'Novia Web Query'!$A:$E,3,FALSE)</f>
        <v>UT Mixed Investment 0-35% Shares</v>
      </c>
      <c r="D530" s="139">
        <f>VLOOKUP(NoviaFunds[[#This Row],[ISIN]],'Novia Web Query'!$A:$E,4,FALSE)/100</f>
        <v>7.8000000000000005E-3</v>
      </c>
      <c r="E530" s="3" t="str">
        <f>VLOOKUP(NoviaFunds[[#This Row],[ISIN]],'Novia Web Query'!$A:$E,5,FALSE)</f>
        <v>31/12/2020</v>
      </c>
      <c r="F530" t="str">
        <f>VLOOKUP(NoviaFunds[[#This Row],[Sector]],Sectors[],2,FALSE)</f>
        <v>Mixed 0%-35%</v>
      </c>
    </row>
    <row r="531" spans="1:6" x14ac:dyDescent="0.2">
      <c r="A531" t="str">
        <f>'Novia Web Query'!A531</f>
        <v>GB00B03KM113</v>
      </c>
      <c r="B531" t="str">
        <f>VLOOKUP(NoviaFunds[[#This Row],[ISIN]],'Novia Web Query'!$A:$E,2,FALSE)</f>
        <v>AXA Defensive Distribution Z Gr Inc TR in GB</v>
      </c>
      <c r="C531" t="str">
        <f>VLOOKUP(NoviaFunds[[#This Row],[ISIN]],'Novia Web Query'!$A:$E,3,FALSE)</f>
        <v>UT Mixed Investment 0-35% Shares</v>
      </c>
      <c r="D531" s="139">
        <f>VLOOKUP(NoviaFunds[[#This Row],[ISIN]],'Novia Web Query'!$A:$E,4,FALSE)/100</f>
        <v>7.8000000000000005E-3</v>
      </c>
      <c r="E531" s="3" t="str">
        <f>VLOOKUP(NoviaFunds[[#This Row],[ISIN]],'Novia Web Query'!$A:$E,5,FALSE)</f>
        <v>31/12/2020</v>
      </c>
      <c r="F531" t="str">
        <f>VLOOKUP(NoviaFunds[[#This Row],[Sector]],Sectors[],2,FALSE)</f>
        <v>Mixed 0%-35%</v>
      </c>
    </row>
    <row r="532" spans="1:6" x14ac:dyDescent="0.2">
      <c r="A532" t="str">
        <f>'Novia Web Query'!A532</f>
        <v>GB0006160328</v>
      </c>
      <c r="B532" t="str">
        <f>VLOOKUP(NoviaFunds[[#This Row],[ISIN]],'Novia Web Query'!$A:$E,2,FALSE)</f>
        <v>AXA Distribution R Acc in GB</v>
      </c>
      <c r="C532" t="str">
        <f>VLOOKUP(NoviaFunds[[#This Row],[ISIN]],'Novia Web Query'!$A:$E,3,FALSE)</f>
        <v>UT Mixed Investment 20-60% Shares</v>
      </c>
      <c r="D532" s="139">
        <f>VLOOKUP(NoviaFunds[[#This Row],[ISIN]],'Novia Web Query'!$A:$E,4,FALSE)/100</f>
        <v>1.52E-2</v>
      </c>
      <c r="E532" s="3" t="str">
        <f>VLOOKUP(NoviaFunds[[#This Row],[ISIN]],'Novia Web Query'!$A:$E,5,FALSE)</f>
        <v>31/12/2020</v>
      </c>
      <c r="F532" t="str">
        <f>VLOOKUP(NoviaFunds[[#This Row],[Sector]],Sectors[],2,FALSE)</f>
        <v>Mixed 20%-60%</v>
      </c>
    </row>
    <row r="533" spans="1:6" x14ac:dyDescent="0.2">
      <c r="A533" t="str">
        <f>'Novia Web Query'!A533</f>
        <v>GB0006160765</v>
      </c>
      <c r="B533" t="str">
        <f>VLOOKUP(NoviaFunds[[#This Row],[ISIN]],'Novia Web Query'!$A:$E,2,FALSE)</f>
        <v>AXA Distribution R Inc TR in GB</v>
      </c>
      <c r="C533" t="str">
        <f>VLOOKUP(NoviaFunds[[#This Row],[ISIN]],'Novia Web Query'!$A:$E,3,FALSE)</f>
        <v>UT Mixed Investment 20-60% Shares</v>
      </c>
      <c r="D533" s="139">
        <f>VLOOKUP(NoviaFunds[[#This Row],[ISIN]],'Novia Web Query'!$A:$E,4,FALSE)/100</f>
        <v>1.52E-2</v>
      </c>
      <c r="E533" s="3" t="str">
        <f>VLOOKUP(NoviaFunds[[#This Row],[ISIN]],'Novia Web Query'!$A:$E,5,FALSE)</f>
        <v>31/12/2020</v>
      </c>
      <c r="F533" t="str">
        <f>VLOOKUP(NoviaFunds[[#This Row],[Sector]],Sectors[],2,FALSE)</f>
        <v>Mixed 20%-60%</v>
      </c>
    </row>
    <row r="534" spans="1:6" x14ac:dyDescent="0.2">
      <c r="A534" t="str">
        <f>'Novia Web Query'!A534</f>
        <v>GB0006160104</v>
      </c>
      <c r="B534" t="str">
        <f>VLOOKUP(NoviaFunds[[#This Row],[ISIN]],'Novia Web Query'!$A:$E,2,FALSE)</f>
        <v>AXA Distribution Z Acc in GB**</v>
      </c>
      <c r="C534" t="str">
        <f>VLOOKUP(NoviaFunds[[#This Row],[ISIN]],'Novia Web Query'!$A:$E,3,FALSE)</f>
        <v>UT Mixed Investment 20-60% Shares</v>
      </c>
      <c r="D534" s="139">
        <f>VLOOKUP(NoviaFunds[[#This Row],[ISIN]],'Novia Web Query'!$A:$E,4,FALSE)/100</f>
        <v>7.7000000000000002E-3</v>
      </c>
      <c r="E534" s="3" t="str">
        <f>VLOOKUP(NoviaFunds[[#This Row],[ISIN]],'Novia Web Query'!$A:$E,5,FALSE)</f>
        <v>31/12/2020</v>
      </c>
      <c r="F534" t="str">
        <f>VLOOKUP(NoviaFunds[[#This Row],[Sector]],Sectors[],2,FALSE)</f>
        <v>Mixed 20%-60%</v>
      </c>
    </row>
    <row r="535" spans="1:6" x14ac:dyDescent="0.2">
      <c r="A535" t="str">
        <f>'Novia Web Query'!A535</f>
        <v>GB0006160542</v>
      </c>
      <c r="B535" t="str">
        <f>VLOOKUP(NoviaFunds[[#This Row],[ISIN]],'Novia Web Query'!$A:$E,2,FALSE)</f>
        <v>AXA Distribution Z Inc TR in GB**</v>
      </c>
      <c r="C535" t="str">
        <f>VLOOKUP(NoviaFunds[[#This Row],[ISIN]],'Novia Web Query'!$A:$E,3,FALSE)</f>
        <v>UT Mixed Investment 20-60% Shares</v>
      </c>
      <c r="D535" s="139">
        <f>VLOOKUP(NoviaFunds[[#This Row],[ISIN]],'Novia Web Query'!$A:$E,4,FALSE)/100</f>
        <v>7.7000000000000002E-3</v>
      </c>
      <c r="E535" s="3" t="str">
        <f>VLOOKUP(NoviaFunds[[#This Row],[ISIN]],'Novia Web Query'!$A:$E,5,FALSE)</f>
        <v>31/12/2020</v>
      </c>
      <c r="F535" t="str">
        <f>VLOOKUP(NoviaFunds[[#This Row],[Sector]],Sectors[],2,FALSE)</f>
        <v>Mixed 20%-60%</v>
      </c>
    </row>
    <row r="536" spans="1:6" x14ac:dyDescent="0.2">
      <c r="A536" t="str">
        <f>'Novia Web Query'!A536</f>
        <v>GB0005297980</v>
      </c>
      <c r="B536" t="str">
        <f>VLOOKUP(NoviaFunds[[#This Row],[ISIN]],'Novia Web Query'!$A:$E,2,FALSE)</f>
        <v>AXA Ethical Distribution R Acc in GB</v>
      </c>
      <c r="C536" t="str">
        <f>VLOOKUP(NoviaFunds[[#This Row],[ISIN]],'Novia Web Query'!$A:$E,3,FALSE)</f>
        <v>UT Mixed Investment 20-60% Shares</v>
      </c>
      <c r="D536" s="139">
        <f>VLOOKUP(NoviaFunds[[#This Row],[ISIN]],'Novia Web Query'!$A:$E,4,FALSE)/100</f>
        <v>1.5300000000000001E-2</v>
      </c>
      <c r="E536" s="3" t="str">
        <f>VLOOKUP(NoviaFunds[[#This Row],[ISIN]],'Novia Web Query'!$A:$E,5,FALSE)</f>
        <v>31/12/2020</v>
      </c>
      <c r="F536" t="str">
        <f>VLOOKUP(NoviaFunds[[#This Row],[Sector]],Sectors[],2,FALSE)</f>
        <v>Mixed 20%-60%</v>
      </c>
    </row>
    <row r="537" spans="1:6" x14ac:dyDescent="0.2">
      <c r="A537" t="str">
        <f>'Novia Web Query'!A537</f>
        <v>GB00B3FKJZ38</v>
      </c>
      <c r="B537" t="str">
        <f>VLOOKUP(NoviaFunds[[#This Row],[ISIN]],'Novia Web Query'!$A:$E,2,FALSE)</f>
        <v>AXA Ethical Distribution R Inc TR in GB</v>
      </c>
      <c r="C537" t="str">
        <f>VLOOKUP(NoviaFunds[[#This Row],[ISIN]],'Novia Web Query'!$A:$E,3,FALSE)</f>
        <v>UT Mixed Investment 20-60% Shares</v>
      </c>
      <c r="D537" s="139">
        <f>VLOOKUP(NoviaFunds[[#This Row],[ISIN]],'Novia Web Query'!$A:$E,4,FALSE)/100</f>
        <v>1.5300000000000001E-2</v>
      </c>
      <c r="E537" s="3" t="str">
        <f>VLOOKUP(NoviaFunds[[#This Row],[ISIN]],'Novia Web Query'!$A:$E,5,FALSE)</f>
        <v>31/12/2020</v>
      </c>
      <c r="F537" t="str">
        <f>VLOOKUP(NoviaFunds[[#This Row],[Sector]],Sectors[],2,FALSE)</f>
        <v>Mixed 20%-60%</v>
      </c>
    </row>
    <row r="538" spans="1:6" x14ac:dyDescent="0.2">
      <c r="A538" t="str">
        <f>'Novia Web Query'!A538</f>
        <v>GB0005409262</v>
      </c>
      <c r="B538" t="str">
        <f>VLOOKUP(NoviaFunds[[#This Row],[ISIN]],'Novia Web Query'!$A:$E,2,FALSE)</f>
        <v>AXA Ethical Distribution Z Acc in GB</v>
      </c>
      <c r="C538" t="str">
        <f>VLOOKUP(NoviaFunds[[#This Row],[ISIN]],'Novia Web Query'!$A:$E,3,FALSE)</f>
        <v>UT Mixed Investment 20-60% Shares</v>
      </c>
      <c r="D538" s="139">
        <f>VLOOKUP(NoviaFunds[[#This Row],[ISIN]],'Novia Web Query'!$A:$E,4,FALSE)/100</f>
        <v>7.8000000000000005E-3</v>
      </c>
      <c r="E538" s="3" t="str">
        <f>VLOOKUP(NoviaFunds[[#This Row],[ISIN]],'Novia Web Query'!$A:$E,5,FALSE)</f>
        <v>31/12/2020</v>
      </c>
      <c r="F538" t="str">
        <f>VLOOKUP(NoviaFunds[[#This Row],[Sector]],Sectors[],2,FALSE)</f>
        <v>Mixed 20%-60%</v>
      </c>
    </row>
    <row r="539" spans="1:6" x14ac:dyDescent="0.2">
      <c r="A539" t="str">
        <f>'Novia Web Query'!A539</f>
        <v>GB00B3FKKK57</v>
      </c>
      <c r="B539" t="str">
        <f>VLOOKUP(NoviaFunds[[#This Row],[ISIN]],'Novia Web Query'!$A:$E,2,FALSE)</f>
        <v>AXA Ethical Distribution Z Inc TR in GB</v>
      </c>
      <c r="C539" t="str">
        <f>VLOOKUP(NoviaFunds[[#This Row],[ISIN]],'Novia Web Query'!$A:$E,3,FALSE)</f>
        <v>UT Mixed Investment 20-60% Shares</v>
      </c>
      <c r="D539" s="139">
        <f>VLOOKUP(NoviaFunds[[#This Row],[ISIN]],'Novia Web Query'!$A:$E,4,FALSE)/100</f>
        <v>7.8000000000000005E-3</v>
      </c>
      <c r="E539" s="3" t="str">
        <f>VLOOKUP(NoviaFunds[[#This Row],[ISIN]],'Novia Web Query'!$A:$E,5,FALSE)</f>
        <v>31/12/2020</v>
      </c>
      <c r="F539" t="str">
        <f>VLOOKUP(NoviaFunds[[#This Row],[Sector]],Sectors[],2,FALSE)</f>
        <v>Mixed 20%-60%</v>
      </c>
    </row>
    <row r="540" spans="1:6" x14ac:dyDescent="0.2">
      <c r="A540" t="str">
        <f>'Novia Web Query'!A540</f>
        <v>GB0003509212</v>
      </c>
      <c r="B540" t="str">
        <f>VLOOKUP(NoviaFunds[[#This Row],[ISIN]],'Novia Web Query'!$A:$E,2,FALSE)</f>
        <v>AXA Framlington American Growth R Acc in GB</v>
      </c>
      <c r="C540" t="str">
        <f>VLOOKUP(NoviaFunds[[#This Row],[ISIN]],'Novia Web Query'!$A:$E,3,FALSE)</f>
        <v>UT North America</v>
      </c>
      <c r="D540" s="139">
        <f>VLOOKUP(NoviaFunds[[#This Row],[ISIN]],'Novia Web Query'!$A:$E,4,FALSE)/100</f>
        <v>1.5700000000000002E-2</v>
      </c>
      <c r="E540" s="3" t="str">
        <f>VLOOKUP(NoviaFunds[[#This Row],[ISIN]],'Novia Web Query'!$A:$E,5,FALSE)</f>
        <v>31/12/2020</v>
      </c>
      <c r="F540" t="str">
        <f>VLOOKUP(NoviaFunds[[#This Row],[Sector]],Sectors[],2,FALSE)</f>
        <v>USA Equities</v>
      </c>
    </row>
    <row r="541" spans="1:6" x14ac:dyDescent="0.2">
      <c r="A541" t="str">
        <f>'Novia Web Query'!A541</f>
        <v>GB0003509105</v>
      </c>
      <c r="B541" t="str">
        <f>VLOOKUP(NoviaFunds[[#This Row],[ISIN]],'Novia Web Query'!$A:$E,2,FALSE)</f>
        <v>AXA Framlington American Growth R Inc in GB</v>
      </c>
      <c r="C541" t="str">
        <f>VLOOKUP(NoviaFunds[[#This Row],[ISIN]],'Novia Web Query'!$A:$E,3,FALSE)</f>
        <v>UT North America</v>
      </c>
      <c r="D541" s="139">
        <f>VLOOKUP(NoviaFunds[[#This Row],[ISIN]],'Novia Web Query'!$A:$E,4,FALSE)/100</f>
        <v>1.5700000000000002E-2</v>
      </c>
      <c r="E541" s="3" t="str">
        <f>VLOOKUP(NoviaFunds[[#This Row],[ISIN]],'Novia Web Query'!$A:$E,5,FALSE)</f>
        <v>31/12/2020</v>
      </c>
      <c r="F541" t="str">
        <f>VLOOKUP(NoviaFunds[[#This Row],[Sector]],Sectors[],2,FALSE)</f>
        <v>USA Equities</v>
      </c>
    </row>
    <row r="542" spans="1:6" x14ac:dyDescent="0.2">
      <c r="A542" t="str">
        <f>'Novia Web Query'!A542</f>
        <v>GB00B5LXGG05</v>
      </c>
      <c r="B542" t="str">
        <f>VLOOKUP(NoviaFunds[[#This Row],[ISIN]],'Novia Web Query'!$A:$E,2,FALSE)</f>
        <v>AXA Framlington American Growth Z Acc in GB</v>
      </c>
      <c r="C542" t="str">
        <f>VLOOKUP(NoviaFunds[[#This Row],[ISIN]],'Novia Web Query'!$A:$E,3,FALSE)</f>
        <v>UT North America</v>
      </c>
      <c r="D542" s="139">
        <f>VLOOKUP(NoviaFunds[[#This Row],[ISIN]],'Novia Web Query'!$A:$E,4,FALSE)/100</f>
        <v>8.199999999999999E-3</v>
      </c>
      <c r="E542" s="3" t="str">
        <f>VLOOKUP(NoviaFunds[[#This Row],[ISIN]],'Novia Web Query'!$A:$E,5,FALSE)</f>
        <v>31/12/2020</v>
      </c>
      <c r="F542" t="str">
        <f>VLOOKUP(NoviaFunds[[#This Row],[Sector]],Sectors[],2,FALSE)</f>
        <v>USA Equities</v>
      </c>
    </row>
    <row r="543" spans="1:6" x14ac:dyDescent="0.2">
      <c r="A543" t="str">
        <f>'Novia Web Query'!A543</f>
        <v>GB00B4152K59</v>
      </c>
      <c r="B543" t="str">
        <f>VLOOKUP(NoviaFunds[[#This Row],[ISIN]],'Novia Web Query'!$A:$E,2,FALSE)</f>
        <v>AXA Framlington American Growth Z Inc in GB</v>
      </c>
      <c r="C543" t="str">
        <f>VLOOKUP(NoviaFunds[[#This Row],[ISIN]],'Novia Web Query'!$A:$E,3,FALSE)</f>
        <v>UT North America</v>
      </c>
      <c r="D543" s="139">
        <f>VLOOKUP(NoviaFunds[[#This Row],[ISIN]],'Novia Web Query'!$A:$E,4,FALSE)/100</f>
        <v>8.199999999999999E-3</v>
      </c>
      <c r="E543" s="3" t="str">
        <f>VLOOKUP(NoviaFunds[[#This Row],[ISIN]],'Novia Web Query'!$A:$E,5,FALSE)</f>
        <v>31/12/2020</v>
      </c>
      <c r="F543" t="str">
        <f>VLOOKUP(NoviaFunds[[#This Row],[Sector]],Sectors[],2,FALSE)</f>
        <v>USA Equities</v>
      </c>
    </row>
    <row r="544" spans="1:6" x14ac:dyDescent="0.2">
      <c r="A544" t="str">
        <f>'Novia Web Query'!A544</f>
        <v>GB0031007254</v>
      </c>
      <c r="B544" t="str">
        <f>VLOOKUP(NoviaFunds[[#This Row],[ISIN]],'Novia Web Query'!$A:$E,2,FALSE)</f>
        <v>AXA Framlington Biotech R Acc GBP in GB</v>
      </c>
      <c r="C544" t="str">
        <f>VLOOKUP(NoviaFunds[[#This Row],[ISIN]],'Novia Web Query'!$A:$E,3,FALSE)</f>
        <v>UT Specialist</v>
      </c>
      <c r="D544" s="139">
        <f>VLOOKUP(NoviaFunds[[#This Row],[ISIN]],'Novia Web Query'!$A:$E,4,FALSE)/100</f>
        <v>1.5700000000000002E-2</v>
      </c>
      <c r="E544" s="3" t="str">
        <f>VLOOKUP(NoviaFunds[[#This Row],[ISIN]],'Novia Web Query'!$A:$E,5,FALSE)</f>
        <v>01/01/2022</v>
      </c>
      <c r="F544" t="str">
        <f>VLOOKUP(NoviaFunds[[#This Row],[Sector]],Sectors[],2,FALSE)</f>
        <v>Specialist</v>
      </c>
    </row>
    <row r="545" spans="1:6" x14ac:dyDescent="0.2">
      <c r="A545" t="str">
        <f>'Novia Web Query'!A545</f>
        <v>GB0031007148</v>
      </c>
      <c r="B545" t="str">
        <f>VLOOKUP(NoviaFunds[[#This Row],[ISIN]],'Novia Web Query'!$A:$E,2,FALSE)</f>
        <v>AXA Framlington Biotech R Inc GBP in GB</v>
      </c>
      <c r="C545" t="str">
        <f>VLOOKUP(NoviaFunds[[#This Row],[ISIN]],'Novia Web Query'!$A:$E,3,FALSE)</f>
        <v>UT Specialist</v>
      </c>
      <c r="D545" s="139">
        <f>VLOOKUP(NoviaFunds[[#This Row],[ISIN]],'Novia Web Query'!$A:$E,4,FALSE)/100</f>
        <v>1.5700000000000002E-2</v>
      </c>
      <c r="E545" s="3" t="str">
        <f>VLOOKUP(NoviaFunds[[#This Row],[ISIN]],'Novia Web Query'!$A:$E,5,FALSE)</f>
        <v>01/01/2022</v>
      </c>
      <c r="F545" t="str">
        <f>VLOOKUP(NoviaFunds[[#This Row],[Sector]],Sectors[],2,FALSE)</f>
        <v>Specialist</v>
      </c>
    </row>
    <row r="546" spans="1:6" x14ac:dyDescent="0.2">
      <c r="A546" t="str">
        <f>'Novia Web Query'!A546</f>
        <v>GB00B784NS11</v>
      </c>
      <c r="B546" t="str">
        <f>VLOOKUP(NoviaFunds[[#This Row],[ISIN]],'Novia Web Query'!$A:$E,2,FALSE)</f>
        <v>AXA Framlington Biotech Z Acc GBP in GB</v>
      </c>
      <c r="C546" t="str">
        <f>VLOOKUP(NoviaFunds[[#This Row],[ISIN]],'Novia Web Query'!$A:$E,3,FALSE)</f>
        <v>UT Specialist</v>
      </c>
      <c r="D546" s="139">
        <f>VLOOKUP(NoviaFunds[[#This Row],[ISIN]],'Novia Web Query'!$A:$E,4,FALSE)/100</f>
        <v>8.3000000000000001E-3</v>
      </c>
      <c r="E546" s="3" t="str">
        <f>VLOOKUP(NoviaFunds[[#This Row],[ISIN]],'Novia Web Query'!$A:$E,5,FALSE)</f>
        <v>31/12/2020</v>
      </c>
      <c r="F546" t="str">
        <f>VLOOKUP(NoviaFunds[[#This Row],[Sector]],Sectors[],2,FALSE)</f>
        <v>Specialist</v>
      </c>
    </row>
    <row r="547" spans="1:6" x14ac:dyDescent="0.2">
      <c r="A547" t="str">
        <f>'Novia Web Query'!A547</f>
        <v>GB00BRJZVL27</v>
      </c>
      <c r="B547" t="str">
        <f>VLOOKUP(NoviaFunds[[#This Row],[ISIN]],'Novia Web Query'!$A:$E,2,FALSE)</f>
        <v>AXA Framlington Biotech Z Inc in GB</v>
      </c>
      <c r="C547" t="str">
        <f>VLOOKUP(NoviaFunds[[#This Row],[ISIN]],'Novia Web Query'!$A:$E,3,FALSE)</f>
        <v>UT Specialist</v>
      </c>
      <c r="D547" s="139">
        <f>VLOOKUP(NoviaFunds[[#This Row],[ISIN]],'Novia Web Query'!$A:$E,4,FALSE)/100</f>
        <v>8.3000000000000001E-3</v>
      </c>
      <c r="E547" s="3" t="str">
        <f>VLOOKUP(NoviaFunds[[#This Row],[ISIN]],'Novia Web Query'!$A:$E,5,FALSE)</f>
        <v>31/12/2020</v>
      </c>
      <c r="F547" t="str">
        <f>VLOOKUP(NoviaFunds[[#This Row],[Sector]],Sectors[],2,FALSE)</f>
        <v>Specialist</v>
      </c>
    </row>
    <row r="548" spans="1:6" x14ac:dyDescent="0.2">
      <c r="A548" t="str">
        <f>'Novia Web Query'!A548</f>
        <v>GB0003509436</v>
      </c>
      <c r="B548" t="str">
        <f>VLOOKUP(NoviaFunds[[#This Row],[ISIN]],'Novia Web Query'!$A:$E,2,FALSE)</f>
        <v>AXA Framlington Emerging Markets R Acc in GB</v>
      </c>
      <c r="C548" t="str">
        <f>VLOOKUP(NoviaFunds[[#This Row],[ISIN]],'Novia Web Query'!$A:$E,3,FALSE)</f>
        <v>UT Global Emerging Markets</v>
      </c>
      <c r="D548" s="139">
        <f>VLOOKUP(NoviaFunds[[#This Row],[ISIN]],'Novia Web Query'!$A:$E,4,FALSE)/100</f>
        <v>1.6399999999999998E-2</v>
      </c>
      <c r="E548" s="3" t="str">
        <f>VLOOKUP(NoviaFunds[[#This Row],[ISIN]],'Novia Web Query'!$A:$E,5,FALSE)</f>
        <v>31/12/2020</v>
      </c>
      <c r="F548" t="str">
        <f>VLOOKUP(NoviaFunds[[#This Row],[Sector]],Sectors[],2,FALSE)</f>
        <v>Emerging Markets</v>
      </c>
    </row>
    <row r="549" spans="1:6" x14ac:dyDescent="0.2">
      <c r="A549" t="str">
        <f>'Novia Web Query'!A549</f>
        <v>GB0003509329</v>
      </c>
      <c r="B549" t="str">
        <f>VLOOKUP(NoviaFunds[[#This Row],[ISIN]],'Novia Web Query'!$A:$E,2,FALSE)</f>
        <v>AXA Framlington Emerging Markets R Inc TR in GB</v>
      </c>
      <c r="C549" t="str">
        <f>VLOOKUP(NoviaFunds[[#This Row],[ISIN]],'Novia Web Query'!$A:$E,3,FALSE)</f>
        <v>UT Global Emerging Markets</v>
      </c>
      <c r="D549" s="139">
        <f>VLOOKUP(NoviaFunds[[#This Row],[ISIN]],'Novia Web Query'!$A:$E,4,FALSE)/100</f>
        <v>1.6399999999999998E-2</v>
      </c>
      <c r="E549" s="3" t="str">
        <f>VLOOKUP(NoviaFunds[[#This Row],[ISIN]],'Novia Web Query'!$A:$E,5,FALSE)</f>
        <v>31/12/2020</v>
      </c>
      <c r="F549" t="str">
        <f>VLOOKUP(NoviaFunds[[#This Row],[Sector]],Sectors[],2,FALSE)</f>
        <v>Emerging Markets</v>
      </c>
    </row>
    <row r="550" spans="1:6" x14ac:dyDescent="0.2">
      <c r="A550" t="str">
        <f>'Novia Web Query'!A550</f>
        <v>GB00B4490M25</v>
      </c>
      <c r="B550" t="str">
        <f>VLOOKUP(NoviaFunds[[#This Row],[ISIN]],'Novia Web Query'!$A:$E,2,FALSE)</f>
        <v>AXA Framlington Emerging Markets Z Acc in GB</v>
      </c>
      <c r="C550" t="str">
        <f>VLOOKUP(NoviaFunds[[#This Row],[ISIN]],'Novia Web Query'!$A:$E,3,FALSE)</f>
        <v>UT Global Emerging Markets</v>
      </c>
      <c r="D550" s="139">
        <f>VLOOKUP(NoviaFunds[[#This Row],[ISIN]],'Novia Web Query'!$A:$E,4,FALSE)/100</f>
        <v>8.8999999999999999E-3</v>
      </c>
      <c r="E550" s="3" t="str">
        <f>VLOOKUP(NoviaFunds[[#This Row],[ISIN]],'Novia Web Query'!$A:$E,5,FALSE)</f>
        <v>31/12/2020</v>
      </c>
      <c r="F550" t="str">
        <f>VLOOKUP(NoviaFunds[[#This Row],[Sector]],Sectors[],2,FALSE)</f>
        <v>Emerging Markets</v>
      </c>
    </row>
    <row r="551" spans="1:6" x14ac:dyDescent="0.2">
      <c r="A551" t="str">
        <f>'Novia Web Query'!A551</f>
        <v>GB00B403RF05</v>
      </c>
      <c r="B551" t="str">
        <f>VLOOKUP(NoviaFunds[[#This Row],[ISIN]],'Novia Web Query'!$A:$E,2,FALSE)</f>
        <v>AXA Framlington Emerging Markets Z Inc TR in GB</v>
      </c>
      <c r="C551" t="str">
        <f>VLOOKUP(NoviaFunds[[#This Row],[ISIN]],'Novia Web Query'!$A:$E,3,FALSE)</f>
        <v>UT Global Emerging Markets</v>
      </c>
      <c r="D551" s="139">
        <f>VLOOKUP(NoviaFunds[[#This Row],[ISIN]],'Novia Web Query'!$A:$E,4,FALSE)/100</f>
        <v>8.8999999999999999E-3</v>
      </c>
      <c r="E551" s="3" t="str">
        <f>VLOOKUP(NoviaFunds[[#This Row],[ISIN]],'Novia Web Query'!$A:$E,5,FALSE)</f>
        <v>31/12/2020</v>
      </c>
      <c r="F551" t="str">
        <f>VLOOKUP(NoviaFunds[[#This Row],[Sector]],Sectors[],2,FALSE)</f>
        <v>Emerging Markets</v>
      </c>
    </row>
    <row r="552" spans="1:6" x14ac:dyDescent="0.2">
      <c r="A552" t="str">
        <f>'Novia Web Query'!A552</f>
        <v>GB0003499414</v>
      </c>
      <c r="B552" t="str">
        <f>VLOOKUP(NoviaFunds[[#This Row],[ISIN]],'Novia Web Query'!$A:$E,2,FALSE)</f>
        <v>AXA Framlington Fintech R Acc in GB</v>
      </c>
      <c r="C552" t="str">
        <f>VLOOKUP(NoviaFunds[[#This Row],[ISIN]],'Novia Web Query'!$A:$E,3,FALSE)</f>
        <v>UT Financials and Financial Innovat</v>
      </c>
      <c r="D552" s="139">
        <f>VLOOKUP(NoviaFunds[[#This Row],[ISIN]],'Novia Web Query'!$A:$E,4,FALSE)/100</f>
        <v>1.61E-2</v>
      </c>
      <c r="E552" s="3" t="str">
        <f>VLOOKUP(NoviaFunds[[#This Row],[ISIN]],'Novia Web Query'!$A:$E,5,FALSE)</f>
        <v>31/12/2020</v>
      </c>
      <c r="F552" t="e">
        <f>VLOOKUP(NoviaFunds[[#This Row],[Sector]],Sectors[],2,FALSE)</f>
        <v>#N/A</v>
      </c>
    </row>
    <row r="553" spans="1:6" x14ac:dyDescent="0.2">
      <c r="A553" t="str">
        <f>'Novia Web Query'!A553</f>
        <v>GB0003499521</v>
      </c>
      <c r="B553" t="str">
        <f>VLOOKUP(NoviaFunds[[#This Row],[ISIN]],'Novia Web Query'!$A:$E,2,FALSE)</f>
        <v>AXA Framlington Fintech R Inc TR in GB</v>
      </c>
      <c r="C553" t="str">
        <f>VLOOKUP(NoviaFunds[[#This Row],[ISIN]],'Novia Web Query'!$A:$E,3,FALSE)</f>
        <v>UT Financials and Financial Innovat</v>
      </c>
      <c r="D553" s="139">
        <f>VLOOKUP(NoviaFunds[[#This Row],[ISIN]],'Novia Web Query'!$A:$E,4,FALSE)/100</f>
        <v>1.61E-2</v>
      </c>
      <c r="E553" s="3" t="str">
        <f>VLOOKUP(NoviaFunds[[#This Row],[ISIN]],'Novia Web Query'!$A:$E,5,FALSE)</f>
        <v>31/12/2020</v>
      </c>
      <c r="F553" t="e">
        <f>VLOOKUP(NoviaFunds[[#This Row],[Sector]],Sectors[],2,FALSE)</f>
        <v>#N/A</v>
      </c>
    </row>
    <row r="554" spans="1:6" x14ac:dyDescent="0.2">
      <c r="A554" t="str">
        <f>'Novia Web Query'!A554</f>
        <v>GB00B5BHKC62</v>
      </c>
      <c r="B554" t="str">
        <f>VLOOKUP(NoviaFunds[[#This Row],[ISIN]],'Novia Web Query'!$A:$E,2,FALSE)</f>
        <v>AXA Framlington Fintech Z Acc in GB</v>
      </c>
      <c r="C554" t="str">
        <f>VLOOKUP(NoviaFunds[[#This Row],[ISIN]],'Novia Web Query'!$A:$E,3,FALSE)</f>
        <v>UT Financials and Financial Innovat</v>
      </c>
      <c r="D554" s="139">
        <f>VLOOKUP(NoviaFunds[[#This Row],[ISIN]],'Novia Web Query'!$A:$E,4,FALSE)/100</f>
        <v>8.6999999999999994E-3</v>
      </c>
      <c r="E554" s="3" t="str">
        <f>VLOOKUP(NoviaFunds[[#This Row],[ISIN]],'Novia Web Query'!$A:$E,5,FALSE)</f>
        <v>31/12/2020</v>
      </c>
      <c r="F554" t="e">
        <f>VLOOKUP(NoviaFunds[[#This Row],[Sector]],Sectors[],2,FALSE)</f>
        <v>#N/A</v>
      </c>
    </row>
    <row r="555" spans="1:6" x14ac:dyDescent="0.2">
      <c r="A555" t="str">
        <f>'Novia Web Query'!A555</f>
        <v>GB00BRJZVN41</v>
      </c>
      <c r="B555" t="str">
        <f>VLOOKUP(NoviaFunds[[#This Row],[ISIN]],'Novia Web Query'!$A:$E,2,FALSE)</f>
        <v>AXA Framlington Fintech Z Inc TR in GB</v>
      </c>
      <c r="C555" t="str">
        <f>VLOOKUP(NoviaFunds[[#This Row],[ISIN]],'Novia Web Query'!$A:$E,3,FALSE)</f>
        <v>UT Financials and Financial Innovat</v>
      </c>
      <c r="D555" s="139">
        <f>VLOOKUP(NoviaFunds[[#This Row],[ISIN]],'Novia Web Query'!$A:$E,4,FALSE)/100</f>
        <v>8.6999999999999994E-3</v>
      </c>
      <c r="E555" s="3" t="str">
        <f>VLOOKUP(NoviaFunds[[#This Row],[ISIN]],'Novia Web Query'!$A:$E,5,FALSE)</f>
        <v>31/12/2020</v>
      </c>
      <c r="F555" t="e">
        <f>VLOOKUP(NoviaFunds[[#This Row],[Sector]],Sectors[],2,FALSE)</f>
        <v>#N/A</v>
      </c>
    </row>
    <row r="556" spans="1:6" x14ac:dyDescent="0.2">
      <c r="A556" t="str">
        <f>'Novia Web Query'!A556</f>
        <v>GB0006598998</v>
      </c>
      <c r="B556" t="str">
        <f>VLOOKUP(NoviaFunds[[#This Row],[ISIN]],'Novia Web Query'!$A:$E,2,FALSE)</f>
        <v>AXA Framlington Global Technology R Acc in GB</v>
      </c>
      <c r="C556" t="str">
        <f>VLOOKUP(NoviaFunds[[#This Row],[ISIN]],'Novia Web Query'!$A:$E,3,FALSE)</f>
        <v>UT Technology &amp; Telecommunications</v>
      </c>
      <c r="D556" s="139">
        <f>VLOOKUP(NoviaFunds[[#This Row],[ISIN]],'Novia Web Query'!$A:$E,4,FALSE)/100</f>
        <v>1.5700000000000002E-2</v>
      </c>
      <c r="E556" s="3" t="str">
        <f>VLOOKUP(NoviaFunds[[#This Row],[ISIN]],'Novia Web Query'!$A:$E,5,FALSE)</f>
        <v>31/12/2020</v>
      </c>
      <c r="F556" t="e">
        <f>VLOOKUP(NoviaFunds[[#This Row],[Sector]],Sectors[],2,FALSE)</f>
        <v>#N/A</v>
      </c>
    </row>
    <row r="557" spans="1:6" x14ac:dyDescent="0.2">
      <c r="A557" t="str">
        <f>'Novia Web Query'!A557</f>
        <v>GB0006745243</v>
      </c>
      <c r="B557" t="str">
        <f>VLOOKUP(NoviaFunds[[#This Row],[ISIN]],'Novia Web Query'!$A:$E,2,FALSE)</f>
        <v>AXA Framlington Global Technology R Inc in GB</v>
      </c>
      <c r="C557" t="str">
        <f>VLOOKUP(NoviaFunds[[#This Row],[ISIN]],'Novia Web Query'!$A:$E,3,FALSE)</f>
        <v>UT Technology &amp; Telecommunications</v>
      </c>
      <c r="D557" s="139">
        <f>VLOOKUP(NoviaFunds[[#This Row],[ISIN]],'Novia Web Query'!$A:$E,4,FALSE)/100</f>
        <v>1.5700000000000002E-2</v>
      </c>
      <c r="E557" s="3" t="str">
        <f>VLOOKUP(NoviaFunds[[#This Row],[ISIN]],'Novia Web Query'!$A:$E,5,FALSE)</f>
        <v>31/12/2020</v>
      </c>
      <c r="F557" t="e">
        <f>VLOOKUP(NoviaFunds[[#This Row],[Sector]],Sectors[],2,FALSE)</f>
        <v>#N/A</v>
      </c>
    </row>
    <row r="558" spans="1:6" x14ac:dyDescent="0.2">
      <c r="A558" t="str">
        <f>'Novia Web Query'!A558</f>
        <v>GB00B4W52V57</v>
      </c>
      <c r="B558" t="str">
        <f>VLOOKUP(NoviaFunds[[#This Row],[ISIN]],'Novia Web Query'!$A:$E,2,FALSE)</f>
        <v>AXA Framlington Global Technology Z Acc in GB</v>
      </c>
      <c r="C558" t="str">
        <f>VLOOKUP(NoviaFunds[[#This Row],[ISIN]],'Novia Web Query'!$A:$E,3,FALSE)</f>
        <v>UT Technology &amp; Telecommunications</v>
      </c>
      <c r="D558" s="139">
        <f>VLOOKUP(NoviaFunds[[#This Row],[ISIN]],'Novia Web Query'!$A:$E,4,FALSE)/100</f>
        <v>8.199999999999999E-3</v>
      </c>
      <c r="E558" s="3" t="str">
        <f>VLOOKUP(NoviaFunds[[#This Row],[ISIN]],'Novia Web Query'!$A:$E,5,FALSE)</f>
        <v>31/12/2020</v>
      </c>
      <c r="F558" t="e">
        <f>VLOOKUP(NoviaFunds[[#This Row],[Sector]],Sectors[],2,FALSE)</f>
        <v>#N/A</v>
      </c>
    </row>
    <row r="559" spans="1:6" x14ac:dyDescent="0.2">
      <c r="A559" t="str">
        <f>'Novia Web Query'!A559</f>
        <v>GB00B5MQXC30</v>
      </c>
      <c r="B559" t="str">
        <f>VLOOKUP(NoviaFunds[[#This Row],[ISIN]],'Novia Web Query'!$A:$E,2,FALSE)</f>
        <v>AXA Framlington Global Technology Z Inc in GB</v>
      </c>
      <c r="C559" t="str">
        <f>VLOOKUP(NoviaFunds[[#This Row],[ISIN]],'Novia Web Query'!$A:$E,3,FALSE)</f>
        <v>UT Technology &amp; Telecommunications</v>
      </c>
      <c r="D559" s="139">
        <f>VLOOKUP(NoviaFunds[[#This Row],[ISIN]],'Novia Web Query'!$A:$E,4,FALSE)/100</f>
        <v>8.199999999999999E-3</v>
      </c>
      <c r="E559" s="3" t="str">
        <f>VLOOKUP(NoviaFunds[[#This Row],[ISIN]],'Novia Web Query'!$A:$E,5,FALSE)</f>
        <v>31/12/2020</v>
      </c>
      <c r="F559" t="e">
        <f>VLOOKUP(NoviaFunds[[#This Row],[Sector]],Sectors[],2,FALSE)</f>
        <v>#N/A</v>
      </c>
    </row>
    <row r="560" spans="1:6" x14ac:dyDescent="0.2">
      <c r="A560" t="str">
        <f>'Novia Web Query'!A560</f>
        <v>GB0003502225</v>
      </c>
      <c r="B560" t="str">
        <f>VLOOKUP(NoviaFunds[[#This Row],[ISIN]],'Novia Web Query'!$A:$E,2,FALSE)</f>
        <v>AXA Framlington Global Thematics R Acc in GB</v>
      </c>
      <c r="C560" t="str">
        <f>VLOOKUP(NoviaFunds[[#This Row],[ISIN]],'Novia Web Query'!$A:$E,3,FALSE)</f>
        <v>UT Global</v>
      </c>
      <c r="D560" s="139">
        <f>VLOOKUP(NoviaFunds[[#This Row],[ISIN]],'Novia Web Query'!$A:$E,4,FALSE)/100</f>
        <v>1.6E-2</v>
      </c>
      <c r="E560" s="3" t="str">
        <f>VLOOKUP(NoviaFunds[[#This Row],[ISIN]],'Novia Web Query'!$A:$E,5,FALSE)</f>
        <v>31/12/2020</v>
      </c>
      <c r="F560" t="str">
        <f>VLOOKUP(NoviaFunds[[#This Row],[Sector]],Sectors[],2,FALSE)</f>
        <v>Other Equities</v>
      </c>
    </row>
    <row r="561" spans="1:6" x14ac:dyDescent="0.2">
      <c r="A561" t="str">
        <f>'Novia Web Query'!A561</f>
        <v>GB0003501920</v>
      </c>
      <c r="B561" t="str">
        <f>VLOOKUP(NoviaFunds[[#This Row],[ISIN]],'Novia Web Query'!$A:$E,2,FALSE)</f>
        <v>AXA Framlington Global Thematics R Inc TR in GB</v>
      </c>
      <c r="C561" t="str">
        <f>VLOOKUP(NoviaFunds[[#This Row],[ISIN]],'Novia Web Query'!$A:$E,3,FALSE)</f>
        <v>UT Global</v>
      </c>
      <c r="D561" s="139">
        <f>VLOOKUP(NoviaFunds[[#This Row],[ISIN]],'Novia Web Query'!$A:$E,4,FALSE)/100</f>
        <v>1.6E-2</v>
      </c>
      <c r="E561" s="3" t="str">
        <f>VLOOKUP(NoviaFunds[[#This Row],[ISIN]],'Novia Web Query'!$A:$E,5,FALSE)</f>
        <v>31/12/2020</v>
      </c>
      <c r="F561" t="str">
        <f>VLOOKUP(NoviaFunds[[#This Row],[Sector]],Sectors[],2,FALSE)</f>
        <v>Other Equities</v>
      </c>
    </row>
    <row r="562" spans="1:6" x14ac:dyDescent="0.2">
      <c r="A562" t="str">
        <f>'Novia Web Query'!A562</f>
        <v>GB00B7MMKJ14</v>
      </c>
      <c r="B562" t="str">
        <f>VLOOKUP(NoviaFunds[[#This Row],[ISIN]],'Novia Web Query'!$A:$E,2,FALSE)</f>
        <v>AXA Framlington Global Thematics Z Acc in GB</v>
      </c>
      <c r="C562" t="str">
        <f>VLOOKUP(NoviaFunds[[#This Row],[ISIN]],'Novia Web Query'!$A:$E,3,FALSE)</f>
        <v>UT Global</v>
      </c>
      <c r="D562" s="139">
        <f>VLOOKUP(NoviaFunds[[#This Row],[ISIN]],'Novia Web Query'!$A:$E,4,FALSE)/100</f>
        <v>8.5000000000000006E-3</v>
      </c>
      <c r="E562" s="3" t="str">
        <f>VLOOKUP(NoviaFunds[[#This Row],[ISIN]],'Novia Web Query'!$A:$E,5,FALSE)</f>
        <v>31/12/2020</v>
      </c>
      <c r="F562" t="str">
        <f>VLOOKUP(NoviaFunds[[#This Row],[Sector]],Sectors[],2,FALSE)</f>
        <v>Other Equities</v>
      </c>
    </row>
    <row r="563" spans="1:6" x14ac:dyDescent="0.2">
      <c r="A563" t="str">
        <f>'Novia Web Query'!A563</f>
        <v>GB00BRJZVP64</v>
      </c>
      <c r="B563" t="str">
        <f>VLOOKUP(NoviaFunds[[#This Row],[ISIN]],'Novia Web Query'!$A:$E,2,FALSE)</f>
        <v>AXA Framlington Global Thematics Z Inc TR in GB</v>
      </c>
      <c r="C563" t="str">
        <f>VLOOKUP(NoviaFunds[[#This Row],[ISIN]],'Novia Web Query'!$A:$E,3,FALSE)</f>
        <v>UT Global</v>
      </c>
      <c r="D563" s="139">
        <f>VLOOKUP(NoviaFunds[[#This Row],[ISIN]],'Novia Web Query'!$A:$E,4,FALSE)/100</f>
        <v>8.5000000000000006E-3</v>
      </c>
      <c r="E563" s="3" t="str">
        <f>VLOOKUP(NoviaFunds[[#This Row],[ISIN]],'Novia Web Query'!$A:$E,5,FALSE)</f>
        <v>31/12/2020</v>
      </c>
      <c r="F563" t="str">
        <f>VLOOKUP(NoviaFunds[[#This Row],[Sector]],Sectors[],2,FALSE)</f>
        <v>Other Equities</v>
      </c>
    </row>
    <row r="564" spans="1:6" x14ac:dyDescent="0.2">
      <c r="A564" t="str">
        <f>'Novia Web Query'!A564</f>
        <v>GB0003506424</v>
      </c>
      <c r="B564" t="str">
        <f>VLOOKUP(NoviaFunds[[#This Row],[ISIN]],'Novia Web Query'!$A:$E,2,FALSE)</f>
        <v>AXA Framlington Health R Acc in GB</v>
      </c>
      <c r="C564" t="str">
        <f>VLOOKUP(NoviaFunds[[#This Row],[ISIN]],'Novia Web Query'!$A:$E,3,FALSE)</f>
        <v>UT Healthcare</v>
      </c>
      <c r="D564" s="139">
        <f>VLOOKUP(NoviaFunds[[#This Row],[ISIN]],'Novia Web Query'!$A:$E,4,FALSE)/100</f>
        <v>1.5700000000000002E-2</v>
      </c>
      <c r="E564" s="3" t="str">
        <f>VLOOKUP(NoviaFunds[[#This Row],[ISIN]],'Novia Web Query'!$A:$E,5,FALSE)</f>
        <v>31/12/2020</v>
      </c>
      <c r="F564" t="e">
        <f>VLOOKUP(NoviaFunds[[#This Row],[Sector]],Sectors[],2,FALSE)</f>
        <v>#N/A</v>
      </c>
    </row>
    <row r="565" spans="1:6" x14ac:dyDescent="0.2">
      <c r="A565" t="str">
        <f>'Novia Web Query'!A565</f>
        <v>GB0005753719</v>
      </c>
      <c r="B565" t="str">
        <f>VLOOKUP(NoviaFunds[[#This Row],[ISIN]],'Novia Web Query'!$A:$E,2,FALSE)</f>
        <v>AXA Framlington Health R Inc in GB</v>
      </c>
      <c r="C565" t="str">
        <f>VLOOKUP(NoviaFunds[[#This Row],[ISIN]],'Novia Web Query'!$A:$E,3,FALSE)</f>
        <v>UT Healthcare</v>
      </c>
      <c r="D565" s="139">
        <f>VLOOKUP(NoviaFunds[[#This Row],[ISIN]],'Novia Web Query'!$A:$E,4,FALSE)/100</f>
        <v>1.5700000000000002E-2</v>
      </c>
      <c r="E565" s="3" t="str">
        <f>VLOOKUP(NoviaFunds[[#This Row],[ISIN]],'Novia Web Query'!$A:$E,5,FALSE)</f>
        <v>31/12/2020</v>
      </c>
      <c r="F565" t="e">
        <f>VLOOKUP(NoviaFunds[[#This Row],[Sector]],Sectors[],2,FALSE)</f>
        <v>#N/A</v>
      </c>
    </row>
    <row r="566" spans="1:6" x14ac:dyDescent="0.2">
      <c r="A566" t="str">
        <f>'Novia Web Query'!A566</f>
        <v>GB00B6WZJX05</v>
      </c>
      <c r="B566" t="str">
        <f>VLOOKUP(NoviaFunds[[#This Row],[ISIN]],'Novia Web Query'!$A:$E,2,FALSE)</f>
        <v>AXA Framlington Health Z Acc in GB</v>
      </c>
      <c r="C566" t="str">
        <f>VLOOKUP(NoviaFunds[[#This Row],[ISIN]],'Novia Web Query'!$A:$E,3,FALSE)</f>
        <v>UT Healthcare</v>
      </c>
      <c r="D566" s="139">
        <f>VLOOKUP(NoviaFunds[[#This Row],[ISIN]],'Novia Web Query'!$A:$E,4,FALSE)/100</f>
        <v>8.199999999999999E-3</v>
      </c>
      <c r="E566" s="3" t="str">
        <f>VLOOKUP(NoviaFunds[[#This Row],[ISIN]],'Novia Web Query'!$A:$E,5,FALSE)</f>
        <v>31/12/2020</v>
      </c>
      <c r="F566" t="e">
        <f>VLOOKUP(NoviaFunds[[#This Row],[Sector]],Sectors[],2,FALSE)</f>
        <v>#N/A</v>
      </c>
    </row>
    <row r="567" spans="1:6" x14ac:dyDescent="0.2">
      <c r="A567" t="str">
        <f>'Novia Web Query'!A567</f>
        <v>GB00BRJZVQ71</v>
      </c>
      <c r="B567" t="str">
        <f>VLOOKUP(NoviaFunds[[#This Row],[ISIN]],'Novia Web Query'!$A:$E,2,FALSE)</f>
        <v>AXA Framlington Health Z Inc TR in GB</v>
      </c>
      <c r="C567" t="str">
        <f>VLOOKUP(NoviaFunds[[#This Row],[ISIN]],'Novia Web Query'!$A:$E,3,FALSE)</f>
        <v>UT Healthcare</v>
      </c>
      <c r="D567" s="139">
        <f>VLOOKUP(NoviaFunds[[#This Row],[ISIN]],'Novia Web Query'!$A:$E,4,FALSE)/100</f>
        <v>8.199999999999999E-3</v>
      </c>
      <c r="E567" s="3" t="str">
        <f>VLOOKUP(NoviaFunds[[#This Row],[ISIN]],'Novia Web Query'!$A:$E,5,FALSE)</f>
        <v>31/12/2020</v>
      </c>
      <c r="F567" t="e">
        <f>VLOOKUP(NoviaFunds[[#This Row],[Sector]],Sectors[],2,FALSE)</f>
        <v>#N/A</v>
      </c>
    </row>
    <row r="568" spans="1:6" x14ac:dyDescent="0.2">
      <c r="A568" t="str">
        <f>'Novia Web Query'!A568</f>
        <v>GB0003500179</v>
      </c>
      <c r="B568" t="str">
        <f>VLOOKUP(NoviaFunds[[#This Row],[ISIN]],'Novia Web Query'!$A:$E,2,FALSE)</f>
        <v>AXA Framlington Japan R Acc in GB</v>
      </c>
      <c r="C568" t="str">
        <f>VLOOKUP(NoviaFunds[[#This Row],[ISIN]],'Novia Web Query'!$A:$E,3,FALSE)</f>
        <v>UT Japan</v>
      </c>
      <c r="D568" s="139">
        <f>VLOOKUP(NoviaFunds[[#This Row],[ISIN]],'Novia Web Query'!$A:$E,4,FALSE)/100</f>
        <v>1.5900000000000001E-2</v>
      </c>
      <c r="E568" s="3" t="str">
        <f>VLOOKUP(NoviaFunds[[#This Row],[ISIN]],'Novia Web Query'!$A:$E,5,FALSE)</f>
        <v>31/12/2020</v>
      </c>
      <c r="F568" t="str">
        <f>VLOOKUP(NoviaFunds[[#This Row],[Sector]],Sectors[],2,FALSE)</f>
        <v>Japanese Equities</v>
      </c>
    </row>
    <row r="569" spans="1:6" x14ac:dyDescent="0.2">
      <c r="A569" t="str">
        <f>'Novia Web Query'!A569</f>
        <v>GB0003500062</v>
      </c>
      <c r="B569" t="str">
        <f>VLOOKUP(NoviaFunds[[#This Row],[ISIN]],'Novia Web Query'!$A:$E,2,FALSE)</f>
        <v>AXA Framlington Japan R Inc TR in GB</v>
      </c>
      <c r="C569" t="str">
        <f>VLOOKUP(NoviaFunds[[#This Row],[ISIN]],'Novia Web Query'!$A:$E,3,FALSE)</f>
        <v>UT Japan</v>
      </c>
      <c r="D569" s="139">
        <f>VLOOKUP(NoviaFunds[[#This Row],[ISIN]],'Novia Web Query'!$A:$E,4,FALSE)/100</f>
        <v>1.5900000000000001E-2</v>
      </c>
      <c r="E569" s="3" t="str">
        <f>VLOOKUP(NoviaFunds[[#This Row],[ISIN]],'Novia Web Query'!$A:$E,5,FALSE)</f>
        <v>31/12/2020</v>
      </c>
      <c r="F569" t="str">
        <f>VLOOKUP(NoviaFunds[[#This Row],[Sector]],Sectors[],2,FALSE)</f>
        <v>Japanese Equities</v>
      </c>
    </row>
    <row r="570" spans="1:6" x14ac:dyDescent="0.2">
      <c r="A570" t="str">
        <f>'Novia Web Query'!A570</f>
        <v>GB00B7FSWP64</v>
      </c>
      <c r="B570" t="str">
        <f>VLOOKUP(NoviaFunds[[#This Row],[ISIN]],'Novia Web Query'!$A:$E,2,FALSE)</f>
        <v>AXA Framlington Japan Z Acc in GB</v>
      </c>
      <c r="C570" t="str">
        <f>VLOOKUP(NoviaFunds[[#This Row],[ISIN]],'Novia Web Query'!$A:$E,3,FALSE)</f>
        <v>UT Japan</v>
      </c>
      <c r="D570" s="139">
        <f>VLOOKUP(NoviaFunds[[#This Row],[ISIN]],'Novia Web Query'!$A:$E,4,FALSE)/100</f>
        <v>8.3999999999999995E-3</v>
      </c>
      <c r="E570" s="3" t="str">
        <f>VLOOKUP(NoviaFunds[[#This Row],[ISIN]],'Novia Web Query'!$A:$E,5,FALSE)</f>
        <v>31/12/2020</v>
      </c>
      <c r="F570" t="str">
        <f>VLOOKUP(NoviaFunds[[#This Row],[Sector]],Sectors[],2,FALSE)</f>
        <v>Japanese Equities</v>
      </c>
    </row>
    <row r="571" spans="1:6" x14ac:dyDescent="0.2">
      <c r="A571" t="str">
        <f>'Novia Web Query'!A571</f>
        <v>GB00BRJZVR88</v>
      </c>
      <c r="B571" t="str">
        <f>VLOOKUP(NoviaFunds[[#This Row],[ISIN]],'Novia Web Query'!$A:$E,2,FALSE)</f>
        <v>AXA Framlington Japan Z Inc TR in GB</v>
      </c>
      <c r="C571" t="str">
        <f>VLOOKUP(NoviaFunds[[#This Row],[ISIN]],'Novia Web Query'!$A:$E,3,FALSE)</f>
        <v>UT Japan</v>
      </c>
      <c r="D571" s="139">
        <f>VLOOKUP(NoviaFunds[[#This Row],[ISIN]],'Novia Web Query'!$A:$E,4,FALSE)/100</f>
        <v>8.3999999999999995E-3</v>
      </c>
      <c r="E571" s="3" t="str">
        <f>VLOOKUP(NoviaFunds[[#This Row],[ISIN]],'Novia Web Query'!$A:$E,5,FALSE)</f>
        <v>31/12/2020</v>
      </c>
      <c r="F571" t="str">
        <f>VLOOKUP(NoviaFunds[[#This Row],[Sector]],Sectors[],2,FALSE)</f>
        <v>Japanese Equities</v>
      </c>
    </row>
    <row r="572" spans="1:6" x14ac:dyDescent="0.2">
      <c r="A572" t="str">
        <f>'Novia Web Query'!A572</f>
        <v>GB0003509659</v>
      </c>
      <c r="B572" t="str">
        <f>VLOOKUP(NoviaFunds[[#This Row],[ISIN]],'Novia Web Query'!$A:$E,2,FALSE)</f>
        <v>AXA Framlington Managed Balanced R Acc in GB</v>
      </c>
      <c r="C572" t="str">
        <f>VLOOKUP(NoviaFunds[[#This Row],[ISIN]],'Novia Web Query'!$A:$E,3,FALSE)</f>
        <v>UT Mixed Investment 40-85% Shares</v>
      </c>
      <c r="D572" s="139">
        <f>VLOOKUP(NoviaFunds[[#This Row],[ISIN]],'Novia Web Query'!$A:$E,4,FALSE)/100</f>
        <v>1.32E-2</v>
      </c>
      <c r="E572" s="3" t="str">
        <f>VLOOKUP(NoviaFunds[[#This Row],[ISIN]],'Novia Web Query'!$A:$E,5,FALSE)</f>
        <v>31/12/2020</v>
      </c>
      <c r="F572" t="str">
        <f>VLOOKUP(NoviaFunds[[#This Row],[Sector]],Sectors[],2,FALSE)</f>
        <v>Mixed 40%-85%</v>
      </c>
    </row>
    <row r="573" spans="1:6" x14ac:dyDescent="0.2">
      <c r="A573" t="str">
        <f>'Novia Web Query'!A573</f>
        <v>GB0003509543</v>
      </c>
      <c r="B573" t="str">
        <f>VLOOKUP(NoviaFunds[[#This Row],[ISIN]],'Novia Web Query'!$A:$E,2,FALSE)</f>
        <v>AXA Framlington Managed Balanced R Inc TR in GB</v>
      </c>
      <c r="C573" t="str">
        <f>VLOOKUP(NoviaFunds[[#This Row],[ISIN]],'Novia Web Query'!$A:$E,3,FALSE)</f>
        <v>UT Mixed Investment 40-85% Shares</v>
      </c>
      <c r="D573" s="139">
        <f>VLOOKUP(NoviaFunds[[#This Row],[ISIN]],'Novia Web Query'!$A:$E,4,FALSE)/100</f>
        <v>1.32E-2</v>
      </c>
      <c r="E573" s="3" t="str">
        <f>VLOOKUP(NoviaFunds[[#This Row],[ISIN]],'Novia Web Query'!$A:$E,5,FALSE)</f>
        <v>31/12/2020</v>
      </c>
      <c r="F573" t="str">
        <f>VLOOKUP(NoviaFunds[[#This Row],[Sector]],Sectors[],2,FALSE)</f>
        <v>Mixed 40%-85%</v>
      </c>
    </row>
    <row r="574" spans="1:6" x14ac:dyDescent="0.2">
      <c r="A574" t="str">
        <f>'Novia Web Query'!A574</f>
        <v>GB00B7MMHK16</v>
      </c>
      <c r="B574" t="str">
        <f>VLOOKUP(NoviaFunds[[#This Row],[ISIN]],'Novia Web Query'!$A:$E,2,FALSE)</f>
        <v>AXA Framlington Managed Balanced Z Acc in GB</v>
      </c>
      <c r="C574" t="str">
        <f>VLOOKUP(NoviaFunds[[#This Row],[ISIN]],'Novia Web Query'!$A:$E,3,FALSE)</f>
        <v>UT Mixed Investment 40-85% Shares</v>
      </c>
      <c r="D574" s="139">
        <f>VLOOKUP(NoviaFunds[[#This Row],[ISIN]],'Novia Web Query'!$A:$E,4,FALSE)/100</f>
        <v>6.8999999999999999E-3</v>
      </c>
      <c r="E574" s="3" t="str">
        <f>VLOOKUP(NoviaFunds[[#This Row],[ISIN]],'Novia Web Query'!$A:$E,5,FALSE)</f>
        <v>31/12/2020</v>
      </c>
      <c r="F574" t="str">
        <f>VLOOKUP(NoviaFunds[[#This Row],[Sector]],Sectors[],2,FALSE)</f>
        <v>Mixed 40%-85%</v>
      </c>
    </row>
    <row r="575" spans="1:6" x14ac:dyDescent="0.2">
      <c r="A575" t="str">
        <f>'Novia Web Query'!A575</f>
        <v>GB00B7MQY793</v>
      </c>
      <c r="B575" t="str">
        <f>VLOOKUP(NoviaFunds[[#This Row],[ISIN]],'Novia Web Query'!$A:$E,2,FALSE)</f>
        <v>AXA Framlington Managed Balanced Z Inc TR in GB</v>
      </c>
      <c r="C575" t="str">
        <f>VLOOKUP(NoviaFunds[[#This Row],[ISIN]],'Novia Web Query'!$A:$E,3,FALSE)</f>
        <v>UT Mixed Investment 40-85% Shares</v>
      </c>
      <c r="D575" s="139">
        <f>VLOOKUP(NoviaFunds[[#This Row],[ISIN]],'Novia Web Query'!$A:$E,4,FALSE)/100</f>
        <v>6.8999999999999999E-3</v>
      </c>
      <c r="E575" s="3" t="str">
        <f>VLOOKUP(NoviaFunds[[#This Row],[ISIN]],'Novia Web Query'!$A:$E,5,FALSE)</f>
        <v>31/12/2020</v>
      </c>
      <c r="F575" t="str">
        <f>VLOOKUP(NoviaFunds[[#This Row],[Sector]],Sectors[],2,FALSE)</f>
        <v>Mixed 40%-85%</v>
      </c>
    </row>
    <row r="576" spans="1:6" x14ac:dyDescent="0.2">
      <c r="A576" t="str">
        <f>'Novia Web Query'!A576</f>
        <v>GB00B7H1PG56</v>
      </c>
      <c r="B576" t="str">
        <f>VLOOKUP(NoviaFunds[[#This Row],[ISIN]],'Novia Web Query'!$A:$E,2,FALSE)</f>
        <v>AXA Framlington Managed Income Z Gross Acc in GB</v>
      </c>
      <c r="C576" t="str">
        <f>VLOOKUP(NoviaFunds[[#This Row],[ISIN]],'Novia Web Query'!$A:$E,3,FALSE)</f>
        <v>UT Sterling Strategic Bond</v>
      </c>
      <c r="D576" s="139">
        <f>VLOOKUP(NoviaFunds[[#This Row],[ISIN]],'Novia Web Query'!$A:$E,4,FALSE)/100</f>
        <v>5.8999999999999999E-3</v>
      </c>
      <c r="E576" s="3" t="str">
        <f>VLOOKUP(NoviaFunds[[#This Row],[ISIN]],'Novia Web Query'!$A:$E,5,FALSE)</f>
        <v>31/12/2020</v>
      </c>
      <c r="F576" t="str">
        <f>VLOOKUP(NoviaFunds[[#This Row],[Sector]],Sectors[],2,FALSE)</f>
        <v>Other Bonds</v>
      </c>
    </row>
    <row r="577" spans="1:6" x14ac:dyDescent="0.2">
      <c r="A577" t="str">
        <f>'Novia Web Query'!A577</f>
        <v>GB00B71DB365</v>
      </c>
      <c r="B577" t="str">
        <f>VLOOKUP(NoviaFunds[[#This Row],[ISIN]],'Novia Web Query'!$A:$E,2,FALSE)</f>
        <v>AXA Framlington Managed Income Z Gross Inc TR in GB</v>
      </c>
      <c r="C577" t="str">
        <f>VLOOKUP(NoviaFunds[[#This Row],[ISIN]],'Novia Web Query'!$A:$E,3,FALSE)</f>
        <v>UT Sterling Strategic Bond</v>
      </c>
      <c r="D577" s="139">
        <f>VLOOKUP(NoviaFunds[[#This Row],[ISIN]],'Novia Web Query'!$A:$E,4,FALSE)/100</f>
        <v>5.8999999999999999E-3</v>
      </c>
      <c r="E577" s="3" t="str">
        <f>VLOOKUP(NoviaFunds[[#This Row],[ISIN]],'Novia Web Query'!$A:$E,5,FALSE)</f>
        <v>31/12/2020</v>
      </c>
      <c r="F577" t="str">
        <f>VLOOKUP(NoviaFunds[[#This Row],[Sector]],Sectors[],2,FALSE)</f>
        <v>Other Bonds</v>
      </c>
    </row>
    <row r="578" spans="1:6" x14ac:dyDescent="0.2">
      <c r="A578" t="str">
        <f>'Novia Web Query'!A578</f>
        <v>GB0003490595</v>
      </c>
      <c r="B578" t="str">
        <f>VLOOKUP(NoviaFunds[[#This Row],[ISIN]],'Novia Web Query'!$A:$E,2,FALSE)</f>
        <v>AXA Framlington Monthly Income R Acc in GB</v>
      </c>
      <c r="C578" t="str">
        <f>VLOOKUP(NoviaFunds[[#This Row],[ISIN]],'Novia Web Query'!$A:$E,3,FALSE)</f>
        <v>UT UK Equity Income</v>
      </c>
      <c r="D578" s="139">
        <f>VLOOKUP(NoviaFunds[[#This Row],[ISIN]],'Novia Web Query'!$A:$E,4,FALSE)/100</f>
        <v>1.5900000000000001E-2</v>
      </c>
      <c r="E578" s="3" t="str">
        <f>VLOOKUP(NoviaFunds[[#This Row],[ISIN]],'Novia Web Query'!$A:$E,5,FALSE)</f>
        <v>31/12/2020</v>
      </c>
      <c r="F578" t="str">
        <f>VLOOKUP(NoviaFunds[[#This Row],[Sector]],Sectors[],2,FALSE)</f>
        <v>UK Equities</v>
      </c>
    </row>
    <row r="579" spans="1:6" x14ac:dyDescent="0.2">
      <c r="A579" t="str">
        <f>'Novia Web Query'!A579</f>
        <v>GB0003500286</v>
      </c>
      <c r="B579" t="str">
        <f>VLOOKUP(NoviaFunds[[#This Row],[ISIN]],'Novia Web Query'!$A:$E,2,FALSE)</f>
        <v>AXA Framlington Monthly Income R Inc TR in GB</v>
      </c>
      <c r="C579" t="str">
        <f>VLOOKUP(NoviaFunds[[#This Row],[ISIN]],'Novia Web Query'!$A:$E,3,FALSE)</f>
        <v>UT UK Equity Income</v>
      </c>
      <c r="D579" s="139">
        <f>VLOOKUP(NoviaFunds[[#This Row],[ISIN]],'Novia Web Query'!$A:$E,4,FALSE)/100</f>
        <v>1.5900000000000001E-2</v>
      </c>
      <c r="E579" s="3" t="str">
        <f>VLOOKUP(NoviaFunds[[#This Row],[ISIN]],'Novia Web Query'!$A:$E,5,FALSE)</f>
        <v>31/12/2020</v>
      </c>
      <c r="F579" t="str">
        <f>VLOOKUP(NoviaFunds[[#This Row],[Sector]],Sectors[],2,FALSE)</f>
        <v>UK Equities</v>
      </c>
    </row>
    <row r="580" spans="1:6" x14ac:dyDescent="0.2">
      <c r="A580" t="str">
        <f>'Novia Web Query'!A580</f>
        <v>GB00B7MMK809</v>
      </c>
      <c r="B580" t="str">
        <f>VLOOKUP(NoviaFunds[[#This Row],[ISIN]],'Novia Web Query'!$A:$E,2,FALSE)</f>
        <v>AXA Framlington Monthly Income Z Acc in GB</v>
      </c>
      <c r="C580" t="str">
        <f>VLOOKUP(NoviaFunds[[#This Row],[ISIN]],'Novia Web Query'!$A:$E,3,FALSE)</f>
        <v>UT UK Equity Income</v>
      </c>
      <c r="D580" s="139">
        <f>VLOOKUP(NoviaFunds[[#This Row],[ISIN]],'Novia Web Query'!$A:$E,4,FALSE)/100</f>
        <v>8.3999999999999995E-3</v>
      </c>
      <c r="E580" s="3" t="str">
        <f>VLOOKUP(NoviaFunds[[#This Row],[ISIN]],'Novia Web Query'!$A:$E,5,FALSE)</f>
        <v>31/12/2020</v>
      </c>
      <c r="F580" t="str">
        <f>VLOOKUP(NoviaFunds[[#This Row],[Sector]],Sectors[],2,FALSE)</f>
        <v>UK Equities</v>
      </c>
    </row>
    <row r="581" spans="1:6" x14ac:dyDescent="0.2">
      <c r="A581" t="str">
        <f>'Novia Web Query'!A581</f>
        <v>GB00B7MMK577</v>
      </c>
      <c r="B581" t="str">
        <f>VLOOKUP(NoviaFunds[[#This Row],[ISIN]],'Novia Web Query'!$A:$E,2,FALSE)</f>
        <v>AXA Framlington Monthly Income Z Inc TR in GB</v>
      </c>
      <c r="C581" t="str">
        <f>VLOOKUP(NoviaFunds[[#This Row],[ISIN]],'Novia Web Query'!$A:$E,3,FALSE)</f>
        <v>UT UK Equity Income</v>
      </c>
      <c r="D581" s="139">
        <f>VLOOKUP(NoviaFunds[[#This Row],[ISIN]],'Novia Web Query'!$A:$E,4,FALSE)/100</f>
        <v>8.3999999999999995E-3</v>
      </c>
      <c r="E581" s="3" t="str">
        <f>VLOOKUP(NoviaFunds[[#This Row],[ISIN]],'Novia Web Query'!$A:$E,5,FALSE)</f>
        <v>31/12/2020</v>
      </c>
      <c r="F581" t="str">
        <f>VLOOKUP(NoviaFunds[[#This Row],[Sector]],Sectors[],2,FALSE)</f>
        <v>UK Equities</v>
      </c>
    </row>
    <row r="582" spans="1:6" x14ac:dyDescent="0.2">
      <c r="A582" t="str">
        <f>'Novia Web Query'!A582</f>
        <v>GB00B523ZL77</v>
      </c>
      <c r="B582" t="str">
        <f>VLOOKUP(NoviaFunds[[#This Row],[ISIN]],'Novia Web Query'!$A:$E,2,FALSE)</f>
        <v>AXA Framlington UK Equity Income R Acc in GB</v>
      </c>
      <c r="C582" t="str">
        <f>VLOOKUP(NoviaFunds[[#This Row],[ISIN]],'Novia Web Query'!$A:$E,3,FALSE)</f>
        <v>UT UK Equity Income</v>
      </c>
      <c r="D582" s="139">
        <f>VLOOKUP(NoviaFunds[[#This Row],[ISIN]],'Novia Web Query'!$A:$E,4,FALSE)/100</f>
        <v>1.6E-2</v>
      </c>
      <c r="E582" s="3" t="str">
        <f>VLOOKUP(NoviaFunds[[#This Row],[ISIN]],'Novia Web Query'!$A:$E,5,FALSE)</f>
        <v>31/12/2020</v>
      </c>
      <c r="F582" t="str">
        <f>VLOOKUP(NoviaFunds[[#This Row],[Sector]],Sectors[],2,FALSE)</f>
        <v>UK Equities</v>
      </c>
    </row>
    <row r="583" spans="1:6" x14ac:dyDescent="0.2">
      <c r="A583" t="str">
        <f>'Novia Web Query'!A583</f>
        <v>GB00B523ZM84</v>
      </c>
      <c r="B583" t="str">
        <f>VLOOKUP(NoviaFunds[[#This Row],[ISIN]],'Novia Web Query'!$A:$E,2,FALSE)</f>
        <v>AXA Framlington UK Equity Income R Inc TR in GB</v>
      </c>
      <c r="C583" t="str">
        <f>VLOOKUP(NoviaFunds[[#This Row],[ISIN]],'Novia Web Query'!$A:$E,3,FALSE)</f>
        <v>UT UK Equity Income</v>
      </c>
      <c r="D583" s="139">
        <f>VLOOKUP(NoviaFunds[[#This Row],[ISIN]],'Novia Web Query'!$A:$E,4,FALSE)/100</f>
        <v>1.6E-2</v>
      </c>
      <c r="E583" s="3" t="str">
        <f>VLOOKUP(NoviaFunds[[#This Row],[ISIN]],'Novia Web Query'!$A:$E,5,FALSE)</f>
        <v>31/12/2020</v>
      </c>
      <c r="F583" t="str">
        <f>VLOOKUP(NoviaFunds[[#This Row],[Sector]],Sectors[],2,FALSE)</f>
        <v>UK Equities</v>
      </c>
    </row>
    <row r="584" spans="1:6" x14ac:dyDescent="0.2">
      <c r="A584" t="str">
        <f>'Novia Web Query'!A584</f>
        <v>GB00B7KBNV36</v>
      </c>
      <c r="B584" t="str">
        <f>VLOOKUP(NoviaFunds[[#This Row],[ISIN]],'Novia Web Query'!$A:$E,2,FALSE)</f>
        <v>AXA Framlington UK Equity Income Z Acc in GB</v>
      </c>
      <c r="C584" t="str">
        <f>VLOOKUP(NoviaFunds[[#This Row],[ISIN]],'Novia Web Query'!$A:$E,3,FALSE)</f>
        <v>UT UK Equity Income</v>
      </c>
      <c r="D584" s="139">
        <f>VLOOKUP(NoviaFunds[[#This Row],[ISIN]],'Novia Web Query'!$A:$E,4,FALSE)/100</f>
        <v>8.5000000000000006E-3</v>
      </c>
      <c r="E584" s="3" t="str">
        <f>VLOOKUP(NoviaFunds[[#This Row],[ISIN]],'Novia Web Query'!$A:$E,5,FALSE)</f>
        <v>31/12/2020</v>
      </c>
      <c r="F584" t="str">
        <f>VLOOKUP(NoviaFunds[[#This Row],[Sector]],Sectors[],2,FALSE)</f>
        <v>UK Equities</v>
      </c>
    </row>
    <row r="585" spans="1:6" x14ac:dyDescent="0.2">
      <c r="A585" t="str">
        <f>'Novia Web Query'!A585</f>
        <v>GB00B8HHY295</v>
      </c>
      <c r="B585" t="str">
        <f>VLOOKUP(NoviaFunds[[#This Row],[ISIN]],'Novia Web Query'!$A:$E,2,FALSE)</f>
        <v>AXA Framlington UK Equity Income Z Inc TR in GB</v>
      </c>
      <c r="C585" t="str">
        <f>VLOOKUP(NoviaFunds[[#This Row],[ISIN]],'Novia Web Query'!$A:$E,3,FALSE)</f>
        <v>UT UK Equity Income</v>
      </c>
      <c r="D585" s="139">
        <f>VLOOKUP(NoviaFunds[[#This Row],[ISIN]],'Novia Web Query'!$A:$E,4,FALSE)/100</f>
        <v>8.5000000000000006E-3</v>
      </c>
      <c r="E585" s="3" t="str">
        <f>VLOOKUP(NoviaFunds[[#This Row],[ISIN]],'Novia Web Query'!$A:$E,5,FALSE)</f>
        <v>31/12/2020</v>
      </c>
      <c r="F585" t="str">
        <f>VLOOKUP(NoviaFunds[[#This Row],[Sector]],Sectors[],2,FALSE)</f>
        <v>UK Equities</v>
      </c>
    </row>
    <row r="586" spans="1:6" x14ac:dyDescent="0.2">
      <c r="A586" t="str">
        <f>'Novia Web Query'!A586</f>
        <v>GB00B5032Q31</v>
      </c>
      <c r="B586" t="str">
        <f>VLOOKUP(NoviaFunds[[#This Row],[ISIN]],'Novia Web Query'!$A:$E,2,FALSE)</f>
        <v>AXA Framlington UK Mid Cap R Acc in GB</v>
      </c>
      <c r="C586" t="str">
        <f>VLOOKUP(NoviaFunds[[#This Row],[ISIN]],'Novia Web Query'!$A:$E,3,FALSE)</f>
        <v>UT UK All Companies</v>
      </c>
      <c r="D586" s="139">
        <f>VLOOKUP(NoviaFunds[[#This Row],[ISIN]],'Novia Web Query'!$A:$E,4,FALSE)/100</f>
        <v>1.5900000000000001E-2</v>
      </c>
      <c r="E586" s="3" t="str">
        <f>VLOOKUP(NoviaFunds[[#This Row],[ISIN]],'Novia Web Query'!$A:$E,5,FALSE)</f>
        <v>31/12/2020</v>
      </c>
      <c r="F586" t="str">
        <f>VLOOKUP(NoviaFunds[[#This Row],[Sector]],Sectors[],2,FALSE)</f>
        <v>UK Equities</v>
      </c>
    </row>
    <row r="587" spans="1:6" x14ac:dyDescent="0.2">
      <c r="A587" t="str">
        <f>'Novia Web Query'!A587</f>
        <v>GB00B64W4Q70</v>
      </c>
      <c r="B587" t="str">
        <f>VLOOKUP(NoviaFunds[[#This Row],[ISIN]],'Novia Web Query'!$A:$E,2,FALSE)</f>
        <v>AXA Framlington UK Mid Cap Z Acc in GB</v>
      </c>
      <c r="C587" t="str">
        <f>VLOOKUP(NoviaFunds[[#This Row],[ISIN]],'Novia Web Query'!$A:$E,3,FALSE)</f>
        <v>UT UK All Companies</v>
      </c>
      <c r="D587" s="139">
        <f>VLOOKUP(NoviaFunds[[#This Row],[ISIN]],'Novia Web Query'!$A:$E,4,FALSE)/100</f>
        <v>8.3999999999999995E-3</v>
      </c>
      <c r="E587" s="3" t="str">
        <f>VLOOKUP(NoviaFunds[[#This Row],[ISIN]],'Novia Web Query'!$A:$E,5,FALSE)</f>
        <v>31/12/2020</v>
      </c>
      <c r="F587" t="str">
        <f>VLOOKUP(NoviaFunds[[#This Row],[Sector]],Sectors[],2,FALSE)</f>
        <v>UK Equities</v>
      </c>
    </row>
    <row r="588" spans="1:6" x14ac:dyDescent="0.2">
      <c r="A588" t="str">
        <f>'Novia Web Query'!A588</f>
        <v>GB00B3SYV567</v>
      </c>
      <c r="B588" t="str">
        <f>VLOOKUP(NoviaFunds[[#This Row],[ISIN]],'Novia Web Query'!$A:$E,2,FALSE)</f>
        <v>AXA Framlington UK Mid Cap Z Inc TR in GB</v>
      </c>
      <c r="C588" t="str">
        <f>VLOOKUP(NoviaFunds[[#This Row],[ISIN]],'Novia Web Query'!$A:$E,3,FALSE)</f>
        <v>UT UK All Companies</v>
      </c>
      <c r="D588" s="139">
        <f>VLOOKUP(NoviaFunds[[#This Row],[ISIN]],'Novia Web Query'!$A:$E,4,FALSE)/100</f>
        <v>8.3999999999999995E-3</v>
      </c>
      <c r="E588" s="3" t="str">
        <f>VLOOKUP(NoviaFunds[[#This Row],[ISIN]],'Novia Web Query'!$A:$E,5,FALSE)</f>
        <v>31/12/2020</v>
      </c>
      <c r="F588" t="str">
        <f>VLOOKUP(NoviaFunds[[#This Row],[Sector]],Sectors[],2,FALSE)</f>
        <v>UK Equities</v>
      </c>
    </row>
    <row r="589" spans="1:6" x14ac:dyDescent="0.2">
      <c r="A589" t="str">
        <f>'Novia Web Query'!A589</f>
        <v>GB0003501581</v>
      </c>
      <c r="B589" t="str">
        <f>VLOOKUP(NoviaFunds[[#This Row],[ISIN]],'Novia Web Query'!$A:$E,2,FALSE)</f>
        <v>AXA Framlington UK Select Opportunities R Acc in GB</v>
      </c>
      <c r="C589" t="str">
        <f>VLOOKUP(NoviaFunds[[#This Row],[ISIN]],'Novia Web Query'!$A:$E,3,FALSE)</f>
        <v>UT UK All Companies</v>
      </c>
      <c r="D589" s="139">
        <f>VLOOKUP(NoviaFunds[[#This Row],[ISIN]],'Novia Web Query'!$A:$E,4,FALSE)/100</f>
        <v>1.5800000000000002E-2</v>
      </c>
      <c r="E589" s="3" t="str">
        <f>VLOOKUP(NoviaFunds[[#This Row],[ISIN]],'Novia Web Query'!$A:$E,5,FALSE)</f>
        <v>31/12/2020</v>
      </c>
      <c r="F589" t="str">
        <f>VLOOKUP(NoviaFunds[[#This Row],[Sector]],Sectors[],2,FALSE)</f>
        <v>UK Equities</v>
      </c>
    </row>
    <row r="590" spans="1:6" x14ac:dyDescent="0.2">
      <c r="A590" t="str">
        <f>'Novia Web Query'!A590</f>
        <v>GB0003501698</v>
      </c>
      <c r="B590" t="str">
        <f>VLOOKUP(NoviaFunds[[#This Row],[ISIN]],'Novia Web Query'!$A:$E,2,FALSE)</f>
        <v>AXA Framlington UK Select Opportunities R Inc TR in GB</v>
      </c>
      <c r="C590" t="str">
        <f>VLOOKUP(NoviaFunds[[#This Row],[ISIN]],'Novia Web Query'!$A:$E,3,FALSE)</f>
        <v>UT UK All Companies</v>
      </c>
      <c r="D590" s="139">
        <f>VLOOKUP(NoviaFunds[[#This Row],[ISIN]],'Novia Web Query'!$A:$E,4,FALSE)/100</f>
        <v>1.5800000000000002E-2</v>
      </c>
      <c r="E590" s="3" t="str">
        <f>VLOOKUP(NoviaFunds[[#This Row],[ISIN]],'Novia Web Query'!$A:$E,5,FALSE)</f>
        <v>31/12/2020</v>
      </c>
      <c r="F590" t="str">
        <f>VLOOKUP(NoviaFunds[[#This Row],[Sector]],Sectors[],2,FALSE)</f>
        <v>UK Equities</v>
      </c>
    </row>
    <row r="591" spans="1:6" x14ac:dyDescent="0.2">
      <c r="A591" t="str">
        <f>'Novia Web Query'!A591</f>
        <v>GB00B7FD4C20</v>
      </c>
      <c r="B591" t="str">
        <f>VLOOKUP(NoviaFunds[[#This Row],[ISIN]],'Novia Web Query'!$A:$E,2,FALSE)</f>
        <v>AXA Framlington UK Select Opportunities ZI Acc in GB</v>
      </c>
      <c r="C591" t="str">
        <f>VLOOKUP(NoviaFunds[[#This Row],[ISIN]],'Novia Web Query'!$A:$E,3,FALSE)</f>
        <v>UT UK All Companies</v>
      </c>
      <c r="D591" s="139">
        <f>VLOOKUP(NoviaFunds[[#This Row],[ISIN]],'Novia Web Query'!$A:$E,4,FALSE)/100</f>
        <v>8.3000000000000001E-3</v>
      </c>
      <c r="E591" s="3" t="str">
        <f>VLOOKUP(NoviaFunds[[#This Row],[ISIN]],'Novia Web Query'!$A:$E,5,FALSE)</f>
        <v>31/12/2020</v>
      </c>
      <c r="F591" t="str">
        <f>VLOOKUP(NoviaFunds[[#This Row],[Sector]],Sectors[],2,FALSE)</f>
        <v>UK Equities</v>
      </c>
    </row>
    <row r="592" spans="1:6" x14ac:dyDescent="0.2">
      <c r="A592" t="str">
        <f>'Novia Web Query'!A592</f>
        <v>GB00B703ZS07</v>
      </c>
      <c r="B592" t="str">
        <f>VLOOKUP(NoviaFunds[[#This Row],[ISIN]],'Novia Web Query'!$A:$E,2,FALSE)</f>
        <v>AXA Framlington UK Select Opportunities ZI Inc TR in GB</v>
      </c>
      <c r="C592" t="str">
        <f>VLOOKUP(NoviaFunds[[#This Row],[ISIN]],'Novia Web Query'!$A:$E,3,FALSE)</f>
        <v>UT UK All Companies</v>
      </c>
      <c r="D592" s="139">
        <f>VLOOKUP(NoviaFunds[[#This Row],[ISIN]],'Novia Web Query'!$A:$E,4,FALSE)/100</f>
        <v>8.3000000000000001E-3</v>
      </c>
      <c r="E592" s="3" t="str">
        <f>VLOOKUP(NoviaFunds[[#This Row],[ISIN]],'Novia Web Query'!$A:$E,5,FALSE)</f>
        <v>31/12/2020</v>
      </c>
      <c r="F592" t="str">
        <f>VLOOKUP(NoviaFunds[[#This Row],[Sector]],Sectors[],2,FALSE)</f>
        <v>UK Equities</v>
      </c>
    </row>
    <row r="593" spans="1:6" x14ac:dyDescent="0.2">
      <c r="A593" t="str">
        <f>'Novia Web Query'!A593</f>
        <v>GB0030310857</v>
      </c>
      <c r="B593" t="str">
        <f>VLOOKUP(NoviaFunds[[#This Row],[ISIN]],'Novia Web Query'!$A:$E,2,FALSE)</f>
        <v>AXA Framlington UK Smaller Companies R Acc in GB</v>
      </c>
      <c r="C593" t="str">
        <f>VLOOKUP(NoviaFunds[[#This Row],[ISIN]],'Novia Web Query'!$A:$E,3,FALSE)</f>
        <v>UT UK Smaller Companies</v>
      </c>
      <c r="D593" s="139">
        <f>VLOOKUP(NoviaFunds[[#This Row],[ISIN]],'Novia Web Query'!$A:$E,4,FALSE)/100</f>
        <v>1.5900000000000001E-2</v>
      </c>
      <c r="E593" s="3" t="str">
        <f>VLOOKUP(NoviaFunds[[#This Row],[ISIN]],'Novia Web Query'!$A:$E,5,FALSE)</f>
        <v>31/12/2020</v>
      </c>
      <c r="F593" t="str">
        <f>VLOOKUP(NoviaFunds[[#This Row],[Sector]],Sectors[],2,FALSE)</f>
        <v>UK Equities</v>
      </c>
    </row>
    <row r="594" spans="1:6" x14ac:dyDescent="0.2">
      <c r="A594" t="str">
        <f>'Novia Web Query'!A594</f>
        <v>GB00B7MMLM18</v>
      </c>
      <c r="B594" t="str">
        <f>VLOOKUP(NoviaFunds[[#This Row],[ISIN]],'Novia Web Query'!$A:$E,2,FALSE)</f>
        <v>AXA Framlington UK Smaller Companies Z Acc in GB</v>
      </c>
      <c r="C594" t="str">
        <f>VLOOKUP(NoviaFunds[[#This Row],[ISIN]],'Novia Web Query'!$A:$E,3,FALSE)</f>
        <v>UT UK Smaller Companies</v>
      </c>
      <c r="D594" s="139">
        <f>VLOOKUP(NoviaFunds[[#This Row],[ISIN]],'Novia Web Query'!$A:$E,4,FALSE)/100</f>
        <v>8.3999999999999995E-3</v>
      </c>
      <c r="E594" s="3" t="str">
        <f>VLOOKUP(NoviaFunds[[#This Row],[ISIN]],'Novia Web Query'!$A:$E,5,FALSE)</f>
        <v>31/12/2020</v>
      </c>
      <c r="F594" t="str">
        <f>VLOOKUP(NoviaFunds[[#This Row],[Sector]],Sectors[],2,FALSE)</f>
        <v>UK Equities</v>
      </c>
    </row>
    <row r="595" spans="1:6" x14ac:dyDescent="0.2">
      <c r="A595" t="str">
        <f>'Novia Web Query'!A595</f>
        <v>GB00BRJZVS95</v>
      </c>
      <c r="B595" t="str">
        <f>VLOOKUP(NoviaFunds[[#This Row],[ISIN]],'Novia Web Query'!$A:$E,2,FALSE)</f>
        <v>AXA Framlington UK Smaller Companies Z Inc TR in GB**</v>
      </c>
      <c r="C595" t="str">
        <f>VLOOKUP(NoviaFunds[[#This Row],[ISIN]],'Novia Web Query'!$A:$E,3,FALSE)</f>
        <v>UT UK Smaller Companies</v>
      </c>
      <c r="D595" s="139">
        <f>VLOOKUP(NoviaFunds[[#This Row],[ISIN]],'Novia Web Query'!$A:$E,4,FALSE)/100</f>
        <v>8.3999999999999995E-3</v>
      </c>
      <c r="E595" s="3" t="str">
        <f>VLOOKUP(NoviaFunds[[#This Row],[ISIN]],'Novia Web Query'!$A:$E,5,FALSE)</f>
        <v>31/12/2020</v>
      </c>
      <c r="F595" t="str">
        <f>VLOOKUP(NoviaFunds[[#This Row],[Sector]],Sectors[],2,FALSE)</f>
        <v>UK Equities</v>
      </c>
    </row>
    <row r="596" spans="1:6" x14ac:dyDescent="0.2">
      <c r="A596" t="str">
        <f>'Novia Web Query'!A596</f>
        <v>GB0003509873</v>
      </c>
      <c r="B596" t="str">
        <f>VLOOKUP(NoviaFunds[[#This Row],[ISIN]],'Novia Web Query'!$A:$E,2,FALSE)</f>
        <v>AXA Framlington UK Sustainable Equity R Acc in GB</v>
      </c>
      <c r="C596" t="str">
        <f>VLOOKUP(NoviaFunds[[#This Row],[ISIN]],'Novia Web Query'!$A:$E,3,FALSE)</f>
        <v>UT UK All Companies</v>
      </c>
      <c r="D596" s="139">
        <f>VLOOKUP(NoviaFunds[[#This Row],[ISIN]],'Novia Web Query'!$A:$E,4,FALSE)/100</f>
        <v>1.5900000000000001E-2</v>
      </c>
      <c r="E596" s="3" t="str">
        <f>VLOOKUP(NoviaFunds[[#This Row],[ISIN]],'Novia Web Query'!$A:$E,5,FALSE)</f>
        <v>31/12/2020</v>
      </c>
      <c r="F596" t="str">
        <f>VLOOKUP(NoviaFunds[[#This Row],[Sector]],Sectors[],2,FALSE)</f>
        <v>UK Equities</v>
      </c>
    </row>
    <row r="597" spans="1:6" x14ac:dyDescent="0.2">
      <c r="A597" t="str">
        <f>'Novia Web Query'!A597</f>
        <v>GB0003509766</v>
      </c>
      <c r="B597" t="str">
        <f>VLOOKUP(NoviaFunds[[#This Row],[ISIN]],'Novia Web Query'!$A:$E,2,FALSE)</f>
        <v>AXA Framlington UK Sustainable Equity R Inc TR in GB</v>
      </c>
      <c r="C597" t="str">
        <f>VLOOKUP(NoviaFunds[[#This Row],[ISIN]],'Novia Web Query'!$A:$E,3,FALSE)</f>
        <v>UT UK All Companies</v>
      </c>
      <c r="D597" s="139">
        <f>VLOOKUP(NoviaFunds[[#This Row],[ISIN]],'Novia Web Query'!$A:$E,4,FALSE)/100</f>
        <v>1.5900000000000001E-2</v>
      </c>
      <c r="E597" s="3" t="str">
        <f>VLOOKUP(NoviaFunds[[#This Row],[ISIN]],'Novia Web Query'!$A:$E,5,FALSE)</f>
        <v>31/12/2020</v>
      </c>
      <c r="F597" t="str">
        <f>VLOOKUP(NoviaFunds[[#This Row],[Sector]],Sectors[],2,FALSE)</f>
        <v>UK Equities</v>
      </c>
    </row>
    <row r="598" spans="1:6" x14ac:dyDescent="0.2">
      <c r="A598" t="str">
        <f>'Novia Web Query'!A598</f>
        <v>GB00B51R1233</v>
      </c>
      <c r="B598" t="str">
        <f>VLOOKUP(NoviaFunds[[#This Row],[ISIN]],'Novia Web Query'!$A:$E,2,FALSE)</f>
        <v>AXA Framlington UK Sustainable Equity Z Acc in GB</v>
      </c>
      <c r="C598" t="str">
        <f>VLOOKUP(NoviaFunds[[#This Row],[ISIN]],'Novia Web Query'!$A:$E,3,FALSE)</f>
        <v>UT UK All Companies</v>
      </c>
      <c r="D598" s="139">
        <f>VLOOKUP(NoviaFunds[[#This Row],[ISIN]],'Novia Web Query'!$A:$E,4,FALSE)/100</f>
        <v>8.3999999999999995E-3</v>
      </c>
      <c r="E598" s="3" t="str">
        <f>VLOOKUP(NoviaFunds[[#This Row],[ISIN]],'Novia Web Query'!$A:$E,5,FALSE)</f>
        <v>31/12/2020</v>
      </c>
      <c r="F598" t="str">
        <f>VLOOKUP(NoviaFunds[[#This Row],[Sector]],Sectors[],2,FALSE)</f>
        <v>UK Equities</v>
      </c>
    </row>
    <row r="599" spans="1:6" x14ac:dyDescent="0.2">
      <c r="A599" t="str">
        <f>'Novia Web Query'!A599</f>
        <v>GB00B55S4R83</v>
      </c>
      <c r="B599" t="str">
        <f>VLOOKUP(NoviaFunds[[#This Row],[ISIN]],'Novia Web Query'!$A:$E,2,FALSE)</f>
        <v>AXA Framlington UK Sustainable Equity Z Inc TR in GB</v>
      </c>
      <c r="C599" t="str">
        <f>VLOOKUP(NoviaFunds[[#This Row],[ISIN]],'Novia Web Query'!$A:$E,3,FALSE)</f>
        <v>UT UK All Companies</v>
      </c>
      <c r="D599" s="139">
        <f>VLOOKUP(NoviaFunds[[#This Row],[ISIN]],'Novia Web Query'!$A:$E,4,FALSE)/100</f>
        <v>8.3999999999999995E-3</v>
      </c>
      <c r="E599" s="3" t="str">
        <f>VLOOKUP(NoviaFunds[[#This Row],[ISIN]],'Novia Web Query'!$A:$E,5,FALSE)</f>
        <v>31/12/2020</v>
      </c>
      <c r="F599" t="str">
        <f>VLOOKUP(NoviaFunds[[#This Row],[Sector]],Sectors[],2,FALSE)</f>
        <v>UK Equities</v>
      </c>
    </row>
    <row r="600" spans="1:6" x14ac:dyDescent="0.2">
      <c r="A600" t="str">
        <f>'Novia Web Query'!A600</f>
        <v>GB0008309287</v>
      </c>
      <c r="B600" t="str">
        <f>VLOOKUP(NoviaFunds[[#This Row],[ISIN]],'Novia Web Query'!$A:$E,2,FALSE)</f>
        <v>AXA Global Distribution R Acc in GB</v>
      </c>
      <c r="C600" t="str">
        <f>VLOOKUP(NoviaFunds[[#This Row],[ISIN]],'Novia Web Query'!$A:$E,3,FALSE)</f>
        <v>UT Mixed Investment 20-60% Shares</v>
      </c>
      <c r="D600" s="139">
        <f>VLOOKUP(NoviaFunds[[#This Row],[ISIN]],'Novia Web Query'!$A:$E,4,FALSE)/100</f>
        <v>1.5300000000000001E-2</v>
      </c>
      <c r="E600" s="3" t="str">
        <f>VLOOKUP(NoviaFunds[[#This Row],[ISIN]],'Novia Web Query'!$A:$E,5,FALSE)</f>
        <v>31/12/2020</v>
      </c>
      <c r="F600" t="str">
        <f>VLOOKUP(NoviaFunds[[#This Row],[Sector]],Sectors[],2,FALSE)</f>
        <v>Mixed 20%-60%</v>
      </c>
    </row>
    <row r="601" spans="1:6" x14ac:dyDescent="0.2">
      <c r="A601" t="str">
        <f>'Novia Web Query'!A601</f>
        <v>GB0008309063</v>
      </c>
      <c r="B601" t="str">
        <f>VLOOKUP(NoviaFunds[[#This Row],[ISIN]],'Novia Web Query'!$A:$E,2,FALSE)</f>
        <v>AXA Global Distribution Z Acc in GB</v>
      </c>
      <c r="C601" t="str">
        <f>VLOOKUP(NoviaFunds[[#This Row],[ISIN]],'Novia Web Query'!$A:$E,3,FALSE)</f>
        <v>UT Mixed Investment 20-60% Shares</v>
      </c>
      <c r="D601" s="139">
        <f>VLOOKUP(NoviaFunds[[#This Row],[ISIN]],'Novia Web Query'!$A:$E,4,FALSE)/100</f>
        <v>7.8000000000000005E-3</v>
      </c>
      <c r="E601" s="3" t="str">
        <f>VLOOKUP(NoviaFunds[[#This Row],[ISIN]],'Novia Web Query'!$A:$E,5,FALSE)</f>
        <v>31/12/2020</v>
      </c>
      <c r="F601" t="str">
        <f>VLOOKUP(NoviaFunds[[#This Row],[Sector]],Sectors[],2,FALSE)</f>
        <v>Mixed 20%-60%</v>
      </c>
    </row>
    <row r="602" spans="1:6" x14ac:dyDescent="0.2">
      <c r="A602" t="str">
        <f>'Novia Web Query'!A602</f>
        <v>GB0008308982</v>
      </c>
      <c r="B602" t="str">
        <f>VLOOKUP(NoviaFunds[[#This Row],[ISIN]],'Novia Web Query'!$A:$E,2,FALSE)</f>
        <v>AXA Global Distribution Z Inc TR in GB</v>
      </c>
      <c r="C602" t="str">
        <f>VLOOKUP(NoviaFunds[[#This Row],[ISIN]],'Novia Web Query'!$A:$E,3,FALSE)</f>
        <v>UT Mixed Investment 20-60% Shares</v>
      </c>
      <c r="D602" s="139">
        <f>VLOOKUP(NoviaFunds[[#This Row],[ISIN]],'Novia Web Query'!$A:$E,4,FALSE)/100</f>
        <v>7.8000000000000005E-3</v>
      </c>
      <c r="E602" s="3" t="str">
        <f>VLOOKUP(NoviaFunds[[#This Row],[ISIN]],'Novia Web Query'!$A:$E,5,FALSE)</f>
        <v>31/12/2020</v>
      </c>
      <c r="F602" t="str">
        <f>VLOOKUP(NoviaFunds[[#This Row],[Sector]],Sectors[],2,FALSE)</f>
        <v>Mixed 20%-60%</v>
      </c>
    </row>
    <row r="603" spans="1:6" x14ac:dyDescent="0.2">
      <c r="A603" t="str">
        <f>'Novia Web Query'!A603</f>
        <v>GB00B29NGF01</v>
      </c>
      <c r="B603" t="str">
        <f>VLOOKUP(NoviaFunds[[#This Row],[ISIN]],'Novia Web Query'!$A:$E,2,FALSE)</f>
        <v>AXA Global High Income Z Gr Acc in GB</v>
      </c>
      <c r="C603" t="str">
        <f>VLOOKUP(NoviaFunds[[#This Row],[ISIN]],'Novia Web Query'!$A:$E,3,FALSE)</f>
        <v>UT Sterling High Yield</v>
      </c>
      <c r="D603" s="139">
        <f>VLOOKUP(NoviaFunds[[#This Row],[ISIN]],'Novia Web Query'!$A:$E,4,FALSE)/100</f>
        <v>5.5000000000000005E-3</v>
      </c>
      <c r="E603" s="3" t="str">
        <f>VLOOKUP(NoviaFunds[[#This Row],[ISIN]],'Novia Web Query'!$A:$E,5,FALSE)</f>
        <v>31/12/2020</v>
      </c>
      <c r="F603" t="str">
        <f>VLOOKUP(NoviaFunds[[#This Row],[Sector]],Sectors[],2,FALSE)</f>
        <v>High Yield</v>
      </c>
    </row>
    <row r="604" spans="1:6" x14ac:dyDescent="0.2">
      <c r="A604" t="str">
        <f>'Novia Web Query'!A604</f>
        <v>GB00B29NG940</v>
      </c>
      <c r="B604" t="str">
        <f>VLOOKUP(NoviaFunds[[#This Row],[ISIN]],'Novia Web Query'!$A:$E,2,FALSE)</f>
        <v>AXA Global High Income Z Gr Inc TR in GB**</v>
      </c>
      <c r="C604" t="str">
        <f>VLOOKUP(NoviaFunds[[#This Row],[ISIN]],'Novia Web Query'!$A:$E,3,FALSE)</f>
        <v>UT Sterling High Yield</v>
      </c>
      <c r="D604" s="139">
        <f>VLOOKUP(NoviaFunds[[#This Row],[ISIN]],'Novia Web Query'!$A:$E,4,FALSE)/100</f>
        <v>5.5000000000000005E-3</v>
      </c>
      <c r="E604" s="3" t="str">
        <f>VLOOKUP(NoviaFunds[[#This Row],[ISIN]],'Novia Web Query'!$A:$E,5,FALSE)</f>
        <v>31/12/2020</v>
      </c>
      <c r="F604" t="str">
        <f>VLOOKUP(NoviaFunds[[#This Row],[Sector]],Sectors[],2,FALSE)</f>
        <v>High Yield</v>
      </c>
    </row>
    <row r="605" spans="1:6" x14ac:dyDescent="0.2">
      <c r="A605" t="str">
        <f>'Novia Web Query'!A605</f>
        <v>GB00BDFZQX53</v>
      </c>
      <c r="B605" t="str">
        <f>VLOOKUP(NoviaFunds[[#This Row],[ISIN]],'Novia Web Query'!$A:$E,2,FALSE)</f>
        <v>AXA Global Short Duration Bonds S Acc in GB</v>
      </c>
      <c r="C605" t="str">
        <f>VLOOKUP(NoviaFunds[[#This Row],[ISIN]],'Novia Web Query'!$A:$E,3,FALSE)</f>
        <v>UT Sterling Strategic Bond</v>
      </c>
      <c r="D605" s="139">
        <f>VLOOKUP(NoviaFunds[[#This Row],[ISIN]],'Novia Web Query'!$A:$E,4,FALSE)/100</f>
        <v>2.3E-3</v>
      </c>
      <c r="E605" s="3" t="str">
        <f>VLOOKUP(NoviaFunds[[#This Row],[ISIN]],'Novia Web Query'!$A:$E,5,FALSE)</f>
        <v>31/12/2020</v>
      </c>
      <c r="F605" t="str">
        <f>VLOOKUP(NoviaFunds[[#This Row],[Sector]],Sectors[],2,FALSE)</f>
        <v>Other Bonds</v>
      </c>
    </row>
    <row r="606" spans="1:6" x14ac:dyDescent="0.2">
      <c r="A606" t="str">
        <f>'Novia Web Query'!A606</f>
        <v>GB00BDFZQV30</v>
      </c>
      <c r="B606" t="str">
        <f>VLOOKUP(NoviaFunds[[#This Row],[ISIN]],'Novia Web Query'!$A:$E,2,FALSE)</f>
        <v>AXA Global Short Duration Bonds Z Acc in GB</v>
      </c>
      <c r="C606" t="str">
        <f>VLOOKUP(NoviaFunds[[#This Row],[ISIN]],'Novia Web Query'!$A:$E,3,FALSE)</f>
        <v>UT Sterling Strategic Bond</v>
      </c>
      <c r="D606" s="139">
        <f>VLOOKUP(NoviaFunds[[#This Row],[ISIN]],'Novia Web Query'!$A:$E,4,FALSE)/100</f>
        <v>4.3E-3</v>
      </c>
      <c r="E606" s="3" t="str">
        <f>VLOOKUP(NoviaFunds[[#This Row],[ISIN]],'Novia Web Query'!$A:$E,5,FALSE)</f>
        <v>31/12/2020</v>
      </c>
      <c r="F606" t="str">
        <f>VLOOKUP(NoviaFunds[[#This Row],[Sector]],Sectors[],2,FALSE)</f>
        <v>Other Bonds</v>
      </c>
    </row>
    <row r="607" spans="1:6" x14ac:dyDescent="0.2">
      <c r="A607" t="str">
        <f>'Novia Web Query'!A607</f>
        <v>GB00BDFZQW47</v>
      </c>
      <c r="B607" t="str">
        <f>VLOOKUP(NoviaFunds[[#This Row],[ISIN]],'Novia Web Query'!$A:$E,2,FALSE)</f>
        <v>AXA Global Short Duration Bonds Z Inc TR in GB</v>
      </c>
      <c r="C607" t="str">
        <f>VLOOKUP(NoviaFunds[[#This Row],[ISIN]],'Novia Web Query'!$A:$E,3,FALSE)</f>
        <v>UT Sterling Strategic Bond</v>
      </c>
      <c r="D607" s="139">
        <f>VLOOKUP(NoviaFunds[[#This Row],[ISIN]],'Novia Web Query'!$A:$E,4,FALSE)/100</f>
        <v>4.3E-3</v>
      </c>
      <c r="E607" s="3" t="str">
        <f>VLOOKUP(NoviaFunds[[#This Row],[ISIN]],'Novia Web Query'!$A:$E,5,FALSE)</f>
        <v>31/12/2020</v>
      </c>
      <c r="F607" t="str">
        <f>VLOOKUP(NoviaFunds[[#This Row],[Sector]],Sectors[],2,FALSE)</f>
        <v>Other Bonds</v>
      </c>
    </row>
    <row r="608" spans="1:6" x14ac:dyDescent="0.2">
      <c r="A608" t="str">
        <f>'Novia Web Query'!A608</f>
        <v>GB0007460586</v>
      </c>
      <c r="B608" t="str">
        <f>VLOOKUP(NoviaFunds[[#This Row],[ISIN]],'Novia Web Query'!$A:$E,2,FALSE)</f>
        <v>AXA Rosenberg American R Acc in GB</v>
      </c>
      <c r="C608" t="str">
        <f>VLOOKUP(NoviaFunds[[#This Row],[ISIN]],'Novia Web Query'!$A:$E,3,FALSE)</f>
        <v>UT North America</v>
      </c>
      <c r="D608" s="139">
        <f>VLOOKUP(NoviaFunds[[#This Row],[ISIN]],'Novia Web Query'!$A:$E,4,FALSE)/100</f>
        <v>1.52E-2</v>
      </c>
      <c r="E608" s="3" t="str">
        <f>VLOOKUP(NoviaFunds[[#This Row],[ISIN]],'Novia Web Query'!$A:$E,5,FALSE)</f>
        <v>31/12/2020</v>
      </c>
      <c r="F608" t="str">
        <f>VLOOKUP(NoviaFunds[[#This Row],[Sector]],Sectors[],2,FALSE)</f>
        <v>USA Equities</v>
      </c>
    </row>
    <row r="609" spans="1:6" x14ac:dyDescent="0.2">
      <c r="A609" t="str">
        <f>'Novia Web Query'!A609</f>
        <v>GB0007460149</v>
      </c>
      <c r="B609" t="str">
        <f>VLOOKUP(NoviaFunds[[#This Row],[ISIN]],'Novia Web Query'!$A:$E,2,FALSE)</f>
        <v>AXA Rosenberg American Z Acc in GB</v>
      </c>
      <c r="C609" t="str">
        <f>VLOOKUP(NoviaFunds[[#This Row],[ISIN]],'Novia Web Query'!$A:$E,3,FALSE)</f>
        <v>UT North America</v>
      </c>
      <c r="D609" s="139">
        <f>VLOOKUP(NoviaFunds[[#This Row],[ISIN]],'Novia Web Query'!$A:$E,4,FALSE)/100</f>
        <v>7.8000000000000005E-3</v>
      </c>
      <c r="E609" s="3" t="str">
        <f>VLOOKUP(NoviaFunds[[#This Row],[ISIN]],'Novia Web Query'!$A:$E,5,FALSE)</f>
        <v>31/12/2020</v>
      </c>
      <c r="F609" t="str">
        <f>VLOOKUP(NoviaFunds[[#This Row],[Sector]],Sectors[],2,FALSE)</f>
        <v>USA Equities</v>
      </c>
    </row>
    <row r="610" spans="1:6" x14ac:dyDescent="0.2">
      <c r="A610" t="str">
        <f>'Novia Web Query'!A610</f>
        <v>GB0007704330</v>
      </c>
      <c r="B610" t="str">
        <f>VLOOKUP(NoviaFunds[[#This Row],[ISIN]],'Novia Web Query'!$A:$E,2,FALSE)</f>
        <v>AXA Rosenberg Asia Pacific Ex Japan Z Acc in GB</v>
      </c>
      <c r="C610" t="str">
        <f>VLOOKUP(NoviaFunds[[#This Row],[ISIN]],'Novia Web Query'!$A:$E,3,FALSE)</f>
        <v>UT Asia Pacific Excluding Japan</v>
      </c>
      <c r="D610" s="139">
        <f>VLOOKUP(NoviaFunds[[#This Row],[ISIN]],'Novia Web Query'!$A:$E,4,FALSE)/100</f>
        <v>8.199999999999999E-3</v>
      </c>
      <c r="E610" s="3" t="str">
        <f>VLOOKUP(NoviaFunds[[#This Row],[ISIN]],'Novia Web Query'!$A:$E,5,FALSE)</f>
        <v>31/12/2020</v>
      </c>
      <c r="F610" t="str">
        <f>VLOOKUP(NoviaFunds[[#This Row],[Sector]],Sectors[],2,FALSE)</f>
        <v>Asia Pacific</v>
      </c>
    </row>
    <row r="611" spans="1:6" x14ac:dyDescent="0.2">
      <c r="A611" t="str">
        <f>'Novia Web Query'!A611</f>
        <v>GB0007717159</v>
      </c>
      <c r="B611" t="str">
        <f>VLOOKUP(NoviaFunds[[#This Row],[ISIN]],'Novia Web Query'!$A:$E,2,FALSE)</f>
        <v>AXA Rosenberg Global Z Acc in GB**</v>
      </c>
      <c r="C611" t="str">
        <f>VLOOKUP(NoviaFunds[[#This Row],[ISIN]],'Novia Web Query'!$A:$E,3,FALSE)</f>
        <v>UT Global</v>
      </c>
      <c r="D611" s="139">
        <f>VLOOKUP(NoviaFunds[[#This Row],[ISIN]],'Novia Web Query'!$A:$E,4,FALSE)/100</f>
        <v>7.8000000000000005E-3</v>
      </c>
      <c r="E611" s="3" t="str">
        <f>VLOOKUP(NoviaFunds[[#This Row],[ISIN]],'Novia Web Query'!$A:$E,5,FALSE)</f>
        <v>31/12/2020</v>
      </c>
      <c r="F611" t="str">
        <f>VLOOKUP(NoviaFunds[[#This Row],[Sector]],Sectors[],2,FALSE)</f>
        <v>Other Equities</v>
      </c>
    </row>
    <row r="612" spans="1:6" x14ac:dyDescent="0.2">
      <c r="A612" t="str">
        <f>'Novia Web Query'!A612</f>
        <v>GB0007371593</v>
      </c>
      <c r="B612" t="str">
        <f>VLOOKUP(NoviaFunds[[#This Row],[ISIN]],'Novia Web Query'!$A:$E,2,FALSE)</f>
        <v>AXA Rosenberg Japan Z Acc in GB</v>
      </c>
      <c r="C612" t="str">
        <f>VLOOKUP(NoviaFunds[[#This Row],[ISIN]],'Novia Web Query'!$A:$E,3,FALSE)</f>
        <v>UT Japan</v>
      </c>
      <c r="D612" s="139">
        <f>VLOOKUP(NoviaFunds[[#This Row],[ISIN]],'Novia Web Query'!$A:$E,4,FALSE)/100</f>
        <v>8.3000000000000001E-3</v>
      </c>
      <c r="E612" s="3" t="str">
        <f>VLOOKUP(NoviaFunds[[#This Row],[ISIN]],'Novia Web Query'!$A:$E,5,FALSE)</f>
        <v>31/12/2020</v>
      </c>
      <c r="F612" t="str">
        <f>VLOOKUP(NoviaFunds[[#This Row],[Sector]],Sectors[],2,FALSE)</f>
        <v>Japanese Equities</v>
      </c>
    </row>
    <row r="613" spans="1:6" x14ac:dyDescent="0.2">
      <c r="A613" t="str">
        <f>'Novia Web Query'!A613</f>
        <v>GB00B7VXY261</v>
      </c>
      <c r="B613" t="str">
        <f>VLOOKUP(NoviaFunds[[#This Row],[ISIN]],'Novia Web Query'!$A:$E,2,FALSE)</f>
        <v>AXA Sterling Buy And Maintain Credit Z Gross in GB</v>
      </c>
      <c r="C613" t="str">
        <f>VLOOKUP(NoviaFunds[[#This Row],[ISIN]],'Novia Web Query'!$A:$E,3,FALSE)</f>
        <v>UT Sterling Corporate Bond</v>
      </c>
      <c r="D613" s="139">
        <f>VLOOKUP(NoviaFunds[[#This Row],[ISIN]],'Novia Web Query'!$A:$E,4,FALSE)/100</f>
        <v>1.6000000000000001E-3</v>
      </c>
      <c r="E613" s="3" t="str">
        <f>VLOOKUP(NoviaFunds[[#This Row],[ISIN]],'Novia Web Query'!$A:$E,5,FALSE)</f>
        <v>31/12/2020</v>
      </c>
      <c r="F613" t="str">
        <f>VLOOKUP(NoviaFunds[[#This Row],[Sector]],Sectors[],2,FALSE)</f>
        <v>Sterling Corporate Bonds</v>
      </c>
    </row>
    <row r="614" spans="1:6" x14ac:dyDescent="0.2">
      <c r="A614" t="str">
        <f>'Novia Web Query'!A614</f>
        <v>GB00B1Z48Z43</v>
      </c>
      <c r="B614" t="str">
        <f>VLOOKUP(NoviaFunds[[#This Row],[ISIN]],'Novia Web Query'!$A:$E,2,FALSE)</f>
        <v>AXA Sterling Corporate Bond Z Gr Acc in GB</v>
      </c>
      <c r="C614" t="str">
        <f>VLOOKUP(NoviaFunds[[#This Row],[ISIN]],'Novia Web Query'!$A:$E,3,FALSE)</f>
        <v>UT Sterling Corporate Bond</v>
      </c>
      <c r="D614" s="139">
        <f>VLOOKUP(NoviaFunds[[#This Row],[ISIN]],'Novia Web Query'!$A:$E,4,FALSE)/100</f>
        <v>5.7999999999999996E-3</v>
      </c>
      <c r="E614" s="3" t="str">
        <f>VLOOKUP(NoviaFunds[[#This Row],[ISIN]],'Novia Web Query'!$A:$E,5,FALSE)</f>
        <v>31/12/2020</v>
      </c>
      <c r="F614" t="str">
        <f>VLOOKUP(NoviaFunds[[#This Row],[Sector]],Sectors[],2,FALSE)</f>
        <v>Sterling Corporate Bonds</v>
      </c>
    </row>
    <row r="615" spans="1:6" x14ac:dyDescent="0.2">
      <c r="A615" t="str">
        <f>'Novia Web Query'!A615</f>
        <v>GB00B1Z48X29</v>
      </c>
      <c r="B615" t="str">
        <f>VLOOKUP(NoviaFunds[[#This Row],[ISIN]],'Novia Web Query'!$A:$E,2,FALSE)</f>
        <v>AXA Sterling Corporate Bond Z Gr Inc TR in GB**</v>
      </c>
      <c r="C615" t="str">
        <f>VLOOKUP(NoviaFunds[[#This Row],[ISIN]],'Novia Web Query'!$A:$E,3,FALSE)</f>
        <v>UT Sterling Corporate Bond</v>
      </c>
      <c r="D615" s="139">
        <f>VLOOKUP(NoviaFunds[[#This Row],[ISIN]],'Novia Web Query'!$A:$E,4,FALSE)/100</f>
        <v>5.7999999999999996E-3</v>
      </c>
      <c r="E615" s="3" t="str">
        <f>VLOOKUP(NoviaFunds[[#This Row],[ISIN]],'Novia Web Query'!$A:$E,5,FALSE)</f>
        <v>31/12/2020</v>
      </c>
      <c r="F615" t="str">
        <f>VLOOKUP(NoviaFunds[[#This Row],[Sector]],Sectors[],2,FALSE)</f>
        <v>Sterling Corporate Bonds</v>
      </c>
    </row>
    <row r="616" spans="1:6" x14ac:dyDescent="0.2">
      <c r="A616" t="str">
        <f>'Novia Web Query'!A616</f>
        <v>GB00B5L2N222</v>
      </c>
      <c r="B616" t="str">
        <f>VLOOKUP(NoviaFunds[[#This Row],[ISIN]],'Novia Web Query'!$A:$E,2,FALSE)</f>
        <v>AXA Sterling Credit Short Duration Bond Z Gr Acc in GB</v>
      </c>
      <c r="C616" t="str">
        <f>VLOOKUP(NoviaFunds[[#This Row],[ISIN]],'Novia Web Query'!$A:$E,3,FALSE)</f>
        <v>UT Sterling Corporate Bond</v>
      </c>
      <c r="D616" s="139">
        <f>VLOOKUP(NoviaFunds[[#This Row],[ISIN]],'Novia Web Query'!$A:$E,4,FALSE)/100</f>
        <v>4.1999999999999997E-3</v>
      </c>
      <c r="E616" s="3" t="str">
        <f>VLOOKUP(NoviaFunds[[#This Row],[ISIN]],'Novia Web Query'!$A:$E,5,FALSE)</f>
        <v>31/12/2020</v>
      </c>
      <c r="F616" t="str">
        <f>VLOOKUP(NoviaFunds[[#This Row],[Sector]],Sectors[],2,FALSE)</f>
        <v>Sterling Corporate Bonds</v>
      </c>
    </row>
    <row r="617" spans="1:6" x14ac:dyDescent="0.2">
      <c r="A617" t="str">
        <f>'Novia Web Query'!A617</f>
        <v>GB00B5VL0B78</v>
      </c>
      <c r="B617" t="str">
        <f>VLOOKUP(NoviaFunds[[#This Row],[ISIN]],'Novia Web Query'!$A:$E,2,FALSE)</f>
        <v>AXA Sterling Credit Short Duration Bond Z Gr Inc TR in GB</v>
      </c>
      <c r="C617" t="str">
        <f>VLOOKUP(NoviaFunds[[#This Row],[ISIN]],'Novia Web Query'!$A:$E,3,FALSE)</f>
        <v>UT Sterling Corporate Bond</v>
      </c>
      <c r="D617" s="139">
        <f>VLOOKUP(NoviaFunds[[#This Row],[ISIN]],'Novia Web Query'!$A:$E,4,FALSE)/100</f>
        <v>4.1999999999999997E-3</v>
      </c>
      <c r="E617" s="3" t="str">
        <f>VLOOKUP(NoviaFunds[[#This Row],[ISIN]],'Novia Web Query'!$A:$E,5,FALSE)</f>
        <v>31/12/2020</v>
      </c>
      <c r="F617" t="str">
        <f>VLOOKUP(NoviaFunds[[#This Row],[Sector]],Sectors[],2,FALSE)</f>
        <v>Sterling Corporate Bonds</v>
      </c>
    </row>
    <row r="618" spans="1:6" x14ac:dyDescent="0.2">
      <c r="A618" t="str">
        <f>'Novia Web Query'!A618</f>
        <v>GB00BF6NPG81</v>
      </c>
      <c r="B618" t="str">
        <f>VLOOKUP(NoviaFunds[[#This Row],[ISIN]],'Novia Web Query'!$A:$E,2,FALSE)</f>
        <v>AXA Sterling Credit Short Duration Bond ZI Acc in GB**</v>
      </c>
      <c r="C618" t="str">
        <f>VLOOKUP(NoviaFunds[[#This Row],[ISIN]],'Novia Web Query'!$A:$E,3,FALSE)</f>
        <v>UT Sterling Corporate Bond</v>
      </c>
      <c r="D618" s="139">
        <f>VLOOKUP(NoviaFunds[[#This Row],[ISIN]],'Novia Web Query'!$A:$E,4,FALSE)/100</f>
        <v>2.7000000000000001E-3</v>
      </c>
      <c r="E618" s="3" t="str">
        <f>VLOOKUP(NoviaFunds[[#This Row],[ISIN]],'Novia Web Query'!$A:$E,5,FALSE)</f>
        <v>31/12/2020</v>
      </c>
      <c r="F618" t="str">
        <f>VLOOKUP(NoviaFunds[[#This Row],[Sector]],Sectors[],2,FALSE)</f>
        <v>Sterling Corporate Bonds</v>
      </c>
    </row>
    <row r="619" spans="1:6" x14ac:dyDescent="0.2">
      <c r="A619" t="str">
        <f>'Novia Web Query'!A619</f>
        <v>GB00BF6NPH98</v>
      </c>
      <c r="B619" t="str">
        <f>VLOOKUP(NoviaFunds[[#This Row],[ISIN]],'Novia Web Query'!$A:$E,2,FALSE)</f>
        <v>AXA Sterling Credit Short Duration Bond ZI Inc TR in GB**</v>
      </c>
      <c r="C619" t="str">
        <f>VLOOKUP(NoviaFunds[[#This Row],[ISIN]],'Novia Web Query'!$A:$E,3,FALSE)</f>
        <v>UT Sterling Corporate Bond</v>
      </c>
      <c r="D619" s="139">
        <f>VLOOKUP(NoviaFunds[[#This Row],[ISIN]],'Novia Web Query'!$A:$E,4,FALSE)/100</f>
        <v>2.7000000000000001E-3</v>
      </c>
      <c r="E619" s="3" t="str">
        <f>VLOOKUP(NoviaFunds[[#This Row],[ISIN]],'Novia Web Query'!$A:$E,5,FALSE)</f>
        <v>31/12/2020</v>
      </c>
      <c r="F619" t="str">
        <f>VLOOKUP(NoviaFunds[[#This Row],[Sector]],Sectors[],2,FALSE)</f>
        <v>Sterling Corporate Bonds</v>
      </c>
    </row>
    <row r="620" spans="1:6" x14ac:dyDescent="0.2">
      <c r="A620" t="str">
        <f>'Novia Web Query'!A620</f>
        <v>GB00B02Y6B22</v>
      </c>
      <c r="B620" t="str">
        <f>VLOOKUP(NoviaFunds[[#This Row],[ISIN]],'Novia Web Query'!$A:$E,2,FALSE)</f>
        <v>AXA Sterling Index Linked Bond Z Gr Acc in GB</v>
      </c>
      <c r="C620" t="str">
        <f>VLOOKUP(NoviaFunds[[#This Row],[ISIN]],'Novia Web Query'!$A:$E,3,FALSE)</f>
        <v>UT UK Index Linked Gilts</v>
      </c>
      <c r="D620" s="139">
        <f>VLOOKUP(NoviaFunds[[#This Row],[ISIN]],'Novia Web Query'!$A:$E,4,FALSE)/100</f>
        <v>3.3E-3</v>
      </c>
      <c r="E620" s="3" t="str">
        <f>VLOOKUP(NoviaFunds[[#This Row],[ISIN]],'Novia Web Query'!$A:$E,5,FALSE)</f>
        <v>31/12/2020</v>
      </c>
      <c r="F620" t="str">
        <f>VLOOKUP(NoviaFunds[[#This Row],[Sector]],Sectors[],2,FALSE)</f>
        <v>UK Index Linked Gilts</v>
      </c>
    </row>
    <row r="621" spans="1:6" x14ac:dyDescent="0.2">
      <c r="A621" t="str">
        <f>'Novia Web Query'!A621</f>
        <v>GB00B02Y6L20</v>
      </c>
      <c r="B621" t="str">
        <f>VLOOKUP(NoviaFunds[[#This Row],[ISIN]],'Novia Web Query'!$A:$E,2,FALSE)</f>
        <v>AXA Sterling Strategic Bond Z Gr Acc in GB</v>
      </c>
      <c r="C621" t="str">
        <f>VLOOKUP(NoviaFunds[[#This Row],[ISIN]],'Novia Web Query'!$A:$E,3,FALSE)</f>
        <v>UT Sterling Strategic Bond</v>
      </c>
      <c r="D621" s="139">
        <f>VLOOKUP(NoviaFunds[[#This Row],[ISIN]],'Novia Web Query'!$A:$E,4,FALSE)/100</f>
        <v>5.3E-3</v>
      </c>
      <c r="E621" s="3" t="str">
        <f>VLOOKUP(NoviaFunds[[#This Row],[ISIN]],'Novia Web Query'!$A:$E,5,FALSE)</f>
        <v>31/12/2020</v>
      </c>
      <c r="F621" t="str">
        <f>VLOOKUP(NoviaFunds[[#This Row],[Sector]],Sectors[],2,FALSE)</f>
        <v>Other Bonds</v>
      </c>
    </row>
    <row r="622" spans="1:6" x14ac:dyDescent="0.2">
      <c r="A622" t="str">
        <f>'Novia Web Query'!A622</f>
        <v>GB00B59VLT43</v>
      </c>
      <c r="B622" t="str">
        <f>VLOOKUP(NoviaFunds[[#This Row],[ISIN]],'Novia Web Query'!$A:$E,2,FALSE)</f>
        <v>AXA US Short Duration High Yield Bond Z Gr Acc in GB</v>
      </c>
      <c r="C622" t="str">
        <f>VLOOKUP(NoviaFunds[[#This Row],[ISIN]],'Novia Web Query'!$A:$E,3,FALSE)</f>
        <v>UT Global Bonds</v>
      </c>
      <c r="D622" s="139">
        <f>VLOOKUP(NoviaFunds[[#This Row],[ISIN]],'Novia Web Query'!$A:$E,4,FALSE)/100</f>
        <v>7.6E-3</v>
      </c>
      <c r="E622" s="3" t="str">
        <f>VLOOKUP(NoviaFunds[[#This Row],[ISIN]],'Novia Web Query'!$A:$E,5,FALSE)</f>
        <v>31/12/2020</v>
      </c>
      <c r="F622" t="str">
        <f>VLOOKUP(NoviaFunds[[#This Row],[Sector]],Sectors[],2,FALSE)</f>
        <v>Global Investment Grade</v>
      </c>
    </row>
    <row r="623" spans="1:6" x14ac:dyDescent="0.2">
      <c r="A623" t="str">
        <f>'Novia Web Query'!A623</f>
        <v>GB00B5TX5Q59</v>
      </c>
      <c r="B623" t="str">
        <f>VLOOKUP(NoviaFunds[[#This Row],[ISIN]],'Novia Web Query'!$A:$E,2,FALSE)</f>
        <v>AXA US Short Duration High Yield Bond Z Gr Inc TR in GB</v>
      </c>
      <c r="C623" t="str">
        <f>VLOOKUP(NoviaFunds[[#This Row],[ISIN]],'Novia Web Query'!$A:$E,3,FALSE)</f>
        <v>UT Global Bonds</v>
      </c>
      <c r="D623" s="139">
        <f>VLOOKUP(NoviaFunds[[#This Row],[ISIN]],'Novia Web Query'!$A:$E,4,FALSE)/100</f>
        <v>7.6E-3</v>
      </c>
      <c r="E623" s="3" t="str">
        <f>VLOOKUP(NoviaFunds[[#This Row],[ISIN]],'Novia Web Query'!$A:$E,5,FALSE)</f>
        <v>31/12/2020</v>
      </c>
      <c r="F623" t="str">
        <f>VLOOKUP(NoviaFunds[[#This Row],[Sector]],Sectors[],2,FALSE)</f>
        <v>Global Investment Grade</v>
      </c>
    </row>
    <row r="624" spans="1:6" x14ac:dyDescent="0.2">
      <c r="A624" t="str">
        <f>'Novia Web Query'!A624</f>
        <v>GB00B5WM6Y48</v>
      </c>
      <c r="B624" t="str">
        <f>VLOOKUP(NoviaFunds[[#This Row],[ISIN]],'Novia Web Query'!$A:$E,2,FALSE)</f>
        <v>AXA US Short Duration High Yield Bond ZI Gr Acc in GB</v>
      </c>
      <c r="C624" t="str">
        <f>VLOOKUP(NoviaFunds[[#This Row],[ISIN]],'Novia Web Query'!$A:$E,3,FALSE)</f>
        <v>UT Global Bonds</v>
      </c>
      <c r="D624" s="139">
        <f>VLOOKUP(NoviaFunds[[#This Row],[ISIN]],'Novia Web Query'!$A:$E,4,FALSE)/100</f>
        <v>4.5999999999999999E-3</v>
      </c>
      <c r="E624" s="3" t="str">
        <f>VLOOKUP(NoviaFunds[[#This Row],[ISIN]],'Novia Web Query'!$A:$E,5,FALSE)</f>
        <v>31/12/2020</v>
      </c>
      <c r="F624" t="str">
        <f>VLOOKUP(NoviaFunds[[#This Row],[Sector]],Sectors[],2,FALSE)</f>
        <v>Global Investment Grade</v>
      </c>
    </row>
    <row r="625" spans="1:6" x14ac:dyDescent="0.2">
      <c r="A625" t="str">
        <f>'Novia Web Query'!A625</f>
        <v>GB00B5T0SW38</v>
      </c>
      <c r="B625" t="str">
        <f>VLOOKUP(NoviaFunds[[#This Row],[ISIN]],'Novia Web Query'!$A:$E,2,FALSE)</f>
        <v>AXA US Short Duration High Yield Bond ZI Gr Inc TR in GB</v>
      </c>
      <c r="C625" t="str">
        <f>VLOOKUP(NoviaFunds[[#This Row],[ISIN]],'Novia Web Query'!$A:$E,3,FALSE)</f>
        <v>UT Global Bonds</v>
      </c>
      <c r="D625" s="139">
        <f>VLOOKUP(NoviaFunds[[#This Row],[ISIN]],'Novia Web Query'!$A:$E,4,FALSE)/100</f>
        <v>4.5999999999999999E-3</v>
      </c>
      <c r="E625" s="3" t="str">
        <f>VLOOKUP(NoviaFunds[[#This Row],[ISIN]],'Novia Web Query'!$A:$E,5,FALSE)</f>
        <v>31/12/2020</v>
      </c>
      <c r="F625" t="str">
        <f>VLOOKUP(NoviaFunds[[#This Row],[Sector]],Sectors[],2,FALSE)</f>
        <v>Global Investment Grade</v>
      </c>
    </row>
    <row r="626" spans="1:6" x14ac:dyDescent="0.2">
      <c r="A626" t="str">
        <f>'Novia Web Query'!A626</f>
        <v>GB0006061740</v>
      </c>
      <c r="B626" t="str">
        <f>VLOOKUP(NoviaFunds[[#This Row],[ISIN]],'Novia Web Query'!$A:$E,2,FALSE)</f>
        <v>Baillie Gifford American A Acc in GB</v>
      </c>
      <c r="C626" t="str">
        <f>VLOOKUP(NoviaFunds[[#This Row],[ISIN]],'Novia Web Query'!$A:$E,3,FALSE)</f>
        <v>UT North America</v>
      </c>
      <c r="D626" s="139">
        <f>VLOOKUP(NoviaFunds[[#This Row],[ISIN]],'Novia Web Query'!$A:$E,4,FALSE)/100</f>
        <v>1.5100000000000001E-2</v>
      </c>
      <c r="E626" s="3" t="str">
        <f>VLOOKUP(NoviaFunds[[#This Row],[ISIN]],'Novia Web Query'!$A:$E,5,FALSE)</f>
        <v>31/10/2020</v>
      </c>
      <c r="F626" t="str">
        <f>VLOOKUP(NoviaFunds[[#This Row],[Sector]],Sectors[],2,FALSE)</f>
        <v>USA Equities</v>
      </c>
    </row>
    <row r="627" spans="1:6" x14ac:dyDescent="0.2">
      <c r="A627" t="str">
        <f>'Novia Web Query'!A627</f>
        <v>GB0006061963</v>
      </c>
      <c r="B627" t="str">
        <f>VLOOKUP(NoviaFunds[[#This Row],[ISIN]],'Novia Web Query'!$A:$E,2,FALSE)</f>
        <v>Baillie Gifford American B Acc TR in GB**</v>
      </c>
      <c r="C627" t="str">
        <f>VLOOKUP(NoviaFunds[[#This Row],[ISIN]],'Novia Web Query'!$A:$E,3,FALSE)</f>
        <v>UT North America</v>
      </c>
      <c r="D627" s="139">
        <f>VLOOKUP(NoviaFunds[[#This Row],[ISIN]],'Novia Web Query'!$A:$E,4,FALSE)/100</f>
        <v>5.1000000000000004E-3</v>
      </c>
      <c r="E627" s="3" t="str">
        <f>VLOOKUP(NoviaFunds[[#This Row],[ISIN]],'Novia Web Query'!$A:$E,5,FALSE)</f>
        <v>31/10/2020</v>
      </c>
      <c r="F627" t="str">
        <f>VLOOKUP(NoviaFunds[[#This Row],[Sector]],Sectors[],2,FALSE)</f>
        <v>USA Equities</v>
      </c>
    </row>
    <row r="628" spans="1:6" x14ac:dyDescent="0.2">
      <c r="A628" t="str">
        <f>'Novia Web Query'!A628</f>
        <v>GB0006061856</v>
      </c>
      <c r="B628" t="str">
        <f>VLOOKUP(NoviaFunds[[#This Row],[ISIN]],'Novia Web Query'!$A:$E,2,FALSE)</f>
        <v>Baillie Gifford American B Inc TR in GB</v>
      </c>
      <c r="C628" t="str">
        <f>VLOOKUP(NoviaFunds[[#This Row],[ISIN]],'Novia Web Query'!$A:$E,3,FALSE)</f>
        <v>UT North America</v>
      </c>
      <c r="D628" s="139">
        <f>VLOOKUP(NoviaFunds[[#This Row],[ISIN]],'Novia Web Query'!$A:$E,4,FALSE)/100</f>
        <v>5.1000000000000004E-3</v>
      </c>
      <c r="E628" s="3" t="str">
        <f>VLOOKUP(NoviaFunds[[#This Row],[ISIN]],'Novia Web Query'!$A:$E,5,FALSE)</f>
        <v>31/10/2020</v>
      </c>
      <c r="F628" t="str">
        <f>VLOOKUP(NoviaFunds[[#This Row],[Sector]],Sectors[],2,FALSE)</f>
        <v>USA Equities</v>
      </c>
    </row>
    <row r="629" spans="1:6" x14ac:dyDescent="0.2">
      <c r="A629" t="str">
        <f>'Novia Web Query'!A629</f>
        <v>GB00BD9MNT73</v>
      </c>
      <c r="B629" t="str">
        <f>VLOOKUP(NoviaFunds[[#This Row],[ISIN]],'Novia Web Query'!$A:$E,2,FALSE)</f>
        <v>Baillie Gifford American W3 Acc in GB**</v>
      </c>
      <c r="C629" t="str">
        <f>VLOOKUP(NoviaFunds[[#This Row],[ISIN]],'Novia Web Query'!$A:$E,3,FALSE)</f>
        <v>UT North America</v>
      </c>
      <c r="D629" s="139">
        <f>VLOOKUP(NoviaFunds[[#This Row],[ISIN]],'Novia Web Query'!$A:$E,4,FALSE)/100</f>
        <v>3.0999999999999999E-3</v>
      </c>
      <c r="E629" s="3" t="str">
        <f>VLOOKUP(NoviaFunds[[#This Row],[ISIN]],'Novia Web Query'!$A:$E,5,FALSE)</f>
        <v>01/03/2021</v>
      </c>
      <c r="F629" t="str">
        <f>VLOOKUP(NoviaFunds[[#This Row],[Sector]],Sectors[],2,FALSE)</f>
        <v>USA Equities</v>
      </c>
    </row>
    <row r="630" spans="1:6" x14ac:dyDescent="0.2">
      <c r="A630" t="str">
        <f>'Novia Web Query'!A630</f>
        <v>GB0005924773</v>
      </c>
      <c r="B630" t="str">
        <f>VLOOKUP(NoviaFunds[[#This Row],[ISIN]],'Novia Web Query'!$A:$E,2,FALSE)</f>
        <v>Baillie Gifford British Smaller Companies A Acc in GB</v>
      </c>
      <c r="C630" t="str">
        <f>VLOOKUP(NoviaFunds[[#This Row],[ISIN]],'Novia Web Query'!$A:$E,3,FALSE)</f>
        <v>UT UK Smaller Companies</v>
      </c>
      <c r="D630" s="139">
        <f>VLOOKUP(NoviaFunds[[#This Row],[ISIN]],'Novia Web Query'!$A:$E,4,FALSE)/100</f>
        <v>1.52E-2</v>
      </c>
      <c r="E630" s="3" t="str">
        <f>VLOOKUP(NoviaFunds[[#This Row],[ISIN]],'Novia Web Query'!$A:$E,5,FALSE)</f>
        <v>31/07/2020</v>
      </c>
      <c r="F630" t="str">
        <f>VLOOKUP(NoviaFunds[[#This Row],[Sector]],Sectors[],2,FALSE)</f>
        <v>UK Equities</v>
      </c>
    </row>
    <row r="631" spans="1:6" x14ac:dyDescent="0.2">
      <c r="A631" t="str">
        <f>'Novia Web Query'!A631</f>
        <v>GB0005931356</v>
      </c>
      <c r="B631" t="str">
        <f>VLOOKUP(NoviaFunds[[#This Row],[ISIN]],'Novia Web Query'!$A:$E,2,FALSE)</f>
        <v>Baillie Gifford British Smaller Companies B Acc in GB</v>
      </c>
      <c r="C631" t="str">
        <f>VLOOKUP(NoviaFunds[[#This Row],[ISIN]],'Novia Web Query'!$A:$E,3,FALSE)</f>
        <v>UT UK Smaller Companies</v>
      </c>
      <c r="D631" s="139">
        <f>VLOOKUP(NoviaFunds[[#This Row],[ISIN]],'Novia Web Query'!$A:$E,4,FALSE)/100</f>
        <v>6.7000000000000002E-3</v>
      </c>
      <c r="E631" s="3" t="str">
        <f>VLOOKUP(NoviaFunds[[#This Row],[ISIN]],'Novia Web Query'!$A:$E,5,FALSE)</f>
        <v>31/07/2020</v>
      </c>
      <c r="F631" t="str">
        <f>VLOOKUP(NoviaFunds[[#This Row],[Sector]],Sectors[],2,FALSE)</f>
        <v>UK Equities</v>
      </c>
    </row>
    <row r="632" spans="1:6" x14ac:dyDescent="0.2">
      <c r="A632" t="str">
        <f>'Novia Web Query'!A632</f>
        <v>GB0005930382</v>
      </c>
      <c r="B632" t="str">
        <f>VLOOKUP(NoviaFunds[[#This Row],[ISIN]],'Novia Web Query'!$A:$E,2,FALSE)</f>
        <v>Baillie Gifford British Smaller Companies B Inc TR in GB</v>
      </c>
      <c r="C632" t="str">
        <f>VLOOKUP(NoviaFunds[[#This Row],[ISIN]],'Novia Web Query'!$A:$E,3,FALSE)</f>
        <v>UT UK Smaller Companies</v>
      </c>
      <c r="D632" s="139">
        <f>VLOOKUP(NoviaFunds[[#This Row],[ISIN]],'Novia Web Query'!$A:$E,4,FALSE)/100</f>
        <v>6.7000000000000002E-3</v>
      </c>
      <c r="E632" s="3" t="str">
        <f>VLOOKUP(NoviaFunds[[#This Row],[ISIN]],'Novia Web Query'!$A:$E,5,FALSE)</f>
        <v>31/07/2020</v>
      </c>
      <c r="F632" t="str">
        <f>VLOOKUP(NoviaFunds[[#This Row],[Sector]],Sectors[],2,FALSE)</f>
        <v>UK Equities</v>
      </c>
    </row>
    <row r="633" spans="1:6" x14ac:dyDescent="0.2">
      <c r="A633" t="str">
        <f>'Novia Web Query'!A633</f>
        <v>GB00B39RMM81</v>
      </c>
      <c r="B633" t="str">
        <f>VLOOKUP(NoviaFunds[[#This Row],[ISIN]],'Novia Web Query'!$A:$E,2,FALSE)</f>
        <v>Baillie Gifford China B Acc in GB</v>
      </c>
      <c r="C633" t="str">
        <f>VLOOKUP(NoviaFunds[[#This Row],[ISIN]],'Novia Web Query'!$A:$E,3,FALSE)</f>
        <v>UT China/Greater China</v>
      </c>
      <c r="D633" s="139">
        <f>VLOOKUP(NoviaFunds[[#This Row],[ISIN]],'Novia Web Query'!$A:$E,4,FALSE)/100</f>
        <v>7.6E-3</v>
      </c>
      <c r="E633" s="3" t="str">
        <f>VLOOKUP(NoviaFunds[[#This Row],[ISIN]],'Novia Web Query'!$A:$E,5,FALSE)</f>
        <v>31/10/2020</v>
      </c>
      <c r="F633" t="str">
        <f>VLOOKUP(NoviaFunds[[#This Row],[Sector]],Sectors[],2,FALSE)</f>
        <v>Asia Pacific</v>
      </c>
    </row>
    <row r="634" spans="1:6" x14ac:dyDescent="0.2">
      <c r="A634" t="str">
        <f>'Novia Web Query'!A634</f>
        <v>GB00B3K73F73</v>
      </c>
      <c r="B634" t="str">
        <f>VLOOKUP(NoviaFunds[[#This Row],[ISIN]],'Novia Web Query'!$A:$E,2,FALSE)</f>
        <v>Baillie Gifford China B Inc TR in GB**</v>
      </c>
      <c r="C634" t="str">
        <f>VLOOKUP(NoviaFunds[[#This Row],[ISIN]],'Novia Web Query'!$A:$E,3,FALSE)</f>
        <v>UT China/Greater China</v>
      </c>
      <c r="D634" s="139">
        <f>VLOOKUP(NoviaFunds[[#This Row],[ISIN]],'Novia Web Query'!$A:$E,4,FALSE)/100</f>
        <v>7.6E-3</v>
      </c>
      <c r="E634" s="3" t="str">
        <f>VLOOKUP(NoviaFunds[[#This Row],[ISIN]],'Novia Web Query'!$A:$E,5,FALSE)</f>
        <v>31/10/2020</v>
      </c>
      <c r="F634" t="str">
        <f>VLOOKUP(NoviaFunds[[#This Row],[Sector]],Sectors[],2,FALSE)</f>
        <v>Asia Pacific</v>
      </c>
    </row>
    <row r="635" spans="1:6" x14ac:dyDescent="0.2">
      <c r="A635" t="str">
        <f>'Novia Web Query'!A635</f>
        <v>GB0030491418</v>
      </c>
      <c r="B635" t="str">
        <f>VLOOKUP(NoviaFunds[[#This Row],[ISIN]],'Novia Web Query'!$A:$E,2,FALSE)</f>
        <v>Baillie Gifford Developed Asia Pacific A Acc in GB</v>
      </c>
      <c r="C635" t="str">
        <f>VLOOKUP(NoviaFunds[[#This Row],[ISIN]],'Novia Web Query'!$A:$E,3,FALSE)</f>
        <v>UT Asia Pacific Including Japan</v>
      </c>
      <c r="D635" s="139">
        <f>VLOOKUP(NoviaFunds[[#This Row],[ISIN]],'Novia Web Query'!$A:$E,4,FALSE)/100</f>
        <v>1.43E-2</v>
      </c>
      <c r="E635" s="3" t="str">
        <f>VLOOKUP(NoviaFunds[[#This Row],[ISIN]],'Novia Web Query'!$A:$E,5,FALSE)</f>
        <v>31/10/2020</v>
      </c>
      <c r="F635" t="str">
        <f>VLOOKUP(NoviaFunds[[#This Row],[Sector]],Sectors[],2,FALSE)</f>
        <v>Asia Pacific</v>
      </c>
    </row>
    <row r="636" spans="1:6" x14ac:dyDescent="0.2">
      <c r="A636" t="str">
        <f>'Novia Web Query'!A636</f>
        <v>GB0030492044</v>
      </c>
      <c r="B636" t="str">
        <f>VLOOKUP(NoviaFunds[[#This Row],[ISIN]],'Novia Web Query'!$A:$E,2,FALSE)</f>
        <v>Baillie Gifford Developed Asia Pacific B Acc in GB**</v>
      </c>
      <c r="C636" t="str">
        <f>VLOOKUP(NoviaFunds[[#This Row],[ISIN]],'Novia Web Query'!$A:$E,3,FALSE)</f>
        <v>UT Asia Pacific Including Japan</v>
      </c>
      <c r="D636" s="139">
        <f>VLOOKUP(NoviaFunds[[#This Row],[ISIN]],'Novia Web Query'!$A:$E,4,FALSE)/100</f>
        <v>5.8999999999999999E-3</v>
      </c>
      <c r="E636" s="3" t="str">
        <f>VLOOKUP(NoviaFunds[[#This Row],[ISIN]],'Novia Web Query'!$A:$E,5,FALSE)</f>
        <v>31/10/2020</v>
      </c>
      <c r="F636" t="str">
        <f>VLOOKUP(NoviaFunds[[#This Row],[Sector]],Sectors[],2,FALSE)</f>
        <v>Asia Pacific</v>
      </c>
    </row>
    <row r="637" spans="1:6" x14ac:dyDescent="0.2">
      <c r="A637" t="str">
        <f>'Novia Web Query'!A637</f>
        <v>GB0030491632</v>
      </c>
      <c r="B637" t="str">
        <f>VLOOKUP(NoviaFunds[[#This Row],[ISIN]],'Novia Web Query'!$A:$E,2,FALSE)</f>
        <v>Baillie Gifford Developed Asia Pacific B Inc TR in GB**</v>
      </c>
      <c r="C637" t="str">
        <f>VLOOKUP(NoviaFunds[[#This Row],[ISIN]],'Novia Web Query'!$A:$E,3,FALSE)</f>
        <v>UT Asia Pacific Including Japan</v>
      </c>
      <c r="D637" s="139">
        <f>VLOOKUP(NoviaFunds[[#This Row],[ISIN]],'Novia Web Query'!$A:$E,4,FALSE)/100</f>
        <v>5.8999999999999999E-3</v>
      </c>
      <c r="E637" s="3" t="str">
        <f>VLOOKUP(NoviaFunds[[#This Row],[ISIN]],'Novia Web Query'!$A:$E,5,FALSE)</f>
        <v>31/10/2020</v>
      </c>
      <c r="F637" t="str">
        <f>VLOOKUP(NoviaFunds[[#This Row],[Sector]],Sectors[],2,FALSE)</f>
        <v>Asia Pacific</v>
      </c>
    </row>
    <row r="638" spans="1:6" x14ac:dyDescent="0.2">
      <c r="A638" t="str">
        <f>'Novia Web Query'!A638</f>
        <v>GB00B3FD0X77</v>
      </c>
      <c r="B638" t="str">
        <f>VLOOKUP(NoviaFunds[[#This Row],[ISIN]],'Novia Web Query'!$A:$E,2,FALSE)</f>
        <v>Baillie Gifford Diversified Growth A Acc in GB</v>
      </c>
      <c r="C638" t="str">
        <f>VLOOKUP(NoviaFunds[[#This Row],[ISIN]],'Novia Web Query'!$A:$E,3,FALSE)</f>
        <v>UT Targeted Absolute Return</v>
      </c>
      <c r="D638" s="139">
        <f>VLOOKUP(NoviaFunds[[#This Row],[ISIN]],'Novia Web Query'!$A:$E,4,FALSE)/100</f>
        <v>1.6E-2</v>
      </c>
      <c r="E638" s="3" t="str">
        <f>VLOOKUP(NoviaFunds[[#This Row],[ISIN]],'Novia Web Query'!$A:$E,5,FALSE)</f>
        <v>31/12/2020</v>
      </c>
      <c r="F638" t="str">
        <f>VLOOKUP(NoviaFunds[[#This Row],[Sector]],Sectors[],2,FALSE)</f>
        <v>Absolute Return</v>
      </c>
    </row>
    <row r="639" spans="1:6" x14ac:dyDescent="0.2">
      <c r="A639" t="str">
        <f>'Novia Web Query'!A639</f>
        <v>GB00B39RMP13</v>
      </c>
      <c r="B639" t="str">
        <f>VLOOKUP(NoviaFunds[[#This Row],[ISIN]],'Novia Web Query'!$A:$E,2,FALSE)</f>
        <v>Baillie Gifford Emerging Markets Bond A Inc TR in GB</v>
      </c>
      <c r="C639" t="str">
        <f>VLOOKUP(NoviaFunds[[#This Row],[ISIN]],'Novia Web Query'!$A:$E,3,FALSE)</f>
        <v>UT Global EM Bonds - Local Currency</v>
      </c>
      <c r="D639" s="139">
        <f>VLOOKUP(NoviaFunds[[#This Row],[ISIN]],'Novia Web Query'!$A:$E,4,FALSE)/100</f>
        <v>1.2199999999999999E-2</v>
      </c>
      <c r="E639" s="3" t="str">
        <f>VLOOKUP(NoviaFunds[[#This Row],[ISIN]],'Novia Web Query'!$A:$E,5,FALSE)</f>
        <v>30/09/2020</v>
      </c>
      <c r="F639" t="e">
        <f>VLOOKUP(NoviaFunds[[#This Row],[Sector]],Sectors[],2,FALSE)</f>
        <v>#N/A</v>
      </c>
    </row>
    <row r="640" spans="1:6" x14ac:dyDescent="0.2">
      <c r="A640" t="str">
        <f>'Novia Web Query'!A640</f>
        <v>GB00B7MCJT41</v>
      </c>
      <c r="B640" t="str">
        <f>VLOOKUP(NoviaFunds[[#This Row],[ISIN]],'Novia Web Query'!$A:$E,2,FALSE)</f>
        <v>Baillie Gifford Emerging Markets Bond B Acc TR in GB**</v>
      </c>
      <c r="C640" t="str">
        <f>VLOOKUP(NoviaFunds[[#This Row],[ISIN]],'Novia Web Query'!$A:$E,3,FALSE)</f>
        <v>UT Global EM Bonds - Local Currency</v>
      </c>
      <c r="D640" s="139">
        <f>VLOOKUP(NoviaFunds[[#This Row],[ISIN]],'Novia Web Query'!$A:$E,4,FALSE)/100</f>
        <v>5.1999999999999998E-3</v>
      </c>
      <c r="E640" s="3" t="str">
        <f>VLOOKUP(NoviaFunds[[#This Row],[ISIN]],'Novia Web Query'!$A:$E,5,FALSE)</f>
        <v>30/09/2020</v>
      </c>
      <c r="F640" t="e">
        <f>VLOOKUP(NoviaFunds[[#This Row],[Sector]],Sectors[],2,FALSE)</f>
        <v>#N/A</v>
      </c>
    </row>
    <row r="641" spans="1:6" x14ac:dyDescent="0.2">
      <c r="A641" t="str">
        <f>'Novia Web Query'!A641</f>
        <v>GB00B39RMQ20</v>
      </c>
      <c r="B641" t="str">
        <f>VLOOKUP(NoviaFunds[[#This Row],[ISIN]],'Novia Web Query'!$A:$E,2,FALSE)</f>
        <v>Baillie Gifford Emerging Markets Bond B Inc TR in GB</v>
      </c>
      <c r="C641" t="str">
        <f>VLOOKUP(NoviaFunds[[#This Row],[ISIN]],'Novia Web Query'!$A:$E,3,FALSE)</f>
        <v>UT Global EM Bonds - Local Currency</v>
      </c>
      <c r="D641" s="139">
        <f>VLOOKUP(NoviaFunds[[#This Row],[ISIN]],'Novia Web Query'!$A:$E,4,FALSE)/100</f>
        <v>5.1999999999999998E-3</v>
      </c>
      <c r="E641" s="3" t="str">
        <f>VLOOKUP(NoviaFunds[[#This Row],[ISIN]],'Novia Web Query'!$A:$E,5,FALSE)</f>
        <v>30/09/2020</v>
      </c>
      <c r="F641" t="e">
        <f>VLOOKUP(NoviaFunds[[#This Row],[Sector]],Sectors[],2,FALSE)</f>
        <v>#N/A</v>
      </c>
    </row>
    <row r="642" spans="1:6" x14ac:dyDescent="0.2">
      <c r="A642" t="str">
        <f>'Novia Web Query'!A642</f>
        <v>GB0006017825</v>
      </c>
      <c r="B642" t="str">
        <f>VLOOKUP(NoviaFunds[[#This Row],[ISIN]],'Novia Web Query'!$A:$E,2,FALSE)</f>
        <v>Baillie Gifford Emerging Markets Growth A Acc in GB</v>
      </c>
      <c r="C642" t="str">
        <f>VLOOKUP(NoviaFunds[[#This Row],[ISIN]],'Novia Web Query'!$A:$E,3,FALSE)</f>
        <v>UT Global Emerging Markets</v>
      </c>
      <c r="D642" s="139">
        <f>VLOOKUP(NoviaFunds[[#This Row],[ISIN]],'Novia Web Query'!$A:$E,4,FALSE)/100</f>
        <v>1.52E-2</v>
      </c>
      <c r="E642" s="3" t="str">
        <f>VLOOKUP(NoviaFunds[[#This Row],[ISIN]],'Novia Web Query'!$A:$E,5,FALSE)</f>
        <v>31/10/2020</v>
      </c>
      <c r="F642" t="str">
        <f>VLOOKUP(NoviaFunds[[#This Row],[Sector]],Sectors[],2,FALSE)</f>
        <v>Emerging Markets</v>
      </c>
    </row>
    <row r="643" spans="1:6" x14ac:dyDescent="0.2">
      <c r="A643" t="str">
        <f>'Novia Web Query'!A643</f>
        <v>GB0006020647</v>
      </c>
      <c r="B643" t="str">
        <f>VLOOKUP(NoviaFunds[[#This Row],[ISIN]],'Novia Web Query'!$A:$E,2,FALSE)</f>
        <v>Baillie Gifford Emerging Markets Growth B Acc TR in GB**</v>
      </c>
      <c r="C643" t="str">
        <f>VLOOKUP(NoviaFunds[[#This Row],[ISIN]],'Novia Web Query'!$A:$E,3,FALSE)</f>
        <v>UT Global Emerging Markets</v>
      </c>
      <c r="D643" s="139">
        <f>VLOOKUP(NoviaFunds[[#This Row],[ISIN]],'Novia Web Query'!$A:$E,4,FALSE)/100</f>
        <v>7.6E-3</v>
      </c>
      <c r="E643" s="3" t="str">
        <f>VLOOKUP(NoviaFunds[[#This Row],[ISIN]],'Novia Web Query'!$A:$E,5,FALSE)</f>
        <v>31/10/2020</v>
      </c>
      <c r="F643" t="str">
        <f>VLOOKUP(NoviaFunds[[#This Row],[Sector]],Sectors[],2,FALSE)</f>
        <v>Emerging Markets</v>
      </c>
    </row>
    <row r="644" spans="1:6" x14ac:dyDescent="0.2">
      <c r="A644" t="str">
        <f>'Novia Web Query'!A644</f>
        <v>GB0006020530</v>
      </c>
      <c r="B644" t="str">
        <f>VLOOKUP(NoviaFunds[[#This Row],[ISIN]],'Novia Web Query'!$A:$E,2,FALSE)</f>
        <v>Baillie Gifford Emerging Markets Growth B Inc TR in GB</v>
      </c>
      <c r="C644" t="str">
        <f>VLOOKUP(NoviaFunds[[#This Row],[ISIN]],'Novia Web Query'!$A:$E,3,FALSE)</f>
        <v>UT Global Emerging Markets</v>
      </c>
      <c r="D644" s="139">
        <f>VLOOKUP(NoviaFunds[[#This Row],[ISIN]],'Novia Web Query'!$A:$E,4,FALSE)/100</f>
        <v>7.6E-3</v>
      </c>
      <c r="E644" s="3" t="str">
        <f>VLOOKUP(NoviaFunds[[#This Row],[ISIN]],'Novia Web Query'!$A:$E,5,FALSE)</f>
        <v>31/10/2020</v>
      </c>
      <c r="F644" t="str">
        <f>VLOOKUP(NoviaFunds[[#This Row],[Sector]],Sectors[],2,FALSE)</f>
        <v>Emerging Markets</v>
      </c>
    </row>
    <row r="645" spans="1:6" x14ac:dyDescent="0.2">
      <c r="A645" t="str">
        <f>'Novia Web Query'!A645</f>
        <v>GB00B06HZM12</v>
      </c>
      <c r="B645" t="str">
        <f>VLOOKUP(NoviaFunds[[#This Row],[ISIN]],'Novia Web Query'!$A:$E,2,FALSE)</f>
        <v>Baillie Gifford Emerging Markets Leading Companies A Acc in GB</v>
      </c>
      <c r="C645" t="str">
        <f>VLOOKUP(NoviaFunds[[#This Row],[ISIN]],'Novia Web Query'!$A:$E,3,FALSE)</f>
        <v>UT Global Emerging Markets</v>
      </c>
      <c r="D645" s="139">
        <f>VLOOKUP(NoviaFunds[[#This Row],[ISIN]],'Novia Web Query'!$A:$E,4,FALSE)/100</f>
        <v>1.52E-2</v>
      </c>
      <c r="E645" s="3" t="str">
        <f>VLOOKUP(NoviaFunds[[#This Row],[ISIN]],'Novia Web Query'!$A:$E,5,FALSE)</f>
        <v>31/10/2020</v>
      </c>
      <c r="F645" t="str">
        <f>VLOOKUP(NoviaFunds[[#This Row],[Sector]],Sectors[],2,FALSE)</f>
        <v>Emerging Markets</v>
      </c>
    </row>
    <row r="646" spans="1:6" x14ac:dyDescent="0.2">
      <c r="A646" t="str">
        <f>'Novia Web Query'!A646</f>
        <v>GB00B06HZN29</v>
      </c>
      <c r="B646" t="str">
        <f>VLOOKUP(NoviaFunds[[#This Row],[ISIN]],'Novia Web Query'!$A:$E,2,FALSE)</f>
        <v>Baillie Gifford Emerging Markets Leading Companies B Acc in GB**</v>
      </c>
      <c r="C646" t="str">
        <f>VLOOKUP(NoviaFunds[[#This Row],[ISIN]],'Novia Web Query'!$A:$E,3,FALSE)</f>
        <v>UT Global Emerging Markets</v>
      </c>
      <c r="D646" s="139">
        <f>VLOOKUP(NoviaFunds[[#This Row],[ISIN]],'Novia Web Query'!$A:$E,4,FALSE)/100</f>
        <v>7.6E-3</v>
      </c>
      <c r="E646" s="3" t="str">
        <f>VLOOKUP(NoviaFunds[[#This Row],[ISIN]],'Novia Web Query'!$A:$E,5,FALSE)</f>
        <v>31/10/2020</v>
      </c>
      <c r="F646" t="str">
        <f>VLOOKUP(NoviaFunds[[#This Row],[Sector]],Sectors[],2,FALSE)</f>
        <v>Emerging Markets</v>
      </c>
    </row>
    <row r="647" spans="1:6" x14ac:dyDescent="0.2">
      <c r="A647" t="str">
        <f>'Novia Web Query'!A647</f>
        <v>GB00B06HZP43</v>
      </c>
      <c r="B647" t="str">
        <f>VLOOKUP(NoviaFunds[[#This Row],[ISIN]],'Novia Web Query'!$A:$E,2,FALSE)</f>
        <v>Baillie Gifford Emerging Markets Leading Companies B Inc TR in GB**</v>
      </c>
      <c r="C647" t="str">
        <f>VLOOKUP(NoviaFunds[[#This Row],[ISIN]],'Novia Web Query'!$A:$E,3,FALSE)</f>
        <v>UT Global Emerging Markets</v>
      </c>
      <c r="D647" s="139">
        <f>VLOOKUP(NoviaFunds[[#This Row],[ISIN]],'Novia Web Query'!$A:$E,4,FALSE)/100</f>
        <v>7.6E-3</v>
      </c>
      <c r="E647" s="3" t="str">
        <f>VLOOKUP(NoviaFunds[[#This Row],[ISIN]],'Novia Web Query'!$A:$E,5,FALSE)</f>
        <v>31/10/2020</v>
      </c>
      <c r="F647" t="str">
        <f>VLOOKUP(NoviaFunds[[#This Row],[Sector]],Sectors[],2,FALSE)</f>
        <v>Emerging Markets</v>
      </c>
    </row>
    <row r="648" spans="1:6" x14ac:dyDescent="0.2">
      <c r="A648" t="str">
        <f>'Novia Web Query'!A648</f>
        <v>GB0006057284</v>
      </c>
      <c r="B648" t="str">
        <f>VLOOKUP(NoviaFunds[[#This Row],[ISIN]],'Novia Web Query'!$A:$E,2,FALSE)</f>
        <v>Baillie Gifford European A Acc in GB</v>
      </c>
      <c r="C648" t="str">
        <f>VLOOKUP(NoviaFunds[[#This Row],[ISIN]],'Novia Web Query'!$A:$E,3,FALSE)</f>
        <v>UT Europe Excluding UK</v>
      </c>
      <c r="D648" s="139">
        <f>VLOOKUP(NoviaFunds[[#This Row],[ISIN]],'Novia Web Query'!$A:$E,4,FALSE)/100</f>
        <v>1.3999999999999999E-2</v>
      </c>
      <c r="E648" s="3" t="str">
        <f>VLOOKUP(NoviaFunds[[#This Row],[ISIN]],'Novia Web Query'!$A:$E,5,FALSE)</f>
        <v>31/10/2020</v>
      </c>
      <c r="F648" t="str">
        <f>VLOOKUP(NoviaFunds[[#This Row],[Sector]],Sectors[],2,FALSE)</f>
        <v>European Equities</v>
      </c>
    </row>
    <row r="649" spans="1:6" x14ac:dyDescent="0.2">
      <c r="A649" t="str">
        <f>'Novia Web Query'!A649</f>
        <v>GB0006058258</v>
      </c>
      <c r="B649" t="str">
        <f>VLOOKUP(NoviaFunds[[#This Row],[ISIN]],'Novia Web Query'!$A:$E,2,FALSE)</f>
        <v>Baillie Gifford European B Acc TR in GB**</v>
      </c>
      <c r="C649" t="str">
        <f>VLOOKUP(NoviaFunds[[#This Row],[ISIN]],'Novia Web Query'!$A:$E,3,FALSE)</f>
        <v>UT Europe Excluding UK</v>
      </c>
      <c r="D649" s="139">
        <f>VLOOKUP(NoviaFunds[[#This Row],[ISIN]],'Novia Web Query'!$A:$E,4,FALSE)/100</f>
        <v>5.7999999999999996E-3</v>
      </c>
      <c r="E649" s="3" t="str">
        <f>VLOOKUP(NoviaFunds[[#This Row],[ISIN]],'Novia Web Query'!$A:$E,5,FALSE)</f>
        <v>31/10/2020</v>
      </c>
      <c r="F649" t="str">
        <f>VLOOKUP(NoviaFunds[[#This Row],[Sector]],Sectors[],2,FALSE)</f>
        <v>European Equities</v>
      </c>
    </row>
    <row r="650" spans="1:6" x14ac:dyDescent="0.2">
      <c r="A650" t="str">
        <f>'Novia Web Query'!A650</f>
        <v>GB0006057391</v>
      </c>
      <c r="B650" t="str">
        <f>VLOOKUP(NoviaFunds[[#This Row],[ISIN]],'Novia Web Query'!$A:$E,2,FALSE)</f>
        <v>Baillie Gifford European B Inc TR in GB**</v>
      </c>
      <c r="C650" t="str">
        <f>VLOOKUP(NoviaFunds[[#This Row],[ISIN]],'Novia Web Query'!$A:$E,3,FALSE)</f>
        <v>UT Europe Excluding UK</v>
      </c>
      <c r="D650" s="139">
        <f>VLOOKUP(NoviaFunds[[#This Row],[ISIN]],'Novia Web Query'!$A:$E,4,FALSE)/100</f>
        <v>5.7999999999999996E-3</v>
      </c>
      <c r="E650" s="3" t="str">
        <f>VLOOKUP(NoviaFunds[[#This Row],[ISIN]],'Novia Web Query'!$A:$E,5,FALSE)</f>
        <v>31/10/2020</v>
      </c>
      <c r="F650" t="str">
        <f>VLOOKUP(NoviaFunds[[#This Row],[Sector]],Sectors[],2,FALSE)</f>
        <v>European Equities</v>
      </c>
    </row>
    <row r="651" spans="1:6" x14ac:dyDescent="0.2">
      <c r="A651" t="str">
        <f>'Novia Web Query'!A651</f>
        <v>GB00B61GGM26</v>
      </c>
      <c r="B651" t="str">
        <f>VLOOKUP(NoviaFunds[[#This Row],[ISIN]],'Novia Web Query'!$A:$E,2,FALSE)</f>
        <v>Baillie Gifford Global Alpha Growth A Acc in GB</v>
      </c>
      <c r="C651" t="str">
        <f>VLOOKUP(NoviaFunds[[#This Row],[ISIN]],'Novia Web Query'!$A:$E,3,FALSE)</f>
        <v>UT Global</v>
      </c>
      <c r="D651" s="139">
        <f>VLOOKUP(NoviaFunds[[#This Row],[ISIN]],'Novia Web Query'!$A:$E,4,FALSE)/100</f>
        <v>1.4499999999999999E-2</v>
      </c>
      <c r="E651" s="3" t="str">
        <f>VLOOKUP(NoviaFunds[[#This Row],[ISIN]],'Novia Web Query'!$A:$E,5,FALSE)</f>
        <v>31/07/2020</v>
      </c>
      <c r="F651" t="str">
        <f>VLOOKUP(NoviaFunds[[#This Row],[Sector]],Sectors[],2,FALSE)</f>
        <v>Other Equities</v>
      </c>
    </row>
    <row r="652" spans="1:6" x14ac:dyDescent="0.2">
      <c r="A652" t="str">
        <f>'Novia Web Query'!A652</f>
        <v>GB00B61DJ021</v>
      </c>
      <c r="B652" t="str">
        <f>VLOOKUP(NoviaFunds[[#This Row],[ISIN]],'Novia Web Query'!$A:$E,2,FALSE)</f>
        <v>Baillie Gifford Global Alpha Growth B Acc in GB</v>
      </c>
      <c r="C652" t="str">
        <f>VLOOKUP(NoviaFunds[[#This Row],[ISIN]],'Novia Web Query'!$A:$E,3,FALSE)</f>
        <v>UT Global</v>
      </c>
      <c r="D652" s="139">
        <f>VLOOKUP(NoviaFunds[[#This Row],[ISIN]],'Novia Web Query'!$A:$E,4,FALSE)/100</f>
        <v>5.8999999999999999E-3</v>
      </c>
      <c r="E652" s="3" t="str">
        <f>VLOOKUP(NoviaFunds[[#This Row],[ISIN]],'Novia Web Query'!$A:$E,5,FALSE)</f>
        <v>31/07/2020</v>
      </c>
      <c r="F652" t="str">
        <f>VLOOKUP(NoviaFunds[[#This Row],[Sector]],Sectors[],2,FALSE)</f>
        <v>Other Equities</v>
      </c>
    </row>
    <row r="653" spans="1:6" x14ac:dyDescent="0.2">
      <c r="A653" t="str">
        <f>'Novia Web Query'!A653</f>
        <v>GB00B3PPZ729</v>
      </c>
      <c r="B653" t="str">
        <f>VLOOKUP(NoviaFunds[[#This Row],[ISIN]],'Novia Web Query'!$A:$E,2,FALSE)</f>
        <v>Baillie Gifford Global Alpha Growth B Inc TR in GB</v>
      </c>
      <c r="C653" t="str">
        <f>VLOOKUP(NoviaFunds[[#This Row],[ISIN]],'Novia Web Query'!$A:$E,3,FALSE)</f>
        <v>UT Global</v>
      </c>
      <c r="D653" s="139">
        <f>VLOOKUP(NoviaFunds[[#This Row],[ISIN]],'Novia Web Query'!$A:$E,4,FALSE)/100</f>
        <v>5.8999999999999999E-3</v>
      </c>
      <c r="E653" s="3" t="str">
        <f>VLOOKUP(NoviaFunds[[#This Row],[ISIN]],'Novia Web Query'!$A:$E,5,FALSE)</f>
        <v>31/07/2020</v>
      </c>
      <c r="F653" t="str">
        <f>VLOOKUP(NoviaFunds[[#This Row],[Sector]],Sectors[],2,FALSE)</f>
        <v>Other Equities</v>
      </c>
    </row>
    <row r="654" spans="1:6" x14ac:dyDescent="0.2">
      <c r="A654" t="str">
        <f>'Novia Web Query'!A654</f>
        <v>GB0006059116</v>
      </c>
      <c r="B654" t="str">
        <f>VLOOKUP(NoviaFunds[[#This Row],[ISIN]],'Novia Web Query'!$A:$E,2,FALSE)</f>
        <v>Baillie Gifford Global Discovery A Acc in GB</v>
      </c>
      <c r="C654" t="str">
        <f>VLOOKUP(NoviaFunds[[#This Row],[ISIN]],'Novia Web Query'!$A:$E,3,FALSE)</f>
        <v>UT Global</v>
      </c>
      <c r="D654" s="139">
        <f>VLOOKUP(NoviaFunds[[#This Row],[ISIN]],'Novia Web Query'!$A:$E,4,FALSE)/100</f>
        <v>1.52E-2</v>
      </c>
      <c r="E654" s="3" t="str">
        <f>VLOOKUP(NoviaFunds[[#This Row],[ISIN]],'Novia Web Query'!$A:$E,5,FALSE)</f>
        <v>31/10/2020</v>
      </c>
      <c r="F654" t="str">
        <f>VLOOKUP(NoviaFunds[[#This Row],[Sector]],Sectors[],2,FALSE)</f>
        <v>Other Equities</v>
      </c>
    </row>
    <row r="655" spans="1:6" x14ac:dyDescent="0.2">
      <c r="A655" t="str">
        <f>'Novia Web Query'!A655</f>
        <v>GB0006059330</v>
      </c>
      <c r="B655" t="str">
        <f>VLOOKUP(NoviaFunds[[#This Row],[ISIN]],'Novia Web Query'!$A:$E,2,FALSE)</f>
        <v>Baillie Gifford Global Discovery B Acc TR in GB**</v>
      </c>
      <c r="C655" t="str">
        <f>VLOOKUP(NoviaFunds[[#This Row],[ISIN]],'Novia Web Query'!$A:$E,3,FALSE)</f>
        <v>UT Global</v>
      </c>
      <c r="D655" s="139">
        <f>VLOOKUP(NoviaFunds[[#This Row],[ISIN]],'Novia Web Query'!$A:$E,4,FALSE)/100</f>
        <v>7.6E-3</v>
      </c>
      <c r="E655" s="3" t="str">
        <f>VLOOKUP(NoviaFunds[[#This Row],[ISIN]],'Novia Web Query'!$A:$E,5,FALSE)</f>
        <v>31/10/2020</v>
      </c>
      <c r="F655" t="str">
        <f>VLOOKUP(NoviaFunds[[#This Row],[Sector]],Sectors[],2,FALSE)</f>
        <v>Other Equities</v>
      </c>
    </row>
    <row r="656" spans="1:6" x14ac:dyDescent="0.2">
      <c r="A656" t="str">
        <f>'Novia Web Query'!A656</f>
        <v>GB0006059223</v>
      </c>
      <c r="B656" t="str">
        <f>VLOOKUP(NoviaFunds[[#This Row],[ISIN]],'Novia Web Query'!$A:$E,2,FALSE)</f>
        <v>Baillie Gifford Global Discovery B Inc TR in GB</v>
      </c>
      <c r="C656" t="str">
        <f>VLOOKUP(NoviaFunds[[#This Row],[ISIN]],'Novia Web Query'!$A:$E,3,FALSE)</f>
        <v>UT Global</v>
      </c>
      <c r="D656" s="139">
        <f>VLOOKUP(NoviaFunds[[#This Row],[ISIN]],'Novia Web Query'!$A:$E,4,FALSE)/100</f>
        <v>7.6E-3</v>
      </c>
      <c r="E656" s="3" t="str">
        <f>VLOOKUP(NoviaFunds[[#This Row],[ISIN]],'Novia Web Query'!$A:$E,5,FALSE)</f>
        <v>31/10/2020</v>
      </c>
      <c r="F656" t="str">
        <f>VLOOKUP(NoviaFunds[[#This Row],[Sector]],Sectors[],2,FALSE)</f>
        <v>Other Equities</v>
      </c>
    </row>
    <row r="657" spans="1:6" x14ac:dyDescent="0.2">
      <c r="A657" t="str">
        <f>'Novia Web Query'!A657</f>
        <v>GB0005772362</v>
      </c>
      <c r="B657" t="str">
        <f>VLOOKUP(NoviaFunds[[#This Row],[ISIN]],'Novia Web Query'!$A:$E,2,FALSE)</f>
        <v>Baillie Gifford Global Income Growth A Acc in GB</v>
      </c>
      <c r="C657" t="str">
        <f>VLOOKUP(NoviaFunds[[#This Row],[ISIN]],'Novia Web Query'!$A:$E,3,FALSE)</f>
        <v>UT Global Equity Income</v>
      </c>
      <c r="D657" s="139">
        <f>VLOOKUP(NoviaFunds[[#This Row],[ISIN]],'Novia Web Query'!$A:$E,4,FALSE)/100</f>
        <v>1.38E-2</v>
      </c>
      <c r="E657" s="3" t="str">
        <f>VLOOKUP(NoviaFunds[[#This Row],[ISIN]],'Novia Web Query'!$A:$E,5,FALSE)</f>
        <v>01/10/2020</v>
      </c>
      <c r="F657" t="str">
        <f>VLOOKUP(NoviaFunds[[#This Row],[Sector]],Sectors[],2,FALSE)</f>
        <v>Other Equities</v>
      </c>
    </row>
    <row r="658" spans="1:6" x14ac:dyDescent="0.2">
      <c r="A658" t="str">
        <f>'Novia Web Query'!A658</f>
        <v>GB0005771950</v>
      </c>
      <c r="B658" t="str">
        <f>VLOOKUP(NoviaFunds[[#This Row],[ISIN]],'Novia Web Query'!$A:$E,2,FALSE)</f>
        <v>Baillie Gifford Global Income Growth A Inc TR in GB</v>
      </c>
      <c r="C658" t="str">
        <f>VLOOKUP(NoviaFunds[[#This Row],[ISIN]],'Novia Web Query'!$A:$E,3,FALSE)</f>
        <v>UT Global Equity Income</v>
      </c>
      <c r="D658" s="139">
        <f>VLOOKUP(NoviaFunds[[#This Row],[ISIN]],'Novia Web Query'!$A:$E,4,FALSE)/100</f>
        <v>1.38E-2</v>
      </c>
      <c r="E658" s="3" t="str">
        <f>VLOOKUP(NoviaFunds[[#This Row],[ISIN]],'Novia Web Query'!$A:$E,5,FALSE)</f>
        <v>01/10/2020</v>
      </c>
      <c r="F658" t="str">
        <f>VLOOKUP(NoviaFunds[[#This Row],[Sector]],Sectors[],2,FALSE)</f>
        <v>Other Equities</v>
      </c>
    </row>
    <row r="659" spans="1:6" x14ac:dyDescent="0.2">
      <c r="A659" t="str">
        <f>'Novia Web Query'!A659</f>
        <v>GB0005772479</v>
      </c>
      <c r="B659" t="str">
        <f>VLOOKUP(NoviaFunds[[#This Row],[ISIN]],'Novia Web Query'!$A:$E,2,FALSE)</f>
        <v>Baillie Gifford Global Income Growth B Acc TR in GB**</v>
      </c>
      <c r="C659" t="str">
        <f>VLOOKUP(NoviaFunds[[#This Row],[ISIN]],'Novia Web Query'!$A:$E,3,FALSE)</f>
        <v>UT Global Equity Income</v>
      </c>
      <c r="D659" s="139">
        <f>VLOOKUP(NoviaFunds[[#This Row],[ISIN]],'Novia Web Query'!$A:$E,4,FALSE)/100</f>
        <v>5.3E-3</v>
      </c>
      <c r="E659" s="3" t="str">
        <f>VLOOKUP(NoviaFunds[[#This Row],[ISIN]],'Novia Web Query'!$A:$E,5,FALSE)</f>
        <v>01/10/2020</v>
      </c>
      <c r="F659" t="str">
        <f>VLOOKUP(NoviaFunds[[#This Row],[Sector]],Sectors[],2,FALSE)</f>
        <v>Other Equities</v>
      </c>
    </row>
    <row r="660" spans="1:6" x14ac:dyDescent="0.2">
      <c r="A660" t="str">
        <f>'Novia Web Query'!A660</f>
        <v>GB0005772586</v>
      </c>
      <c r="B660" t="str">
        <f>VLOOKUP(NoviaFunds[[#This Row],[ISIN]],'Novia Web Query'!$A:$E,2,FALSE)</f>
        <v>Baillie Gifford Global Income Growth B Inc TR in GB</v>
      </c>
      <c r="C660" t="str">
        <f>VLOOKUP(NoviaFunds[[#This Row],[ISIN]],'Novia Web Query'!$A:$E,3,FALSE)</f>
        <v>UT Global Equity Income</v>
      </c>
      <c r="D660" s="139">
        <f>VLOOKUP(NoviaFunds[[#This Row],[ISIN]],'Novia Web Query'!$A:$E,4,FALSE)/100</f>
        <v>5.3E-3</v>
      </c>
      <c r="E660" s="3" t="str">
        <f>VLOOKUP(NoviaFunds[[#This Row],[ISIN]],'Novia Web Query'!$A:$E,5,FALSE)</f>
        <v>01/10/2020</v>
      </c>
      <c r="F660" t="str">
        <f>VLOOKUP(NoviaFunds[[#This Row],[Sector]],Sectors[],2,FALSE)</f>
        <v>Other Equities</v>
      </c>
    </row>
    <row r="661" spans="1:6" x14ac:dyDescent="0.2">
      <c r="A661" t="str">
        <f>'Novia Web Query'!A661</f>
        <v>GB00BYNK7G95</v>
      </c>
      <c r="B661" t="str">
        <f>VLOOKUP(NoviaFunds[[#This Row],[ISIN]],'Novia Web Query'!$A:$E,2,FALSE)</f>
        <v>Baillie Gifford Global Stewardship B Acc in GB</v>
      </c>
      <c r="C661" t="str">
        <f>VLOOKUP(NoviaFunds[[#This Row],[ISIN]],'Novia Web Query'!$A:$E,3,FALSE)</f>
        <v>UT Global</v>
      </c>
      <c r="D661" s="139">
        <f>VLOOKUP(NoviaFunds[[#This Row],[ISIN]],'Novia Web Query'!$A:$E,4,FALSE)/100</f>
        <v>5.3E-3</v>
      </c>
      <c r="E661" s="3" t="str">
        <f>VLOOKUP(NoviaFunds[[#This Row],[ISIN]],'Novia Web Query'!$A:$E,5,FALSE)</f>
        <v>31/12/2020</v>
      </c>
      <c r="F661" t="str">
        <f>VLOOKUP(NoviaFunds[[#This Row],[Sector]],Sectors[],2,FALSE)</f>
        <v>Other Equities</v>
      </c>
    </row>
    <row r="662" spans="1:6" x14ac:dyDescent="0.2">
      <c r="A662" t="str">
        <f>'Novia Web Query'!A662</f>
        <v>GB00BMVLY038</v>
      </c>
      <c r="B662" t="str">
        <f>VLOOKUP(NoviaFunds[[#This Row],[ISIN]],'Novia Web Query'!$A:$E,2,FALSE)</f>
        <v>Baillie Gifford Health Innovation B Acc in GB</v>
      </c>
      <c r="C662" t="str">
        <f>VLOOKUP(NoviaFunds[[#This Row],[ISIN]],'Novia Web Query'!$A:$E,3,FALSE)</f>
        <v>UT Healthcare</v>
      </c>
      <c r="D662" s="139">
        <f>VLOOKUP(NoviaFunds[[#This Row],[ISIN]],'Novia Web Query'!$A:$E,4,FALSE)/100</f>
        <v>6.0000000000000001E-3</v>
      </c>
      <c r="E662" s="3" t="str">
        <f>VLOOKUP(NoviaFunds[[#This Row],[ISIN]],'Novia Web Query'!$A:$E,5,FALSE)</f>
        <v>05/03/2021</v>
      </c>
      <c r="F662" t="e">
        <f>VLOOKUP(NoviaFunds[[#This Row],[Sector]],Sectors[],2,FALSE)</f>
        <v>#N/A</v>
      </c>
    </row>
    <row r="663" spans="1:6" x14ac:dyDescent="0.2">
      <c r="A663" t="str">
        <f>'Novia Web Query'!A663</f>
        <v>GB00BMVLY145</v>
      </c>
      <c r="B663" t="str">
        <f>VLOOKUP(NoviaFunds[[#This Row],[ISIN]],'Novia Web Query'!$A:$E,2,FALSE)</f>
        <v>Baillie Gifford Health Innovation B Inc in GB</v>
      </c>
      <c r="C663" t="str">
        <f>VLOOKUP(NoviaFunds[[#This Row],[ISIN]],'Novia Web Query'!$A:$E,3,FALSE)</f>
        <v>UT Healthcare</v>
      </c>
      <c r="D663" s="139">
        <f>VLOOKUP(NoviaFunds[[#This Row],[ISIN]],'Novia Web Query'!$A:$E,4,FALSE)/100</f>
        <v>6.0000000000000001E-3</v>
      </c>
      <c r="E663" s="3" t="str">
        <f>VLOOKUP(NoviaFunds[[#This Row],[ISIN]],'Novia Web Query'!$A:$E,5,FALSE)</f>
        <v>05/03/2021</v>
      </c>
      <c r="F663" t="e">
        <f>VLOOKUP(NoviaFunds[[#This Row],[Sector]],Sectors[],2,FALSE)</f>
        <v>#N/A</v>
      </c>
    </row>
    <row r="664" spans="1:6" x14ac:dyDescent="0.2">
      <c r="A664" t="str">
        <f>'Novia Web Query'!A664</f>
        <v>GB00BMVLY475</v>
      </c>
      <c r="B664" t="str">
        <f>VLOOKUP(NoviaFunds[[#This Row],[ISIN]],'Novia Web Query'!$A:$E,2,FALSE)</f>
        <v>Baillie Gifford Health Innovation Y Acc in GB</v>
      </c>
      <c r="C664" t="str">
        <f>VLOOKUP(NoviaFunds[[#This Row],[ISIN]],'Novia Web Query'!$A:$E,3,FALSE)</f>
        <v>UT Healthcare</v>
      </c>
      <c r="D664" s="139">
        <f>VLOOKUP(NoviaFunds[[#This Row],[ISIN]],'Novia Web Query'!$A:$E,4,FALSE)/100</f>
        <v>3.4999999999999996E-3</v>
      </c>
      <c r="E664" s="3" t="str">
        <f>VLOOKUP(NoviaFunds[[#This Row],[ISIN]],'Novia Web Query'!$A:$E,5,FALSE)</f>
        <v>05/03/2021</v>
      </c>
      <c r="F664" t="e">
        <f>VLOOKUP(NoviaFunds[[#This Row],[Sector]],Sectors[],2,FALSE)</f>
        <v>#N/A</v>
      </c>
    </row>
    <row r="665" spans="1:6" x14ac:dyDescent="0.2">
      <c r="A665" t="str">
        <f>'Novia Web Query'!A665</f>
        <v>GB00BMVLY582</v>
      </c>
      <c r="B665" t="str">
        <f>VLOOKUP(NoviaFunds[[#This Row],[ISIN]],'Novia Web Query'!$A:$E,2,FALSE)</f>
        <v>Baillie Gifford Health Innovation Y Inc in GB</v>
      </c>
      <c r="C665" t="str">
        <f>VLOOKUP(NoviaFunds[[#This Row],[ISIN]],'Novia Web Query'!$A:$E,3,FALSE)</f>
        <v>UT Healthcare</v>
      </c>
      <c r="D665" s="139">
        <f>VLOOKUP(NoviaFunds[[#This Row],[ISIN]],'Novia Web Query'!$A:$E,4,FALSE)/100</f>
        <v>3.4999999999999996E-3</v>
      </c>
      <c r="E665" s="3" t="str">
        <f>VLOOKUP(NoviaFunds[[#This Row],[ISIN]],'Novia Web Query'!$A:$E,5,FALSE)</f>
        <v>05/03/2021</v>
      </c>
      <c r="F665" t="e">
        <f>VLOOKUP(NoviaFunds[[#This Row],[Sector]],Sectors[],2,FALSE)</f>
        <v>#N/A</v>
      </c>
    </row>
    <row r="666" spans="1:6" x14ac:dyDescent="0.2">
      <c r="A666" t="str">
        <f>'Novia Web Query'!A666</f>
        <v>GB0030816606</v>
      </c>
      <c r="B666" t="str">
        <f>VLOOKUP(NoviaFunds[[#This Row],[ISIN]],'Novia Web Query'!$A:$E,2,FALSE)</f>
        <v>Baillie Gifford High Yield Bond A Inc TR in GB</v>
      </c>
      <c r="C666" t="str">
        <f>VLOOKUP(NoviaFunds[[#This Row],[ISIN]],'Novia Web Query'!$A:$E,3,FALSE)</f>
        <v>UT Sterling High Yield</v>
      </c>
      <c r="D666" s="139">
        <f>VLOOKUP(NoviaFunds[[#This Row],[ISIN]],'Novia Web Query'!$A:$E,4,FALSE)/100</f>
        <v>1.0200000000000001E-2</v>
      </c>
      <c r="E666" s="3" t="str">
        <f>VLOOKUP(NoviaFunds[[#This Row],[ISIN]],'Novia Web Query'!$A:$E,5,FALSE)</f>
        <v>30/09/2020</v>
      </c>
      <c r="F666" t="str">
        <f>VLOOKUP(NoviaFunds[[#This Row],[Sector]],Sectors[],2,FALSE)</f>
        <v>High Yield</v>
      </c>
    </row>
    <row r="667" spans="1:6" x14ac:dyDescent="0.2">
      <c r="A667" t="str">
        <f>'Novia Web Query'!A667</f>
        <v>GB00B1W0GF10</v>
      </c>
      <c r="B667" t="str">
        <f>VLOOKUP(NoviaFunds[[#This Row],[ISIN]],'Novia Web Query'!$A:$E,2,FALSE)</f>
        <v>Baillie Gifford High Yield Bond B Acc TR in GB**</v>
      </c>
      <c r="C667" t="str">
        <f>VLOOKUP(NoviaFunds[[#This Row],[ISIN]],'Novia Web Query'!$A:$E,3,FALSE)</f>
        <v>UT Sterling High Yield</v>
      </c>
      <c r="D667" s="139">
        <f>VLOOKUP(NoviaFunds[[#This Row],[ISIN]],'Novia Web Query'!$A:$E,4,FALSE)/100</f>
        <v>3.7000000000000002E-3</v>
      </c>
      <c r="E667" s="3" t="str">
        <f>VLOOKUP(NoviaFunds[[#This Row],[ISIN]],'Novia Web Query'!$A:$E,5,FALSE)</f>
        <v>30/09/2020</v>
      </c>
      <c r="F667" t="str">
        <f>VLOOKUP(NoviaFunds[[#This Row],[Sector]],Sectors[],2,FALSE)</f>
        <v>High Yield</v>
      </c>
    </row>
    <row r="668" spans="1:6" x14ac:dyDescent="0.2">
      <c r="A668" t="str">
        <f>'Novia Web Query'!A668</f>
        <v>GB0030816713</v>
      </c>
      <c r="B668" t="str">
        <f>VLOOKUP(NoviaFunds[[#This Row],[ISIN]],'Novia Web Query'!$A:$E,2,FALSE)</f>
        <v>Baillie Gifford High Yield Bond B Inc TR in GB</v>
      </c>
      <c r="C668" t="str">
        <f>VLOOKUP(NoviaFunds[[#This Row],[ISIN]],'Novia Web Query'!$A:$E,3,FALSE)</f>
        <v>UT Sterling High Yield</v>
      </c>
      <c r="D668" s="139">
        <f>VLOOKUP(NoviaFunds[[#This Row],[ISIN]],'Novia Web Query'!$A:$E,4,FALSE)/100</f>
        <v>3.7000000000000002E-3</v>
      </c>
      <c r="E668" s="3" t="str">
        <f>VLOOKUP(NoviaFunds[[#This Row],[ISIN]],'Novia Web Query'!$A:$E,5,FALSE)</f>
        <v>30/09/2020</v>
      </c>
      <c r="F668" t="str">
        <f>VLOOKUP(NoviaFunds[[#This Row],[Sector]],Sectors[],2,FALSE)</f>
        <v>High Yield</v>
      </c>
    </row>
    <row r="669" spans="1:6" x14ac:dyDescent="0.2">
      <c r="A669" t="str">
        <f>'Novia Web Query'!A669</f>
        <v>GB0005937932</v>
      </c>
      <c r="B669" t="str">
        <f>VLOOKUP(NoviaFunds[[#This Row],[ISIN]],'Novia Web Query'!$A:$E,2,FALSE)</f>
        <v>Baillie Gifford International A Acc in GB</v>
      </c>
      <c r="C669" t="str">
        <f>VLOOKUP(NoviaFunds[[#This Row],[ISIN]],'Novia Web Query'!$A:$E,3,FALSE)</f>
        <v>UT Global</v>
      </c>
      <c r="D669" s="139">
        <f>VLOOKUP(NoviaFunds[[#This Row],[ISIN]],'Novia Web Query'!$A:$E,4,FALSE)/100</f>
        <v>1.44E-2</v>
      </c>
      <c r="E669" s="3" t="str">
        <f>VLOOKUP(NoviaFunds[[#This Row],[ISIN]],'Novia Web Query'!$A:$E,5,FALSE)</f>
        <v>31/07/2020</v>
      </c>
      <c r="F669" t="str">
        <f>VLOOKUP(NoviaFunds[[#This Row],[Sector]],Sectors[],2,FALSE)</f>
        <v>Other Equities</v>
      </c>
    </row>
    <row r="670" spans="1:6" x14ac:dyDescent="0.2">
      <c r="A670" t="str">
        <f>'Novia Web Query'!A670</f>
        <v>GB0005941272</v>
      </c>
      <c r="B670" t="str">
        <f>VLOOKUP(NoviaFunds[[#This Row],[ISIN]],'Novia Web Query'!$A:$E,2,FALSE)</f>
        <v>Baillie Gifford International B Acc in GB</v>
      </c>
      <c r="C670" t="str">
        <f>VLOOKUP(NoviaFunds[[#This Row],[ISIN]],'Novia Web Query'!$A:$E,3,FALSE)</f>
        <v>UT Global</v>
      </c>
      <c r="D670" s="139">
        <f>VLOOKUP(NoviaFunds[[#This Row],[ISIN]],'Novia Web Query'!$A:$E,4,FALSE)/100</f>
        <v>5.8999999999999999E-3</v>
      </c>
      <c r="E670" s="3" t="str">
        <f>VLOOKUP(NoviaFunds[[#This Row],[ISIN]],'Novia Web Query'!$A:$E,5,FALSE)</f>
        <v>31/07/2020</v>
      </c>
      <c r="F670" t="str">
        <f>VLOOKUP(NoviaFunds[[#This Row],[Sector]],Sectors[],2,FALSE)</f>
        <v>Other Equities</v>
      </c>
    </row>
    <row r="671" spans="1:6" x14ac:dyDescent="0.2">
      <c r="A671" t="str">
        <f>'Novia Web Query'!A671</f>
        <v>GB0005940316</v>
      </c>
      <c r="B671" t="str">
        <f>VLOOKUP(NoviaFunds[[#This Row],[ISIN]],'Novia Web Query'!$A:$E,2,FALSE)</f>
        <v>Baillie Gifford International B Inc TR in GB**</v>
      </c>
      <c r="C671" t="str">
        <f>VLOOKUP(NoviaFunds[[#This Row],[ISIN]],'Novia Web Query'!$A:$E,3,FALSE)</f>
        <v>UT Global</v>
      </c>
      <c r="D671" s="139">
        <f>VLOOKUP(NoviaFunds[[#This Row],[ISIN]],'Novia Web Query'!$A:$E,4,FALSE)/100</f>
        <v>5.8999999999999999E-3</v>
      </c>
      <c r="E671" s="3" t="str">
        <f>VLOOKUP(NoviaFunds[[#This Row],[ISIN]],'Novia Web Query'!$A:$E,5,FALSE)</f>
        <v>31/07/2020</v>
      </c>
      <c r="F671" t="str">
        <f>VLOOKUP(NoviaFunds[[#This Row],[Sector]],Sectors[],2,FALSE)</f>
        <v>Other Equities</v>
      </c>
    </row>
    <row r="672" spans="1:6" x14ac:dyDescent="0.2">
      <c r="A672" t="str">
        <f>'Novia Web Query'!A672</f>
        <v>GB0030816374</v>
      </c>
      <c r="B672" t="str">
        <f>VLOOKUP(NoviaFunds[[#This Row],[ISIN]],'Novia Web Query'!$A:$E,2,FALSE)</f>
        <v>Baillie Gifford Investment Grade Bond A Inc TR in GB</v>
      </c>
      <c r="C672" t="str">
        <f>VLOOKUP(NoviaFunds[[#This Row],[ISIN]],'Novia Web Query'!$A:$E,3,FALSE)</f>
        <v>UT Sterling Corporate Bond</v>
      </c>
      <c r="D672" s="139">
        <f>VLOOKUP(NoviaFunds[[#This Row],[ISIN]],'Novia Web Query'!$A:$E,4,FALSE)/100</f>
        <v>1.03E-2</v>
      </c>
      <c r="E672" s="3" t="str">
        <f>VLOOKUP(NoviaFunds[[#This Row],[ISIN]],'Novia Web Query'!$A:$E,5,FALSE)</f>
        <v>30/09/2020</v>
      </c>
      <c r="F672" t="str">
        <f>VLOOKUP(NoviaFunds[[#This Row],[Sector]],Sectors[],2,FALSE)</f>
        <v>Sterling Corporate Bonds</v>
      </c>
    </row>
    <row r="673" spans="1:6" x14ac:dyDescent="0.2">
      <c r="A673" t="str">
        <f>'Novia Web Query'!A673</f>
        <v>GB00BYQCYS34</v>
      </c>
      <c r="B673" t="str">
        <f>VLOOKUP(NoviaFunds[[#This Row],[ISIN]],'Novia Web Query'!$A:$E,2,FALSE)</f>
        <v>Baillie Gifford Investment Grade Bond B Acc TR in GB**</v>
      </c>
      <c r="C673" t="str">
        <f>VLOOKUP(NoviaFunds[[#This Row],[ISIN]],'Novia Web Query'!$A:$E,3,FALSE)</f>
        <v>UT Sterling Corporate Bond</v>
      </c>
      <c r="D673" s="139">
        <f>VLOOKUP(NoviaFunds[[#This Row],[ISIN]],'Novia Web Query'!$A:$E,4,FALSE)/100</f>
        <v>2.8000000000000004E-3</v>
      </c>
      <c r="E673" s="3" t="str">
        <f>VLOOKUP(NoviaFunds[[#This Row],[ISIN]],'Novia Web Query'!$A:$E,5,FALSE)</f>
        <v>30/09/2020</v>
      </c>
      <c r="F673" t="str">
        <f>VLOOKUP(NoviaFunds[[#This Row],[Sector]],Sectors[],2,FALSE)</f>
        <v>Sterling Corporate Bonds</v>
      </c>
    </row>
    <row r="674" spans="1:6" x14ac:dyDescent="0.2">
      <c r="A674" t="str">
        <f>'Novia Web Query'!A674</f>
        <v>GB0030816481</v>
      </c>
      <c r="B674" t="str">
        <f>VLOOKUP(NoviaFunds[[#This Row],[ISIN]],'Novia Web Query'!$A:$E,2,FALSE)</f>
        <v>Baillie Gifford Investment Grade Bond B Inc TR in GB**</v>
      </c>
      <c r="C674" t="str">
        <f>VLOOKUP(NoviaFunds[[#This Row],[ISIN]],'Novia Web Query'!$A:$E,3,FALSE)</f>
        <v>UT Sterling Corporate Bond</v>
      </c>
      <c r="D674" s="139">
        <f>VLOOKUP(NoviaFunds[[#This Row],[ISIN]],'Novia Web Query'!$A:$E,4,FALSE)/100</f>
        <v>2.8000000000000004E-3</v>
      </c>
      <c r="E674" s="3" t="str">
        <f>VLOOKUP(NoviaFunds[[#This Row],[ISIN]],'Novia Web Query'!$A:$E,5,FALSE)</f>
        <v>30/09/2020</v>
      </c>
      <c r="F674" t="str">
        <f>VLOOKUP(NoviaFunds[[#This Row],[Sector]],Sectors[],2,FALSE)</f>
        <v>Sterling Corporate Bonds</v>
      </c>
    </row>
    <row r="675" spans="1:6" x14ac:dyDescent="0.2">
      <c r="A675" t="str">
        <f>'Novia Web Query'!A675</f>
        <v>GB00BYQCYT41</v>
      </c>
      <c r="B675" t="str">
        <f>VLOOKUP(NoviaFunds[[#This Row],[ISIN]],'Novia Web Query'!$A:$E,2,FALSE)</f>
        <v>Baillie Gifford Investment Grade Long Bond B Acc TR in GB**</v>
      </c>
      <c r="C675" t="str">
        <f>VLOOKUP(NoviaFunds[[#This Row],[ISIN]],'Novia Web Query'!$A:$E,3,FALSE)</f>
        <v>UT Sterling Corporate Bond</v>
      </c>
      <c r="D675" s="139">
        <f>VLOOKUP(NoviaFunds[[#This Row],[ISIN]],'Novia Web Query'!$A:$E,4,FALSE)/100</f>
        <v>2.8000000000000004E-3</v>
      </c>
      <c r="E675" s="3" t="str">
        <f>VLOOKUP(NoviaFunds[[#This Row],[ISIN]],'Novia Web Query'!$A:$E,5,FALSE)</f>
        <v>30/09/2020</v>
      </c>
      <c r="F675" t="str">
        <f>VLOOKUP(NoviaFunds[[#This Row],[Sector]],Sectors[],2,FALSE)</f>
        <v>Sterling Corporate Bonds</v>
      </c>
    </row>
    <row r="676" spans="1:6" x14ac:dyDescent="0.2">
      <c r="A676" t="str">
        <f>'Novia Web Query'!A676</f>
        <v>GB0032501818</v>
      </c>
      <c r="B676" t="str">
        <f>VLOOKUP(NoviaFunds[[#This Row],[ISIN]],'Novia Web Query'!$A:$E,2,FALSE)</f>
        <v>Baillie Gifford Investment Grade Long Bond B Inc TR in GB**</v>
      </c>
      <c r="C676" t="str">
        <f>VLOOKUP(NoviaFunds[[#This Row],[ISIN]],'Novia Web Query'!$A:$E,3,FALSE)</f>
        <v>UT Sterling Corporate Bond</v>
      </c>
      <c r="D676" s="139">
        <f>VLOOKUP(NoviaFunds[[#This Row],[ISIN]],'Novia Web Query'!$A:$E,4,FALSE)/100</f>
        <v>2.8000000000000004E-3</v>
      </c>
      <c r="E676" s="3" t="str">
        <f>VLOOKUP(NoviaFunds[[#This Row],[ISIN]],'Novia Web Query'!$A:$E,5,FALSE)</f>
        <v>30/09/2020</v>
      </c>
      <c r="F676" t="str">
        <f>VLOOKUP(NoviaFunds[[#This Row],[Sector]],Sectors[],2,FALSE)</f>
        <v>Sterling Corporate Bonds</v>
      </c>
    </row>
    <row r="677" spans="1:6" x14ac:dyDescent="0.2">
      <c r="A677" t="str">
        <f>'Novia Web Query'!A677</f>
        <v>GB0006010838</v>
      </c>
      <c r="B677" t="str">
        <f>VLOOKUP(NoviaFunds[[#This Row],[ISIN]],'Novia Web Query'!$A:$E,2,FALSE)</f>
        <v>Baillie Gifford Japanese A Acc in GB</v>
      </c>
      <c r="C677" t="str">
        <f>VLOOKUP(NoviaFunds[[#This Row],[ISIN]],'Novia Web Query'!$A:$E,3,FALSE)</f>
        <v>UT Japan</v>
      </c>
      <c r="D677" s="139">
        <f>VLOOKUP(NoviaFunds[[#This Row],[ISIN]],'Novia Web Query'!$A:$E,4,FALSE)/100</f>
        <v>1.47E-2</v>
      </c>
      <c r="E677" s="3" t="str">
        <f>VLOOKUP(NoviaFunds[[#This Row],[ISIN]],'Novia Web Query'!$A:$E,5,FALSE)</f>
        <v>31/10/2020</v>
      </c>
      <c r="F677" t="str">
        <f>VLOOKUP(NoviaFunds[[#This Row],[Sector]],Sectors[],2,FALSE)</f>
        <v>Japanese Equities</v>
      </c>
    </row>
    <row r="678" spans="1:6" x14ac:dyDescent="0.2">
      <c r="A678" t="str">
        <f>'Novia Web Query'!A678</f>
        <v>GB0006011133</v>
      </c>
      <c r="B678" t="str">
        <f>VLOOKUP(NoviaFunds[[#This Row],[ISIN]],'Novia Web Query'!$A:$E,2,FALSE)</f>
        <v>Baillie Gifford Japanese B Acc in GB**</v>
      </c>
      <c r="C678" t="str">
        <f>VLOOKUP(NoviaFunds[[#This Row],[ISIN]],'Novia Web Query'!$A:$E,3,FALSE)</f>
        <v>UT Japan</v>
      </c>
      <c r="D678" s="139">
        <f>VLOOKUP(NoviaFunds[[#This Row],[ISIN]],'Novia Web Query'!$A:$E,4,FALSE)/100</f>
        <v>6.0999999999999995E-3</v>
      </c>
      <c r="E678" s="3" t="str">
        <f>VLOOKUP(NoviaFunds[[#This Row],[ISIN]],'Novia Web Query'!$A:$E,5,FALSE)</f>
        <v>31/10/2020</v>
      </c>
      <c r="F678" t="str">
        <f>VLOOKUP(NoviaFunds[[#This Row],[Sector]],Sectors[],2,FALSE)</f>
        <v>Japanese Equities</v>
      </c>
    </row>
    <row r="679" spans="1:6" x14ac:dyDescent="0.2">
      <c r="A679" t="str">
        <f>'Novia Web Query'!A679</f>
        <v>GB0006010945</v>
      </c>
      <c r="B679" t="str">
        <f>VLOOKUP(NoviaFunds[[#This Row],[ISIN]],'Novia Web Query'!$A:$E,2,FALSE)</f>
        <v>Baillie Gifford Japanese B Inc TR in GB</v>
      </c>
      <c r="C679" t="str">
        <f>VLOOKUP(NoviaFunds[[#This Row],[ISIN]],'Novia Web Query'!$A:$E,3,FALSE)</f>
        <v>UT Japan</v>
      </c>
      <c r="D679" s="139">
        <f>VLOOKUP(NoviaFunds[[#This Row],[ISIN]],'Novia Web Query'!$A:$E,4,FALSE)/100</f>
        <v>6.0999999999999995E-3</v>
      </c>
      <c r="E679" s="3" t="str">
        <f>VLOOKUP(NoviaFunds[[#This Row],[ISIN]],'Novia Web Query'!$A:$E,5,FALSE)</f>
        <v>31/10/2020</v>
      </c>
      <c r="F679" t="str">
        <f>VLOOKUP(NoviaFunds[[#This Row],[Sector]],Sectors[],2,FALSE)</f>
        <v>Japanese Equities</v>
      </c>
    </row>
    <row r="680" spans="1:6" x14ac:dyDescent="0.2">
      <c r="A680" t="str">
        <f>'Novia Web Query'!A680</f>
        <v>GB00BYZJQH88</v>
      </c>
      <c r="B680" t="str">
        <f>VLOOKUP(NoviaFunds[[#This Row],[ISIN]],'Novia Web Query'!$A:$E,2,FALSE)</f>
        <v>Baillie Gifford Japanese Income Growth B Acc in GB</v>
      </c>
      <c r="C680" t="str">
        <f>VLOOKUP(NoviaFunds[[#This Row],[ISIN]],'Novia Web Query'!$A:$E,3,FALSE)</f>
        <v>UT Japan</v>
      </c>
      <c r="D680" s="139">
        <f>VLOOKUP(NoviaFunds[[#This Row],[ISIN]],'Novia Web Query'!$A:$E,4,FALSE)/100</f>
        <v>6.1999999999999998E-3</v>
      </c>
      <c r="E680" s="3" t="str">
        <f>VLOOKUP(NoviaFunds[[#This Row],[ISIN]],'Novia Web Query'!$A:$E,5,FALSE)</f>
        <v>31/12/2020</v>
      </c>
      <c r="F680" t="str">
        <f>VLOOKUP(NoviaFunds[[#This Row],[Sector]],Sectors[],2,FALSE)</f>
        <v>Japanese Equities</v>
      </c>
    </row>
    <row r="681" spans="1:6" x14ac:dyDescent="0.2">
      <c r="A681" t="str">
        <f>'Novia Web Query'!A681</f>
        <v>GB00BYZJQG71</v>
      </c>
      <c r="B681" t="str">
        <f>VLOOKUP(NoviaFunds[[#This Row],[ISIN]],'Novia Web Query'!$A:$E,2,FALSE)</f>
        <v>Baillie Gifford Japanese Income Growth B Inc TR in GB</v>
      </c>
      <c r="C681" t="str">
        <f>VLOOKUP(NoviaFunds[[#This Row],[ISIN]],'Novia Web Query'!$A:$E,3,FALSE)</f>
        <v>UT Japan</v>
      </c>
      <c r="D681" s="139">
        <f>VLOOKUP(NoviaFunds[[#This Row],[ISIN]],'Novia Web Query'!$A:$E,4,FALSE)/100</f>
        <v>6.1999999999999998E-3</v>
      </c>
      <c r="E681" s="3" t="str">
        <f>VLOOKUP(NoviaFunds[[#This Row],[ISIN]],'Novia Web Query'!$A:$E,5,FALSE)</f>
        <v>31/12/2020</v>
      </c>
      <c r="F681" t="str">
        <f>VLOOKUP(NoviaFunds[[#This Row],[Sector]],Sectors[],2,FALSE)</f>
        <v>Japanese Equities</v>
      </c>
    </row>
    <row r="682" spans="1:6" x14ac:dyDescent="0.2">
      <c r="A682" t="str">
        <f>'Novia Web Query'!A682</f>
        <v>GB0006014475</v>
      </c>
      <c r="B682" t="str">
        <f>VLOOKUP(NoviaFunds[[#This Row],[ISIN]],'Novia Web Query'!$A:$E,2,FALSE)</f>
        <v>Baillie Gifford Japanese Smaller Companies A Acc in GB</v>
      </c>
      <c r="C682" t="str">
        <f>VLOOKUP(NoviaFunds[[#This Row],[ISIN]],'Novia Web Query'!$A:$E,3,FALSE)</f>
        <v>UT Japanese Smaller Companies</v>
      </c>
      <c r="D682" s="139">
        <f>VLOOKUP(NoviaFunds[[#This Row],[ISIN]],'Novia Web Query'!$A:$E,4,FALSE)/100</f>
        <v>1.52E-2</v>
      </c>
      <c r="E682" s="3" t="str">
        <f>VLOOKUP(NoviaFunds[[#This Row],[ISIN]],'Novia Web Query'!$A:$E,5,FALSE)</f>
        <v>31/10/2020</v>
      </c>
      <c r="F682" t="str">
        <f>VLOOKUP(NoviaFunds[[#This Row],[Sector]],Sectors[],2,FALSE)</f>
        <v>Japanese Equities</v>
      </c>
    </row>
    <row r="683" spans="1:6" x14ac:dyDescent="0.2">
      <c r="A683" t="str">
        <f>'Novia Web Query'!A683</f>
        <v>GB0006014921</v>
      </c>
      <c r="B683" t="str">
        <f>VLOOKUP(NoviaFunds[[#This Row],[ISIN]],'Novia Web Query'!$A:$E,2,FALSE)</f>
        <v>Baillie Gifford Japanese Smaller Companies B Acc TR in GB**</v>
      </c>
      <c r="C683" t="str">
        <f>VLOOKUP(NoviaFunds[[#This Row],[ISIN]],'Novia Web Query'!$A:$E,3,FALSE)</f>
        <v>UT Japanese Smaller Companies</v>
      </c>
      <c r="D683" s="139">
        <f>VLOOKUP(NoviaFunds[[#This Row],[ISIN]],'Novia Web Query'!$A:$E,4,FALSE)/100</f>
        <v>6.0999999999999995E-3</v>
      </c>
      <c r="E683" s="3" t="str">
        <f>VLOOKUP(NoviaFunds[[#This Row],[ISIN]],'Novia Web Query'!$A:$E,5,FALSE)</f>
        <v>31/10/2020</v>
      </c>
      <c r="F683" t="str">
        <f>VLOOKUP(NoviaFunds[[#This Row],[Sector]],Sectors[],2,FALSE)</f>
        <v>Japanese Equities</v>
      </c>
    </row>
    <row r="684" spans="1:6" x14ac:dyDescent="0.2">
      <c r="A684" t="str">
        <f>'Novia Web Query'!A684</f>
        <v>GB0006014582</v>
      </c>
      <c r="B684" t="str">
        <f>VLOOKUP(NoviaFunds[[#This Row],[ISIN]],'Novia Web Query'!$A:$E,2,FALSE)</f>
        <v>Baillie Gifford Japanese Smaller Companies B Inc TR in GB</v>
      </c>
      <c r="C684" t="str">
        <f>VLOOKUP(NoviaFunds[[#This Row],[ISIN]],'Novia Web Query'!$A:$E,3,FALSE)</f>
        <v>UT Japanese Smaller Companies</v>
      </c>
      <c r="D684" s="139">
        <f>VLOOKUP(NoviaFunds[[#This Row],[ISIN]],'Novia Web Query'!$A:$E,4,FALSE)/100</f>
        <v>6.0999999999999995E-3</v>
      </c>
      <c r="E684" s="3" t="str">
        <f>VLOOKUP(NoviaFunds[[#This Row],[ISIN]],'Novia Web Query'!$A:$E,5,FALSE)</f>
        <v>31/10/2020</v>
      </c>
      <c r="F684" t="str">
        <f>VLOOKUP(NoviaFunds[[#This Row],[Sector]],Sectors[],2,FALSE)</f>
        <v>Japanese Equities</v>
      </c>
    </row>
    <row r="685" spans="1:6" x14ac:dyDescent="0.2">
      <c r="A685" t="str">
        <f>'Novia Web Query'!A685</f>
        <v>GB00BK6H5218</v>
      </c>
      <c r="B685" t="str">
        <f>VLOOKUP(NoviaFunds[[#This Row],[ISIN]],'Novia Web Query'!$A:$E,2,FALSE)</f>
        <v>Baillie Gifford Japanese W3 Acc in GB**</v>
      </c>
      <c r="C685" t="str">
        <f>VLOOKUP(NoviaFunds[[#This Row],[ISIN]],'Novia Web Query'!$A:$E,3,FALSE)</f>
        <v>UT Japan</v>
      </c>
      <c r="D685" s="139">
        <f>VLOOKUP(NoviaFunds[[#This Row],[ISIN]],'Novia Web Query'!$A:$E,4,FALSE)/100</f>
        <v>4.5000000000000005E-3</v>
      </c>
      <c r="E685" s="3" t="str">
        <f>VLOOKUP(NoviaFunds[[#This Row],[ISIN]],'Novia Web Query'!$A:$E,5,FALSE)</f>
        <v>02/12/2020</v>
      </c>
      <c r="F685" t="str">
        <f>VLOOKUP(NoviaFunds[[#This Row],[Sector]],Sectors[],2,FALSE)</f>
        <v>Japanese Equities</v>
      </c>
    </row>
    <row r="686" spans="1:6" x14ac:dyDescent="0.2">
      <c r="A686" t="str">
        <f>'Novia Web Query'!A686</f>
        <v>GB00BD5Z0Z54</v>
      </c>
      <c r="B686" t="str">
        <f>VLOOKUP(NoviaFunds[[#This Row],[ISIN]],'Novia Web Query'!$A:$E,2,FALSE)</f>
        <v>Baillie Gifford Long Term Global Growth Investment B Acc in GB</v>
      </c>
      <c r="C686" t="str">
        <f>VLOOKUP(NoviaFunds[[#This Row],[ISIN]],'Novia Web Query'!$A:$E,3,FALSE)</f>
        <v>UT Global</v>
      </c>
      <c r="D686" s="139">
        <f>VLOOKUP(NoviaFunds[[#This Row],[ISIN]],'Novia Web Query'!$A:$E,4,FALSE)/100</f>
        <v>6.4000000000000003E-3</v>
      </c>
      <c r="E686" s="3" t="str">
        <f>VLOOKUP(NoviaFunds[[#This Row],[ISIN]],'Novia Web Query'!$A:$E,5,FALSE)</f>
        <v>31/12/2020</v>
      </c>
      <c r="F686" t="str">
        <f>VLOOKUP(NoviaFunds[[#This Row],[Sector]],Sectors[],2,FALSE)</f>
        <v>Other Equities</v>
      </c>
    </row>
    <row r="687" spans="1:6" x14ac:dyDescent="0.2">
      <c r="A687" t="str">
        <f>'Novia Web Query'!A687</f>
        <v>GB0006007891</v>
      </c>
      <c r="B687" t="str">
        <f>VLOOKUP(NoviaFunds[[#This Row],[ISIN]],'Novia Web Query'!$A:$E,2,FALSE)</f>
        <v>Baillie Gifford Managed A Acc in GB</v>
      </c>
      <c r="C687" t="str">
        <f>VLOOKUP(NoviaFunds[[#This Row],[ISIN]],'Novia Web Query'!$A:$E,3,FALSE)</f>
        <v>UT Mixed Investment 40-85% Shares</v>
      </c>
      <c r="D687" s="139">
        <f>VLOOKUP(NoviaFunds[[#This Row],[ISIN]],'Novia Web Query'!$A:$E,4,FALSE)/100</f>
        <v>1.5100000000000001E-2</v>
      </c>
      <c r="E687" s="3" t="str">
        <f>VLOOKUP(NoviaFunds[[#This Row],[ISIN]],'Novia Web Query'!$A:$E,5,FALSE)</f>
        <v>31/07/2020</v>
      </c>
      <c r="F687" t="str">
        <f>VLOOKUP(NoviaFunds[[#This Row],[Sector]],Sectors[],2,FALSE)</f>
        <v>Mixed 40%-85%</v>
      </c>
    </row>
    <row r="688" spans="1:6" x14ac:dyDescent="0.2">
      <c r="A688" t="str">
        <f>'Novia Web Query'!A688</f>
        <v>GB0006002397</v>
      </c>
      <c r="B688" t="str">
        <f>VLOOKUP(NoviaFunds[[#This Row],[ISIN]],'Novia Web Query'!$A:$E,2,FALSE)</f>
        <v>Baillie Gifford Managed A Inc TR in GB</v>
      </c>
      <c r="C688" t="str">
        <f>VLOOKUP(NoviaFunds[[#This Row],[ISIN]],'Novia Web Query'!$A:$E,3,FALSE)</f>
        <v>UT Mixed Investment 40-85% Shares</v>
      </c>
      <c r="D688" s="139">
        <f>VLOOKUP(NoviaFunds[[#This Row],[ISIN]],'Novia Web Query'!$A:$E,4,FALSE)/100</f>
        <v>1.52E-2</v>
      </c>
      <c r="E688" s="3" t="str">
        <f>VLOOKUP(NoviaFunds[[#This Row],[ISIN]],'Novia Web Query'!$A:$E,5,FALSE)</f>
        <v>31/07/2020</v>
      </c>
      <c r="F688" t="str">
        <f>VLOOKUP(NoviaFunds[[#This Row],[Sector]],Sectors[],2,FALSE)</f>
        <v>Mixed 40%-85%</v>
      </c>
    </row>
    <row r="689" spans="1:6" x14ac:dyDescent="0.2">
      <c r="A689" t="str">
        <f>'Novia Web Query'!A689</f>
        <v>GB0006010168</v>
      </c>
      <c r="B689" t="str">
        <f>VLOOKUP(NoviaFunds[[#This Row],[ISIN]],'Novia Web Query'!$A:$E,2,FALSE)</f>
        <v>Baillie Gifford Managed B Acc in GB</v>
      </c>
      <c r="C689" t="str">
        <f>VLOOKUP(NoviaFunds[[#This Row],[ISIN]],'Novia Web Query'!$A:$E,3,FALSE)</f>
        <v>UT Mixed Investment 40-85% Shares</v>
      </c>
      <c r="D689" s="139">
        <f>VLOOKUP(NoviaFunds[[#This Row],[ISIN]],'Novia Web Query'!$A:$E,4,FALSE)/100</f>
        <v>4.1999999999999997E-3</v>
      </c>
      <c r="E689" s="3" t="str">
        <f>VLOOKUP(NoviaFunds[[#This Row],[ISIN]],'Novia Web Query'!$A:$E,5,FALSE)</f>
        <v>31/07/2020</v>
      </c>
      <c r="F689" t="str">
        <f>VLOOKUP(NoviaFunds[[#This Row],[Sector]],Sectors[],2,FALSE)</f>
        <v>Mixed 40%-85%</v>
      </c>
    </row>
    <row r="690" spans="1:6" x14ac:dyDescent="0.2">
      <c r="A690" t="str">
        <f>'Novia Web Query'!A690</f>
        <v>GB0006007909</v>
      </c>
      <c r="B690" t="str">
        <f>VLOOKUP(NoviaFunds[[#This Row],[ISIN]],'Novia Web Query'!$A:$E,2,FALSE)</f>
        <v>Baillie Gifford Managed B Inc TR in GB</v>
      </c>
      <c r="C690" t="str">
        <f>VLOOKUP(NoviaFunds[[#This Row],[ISIN]],'Novia Web Query'!$A:$E,3,FALSE)</f>
        <v>UT Mixed Investment 40-85% Shares</v>
      </c>
      <c r="D690" s="139">
        <f>VLOOKUP(NoviaFunds[[#This Row],[ISIN]],'Novia Web Query'!$A:$E,4,FALSE)/100</f>
        <v>4.1999999999999997E-3</v>
      </c>
      <c r="E690" s="3" t="str">
        <f>VLOOKUP(NoviaFunds[[#This Row],[ISIN]],'Novia Web Query'!$A:$E,5,FALSE)</f>
        <v>31/07/2020</v>
      </c>
      <c r="F690" t="str">
        <f>VLOOKUP(NoviaFunds[[#This Row],[Sector]],Sectors[],2,FALSE)</f>
        <v>Mixed 40%-85%</v>
      </c>
    </row>
    <row r="691" spans="1:6" x14ac:dyDescent="0.2">
      <c r="A691" t="str">
        <f>'Novia Web Query'!A691</f>
        <v>GB00BY9C5Y31</v>
      </c>
      <c r="B691" t="str">
        <f>VLOOKUP(NoviaFunds[[#This Row],[ISIN]],'Novia Web Query'!$A:$E,2,FALSE)</f>
        <v>Baillie Gifford Multi Asset Growth B1 Acc in GB</v>
      </c>
      <c r="C691" t="str">
        <f>VLOOKUP(NoviaFunds[[#This Row],[ISIN]],'Novia Web Query'!$A:$E,3,FALSE)</f>
        <v>UT Targeted Absolute Return</v>
      </c>
      <c r="D691" s="139">
        <f>VLOOKUP(NoviaFunds[[#This Row],[ISIN]],'Novia Web Query'!$A:$E,4,FALSE)/100</f>
        <v>5.7999999999999996E-3</v>
      </c>
      <c r="E691" s="3" t="str">
        <f>VLOOKUP(NoviaFunds[[#This Row],[ISIN]],'Novia Web Query'!$A:$E,5,FALSE)</f>
        <v>31/12/2020</v>
      </c>
      <c r="F691" t="str">
        <f>VLOOKUP(NoviaFunds[[#This Row],[Sector]],Sectors[],2,FALSE)</f>
        <v>Absolute Return</v>
      </c>
    </row>
    <row r="692" spans="1:6" x14ac:dyDescent="0.2">
      <c r="A692" t="str">
        <f>'Novia Web Query'!A692</f>
        <v>GB00BFXY2857</v>
      </c>
      <c r="B692" t="str">
        <f>VLOOKUP(NoviaFunds[[#This Row],[ISIN]],'Novia Web Query'!$A:$E,2,FALSE)</f>
        <v>Baillie Gifford Multi Asset Income B Inc TR in GB</v>
      </c>
      <c r="C692" t="str">
        <f>VLOOKUP(NoviaFunds[[#This Row],[ISIN]],'Novia Web Query'!$A:$E,3,FALSE)</f>
        <v>UT Flexible Investment</v>
      </c>
      <c r="D692" s="139">
        <f>VLOOKUP(NoviaFunds[[#This Row],[ISIN]],'Novia Web Query'!$A:$E,4,FALSE)/100</f>
        <v>5.6000000000000008E-3</v>
      </c>
      <c r="E692" s="3" t="str">
        <f>VLOOKUP(NoviaFunds[[#This Row],[ISIN]],'Novia Web Query'!$A:$E,5,FALSE)</f>
        <v>31/12/2020</v>
      </c>
      <c r="F692" t="str">
        <f>VLOOKUP(NoviaFunds[[#This Row],[Sector]],Sectors[],2,FALSE)</f>
        <v>Flexible</v>
      </c>
    </row>
    <row r="693" spans="1:6" x14ac:dyDescent="0.2">
      <c r="A693" t="str">
        <f>'Novia Web Query'!A693</f>
        <v>GB0006063126</v>
      </c>
      <c r="B693" t="str">
        <f>VLOOKUP(NoviaFunds[[#This Row],[ISIN]],'Novia Web Query'!$A:$E,2,FALSE)</f>
        <v>Baillie Gifford Pacific A Acc in GB</v>
      </c>
      <c r="C693" t="str">
        <f>VLOOKUP(NoviaFunds[[#This Row],[ISIN]],'Novia Web Query'!$A:$E,3,FALSE)</f>
        <v>UT Asia Pacific Excluding Japan</v>
      </c>
      <c r="D693" s="139">
        <f>VLOOKUP(NoviaFunds[[#This Row],[ISIN]],'Novia Web Query'!$A:$E,4,FALSE)/100</f>
        <v>1.5600000000000001E-2</v>
      </c>
      <c r="E693" s="3" t="str">
        <f>VLOOKUP(NoviaFunds[[#This Row],[ISIN]],'Novia Web Query'!$A:$E,5,FALSE)</f>
        <v>31/10/2020</v>
      </c>
      <c r="F693" t="str">
        <f>VLOOKUP(NoviaFunds[[#This Row],[Sector]],Sectors[],2,FALSE)</f>
        <v>Asia Pacific</v>
      </c>
    </row>
    <row r="694" spans="1:6" x14ac:dyDescent="0.2">
      <c r="A694" t="str">
        <f>'Novia Web Query'!A694</f>
        <v>GB0006063233</v>
      </c>
      <c r="B694" t="str">
        <f>VLOOKUP(NoviaFunds[[#This Row],[ISIN]],'Novia Web Query'!$A:$E,2,FALSE)</f>
        <v>Baillie Gifford Pacific B Acc TR in GB</v>
      </c>
      <c r="C694" t="str">
        <f>VLOOKUP(NoviaFunds[[#This Row],[ISIN]],'Novia Web Query'!$A:$E,3,FALSE)</f>
        <v>UT Asia Pacific Excluding Japan</v>
      </c>
      <c r="D694" s="139">
        <f>VLOOKUP(NoviaFunds[[#This Row],[ISIN]],'Novia Web Query'!$A:$E,4,FALSE)/100</f>
        <v>7.0999999999999995E-3</v>
      </c>
      <c r="E694" s="3" t="str">
        <f>VLOOKUP(NoviaFunds[[#This Row],[ISIN]],'Novia Web Query'!$A:$E,5,FALSE)</f>
        <v>31/10/2020</v>
      </c>
      <c r="F694" t="str">
        <f>VLOOKUP(NoviaFunds[[#This Row],[Sector]],Sectors[],2,FALSE)</f>
        <v>Asia Pacific</v>
      </c>
    </row>
    <row r="695" spans="1:6" x14ac:dyDescent="0.2">
      <c r="A695" t="str">
        <f>'Novia Web Query'!A695</f>
        <v>GB0006063340</v>
      </c>
      <c r="B695" t="str">
        <f>VLOOKUP(NoviaFunds[[#This Row],[ISIN]],'Novia Web Query'!$A:$E,2,FALSE)</f>
        <v>Baillie Gifford Pacific B Inc TR in GB</v>
      </c>
      <c r="C695" t="str">
        <f>VLOOKUP(NoviaFunds[[#This Row],[ISIN]],'Novia Web Query'!$A:$E,3,FALSE)</f>
        <v>UT Asia Pacific Excluding Japan</v>
      </c>
      <c r="D695" s="139">
        <f>VLOOKUP(NoviaFunds[[#This Row],[ISIN]],'Novia Web Query'!$A:$E,4,FALSE)/100</f>
        <v>7.0999999999999995E-3</v>
      </c>
      <c r="E695" s="3" t="str">
        <f>VLOOKUP(NoviaFunds[[#This Row],[ISIN]],'Novia Web Query'!$A:$E,5,FALSE)</f>
        <v>31/10/2020</v>
      </c>
      <c r="F695" t="str">
        <f>VLOOKUP(NoviaFunds[[#This Row],[Sector]],Sectors[],2,FALSE)</f>
        <v>Asia Pacific</v>
      </c>
    </row>
    <row r="696" spans="1:6" x14ac:dyDescent="0.2">
      <c r="A696" t="str">
        <f>'Novia Web Query'!A696</f>
        <v>GB00BYVGKV59</v>
      </c>
      <c r="B696" t="str">
        <f>VLOOKUP(NoviaFunds[[#This Row],[ISIN]],'Novia Web Query'!$A:$E,2,FALSE)</f>
        <v>Baillie Gifford Positive Change B Acc in GB</v>
      </c>
      <c r="C696" t="str">
        <f>VLOOKUP(NoviaFunds[[#This Row],[ISIN]],'Novia Web Query'!$A:$E,3,FALSE)</f>
        <v>UT Global</v>
      </c>
      <c r="D696" s="139">
        <f>VLOOKUP(NoviaFunds[[#This Row],[ISIN]],'Novia Web Query'!$A:$E,4,FALSE)/100</f>
        <v>5.3E-3</v>
      </c>
      <c r="E696" s="3" t="str">
        <f>VLOOKUP(NoviaFunds[[#This Row],[ISIN]],'Novia Web Query'!$A:$E,5,FALSE)</f>
        <v>31/12/2020</v>
      </c>
      <c r="F696" t="str">
        <f>VLOOKUP(NoviaFunds[[#This Row],[Sector]],Sectors[],2,FALSE)</f>
        <v>Other Equities</v>
      </c>
    </row>
    <row r="697" spans="1:6" x14ac:dyDescent="0.2">
      <c r="A697" t="str">
        <f>'Novia Web Query'!A697</f>
        <v>GB00BYVGKX73</v>
      </c>
      <c r="B697" t="str">
        <f>VLOOKUP(NoviaFunds[[#This Row],[ISIN]],'Novia Web Query'!$A:$E,2,FALSE)</f>
        <v>Baillie Gifford Positive Change B Inc TR in GB</v>
      </c>
      <c r="C697" t="str">
        <f>VLOOKUP(NoviaFunds[[#This Row],[ISIN]],'Novia Web Query'!$A:$E,3,FALSE)</f>
        <v>UT Global</v>
      </c>
      <c r="D697" s="139">
        <f>VLOOKUP(NoviaFunds[[#This Row],[ISIN]],'Novia Web Query'!$A:$E,4,FALSE)/100</f>
        <v>5.3E-3</v>
      </c>
      <c r="E697" s="3" t="str">
        <f>VLOOKUP(NoviaFunds[[#This Row],[ISIN]],'Novia Web Query'!$A:$E,5,FALSE)</f>
        <v>31/12/2020</v>
      </c>
      <c r="F697" t="str">
        <f>VLOOKUP(NoviaFunds[[#This Row],[Sector]],Sectors[],2,FALSE)</f>
        <v>Other Equities</v>
      </c>
    </row>
    <row r="698" spans="1:6" x14ac:dyDescent="0.2">
      <c r="A698" t="str">
        <f>'Novia Web Query'!A698</f>
        <v>GB00BFM4CT76</v>
      </c>
      <c r="B698" t="str">
        <f>VLOOKUP(NoviaFunds[[#This Row],[ISIN]],'Novia Web Query'!$A:$E,2,FALSE)</f>
        <v>Baillie Gifford Responsible Global Equity Income B Acc in GB</v>
      </c>
      <c r="C698" t="str">
        <f>VLOOKUP(NoviaFunds[[#This Row],[ISIN]],'Novia Web Query'!$A:$E,3,FALSE)</f>
        <v>UT Global Equity Income</v>
      </c>
      <c r="D698" s="139">
        <f>VLOOKUP(NoviaFunds[[#This Row],[ISIN]],'Novia Web Query'!$A:$E,4,FALSE)/100</f>
        <v>5.4000000000000003E-3</v>
      </c>
      <c r="E698" s="3" t="str">
        <f>VLOOKUP(NoviaFunds[[#This Row],[ISIN]],'Novia Web Query'!$A:$E,5,FALSE)</f>
        <v>01/10/2020</v>
      </c>
      <c r="F698" t="str">
        <f>VLOOKUP(NoviaFunds[[#This Row],[Sector]],Sectors[],2,FALSE)</f>
        <v>Other Equities</v>
      </c>
    </row>
    <row r="699" spans="1:6" x14ac:dyDescent="0.2">
      <c r="A699" t="str">
        <f>'Novia Web Query'!A699</f>
        <v>GB00BFM4N494</v>
      </c>
      <c r="B699" t="str">
        <f>VLOOKUP(NoviaFunds[[#This Row],[ISIN]],'Novia Web Query'!$A:$E,2,FALSE)</f>
        <v>Baillie Gifford Responsible Global Equity Income B Inc TR in GB</v>
      </c>
      <c r="C699" t="str">
        <f>VLOOKUP(NoviaFunds[[#This Row],[ISIN]],'Novia Web Query'!$A:$E,3,FALSE)</f>
        <v>UT Global Equity Income</v>
      </c>
      <c r="D699" s="139">
        <f>VLOOKUP(NoviaFunds[[#This Row],[ISIN]],'Novia Web Query'!$A:$E,4,FALSE)/100</f>
        <v>5.4000000000000003E-3</v>
      </c>
      <c r="E699" s="3" t="str">
        <f>VLOOKUP(NoviaFunds[[#This Row],[ISIN]],'Novia Web Query'!$A:$E,5,FALSE)</f>
        <v>01/10/2020</v>
      </c>
      <c r="F699" t="str">
        <f>VLOOKUP(NoviaFunds[[#This Row],[Sector]],Sectors[],2,FALSE)</f>
        <v>Other Equities</v>
      </c>
    </row>
    <row r="700" spans="1:6" x14ac:dyDescent="0.2">
      <c r="A700" t="str">
        <f>'Novia Web Query'!A700</f>
        <v>GB0005946776</v>
      </c>
      <c r="B700" t="str">
        <f>VLOOKUP(NoviaFunds[[#This Row],[ISIN]],'Novia Web Query'!$A:$E,2,FALSE)</f>
        <v>Baillie Gifford Strategic Bond A Acc in GB</v>
      </c>
      <c r="C700" t="str">
        <f>VLOOKUP(NoviaFunds[[#This Row],[ISIN]],'Novia Web Query'!$A:$E,3,FALSE)</f>
        <v>UT Sterling Strategic Bond</v>
      </c>
      <c r="D700" s="139">
        <f>VLOOKUP(NoviaFunds[[#This Row],[ISIN]],'Novia Web Query'!$A:$E,4,FALSE)/100</f>
        <v>1.0200000000000001E-2</v>
      </c>
      <c r="E700" s="3" t="str">
        <f>VLOOKUP(NoviaFunds[[#This Row],[ISIN]],'Novia Web Query'!$A:$E,5,FALSE)</f>
        <v>30/09/2020</v>
      </c>
      <c r="F700" t="str">
        <f>VLOOKUP(NoviaFunds[[#This Row],[Sector]],Sectors[],2,FALSE)</f>
        <v>Other Bonds</v>
      </c>
    </row>
    <row r="701" spans="1:6" x14ac:dyDescent="0.2">
      <c r="A701" t="str">
        <f>'Novia Web Query'!A701</f>
        <v>GB0005946669</v>
      </c>
      <c r="B701" t="str">
        <f>VLOOKUP(NoviaFunds[[#This Row],[ISIN]],'Novia Web Query'!$A:$E,2,FALSE)</f>
        <v>Baillie Gifford Strategic Bond A Inc TR in GB</v>
      </c>
      <c r="C701" t="str">
        <f>VLOOKUP(NoviaFunds[[#This Row],[ISIN]],'Novia Web Query'!$A:$E,3,FALSE)</f>
        <v>UT Sterling Strategic Bond</v>
      </c>
      <c r="D701" s="139">
        <f>VLOOKUP(NoviaFunds[[#This Row],[ISIN]],'Novia Web Query'!$A:$E,4,FALSE)/100</f>
        <v>1.0200000000000001E-2</v>
      </c>
      <c r="E701" s="3" t="str">
        <f>VLOOKUP(NoviaFunds[[#This Row],[ISIN]],'Novia Web Query'!$A:$E,5,FALSE)</f>
        <v>30/09/2020</v>
      </c>
      <c r="F701" t="str">
        <f>VLOOKUP(NoviaFunds[[#This Row],[Sector]],Sectors[],2,FALSE)</f>
        <v>Other Bonds</v>
      </c>
    </row>
    <row r="702" spans="1:6" x14ac:dyDescent="0.2">
      <c r="A702" t="str">
        <f>'Novia Web Query'!A702</f>
        <v>GB0005947857</v>
      </c>
      <c r="B702" t="str">
        <f>VLOOKUP(NoviaFunds[[#This Row],[ISIN]],'Novia Web Query'!$A:$E,2,FALSE)</f>
        <v>Baillie Gifford Strategic Bond B Acc TR in GB**</v>
      </c>
      <c r="C702" t="str">
        <f>VLOOKUP(NoviaFunds[[#This Row],[ISIN]],'Novia Web Query'!$A:$E,3,FALSE)</f>
        <v>UT Sterling Strategic Bond</v>
      </c>
      <c r="D702" s="139">
        <f>VLOOKUP(NoviaFunds[[#This Row],[ISIN]],'Novia Web Query'!$A:$E,4,FALSE)/100</f>
        <v>5.1999999999999998E-3</v>
      </c>
      <c r="E702" s="3" t="str">
        <f>VLOOKUP(NoviaFunds[[#This Row],[ISIN]],'Novia Web Query'!$A:$E,5,FALSE)</f>
        <v>30/09/2020</v>
      </c>
      <c r="F702" t="str">
        <f>VLOOKUP(NoviaFunds[[#This Row],[Sector]],Sectors[],2,FALSE)</f>
        <v>Other Bonds</v>
      </c>
    </row>
    <row r="703" spans="1:6" x14ac:dyDescent="0.2">
      <c r="A703" t="str">
        <f>'Novia Web Query'!A703</f>
        <v>GB0005947741</v>
      </c>
      <c r="B703" t="str">
        <f>VLOOKUP(NoviaFunds[[#This Row],[ISIN]],'Novia Web Query'!$A:$E,2,FALSE)</f>
        <v>Baillie Gifford Strategic Bond B Inc TR in GB</v>
      </c>
      <c r="C703" t="str">
        <f>VLOOKUP(NoviaFunds[[#This Row],[ISIN]],'Novia Web Query'!$A:$E,3,FALSE)</f>
        <v>UT Sterling Strategic Bond</v>
      </c>
      <c r="D703" s="139">
        <f>VLOOKUP(NoviaFunds[[#This Row],[ISIN]],'Novia Web Query'!$A:$E,4,FALSE)/100</f>
        <v>5.1999999999999998E-3</v>
      </c>
      <c r="E703" s="3" t="str">
        <f>VLOOKUP(NoviaFunds[[#This Row],[ISIN]],'Novia Web Query'!$A:$E,5,FALSE)</f>
        <v>30/09/2020</v>
      </c>
      <c r="F703" t="str">
        <f>VLOOKUP(NoviaFunds[[#This Row],[Sector]],Sectors[],2,FALSE)</f>
        <v>Other Bonds</v>
      </c>
    </row>
    <row r="704" spans="1:6" x14ac:dyDescent="0.2">
      <c r="A704" t="str">
        <f>'Novia Web Query'!A704</f>
        <v>GB0005857783</v>
      </c>
      <c r="B704" t="str">
        <f>VLOOKUP(NoviaFunds[[#This Row],[ISIN]],'Novia Web Query'!$A:$E,2,FALSE)</f>
        <v>Baillie Gifford UK Equity Alpha A Acc in GB</v>
      </c>
      <c r="C704" t="str">
        <f>VLOOKUP(NoviaFunds[[#This Row],[ISIN]],'Novia Web Query'!$A:$E,3,FALSE)</f>
        <v>UT UK All Companies</v>
      </c>
      <c r="D704" s="139">
        <f>VLOOKUP(NoviaFunds[[#This Row],[ISIN]],'Novia Web Query'!$A:$E,4,FALSE)/100</f>
        <v>1.4199999999999999E-2</v>
      </c>
      <c r="E704" s="3" t="str">
        <f>VLOOKUP(NoviaFunds[[#This Row],[ISIN]],'Novia Web Query'!$A:$E,5,FALSE)</f>
        <v>31/07/2020</v>
      </c>
      <c r="F704" t="str">
        <f>VLOOKUP(NoviaFunds[[#This Row],[Sector]],Sectors[],2,FALSE)</f>
        <v>UK Equities</v>
      </c>
    </row>
    <row r="705" spans="1:6" x14ac:dyDescent="0.2">
      <c r="A705" t="str">
        <f>'Novia Web Query'!A705</f>
        <v>GB0005857569</v>
      </c>
      <c r="B705" t="str">
        <f>VLOOKUP(NoviaFunds[[#This Row],[ISIN]],'Novia Web Query'!$A:$E,2,FALSE)</f>
        <v>Baillie Gifford UK Equity Alpha A Inc TR in GB</v>
      </c>
      <c r="C705" t="str">
        <f>VLOOKUP(NoviaFunds[[#This Row],[ISIN]],'Novia Web Query'!$A:$E,3,FALSE)</f>
        <v>UT UK All Companies</v>
      </c>
      <c r="D705" s="139">
        <f>VLOOKUP(NoviaFunds[[#This Row],[ISIN]],'Novia Web Query'!$A:$E,4,FALSE)/100</f>
        <v>1.41E-2</v>
      </c>
      <c r="E705" s="3" t="str">
        <f>VLOOKUP(NoviaFunds[[#This Row],[ISIN]],'Novia Web Query'!$A:$E,5,FALSE)</f>
        <v>31/07/2020</v>
      </c>
      <c r="F705" t="str">
        <f>VLOOKUP(NoviaFunds[[#This Row],[Sector]],Sectors[],2,FALSE)</f>
        <v>UK Equities</v>
      </c>
    </row>
    <row r="706" spans="1:6" x14ac:dyDescent="0.2">
      <c r="A706" t="str">
        <f>'Novia Web Query'!A706</f>
        <v>GB0005858195</v>
      </c>
      <c r="B706" t="str">
        <f>VLOOKUP(NoviaFunds[[#This Row],[ISIN]],'Novia Web Query'!$A:$E,2,FALSE)</f>
        <v>Baillie Gifford UK Equity Alpha B Acc in GB</v>
      </c>
      <c r="C706" t="str">
        <f>VLOOKUP(NoviaFunds[[#This Row],[ISIN]],'Novia Web Query'!$A:$E,3,FALSE)</f>
        <v>UT UK All Companies</v>
      </c>
      <c r="D706" s="139">
        <f>VLOOKUP(NoviaFunds[[#This Row],[ISIN]],'Novia Web Query'!$A:$E,4,FALSE)/100</f>
        <v>5.6000000000000008E-3</v>
      </c>
      <c r="E706" s="3" t="str">
        <f>VLOOKUP(NoviaFunds[[#This Row],[ISIN]],'Novia Web Query'!$A:$E,5,FALSE)</f>
        <v>31/07/2020</v>
      </c>
      <c r="F706" t="str">
        <f>VLOOKUP(NoviaFunds[[#This Row],[Sector]],Sectors[],2,FALSE)</f>
        <v>UK Equities</v>
      </c>
    </row>
    <row r="707" spans="1:6" x14ac:dyDescent="0.2">
      <c r="A707" t="str">
        <f>'Novia Web Query'!A707</f>
        <v>GB0005857908</v>
      </c>
      <c r="B707" t="str">
        <f>VLOOKUP(NoviaFunds[[#This Row],[ISIN]],'Novia Web Query'!$A:$E,2,FALSE)</f>
        <v>Baillie Gifford UK Equity Alpha B Inc TR in GB</v>
      </c>
      <c r="C707" t="str">
        <f>VLOOKUP(NoviaFunds[[#This Row],[ISIN]],'Novia Web Query'!$A:$E,3,FALSE)</f>
        <v>UT UK All Companies</v>
      </c>
      <c r="D707" s="139">
        <f>VLOOKUP(NoviaFunds[[#This Row],[ISIN]],'Novia Web Query'!$A:$E,4,FALSE)/100</f>
        <v>5.6000000000000008E-3</v>
      </c>
      <c r="E707" s="3" t="str">
        <f>VLOOKUP(NoviaFunds[[#This Row],[ISIN]],'Novia Web Query'!$A:$E,5,FALSE)</f>
        <v>31/07/2020</v>
      </c>
      <c r="F707" t="str">
        <f>VLOOKUP(NoviaFunds[[#This Row],[Sector]],Sectors[],2,FALSE)</f>
        <v>UK Equities</v>
      </c>
    </row>
    <row r="708" spans="1:6" x14ac:dyDescent="0.2">
      <c r="A708" t="str">
        <f>'Novia Web Query'!A708</f>
        <v>GB0000799923</v>
      </c>
      <c r="B708" t="str">
        <f>VLOOKUP(NoviaFunds[[#This Row],[ISIN]],'Novia Web Query'!$A:$E,2,FALSE)</f>
        <v>Barings Eastern Trust A Acc GBP in GB</v>
      </c>
      <c r="C708" t="str">
        <f>VLOOKUP(NoviaFunds[[#This Row],[ISIN]],'Novia Web Query'!$A:$E,3,FALSE)</f>
        <v>UT Asia Pacific Excluding Japan</v>
      </c>
      <c r="D708" s="139">
        <f>VLOOKUP(NoviaFunds[[#This Row],[ISIN]],'Novia Web Query'!$A:$E,4,FALSE)/100</f>
        <v>1.66E-2</v>
      </c>
      <c r="E708" s="3" t="str">
        <f>VLOOKUP(NoviaFunds[[#This Row],[ISIN]],'Novia Web Query'!$A:$E,5,FALSE)</f>
        <v>31/08/2019</v>
      </c>
      <c r="F708" t="str">
        <f>VLOOKUP(NoviaFunds[[#This Row],[Sector]],Sectors[],2,FALSE)</f>
        <v>Asia Pacific</v>
      </c>
    </row>
    <row r="709" spans="1:6" x14ac:dyDescent="0.2">
      <c r="A709" t="str">
        <f>'Novia Web Query'!A709</f>
        <v>GB00B2PSLG53</v>
      </c>
      <c r="B709" t="str">
        <f>VLOOKUP(NoviaFunds[[#This Row],[ISIN]],'Novia Web Query'!$A:$E,2,FALSE)</f>
        <v>Barings Eastern Trust A Inc GBP TR in GB</v>
      </c>
      <c r="C709" t="str">
        <f>VLOOKUP(NoviaFunds[[#This Row],[ISIN]],'Novia Web Query'!$A:$E,3,FALSE)</f>
        <v>UT Asia Pacific Excluding Japan</v>
      </c>
      <c r="D709" s="139">
        <f>VLOOKUP(NoviaFunds[[#This Row],[ISIN]],'Novia Web Query'!$A:$E,4,FALSE)/100</f>
        <v>1.66E-2</v>
      </c>
      <c r="E709" s="3" t="str">
        <f>VLOOKUP(NoviaFunds[[#This Row],[ISIN]],'Novia Web Query'!$A:$E,5,FALSE)</f>
        <v>31/08/2019</v>
      </c>
      <c r="F709" t="str">
        <f>VLOOKUP(NoviaFunds[[#This Row],[Sector]],Sectors[],2,FALSE)</f>
        <v>Asia Pacific</v>
      </c>
    </row>
    <row r="710" spans="1:6" x14ac:dyDescent="0.2">
      <c r="A710" t="str">
        <f>'Novia Web Query'!A710</f>
        <v>GB00B8N7P312</v>
      </c>
      <c r="B710" t="str">
        <f>VLOOKUP(NoviaFunds[[#This Row],[ISIN]],'Novia Web Query'!$A:$E,2,FALSE)</f>
        <v>Barings Eastern Trust D Inc GBP TR in GB**</v>
      </c>
      <c r="C710" t="str">
        <f>VLOOKUP(NoviaFunds[[#This Row],[ISIN]],'Novia Web Query'!$A:$E,3,FALSE)</f>
        <v>UT Asia Pacific Excluding Japan</v>
      </c>
      <c r="D710" s="139">
        <f>VLOOKUP(NoviaFunds[[#This Row],[ISIN]],'Novia Web Query'!$A:$E,4,FALSE)/100</f>
        <v>7.6E-3</v>
      </c>
      <c r="E710" s="3" t="str">
        <f>VLOOKUP(NoviaFunds[[#This Row],[ISIN]],'Novia Web Query'!$A:$E,5,FALSE)</f>
        <v>09/10/2019</v>
      </c>
      <c r="F710" t="str">
        <f>VLOOKUP(NoviaFunds[[#This Row],[Sector]],Sectors[],2,FALSE)</f>
        <v>Asia Pacific</v>
      </c>
    </row>
    <row r="711" spans="1:6" x14ac:dyDescent="0.2">
      <c r="A711" t="str">
        <f>'Novia Web Query'!A711</f>
        <v>GB00B9M3QP66</v>
      </c>
      <c r="B711" t="str">
        <f>VLOOKUP(NoviaFunds[[#This Row],[ISIN]],'Novia Web Query'!$A:$E,2,FALSE)</f>
        <v>Barings Eastern Trust I Acc GBP TR in GB**</v>
      </c>
      <c r="C711" t="str">
        <f>VLOOKUP(NoviaFunds[[#This Row],[ISIN]],'Novia Web Query'!$A:$E,3,FALSE)</f>
        <v>UT Asia Pacific Excluding Japan</v>
      </c>
      <c r="D711" s="139">
        <f>VLOOKUP(NoviaFunds[[#This Row],[ISIN]],'Novia Web Query'!$A:$E,4,FALSE)/100</f>
        <v>9.1999999999999998E-3</v>
      </c>
      <c r="E711" s="3" t="str">
        <f>VLOOKUP(NoviaFunds[[#This Row],[ISIN]],'Novia Web Query'!$A:$E,5,FALSE)</f>
        <v>30/08/2021</v>
      </c>
      <c r="F711" t="str">
        <f>VLOOKUP(NoviaFunds[[#This Row],[Sector]],Sectors[],2,FALSE)</f>
        <v>Asia Pacific</v>
      </c>
    </row>
    <row r="712" spans="1:6" x14ac:dyDescent="0.2">
      <c r="A712" t="str">
        <f>'Novia Web Query'!A712</f>
        <v>GB00B85JKH42</v>
      </c>
      <c r="B712" t="str">
        <f>VLOOKUP(NoviaFunds[[#This Row],[ISIN]],'Novia Web Query'!$A:$E,2,FALSE)</f>
        <v>Barings Eastern Trust I Inc GBP TR in GB</v>
      </c>
      <c r="C712" t="str">
        <f>VLOOKUP(NoviaFunds[[#This Row],[ISIN]],'Novia Web Query'!$A:$E,3,FALSE)</f>
        <v>UT Asia Pacific Excluding Japan</v>
      </c>
      <c r="D712" s="139">
        <f>VLOOKUP(NoviaFunds[[#This Row],[ISIN]],'Novia Web Query'!$A:$E,4,FALSE)/100</f>
        <v>9.1000000000000004E-3</v>
      </c>
      <c r="E712" s="3" t="str">
        <f>VLOOKUP(NoviaFunds[[#This Row],[ISIN]],'Novia Web Query'!$A:$E,5,FALSE)</f>
        <v>09/10/2019</v>
      </c>
      <c r="F712" t="str">
        <f>VLOOKUP(NoviaFunds[[#This Row],[Sector]],Sectors[],2,FALSE)</f>
        <v>Asia Pacific</v>
      </c>
    </row>
    <row r="713" spans="1:6" x14ac:dyDescent="0.2">
      <c r="A713" t="str">
        <f>'Novia Web Query'!A713</f>
        <v>GB0000796242</v>
      </c>
      <c r="B713" t="str">
        <f>VLOOKUP(NoviaFunds[[#This Row],[ISIN]],'Novia Web Query'!$A:$E,2,FALSE)</f>
        <v>Barings Europe Select Trust A Inc GBP TR in GB</v>
      </c>
      <c r="C713" t="str">
        <f>VLOOKUP(NoviaFunds[[#This Row],[ISIN]],'Novia Web Query'!$A:$E,3,FALSE)</f>
        <v>UT European Smaller Companies</v>
      </c>
      <c r="D713" s="139">
        <f>VLOOKUP(NoviaFunds[[#This Row],[ISIN]],'Novia Web Query'!$A:$E,4,FALSE)/100</f>
        <v>1.55E-2</v>
      </c>
      <c r="E713" s="3" t="str">
        <f>VLOOKUP(NoviaFunds[[#This Row],[ISIN]],'Novia Web Query'!$A:$E,5,FALSE)</f>
        <v>31/08/2019</v>
      </c>
      <c r="F713" t="str">
        <f>VLOOKUP(NoviaFunds[[#This Row],[Sector]],Sectors[],2,FALSE)</f>
        <v>European Equities</v>
      </c>
    </row>
    <row r="714" spans="1:6" x14ac:dyDescent="0.2">
      <c r="A714" t="str">
        <f>'Novia Web Query'!A714</f>
        <v>GB00B7NB1W76</v>
      </c>
      <c r="B714" t="str">
        <f>VLOOKUP(NoviaFunds[[#This Row],[ISIN]],'Novia Web Query'!$A:$E,2,FALSE)</f>
        <v>Barings Europe Select Trust I Inc GBP TR in GB</v>
      </c>
      <c r="C714" t="str">
        <f>VLOOKUP(NoviaFunds[[#This Row],[ISIN]],'Novia Web Query'!$A:$E,3,FALSE)</f>
        <v>UT European Smaller Companies</v>
      </c>
      <c r="D714" s="139">
        <f>VLOOKUP(NoviaFunds[[#This Row],[ISIN]],'Novia Web Query'!$A:$E,4,FALSE)/100</f>
        <v>8.0000000000000002E-3</v>
      </c>
      <c r="E714" s="3" t="str">
        <f>VLOOKUP(NoviaFunds[[#This Row],[ISIN]],'Novia Web Query'!$A:$E,5,FALSE)</f>
        <v>30/08/2021</v>
      </c>
      <c r="F714" t="str">
        <f>VLOOKUP(NoviaFunds[[#This Row],[Sector]],Sectors[],2,FALSE)</f>
        <v>European Equities</v>
      </c>
    </row>
    <row r="715" spans="1:6" x14ac:dyDescent="0.2">
      <c r="A715" t="str">
        <f>'Novia Web Query'!A715</f>
        <v>GB0000804335</v>
      </c>
      <c r="B715" t="str">
        <f>VLOOKUP(NoviaFunds[[#This Row],[ISIN]],'Novia Web Query'!$A:$E,2,FALSE)</f>
        <v>Barings European Growth Trust A Inc GBP TR in GB</v>
      </c>
      <c r="C715" t="str">
        <f>VLOOKUP(NoviaFunds[[#This Row],[ISIN]],'Novia Web Query'!$A:$E,3,FALSE)</f>
        <v>UT Europe Excluding UK</v>
      </c>
      <c r="D715" s="139">
        <f>VLOOKUP(NoviaFunds[[#This Row],[ISIN]],'Novia Web Query'!$A:$E,4,FALSE)/100</f>
        <v>1.5900000000000001E-2</v>
      </c>
      <c r="E715" s="3" t="str">
        <f>VLOOKUP(NoviaFunds[[#This Row],[ISIN]],'Novia Web Query'!$A:$E,5,FALSE)</f>
        <v>09/10/2019</v>
      </c>
      <c r="F715" t="str">
        <f>VLOOKUP(NoviaFunds[[#This Row],[Sector]],Sectors[],2,FALSE)</f>
        <v>European Equities</v>
      </c>
    </row>
    <row r="716" spans="1:6" x14ac:dyDescent="0.2">
      <c r="A716" t="str">
        <f>'Novia Web Query'!A716</f>
        <v>GB00B8DDXV30</v>
      </c>
      <c r="B716" t="str">
        <f>VLOOKUP(NoviaFunds[[#This Row],[ISIN]],'Novia Web Query'!$A:$E,2,FALSE)</f>
        <v>Barings European Growth Trust I Inc GBP TR in GB**</v>
      </c>
      <c r="C716" t="str">
        <f>VLOOKUP(NoviaFunds[[#This Row],[ISIN]],'Novia Web Query'!$A:$E,3,FALSE)</f>
        <v>UT Europe Excluding UK</v>
      </c>
      <c r="D716" s="139">
        <f>VLOOKUP(NoviaFunds[[#This Row],[ISIN]],'Novia Web Query'!$A:$E,4,FALSE)/100</f>
        <v>8.8999999999999999E-3</v>
      </c>
      <c r="E716" s="3" t="str">
        <f>VLOOKUP(NoviaFunds[[#This Row],[ISIN]],'Novia Web Query'!$A:$E,5,FALSE)</f>
        <v>30/08/2021</v>
      </c>
      <c r="F716" t="str">
        <f>VLOOKUP(NoviaFunds[[#This Row],[Sector]],Sectors[],2,FALSE)</f>
        <v>European Equities</v>
      </c>
    </row>
    <row r="717" spans="1:6" x14ac:dyDescent="0.2">
      <c r="A717" t="str">
        <f>'Novia Web Query'!A717</f>
        <v>GB0000822576</v>
      </c>
      <c r="B717" t="str">
        <f>VLOOKUP(NoviaFunds[[#This Row],[ISIN]],'Novia Web Query'!$A:$E,2,FALSE)</f>
        <v>Barings German Growth Trust A Acc GBP in GB</v>
      </c>
      <c r="C717" t="str">
        <f>VLOOKUP(NoviaFunds[[#This Row],[ISIN]],'Novia Web Query'!$A:$E,3,FALSE)</f>
        <v>UT Specialist</v>
      </c>
      <c r="D717" s="139">
        <f>VLOOKUP(NoviaFunds[[#This Row],[ISIN]],'Novia Web Query'!$A:$E,4,FALSE)/100</f>
        <v>1.5600000000000001E-2</v>
      </c>
      <c r="E717" s="3" t="str">
        <f>VLOOKUP(NoviaFunds[[#This Row],[ISIN]],'Novia Web Query'!$A:$E,5,FALSE)</f>
        <v>31/08/2019</v>
      </c>
      <c r="F717" t="str">
        <f>VLOOKUP(NoviaFunds[[#This Row],[Sector]],Sectors[],2,FALSE)</f>
        <v>Specialist</v>
      </c>
    </row>
    <row r="718" spans="1:6" x14ac:dyDescent="0.2">
      <c r="A718" t="str">
        <f>'Novia Web Query'!A718</f>
        <v>GB00B2PSLJ84</v>
      </c>
      <c r="B718" t="str">
        <f>VLOOKUP(NoviaFunds[[#This Row],[ISIN]],'Novia Web Query'!$A:$E,2,FALSE)</f>
        <v>Barings German Growth Trust A Inc GBP TR in GB</v>
      </c>
      <c r="C718" t="str">
        <f>VLOOKUP(NoviaFunds[[#This Row],[ISIN]],'Novia Web Query'!$A:$E,3,FALSE)</f>
        <v>UT Specialist</v>
      </c>
      <c r="D718" s="139">
        <f>VLOOKUP(NoviaFunds[[#This Row],[ISIN]],'Novia Web Query'!$A:$E,4,FALSE)/100</f>
        <v>1.5600000000000001E-2</v>
      </c>
      <c r="E718" s="3" t="str">
        <f>VLOOKUP(NoviaFunds[[#This Row],[ISIN]],'Novia Web Query'!$A:$E,5,FALSE)</f>
        <v>31/08/2019</v>
      </c>
      <c r="F718" t="str">
        <f>VLOOKUP(NoviaFunds[[#This Row],[Sector]],Sectors[],2,FALSE)</f>
        <v>Specialist</v>
      </c>
    </row>
    <row r="719" spans="1:6" x14ac:dyDescent="0.2">
      <c r="A719" t="str">
        <f>'Novia Web Query'!A719</f>
        <v>GB00B9M3QX41</v>
      </c>
      <c r="B719" t="str">
        <f>VLOOKUP(NoviaFunds[[#This Row],[ISIN]],'Novia Web Query'!$A:$E,2,FALSE)</f>
        <v>Barings German Growth Trust I Acc GBP in GB</v>
      </c>
      <c r="C719" t="str">
        <f>VLOOKUP(NoviaFunds[[#This Row],[ISIN]],'Novia Web Query'!$A:$E,3,FALSE)</f>
        <v>UT Specialist</v>
      </c>
      <c r="D719" s="139">
        <f>VLOOKUP(NoviaFunds[[#This Row],[ISIN]],'Novia Web Query'!$A:$E,4,FALSE)/100</f>
        <v>8.3000000000000001E-3</v>
      </c>
      <c r="E719" s="3" t="str">
        <f>VLOOKUP(NoviaFunds[[#This Row],[ISIN]],'Novia Web Query'!$A:$E,5,FALSE)</f>
        <v>30/08/2021</v>
      </c>
      <c r="F719" t="str">
        <f>VLOOKUP(NoviaFunds[[#This Row],[Sector]],Sectors[],2,FALSE)</f>
        <v>Specialist</v>
      </c>
    </row>
    <row r="720" spans="1:6" x14ac:dyDescent="0.2">
      <c r="A720" t="str">
        <f>'Novia Web Query'!A720</f>
        <v>GB00BX8ZV605</v>
      </c>
      <c r="B720" t="str">
        <f>VLOOKUP(NoviaFunds[[#This Row],[ISIN]],'Novia Web Query'!$A:$E,2,FALSE)</f>
        <v>Barings German Growth Trust I Hedged Acc GBP in GB</v>
      </c>
      <c r="C720" t="str">
        <f>VLOOKUP(NoviaFunds[[#This Row],[ISIN]],'Novia Web Query'!$A:$E,3,FALSE)</f>
        <v>UT Specialist</v>
      </c>
      <c r="D720" s="139">
        <f>VLOOKUP(NoviaFunds[[#This Row],[ISIN]],'Novia Web Query'!$A:$E,4,FALSE)/100</f>
        <v>8.1000000000000013E-3</v>
      </c>
      <c r="E720" s="3" t="str">
        <f>VLOOKUP(NoviaFunds[[#This Row],[ISIN]],'Novia Web Query'!$A:$E,5,FALSE)</f>
        <v>31/08/2019</v>
      </c>
      <c r="F720" t="str">
        <f>VLOOKUP(NoviaFunds[[#This Row],[Sector]],Sectors[],2,FALSE)</f>
        <v>Specialist</v>
      </c>
    </row>
    <row r="721" spans="1:6" x14ac:dyDescent="0.2">
      <c r="A721" t="str">
        <f>'Novia Web Query'!A721</f>
        <v>GB00B8DDY871</v>
      </c>
      <c r="B721" t="str">
        <f>VLOOKUP(NoviaFunds[[#This Row],[ISIN]],'Novia Web Query'!$A:$E,2,FALSE)</f>
        <v>Barings German Growth Trust I Inc GBP TR in GB**</v>
      </c>
      <c r="C721" t="str">
        <f>VLOOKUP(NoviaFunds[[#This Row],[ISIN]],'Novia Web Query'!$A:$E,3,FALSE)</f>
        <v>UT Specialist</v>
      </c>
      <c r="D721" s="139">
        <f>VLOOKUP(NoviaFunds[[#This Row],[ISIN]],'Novia Web Query'!$A:$E,4,FALSE)/100</f>
        <v>8.1000000000000013E-3</v>
      </c>
      <c r="E721" s="3" t="str">
        <f>VLOOKUP(NoviaFunds[[#This Row],[ISIN]],'Novia Web Query'!$A:$E,5,FALSE)</f>
        <v>31/08/2019</v>
      </c>
      <c r="F721" t="str">
        <f>VLOOKUP(NoviaFunds[[#This Row],[Sector]],Sectors[],2,FALSE)</f>
        <v>Specialist</v>
      </c>
    </row>
    <row r="722" spans="1:6" x14ac:dyDescent="0.2">
      <c r="A722" t="str">
        <f>'Novia Web Query'!A722</f>
        <v>GB00B3B9V927</v>
      </c>
      <c r="B722" t="str">
        <f>VLOOKUP(NoviaFunds[[#This Row],[ISIN]],'Novia Web Query'!$A:$E,2,FALSE)</f>
        <v>Barings Global Agriculture A Acc GBP in GB</v>
      </c>
      <c r="C722" t="str">
        <f>VLOOKUP(NoviaFunds[[#This Row],[ISIN]],'Novia Web Query'!$A:$E,3,FALSE)</f>
        <v>UT Commodity/Natural Resources</v>
      </c>
      <c r="D722" s="139">
        <f>VLOOKUP(NoviaFunds[[#This Row],[ISIN]],'Novia Web Query'!$A:$E,4,FALSE)/100</f>
        <v>1.9699999999999999E-2</v>
      </c>
      <c r="E722" s="3" t="str">
        <f>VLOOKUP(NoviaFunds[[#This Row],[ISIN]],'Novia Web Query'!$A:$E,5,FALSE)</f>
        <v>31/08/2019</v>
      </c>
      <c r="F722" t="e">
        <f>VLOOKUP(NoviaFunds[[#This Row],[Sector]],Sectors[],2,FALSE)</f>
        <v>#N/A</v>
      </c>
    </row>
    <row r="723" spans="1:6" x14ac:dyDescent="0.2">
      <c r="A723" t="str">
        <f>'Novia Web Query'!A723</f>
        <v>GB00B3B9VD63</v>
      </c>
      <c r="B723" t="str">
        <f>VLOOKUP(NoviaFunds[[#This Row],[ISIN]],'Novia Web Query'!$A:$E,2,FALSE)</f>
        <v>Barings Global Agriculture I Acc GBP in GB**</v>
      </c>
      <c r="C723" t="str">
        <f>VLOOKUP(NoviaFunds[[#This Row],[ISIN]],'Novia Web Query'!$A:$E,3,FALSE)</f>
        <v>UT Commodity/Natural Resources</v>
      </c>
      <c r="D723" s="139">
        <f>VLOOKUP(NoviaFunds[[#This Row],[ISIN]],'Novia Web Query'!$A:$E,4,FALSE)/100</f>
        <v>1.47E-2</v>
      </c>
      <c r="E723" s="3" t="str">
        <f>VLOOKUP(NoviaFunds[[#This Row],[ISIN]],'Novia Web Query'!$A:$E,5,FALSE)</f>
        <v>14/04/2021</v>
      </c>
      <c r="F723" t="e">
        <f>VLOOKUP(NoviaFunds[[#This Row],[Sector]],Sectors[],2,FALSE)</f>
        <v>#N/A</v>
      </c>
    </row>
    <row r="724" spans="1:6" x14ac:dyDescent="0.2">
      <c r="A724" t="str">
        <f>'Novia Web Query'!A724</f>
        <v>GB0000840719</v>
      </c>
      <c r="B724" t="str">
        <f>VLOOKUP(NoviaFunds[[#This Row],[ISIN]],'Novia Web Query'!$A:$E,2,FALSE)</f>
        <v>Barings Korea Trust A Acc GBP in GB</v>
      </c>
      <c r="C724" t="str">
        <f>VLOOKUP(NoviaFunds[[#This Row],[ISIN]],'Novia Web Query'!$A:$E,3,FALSE)</f>
        <v>UT Specialist</v>
      </c>
      <c r="D724" s="139">
        <f>VLOOKUP(NoviaFunds[[#This Row],[ISIN]],'Novia Web Query'!$A:$E,4,FALSE)/100</f>
        <v>1.6899999999999998E-2</v>
      </c>
      <c r="E724" s="3" t="str">
        <f>VLOOKUP(NoviaFunds[[#This Row],[ISIN]],'Novia Web Query'!$A:$E,5,FALSE)</f>
        <v>16/08/2021</v>
      </c>
      <c r="F724" t="str">
        <f>VLOOKUP(NoviaFunds[[#This Row],[Sector]],Sectors[],2,FALSE)</f>
        <v>Specialist</v>
      </c>
    </row>
    <row r="725" spans="1:6" x14ac:dyDescent="0.2">
      <c r="A725" t="str">
        <f>'Novia Web Query'!A725</f>
        <v>GB00B9M3RQ49</v>
      </c>
      <c r="B725" t="str">
        <f>VLOOKUP(NoviaFunds[[#This Row],[ISIN]],'Novia Web Query'!$A:$E,2,FALSE)</f>
        <v>Barings Korea Trust I Acc GBP in GB</v>
      </c>
      <c r="C725" t="str">
        <f>VLOOKUP(NoviaFunds[[#This Row],[ISIN]],'Novia Web Query'!$A:$E,3,FALSE)</f>
        <v>UT Specialist</v>
      </c>
      <c r="D725" s="139">
        <f>VLOOKUP(NoviaFunds[[#This Row],[ISIN]],'Novia Web Query'!$A:$E,4,FALSE)/100</f>
        <v>9.3999999999999986E-3</v>
      </c>
      <c r="E725" s="3" t="str">
        <f>VLOOKUP(NoviaFunds[[#This Row],[ISIN]],'Novia Web Query'!$A:$E,5,FALSE)</f>
        <v>16/08/2021</v>
      </c>
      <c r="F725" t="str">
        <f>VLOOKUP(NoviaFunds[[#This Row],[Sector]],Sectors[],2,FALSE)</f>
        <v>Specialist</v>
      </c>
    </row>
    <row r="726" spans="1:6" x14ac:dyDescent="0.2">
      <c r="A726" t="str">
        <f>'Novia Web Query'!A726</f>
        <v>GB00B8DD3Y69</v>
      </c>
      <c r="B726" t="str">
        <f>VLOOKUP(NoviaFunds[[#This Row],[ISIN]],'Novia Web Query'!$A:$E,2,FALSE)</f>
        <v>Barings Korea Trust I Inc GBP TR in GB**</v>
      </c>
      <c r="C726" t="str">
        <f>VLOOKUP(NoviaFunds[[#This Row],[ISIN]],'Novia Web Query'!$A:$E,3,FALSE)</f>
        <v>UT Specialist</v>
      </c>
      <c r="D726" s="139">
        <f>VLOOKUP(NoviaFunds[[#This Row],[ISIN]],'Novia Web Query'!$A:$E,4,FALSE)/100</f>
        <v>9.3999999999999986E-3</v>
      </c>
      <c r="E726" s="3" t="str">
        <f>VLOOKUP(NoviaFunds[[#This Row],[ISIN]],'Novia Web Query'!$A:$E,5,FALSE)</f>
        <v>31/10/2019</v>
      </c>
      <c r="F726" t="str">
        <f>VLOOKUP(NoviaFunds[[#This Row],[Sector]],Sectors[],2,FALSE)</f>
        <v>Specialist</v>
      </c>
    </row>
    <row r="727" spans="1:6" x14ac:dyDescent="0.2">
      <c r="A727" t="str">
        <f>'Novia Web Query'!A727</f>
        <v>GB0000831759</v>
      </c>
      <c r="B727" t="str">
        <f>VLOOKUP(NoviaFunds[[#This Row],[ISIN]],'Novia Web Query'!$A:$E,2,FALSE)</f>
        <v>Barings Strategic Bond A Inc GBP TR in GB</v>
      </c>
      <c r="C727" t="str">
        <f>VLOOKUP(NoviaFunds[[#This Row],[ISIN]],'Novia Web Query'!$A:$E,3,FALSE)</f>
        <v>UT Global Bonds</v>
      </c>
      <c r="D727" s="139">
        <f>VLOOKUP(NoviaFunds[[#This Row],[ISIN]],'Novia Web Query'!$A:$E,4,FALSE)/100</f>
        <v>1.47E-2</v>
      </c>
      <c r="E727" s="3" t="str">
        <f>VLOOKUP(NoviaFunds[[#This Row],[ISIN]],'Novia Web Query'!$A:$E,5,FALSE)</f>
        <v>16/08/2021</v>
      </c>
      <c r="F727" t="str">
        <f>VLOOKUP(NoviaFunds[[#This Row],[Sector]],Sectors[],2,FALSE)</f>
        <v>Global Investment Grade</v>
      </c>
    </row>
    <row r="728" spans="1:6" x14ac:dyDescent="0.2">
      <c r="A728" t="str">
        <f>'Novia Web Query'!A728</f>
        <v>GB00B8DF1J32</v>
      </c>
      <c r="B728" t="str">
        <f>VLOOKUP(NoviaFunds[[#This Row],[ISIN]],'Novia Web Query'!$A:$E,2,FALSE)</f>
        <v>Barings Strategic Bond I Inc GBP TR in GB**</v>
      </c>
      <c r="C728" t="str">
        <f>VLOOKUP(NoviaFunds[[#This Row],[ISIN]],'Novia Web Query'!$A:$E,3,FALSE)</f>
        <v>UT Global Bonds</v>
      </c>
      <c r="D728" s="139">
        <f>VLOOKUP(NoviaFunds[[#This Row],[ISIN]],'Novia Web Query'!$A:$E,4,FALSE)/100</f>
        <v>8.6999999999999994E-3</v>
      </c>
      <c r="E728" s="3" t="str">
        <f>VLOOKUP(NoviaFunds[[#This Row],[ISIN]],'Novia Web Query'!$A:$E,5,FALSE)</f>
        <v>16/08/2021</v>
      </c>
      <c r="F728" t="str">
        <f>VLOOKUP(NoviaFunds[[#This Row],[Sector]],Sectors[],2,FALSE)</f>
        <v>Global Investment Grade</v>
      </c>
    </row>
    <row r="729" spans="1:6" x14ac:dyDescent="0.2">
      <c r="A729" t="str">
        <f>'Novia Web Query'!A729</f>
        <v>GB00B618DS31</v>
      </c>
      <c r="B729" t="str">
        <f>VLOOKUP(NoviaFunds[[#This Row],[ISIN]],'Novia Web Query'!$A:$E,2,FALSE)</f>
        <v>BlackRock Absolute Return Bond D in GB</v>
      </c>
      <c r="C729" t="str">
        <f>VLOOKUP(NoviaFunds[[#This Row],[ISIN]],'Novia Web Query'!$A:$E,3,FALSE)</f>
        <v>UT Targeted Absolute Return</v>
      </c>
      <c r="D729" s="139">
        <f>VLOOKUP(NoviaFunds[[#This Row],[ISIN]],'Novia Web Query'!$A:$E,4,FALSE)/100</f>
        <v>5.7999999999999996E-3</v>
      </c>
      <c r="E729" s="3" t="str">
        <f>VLOOKUP(NoviaFunds[[#This Row],[ISIN]],'Novia Web Query'!$A:$E,5,FALSE)</f>
        <v>17/02/2021</v>
      </c>
      <c r="F729" t="str">
        <f>VLOOKUP(NoviaFunds[[#This Row],[Sector]],Sectors[],2,FALSE)</f>
        <v>Absolute Return</v>
      </c>
    </row>
    <row r="730" spans="1:6" x14ac:dyDescent="0.2">
      <c r="A730" t="str">
        <f>'Novia Web Query'!A730</f>
        <v>GB00B7VS8S56</v>
      </c>
      <c r="B730" t="str">
        <f>VLOOKUP(NoviaFunds[[#This Row],[ISIN]],'Novia Web Query'!$A:$E,2,FALSE)</f>
        <v>BlackRock Asia D Acc in GB</v>
      </c>
      <c r="C730" t="str">
        <f>VLOOKUP(NoviaFunds[[#This Row],[ISIN]],'Novia Web Query'!$A:$E,3,FALSE)</f>
        <v>UT Asia Pacific Excluding Japan</v>
      </c>
      <c r="D730" s="139">
        <f>VLOOKUP(NoviaFunds[[#This Row],[ISIN]],'Novia Web Query'!$A:$E,4,FALSE)/100</f>
        <v>9.7999999999999997E-3</v>
      </c>
      <c r="E730" s="3" t="str">
        <f>VLOOKUP(NoviaFunds[[#This Row],[ISIN]],'Novia Web Query'!$A:$E,5,FALSE)</f>
        <v>17/02/2021</v>
      </c>
      <c r="F730" t="str">
        <f>VLOOKUP(NoviaFunds[[#This Row],[Sector]],Sectors[],2,FALSE)</f>
        <v>Asia Pacific</v>
      </c>
    </row>
    <row r="731" spans="1:6" x14ac:dyDescent="0.2">
      <c r="A731" t="str">
        <f>'Novia Web Query'!A731</f>
        <v>GB00BJGZZ065</v>
      </c>
      <c r="B731" t="str">
        <f>VLOOKUP(NoviaFunds[[#This Row],[ISIN]],'Novia Web Query'!$A:$E,2,FALSE)</f>
        <v>BlackRock Asia Special Situations D Acc in GB</v>
      </c>
      <c r="C731" t="str">
        <f>VLOOKUP(NoviaFunds[[#This Row],[ISIN]],'Novia Web Query'!$A:$E,3,FALSE)</f>
        <v>UT Asia Pacific Excluding Japan</v>
      </c>
      <c r="D731" s="139">
        <f>VLOOKUP(NoviaFunds[[#This Row],[ISIN]],'Novia Web Query'!$A:$E,4,FALSE)/100</f>
        <v>1.03E-2</v>
      </c>
      <c r="E731" s="3" t="str">
        <f>VLOOKUP(NoviaFunds[[#This Row],[ISIN]],'Novia Web Query'!$A:$E,5,FALSE)</f>
        <v>17/02/2021</v>
      </c>
      <c r="F731" t="str">
        <f>VLOOKUP(NoviaFunds[[#This Row],[Sector]],Sectors[],2,FALSE)</f>
        <v>Asia Pacific</v>
      </c>
    </row>
    <row r="732" spans="1:6" x14ac:dyDescent="0.2">
      <c r="A732" t="str">
        <f>'Novia Web Query'!A732</f>
        <v>GB0005810774</v>
      </c>
      <c r="B732" t="str">
        <f>VLOOKUP(NoviaFunds[[#This Row],[ISIN]],'Novia Web Query'!$A:$E,2,FALSE)</f>
        <v>BlackRock Balanced Growth Portfolio A Acc in GB</v>
      </c>
      <c r="C732" t="str">
        <f>VLOOKUP(NoviaFunds[[#This Row],[ISIN]],'Novia Web Query'!$A:$E,3,FALSE)</f>
        <v>UT Mixed Investment 40-85% Shares</v>
      </c>
      <c r="D732" s="139">
        <f>VLOOKUP(NoviaFunds[[#This Row],[ISIN]],'Novia Web Query'!$A:$E,4,FALSE)/100</f>
        <v>1.6200000000000003E-2</v>
      </c>
      <c r="E732" s="3" t="str">
        <f>VLOOKUP(NoviaFunds[[#This Row],[ISIN]],'Novia Web Query'!$A:$E,5,FALSE)</f>
        <v>17/02/2021</v>
      </c>
      <c r="F732" t="str">
        <f>VLOOKUP(NoviaFunds[[#This Row],[Sector]],Sectors[],2,FALSE)</f>
        <v>Mixed 40%-85%</v>
      </c>
    </row>
    <row r="733" spans="1:6" x14ac:dyDescent="0.2">
      <c r="A733" t="str">
        <f>'Novia Web Query'!A733</f>
        <v>GB0005810667</v>
      </c>
      <c r="B733" t="str">
        <f>VLOOKUP(NoviaFunds[[#This Row],[ISIN]],'Novia Web Query'!$A:$E,2,FALSE)</f>
        <v>BlackRock Balanced Growth Portfolio A Inc TR in GB</v>
      </c>
      <c r="C733" t="str">
        <f>VLOOKUP(NoviaFunds[[#This Row],[ISIN]],'Novia Web Query'!$A:$E,3,FALSE)</f>
        <v>UT Mixed Investment 40-85% Shares</v>
      </c>
      <c r="D733" s="139">
        <f>VLOOKUP(NoviaFunds[[#This Row],[ISIN]],'Novia Web Query'!$A:$E,4,FALSE)/100</f>
        <v>1.6200000000000003E-2</v>
      </c>
      <c r="E733" s="3" t="str">
        <f>VLOOKUP(NoviaFunds[[#This Row],[ISIN]],'Novia Web Query'!$A:$E,5,FALSE)</f>
        <v>17/02/2021</v>
      </c>
      <c r="F733" t="str">
        <f>VLOOKUP(NoviaFunds[[#This Row],[Sector]],Sectors[],2,FALSE)</f>
        <v>Mixed 40%-85%</v>
      </c>
    </row>
    <row r="734" spans="1:6" x14ac:dyDescent="0.2">
      <c r="A734" t="str">
        <f>'Novia Web Query'!A734</f>
        <v>GB00B7XQBS82</v>
      </c>
      <c r="B734" t="str">
        <f>VLOOKUP(NoviaFunds[[#This Row],[ISIN]],'Novia Web Query'!$A:$E,2,FALSE)</f>
        <v>BlackRock Balanced Growth Portfolio D Acc in GB</v>
      </c>
      <c r="C734" t="str">
        <f>VLOOKUP(NoviaFunds[[#This Row],[ISIN]],'Novia Web Query'!$A:$E,3,FALSE)</f>
        <v>UT Mixed Investment 40-85% Shares</v>
      </c>
      <c r="D734" s="139">
        <f>VLOOKUP(NoviaFunds[[#This Row],[ISIN]],'Novia Web Query'!$A:$E,4,FALSE)/100</f>
        <v>8.6999999999999994E-3</v>
      </c>
      <c r="E734" s="3" t="str">
        <f>VLOOKUP(NoviaFunds[[#This Row],[ISIN]],'Novia Web Query'!$A:$E,5,FALSE)</f>
        <v>17/02/2021</v>
      </c>
      <c r="F734" t="str">
        <f>VLOOKUP(NoviaFunds[[#This Row],[Sector]],Sectors[],2,FALSE)</f>
        <v>Mixed 40%-85%</v>
      </c>
    </row>
    <row r="735" spans="1:6" x14ac:dyDescent="0.2">
      <c r="A735" t="str">
        <f>'Novia Web Query'!A735</f>
        <v>GB00B7FKHX53</v>
      </c>
      <c r="B735" t="str">
        <f>VLOOKUP(NoviaFunds[[#This Row],[ISIN]],'Novia Web Query'!$A:$E,2,FALSE)</f>
        <v>BlackRock Balanced Growth Portfolio D Inc TR in GB</v>
      </c>
      <c r="C735" t="str">
        <f>VLOOKUP(NoviaFunds[[#This Row],[ISIN]],'Novia Web Query'!$A:$E,3,FALSE)</f>
        <v>UT Mixed Investment 40-85% Shares</v>
      </c>
      <c r="D735" s="139">
        <f>VLOOKUP(NoviaFunds[[#This Row],[ISIN]],'Novia Web Query'!$A:$E,4,FALSE)/100</f>
        <v>8.6999999999999994E-3</v>
      </c>
      <c r="E735" s="3" t="str">
        <f>VLOOKUP(NoviaFunds[[#This Row],[ISIN]],'Novia Web Query'!$A:$E,5,FALSE)</f>
        <v>17/02/2021</v>
      </c>
      <c r="F735" t="str">
        <f>VLOOKUP(NoviaFunds[[#This Row],[Sector]],Sectors[],2,FALSE)</f>
        <v>Mixed 40%-85%</v>
      </c>
    </row>
    <row r="736" spans="1:6" x14ac:dyDescent="0.2">
      <c r="A736" t="str">
        <f>'Novia Web Query'!A736</f>
        <v>GB0005849467</v>
      </c>
      <c r="B736" t="str">
        <f>VLOOKUP(NoviaFunds[[#This Row],[ISIN]],'Novia Web Query'!$A:$E,2,FALSE)</f>
        <v>BlackRock Cash A Acc TR in GB</v>
      </c>
      <c r="C736" t="str">
        <f>VLOOKUP(NoviaFunds[[#This Row],[ISIN]],'Novia Web Query'!$A:$E,3,FALSE)</f>
        <v>UT Short Term Money Market</v>
      </c>
      <c r="D736" s="139">
        <f>VLOOKUP(NoviaFunds[[#This Row],[ISIN]],'Novia Web Query'!$A:$E,4,FALSE)/100</f>
        <v>4.1999999999999997E-3</v>
      </c>
      <c r="E736" s="3" t="str">
        <f>VLOOKUP(NoviaFunds[[#This Row],[ISIN]],'Novia Web Query'!$A:$E,5,FALSE)</f>
        <v>17/02/2021</v>
      </c>
      <c r="F736" t="str">
        <f>VLOOKUP(NoviaFunds[[#This Row],[Sector]],Sectors[],2,FALSE)</f>
        <v>Cash</v>
      </c>
    </row>
    <row r="737" spans="1:6" x14ac:dyDescent="0.2">
      <c r="A737" t="str">
        <f>'Novia Web Query'!A737</f>
        <v>GB0005849350</v>
      </c>
      <c r="B737" t="str">
        <f>VLOOKUP(NoviaFunds[[#This Row],[ISIN]],'Novia Web Query'!$A:$E,2,FALSE)</f>
        <v>BlackRock Cash A Inc TR in GB</v>
      </c>
      <c r="C737" t="str">
        <f>VLOOKUP(NoviaFunds[[#This Row],[ISIN]],'Novia Web Query'!$A:$E,3,FALSE)</f>
        <v>UT Short Term Money Market</v>
      </c>
      <c r="D737" s="139">
        <f>VLOOKUP(NoviaFunds[[#This Row],[ISIN]],'Novia Web Query'!$A:$E,4,FALSE)/100</f>
        <v>4.1999999999999997E-3</v>
      </c>
      <c r="E737" s="3" t="str">
        <f>VLOOKUP(NoviaFunds[[#This Row],[ISIN]],'Novia Web Query'!$A:$E,5,FALSE)</f>
        <v>17/02/2021</v>
      </c>
      <c r="F737" t="str">
        <f>VLOOKUP(NoviaFunds[[#This Row],[Sector]],Sectors[],2,FALSE)</f>
        <v>Cash</v>
      </c>
    </row>
    <row r="738" spans="1:6" x14ac:dyDescent="0.2">
      <c r="A738" t="str">
        <f>'Novia Web Query'!A738</f>
        <v>GB00B4V7NX18</v>
      </c>
      <c r="B738" t="str">
        <f>VLOOKUP(NoviaFunds[[#This Row],[ISIN]],'Novia Web Query'!$A:$E,2,FALSE)</f>
        <v>BlackRock Cash D Acc TR in GB</v>
      </c>
      <c r="C738" t="str">
        <f>VLOOKUP(NoviaFunds[[#This Row],[ISIN]],'Novia Web Query'!$A:$E,3,FALSE)</f>
        <v>UT Short Term Money Market</v>
      </c>
      <c r="D738" s="139">
        <f>VLOOKUP(NoviaFunds[[#This Row],[ISIN]],'Novia Web Query'!$A:$E,4,FALSE)/100</f>
        <v>2.5999999999999999E-3</v>
      </c>
      <c r="E738" s="3" t="str">
        <f>VLOOKUP(NoviaFunds[[#This Row],[ISIN]],'Novia Web Query'!$A:$E,5,FALSE)</f>
        <v>17/02/2021</v>
      </c>
      <c r="F738" t="str">
        <f>VLOOKUP(NoviaFunds[[#This Row],[Sector]],Sectors[],2,FALSE)</f>
        <v>Cash</v>
      </c>
    </row>
    <row r="739" spans="1:6" x14ac:dyDescent="0.2">
      <c r="A739" t="str">
        <f>'Novia Web Query'!A739</f>
        <v>GB00B42XLZ68</v>
      </c>
      <c r="B739" t="str">
        <f>VLOOKUP(NoviaFunds[[#This Row],[ISIN]],'Novia Web Query'!$A:$E,2,FALSE)</f>
        <v>BlackRock Cash D Inc TR in GB</v>
      </c>
      <c r="C739" t="str">
        <f>VLOOKUP(NoviaFunds[[#This Row],[ISIN]],'Novia Web Query'!$A:$E,3,FALSE)</f>
        <v>UT Short Term Money Market</v>
      </c>
      <c r="D739" s="139">
        <f>VLOOKUP(NoviaFunds[[#This Row],[ISIN]],'Novia Web Query'!$A:$E,4,FALSE)/100</f>
        <v>2.5999999999999999E-3</v>
      </c>
      <c r="E739" s="3" t="str">
        <f>VLOOKUP(NoviaFunds[[#This Row],[ISIN]],'Novia Web Query'!$A:$E,5,FALSE)</f>
        <v>17/02/2021</v>
      </c>
      <c r="F739" t="str">
        <f>VLOOKUP(NoviaFunds[[#This Row],[Sector]],Sectors[],2,FALSE)</f>
        <v>Cash</v>
      </c>
    </row>
    <row r="740" spans="1:6" x14ac:dyDescent="0.2">
      <c r="A740" t="str">
        <f>'Novia Web Query'!A740</f>
        <v>GB00BW1YM199</v>
      </c>
      <c r="B740" t="str">
        <f>VLOOKUP(NoviaFunds[[#This Row],[ISIN]],'Novia Web Query'!$A:$E,2,FALSE)</f>
        <v>BlackRock Cash S Acc in GB**</v>
      </c>
      <c r="C740" t="str">
        <f>VLOOKUP(NoviaFunds[[#This Row],[ISIN]],'Novia Web Query'!$A:$E,3,FALSE)</f>
        <v>UT Short Term Money Market</v>
      </c>
      <c r="D740" s="139">
        <f>VLOOKUP(NoviaFunds[[#This Row],[ISIN]],'Novia Web Query'!$A:$E,4,FALSE)/100</f>
        <v>2.0999999999999999E-3</v>
      </c>
      <c r="E740" s="3" t="str">
        <f>VLOOKUP(NoviaFunds[[#This Row],[ISIN]],'Novia Web Query'!$A:$E,5,FALSE)</f>
        <v>17/02/2021</v>
      </c>
      <c r="F740" t="str">
        <f>VLOOKUP(NoviaFunds[[#This Row],[Sector]],Sectors[],2,FALSE)</f>
        <v>Cash</v>
      </c>
    </row>
    <row r="741" spans="1:6" x14ac:dyDescent="0.2">
      <c r="A741" t="str">
        <f>'Novia Web Query'!A741</f>
        <v>GB0005804728</v>
      </c>
      <c r="B741" t="str">
        <f>VLOOKUP(NoviaFunds[[#This Row],[ISIN]],'Novia Web Query'!$A:$E,2,FALSE)</f>
        <v>BlackRock Continental European A Acc in GB</v>
      </c>
      <c r="C741" t="str">
        <f>VLOOKUP(NoviaFunds[[#This Row],[ISIN]],'Novia Web Query'!$A:$E,3,FALSE)</f>
        <v>UT Europe Excluding UK</v>
      </c>
      <c r="D741" s="139">
        <f>VLOOKUP(NoviaFunds[[#This Row],[ISIN]],'Novia Web Query'!$A:$E,4,FALSE)/100</f>
        <v>1.67E-2</v>
      </c>
      <c r="E741" s="3" t="str">
        <f>VLOOKUP(NoviaFunds[[#This Row],[ISIN]],'Novia Web Query'!$A:$E,5,FALSE)</f>
        <v>17/02/2021</v>
      </c>
      <c r="F741" t="str">
        <f>VLOOKUP(NoviaFunds[[#This Row],[Sector]],Sectors[],2,FALSE)</f>
        <v>European Equities</v>
      </c>
    </row>
    <row r="742" spans="1:6" x14ac:dyDescent="0.2">
      <c r="A742" t="str">
        <f>'Novia Web Query'!A742</f>
        <v>GB0005804504</v>
      </c>
      <c r="B742" t="str">
        <f>VLOOKUP(NoviaFunds[[#This Row],[ISIN]],'Novia Web Query'!$A:$E,2,FALSE)</f>
        <v>BlackRock Continental European A Inc TR in GB</v>
      </c>
      <c r="C742" t="str">
        <f>VLOOKUP(NoviaFunds[[#This Row],[ISIN]],'Novia Web Query'!$A:$E,3,FALSE)</f>
        <v>UT Europe Excluding UK</v>
      </c>
      <c r="D742" s="139">
        <f>VLOOKUP(NoviaFunds[[#This Row],[ISIN]],'Novia Web Query'!$A:$E,4,FALSE)/100</f>
        <v>1.67E-2</v>
      </c>
      <c r="E742" s="3" t="str">
        <f>VLOOKUP(NoviaFunds[[#This Row],[ISIN]],'Novia Web Query'!$A:$E,5,FALSE)</f>
        <v>17/02/2021</v>
      </c>
      <c r="F742" t="str">
        <f>VLOOKUP(NoviaFunds[[#This Row],[Sector]],Sectors[],2,FALSE)</f>
        <v>European Equities</v>
      </c>
    </row>
    <row r="743" spans="1:6" x14ac:dyDescent="0.2">
      <c r="A743" t="str">
        <f>'Novia Web Query'!A743</f>
        <v>GB00B4VY9893</v>
      </c>
      <c r="B743" t="str">
        <f>VLOOKUP(NoviaFunds[[#This Row],[ISIN]],'Novia Web Query'!$A:$E,2,FALSE)</f>
        <v>BlackRock Continental European D Acc in GB</v>
      </c>
      <c r="C743" t="str">
        <f>VLOOKUP(NoviaFunds[[#This Row],[ISIN]],'Novia Web Query'!$A:$E,3,FALSE)</f>
        <v>UT Europe Excluding UK</v>
      </c>
      <c r="D743" s="139">
        <f>VLOOKUP(NoviaFunds[[#This Row],[ISIN]],'Novia Web Query'!$A:$E,4,FALSE)/100</f>
        <v>9.1999999999999998E-3</v>
      </c>
      <c r="E743" s="3" t="str">
        <f>VLOOKUP(NoviaFunds[[#This Row],[ISIN]],'Novia Web Query'!$A:$E,5,FALSE)</f>
        <v>17/02/2021</v>
      </c>
      <c r="F743" t="str">
        <f>VLOOKUP(NoviaFunds[[#This Row],[Sector]],Sectors[],2,FALSE)</f>
        <v>European Equities</v>
      </c>
    </row>
    <row r="744" spans="1:6" x14ac:dyDescent="0.2">
      <c r="A744" t="str">
        <f>'Novia Web Query'!A744</f>
        <v>GB00B6YTYJ18</v>
      </c>
      <c r="B744" t="str">
        <f>VLOOKUP(NoviaFunds[[#This Row],[ISIN]],'Novia Web Query'!$A:$E,2,FALSE)</f>
        <v>BlackRock Continental European D Inc TR in GB</v>
      </c>
      <c r="C744" t="str">
        <f>VLOOKUP(NoviaFunds[[#This Row],[ISIN]],'Novia Web Query'!$A:$E,3,FALSE)</f>
        <v>UT Europe Excluding UK</v>
      </c>
      <c r="D744" s="139">
        <f>VLOOKUP(NoviaFunds[[#This Row],[ISIN]],'Novia Web Query'!$A:$E,4,FALSE)/100</f>
        <v>9.1999999999999998E-3</v>
      </c>
      <c r="E744" s="3" t="str">
        <f>VLOOKUP(NoviaFunds[[#This Row],[ISIN]],'Novia Web Query'!$A:$E,5,FALSE)</f>
        <v>17/02/2021</v>
      </c>
      <c r="F744" t="str">
        <f>VLOOKUP(NoviaFunds[[#This Row],[Sector]],Sectors[],2,FALSE)</f>
        <v>European Equities</v>
      </c>
    </row>
    <row r="745" spans="1:6" x14ac:dyDescent="0.2">
      <c r="A745" t="str">
        <f>'Novia Web Query'!A745</f>
        <v>GB00B3ZW3465</v>
      </c>
      <c r="B745" t="str">
        <f>VLOOKUP(NoviaFunds[[#This Row],[ISIN]],'Novia Web Query'!$A:$E,2,FALSE)</f>
        <v>BlackRock Continental European Income A Acc in GB</v>
      </c>
      <c r="C745" t="str">
        <f>VLOOKUP(NoviaFunds[[#This Row],[ISIN]],'Novia Web Query'!$A:$E,3,FALSE)</f>
        <v>UT Europe Excluding UK</v>
      </c>
      <c r="D745" s="139">
        <f>VLOOKUP(NoviaFunds[[#This Row],[ISIN]],'Novia Web Query'!$A:$E,4,FALSE)/100</f>
        <v>1.6799999999999999E-2</v>
      </c>
      <c r="E745" s="3" t="str">
        <f>VLOOKUP(NoviaFunds[[#This Row],[ISIN]],'Novia Web Query'!$A:$E,5,FALSE)</f>
        <v>17/02/2021</v>
      </c>
      <c r="F745" t="str">
        <f>VLOOKUP(NoviaFunds[[#This Row],[Sector]],Sectors[],2,FALSE)</f>
        <v>European Equities</v>
      </c>
    </row>
    <row r="746" spans="1:6" x14ac:dyDescent="0.2">
      <c r="A746" t="str">
        <f>'Novia Web Query'!A746</f>
        <v>GB00B43MZ612</v>
      </c>
      <c r="B746" t="str">
        <f>VLOOKUP(NoviaFunds[[#This Row],[ISIN]],'Novia Web Query'!$A:$E,2,FALSE)</f>
        <v>BlackRock Continental European Income A Inc TR in GB</v>
      </c>
      <c r="C746" t="str">
        <f>VLOOKUP(NoviaFunds[[#This Row],[ISIN]],'Novia Web Query'!$A:$E,3,FALSE)</f>
        <v>UT Europe Excluding UK</v>
      </c>
      <c r="D746" s="139">
        <f>VLOOKUP(NoviaFunds[[#This Row],[ISIN]],'Novia Web Query'!$A:$E,4,FALSE)/100</f>
        <v>1.6799999999999999E-2</v>
      </c>
      <c r="E746" s="3" t="str">
        <f>VLOOKUP(NoviaFunds[[#This Row],[ISIN]],'Novia Web Query'!$A:$E,5,FALSE)</f>
        <v>17/02/2021</v>
      </c>
      <c r="F746" t="str">
        <f>VLOOKUP(NoviaFunds[[#This Row],[Sector]],Sectors[],2,FALSE)</f>
        <v>European Equities</v>
      </c>
    </row>
    <row r="747" spans="1:6" x14ac:dyDescent="0.2">
      <c r="A747" t="str">
        <f>'Novia Web Query'!A747</f>
        <v>GB00B3S9LG25</v>
      </c>
      <c r="B747" t="str">
        <f>VLOOKUP(NoviaFunds[[#This Row],[ISIN]],'Novia Web Query'!$A:$E,2,FALSE)</f>
        <v>BlackRock Continental European Income D Acc in GB</v>
      </c>
      <c r="C747" t="str">
        <f>VLOOKUP(NoviaFunds[[#This Row],[ISIN]],'Novia Web Query'!$A:$E,3,FALSE)</f>
        <v>UT Europe Excluding UK</v>
      </c>
      <c r="D747" s="139">
        <f>VLOOKUP(NoviaFunds[[#This Row],[ISIN]],'Novia Web Query'!$A:$E,4,FALSE)/100</f>
        <v>9.300000000000001E-3</v>
      </c>
      <c r="E747" s="3" t="str">
        <f>VLOOKUP(NoviaFunds[[#This Row],[ISIN]],'Novia Web Query'!$A:$E,5,FALSE)</f>
        <v>17/02/2021</v>
      </c>
      <c r="F747" t="str">
        <f>VLOOKUP(NoviaFunds[[#This Row],[Sector]],Sectors[],2,FALSE)</f>
        <v>European Equities</v>
      </c>
    </row>
    <row r="748" spans="1:6" x14ac:dyDescent="0.2">
      <c r="A748" t="str">
        <f>'Novia Web Query'!A748</f>
        <v>GB00BWG07178</v>
      </c>
      <c r="B748" t="str">
        <f>VLOOKUP(NoviaFunds[[#This Row],[ISIN]],'Novia Web Query'!$A:$E,2,FALSE)</f>
        <v>BlackRock Continental European Income D Hedged Acc in GB</v>
      </c>
      <c r="C748" t="str">
        <f>VLOOKUP(NoviaFunds[[#This Row],[ISIN]],'Novia Web Query'!$A:$E,3,FALSE)</f>
        <v>UT Europe Excluding UK</v>
      </c>
      <c r="D748" s="139">
        <f>VLOOKUP(NoviaFunds[[#This Row],[ISIN]],'Novia Web Query'!$A:$E,4,FALSE)/100</f>
        <v>9.300000000000001E-3</v>
      </c>
      <c r="E748" s="3" t="str">
        <f>VLOOKUP(NoviaFunds[[#This Row],[ISIN]],'Novia Web Query'!$A:$E,5,FALSE)</f>
        <v>17/02/2021</v>
      </c>
      <c r="F748" t="str">
        <f>VLOOKUP(NoviaFunds[[#This Row],[Sector]],Sectors[],2,FALSE)</f>
        <v>European Equities</v>
      </c>
    </row>
    <row r="749" spans="1:6" x14ac:dyDescent="0.2">
      <c r="A749" t="str">
        <f>'Novia Web Query'!A749</f>
        <v>GB00BWG07G21</v>
      </c>
      <c r="B749" t="str">
        <f>VLOOKUP(NoviaFunds[[#This Row],[ISIN]],'Novia Web Query'!$A:$E,2,FALSE)</f>
        <v>BlackRock Continental European Income D Hedged Inc TR in GB</v>
      </c>
      <c r="C749" t="str">
        <f>VLOOKUP(NoviaFunds[[#This Row],[ISIN]],'Novia Web Query'!$A:$E,3,FALSE)</f>
        <v>UT Europe Excluding UK</v>
      </c>
      <c r="D749" s="139">
        <f>VLOOKUP(NoviaFunds[[#This Row],[ISIN]],'Novia Web Query'!$A:$E,4,FALSE)/100</f>
        <v>9.3999999999999986E-3</v>
      </c>
      <c r="E749" s="3" t="str">
        <f>VLOOKUP(NoviaFunds[[#This Row],[ISIN]],'Novia Web Query'!$A:$E,5,FALSE)</f>
        <v>17/02/2021</v>
      </c>
      <c r="F749" t="str">
        <f>VLOOKUP(NoviaFunds[[#This Row],[Sector]],Sectors[],2,FALSE)</f>
        <v>European Equities</v>
      </c>
    </row>
    <row r="750" spans="1:6" x14ac:dyDescent="0.2">
      <c r="A750" t="str">
        <f>'Novia Web Query'!A750</f>
        <v>GB00B3Y7MQ71</v>
      </c>
      <c r="B750" t="str">
        <f>VLOOKUP(NoviaFunds[[#This Row],[ISIN]],'Novia Web Query'!$A:$E,2,FALSE)</f>
        <v>BlackRock Continental European Income D Inc TR in GB</v>
      </c>
      <c r="C750" t="str">
        <f>VLOOKUP(NoviaFunds[[#This Row],[ISIN]],'Novia Web Query'!$A:$E,3,FALSE)</f>
        <v>UT Europe Excluding UK</v>
      </c>
      <c r="D750" s="139">
        <f>VLOOKUP(NoviaFunds[[#This Row],[ISIN]],'Novia Web Query'!$A:$E,4,FALSE)/100</f>
        <v>9.300000000000001E-3</v>
      </c>
      <c r="E750" s="3" t="str">
        <f>VLOOKUP(NoviaFunds[[#This Row],[ISIN]],'Novia Web Query'!$A:$E,5,FALSE)</f>
        <v>17/02/2021</v>
      </c>
      <c r="F750" t="str">
        <f>VLOOKUP(NoviaFunds[[#This Row],[Sector]],Sectors[],2,FALSE)</f>
        <v>European Equities</v>
      </c>
    </row>
    <row r="751" spans="1:6" x14ac:dyDescent="0.2">
      <c r="A751" t="str">
        <f>'Novia Web Query'!A751</f>
        <v>GB00B3X6GL85</v>
      </c>
      <c r="B751" t="str">
        <f>VLOOKUP(NoviaFunds[[#This Row],[ISIN]],'Novia Web Query'!$A:$E,2,FALSE)</f>
        <v>BlackRock Corporate Bond 1 to 10 Year A TR in GB</v>
      </c>
      <c r="C751" t="str">
        <f>VLOOKUP(NoviaFunds[[#This Row],[ISIN]],'Novia Web Query'!$A:$E,3,FALSE)</f>
        <v>UT Sterling Corporate Bond</v>
      </c>
      <c r="D751" s="139">
        <f>VLOOKUP(NoviaFunds[[#This Row],[ISIN]],'Novia Web Query'!$A:$E,4,FALSE)/100</f>
        <v>5.1999999999999998E-3</v>
      </c>
      <c r="E751" s="3" t="str">
        <f>VLOOKUP(NoviaFunds[[#This Row],[ISIN]],'Novia Web Query'!$A:$E,5,FALSE)</f>
        <v>17/02/2021</v>
      </c>
      <c r="F751" t="str">
        <f>VLOOKUP(NoviaFunds[[#This Row],[Sector]],Sectors[],2,FALSE)</f>
        <v>Sterling Corporate Bonds</v>
      </c>
    </row>
    <row r="752" spans="1:6" x14ac:dyDescent="0.2">
      <c r="A752" t="str">
        <f>'Novia Web Query'!A752</f>
        <v>GB00B84DT147</v>
      </c>
      <c r="B752" t="str">
        <f>VLOOKUP(NoviaFunds[[#This Row],[ISIN]],'Novia Web Query'!$A:$E,2,FALSE)</f>
        <v>BlackRock Corporate Bond 1 to 10 Year D in GB</v>
      </c>
      <c r="C752" t="str">
        <f>VLOOKUP(NoviaFunds[[#This Row],[ISIN]],'Novia Web Query'!$A:$E,3,FALSE)</f>
        <v>UT Sterling Corporate Bond</v>
      </c>
      <c r="D752" s="139">
        <f>VLOOKUP(NoviaFunds[[#This Row],[ISIN]],'Novia Web Query'!$A:$E,4,FALSE)/100</f>
        <v>1.7000000000000001E-3</v>
      </c>
      <c r="E752" s="3" t="str">
        <f>VLOOKUP(NoviaFunds[[#This Row],[ISIN]],'Novia Web Query'!$A:$E,5,FALSE)</f>
        <v>17/02/2021</v>
      </c>
      <c r="F752" t="str">
        <f>VLOOKUP(NoviaFunds[[#This Row],[Sector]],Sectors[],2,FALSE)</f>
        <v>Sterling Corporate Bonds</v>
      </c>
    </row>
    <row r="753" spans="1:6" x14ac:dyDescent="0.2">
      <c r="A753" t="str">
        <f>'Novia Web Query'!A753</f>
        <v>GB0005769541</v>
      </c>
      <c r="B753" t="str">
        <f>VLOOKUP(NoviaFunds[[#This Row],[ISIN]],'Novia Web Query'!$A:$E,2,FALSE)</f>
        <v>BlackRock Corporate Bond A Acc TR in GB</v>
      </c>
      <c r="C753" t="str">
        <f>VLOOKUP(NoviaFunds[[#This Row],[ISIN]],'Novia Web Query'!$A:$E,3,FALSE)</f>
        <v>UT Sterling Corporate Bond</v>
      </c>
      <c r="D753" s="139">
        <f>VLOOKUP(NoviaFunds[[#This Row],[ISIN]],'Novia Web Query'!$A:$E,4,FALSE)/100</f>
        <v>1.0700000000000001E-2</v>
      </c>
      <c r="E753" s="3" t="str">
        <f>VLOOKUP(NoviaFunds[[#This Row],[ISIN]],'Novia Web Query'!$A:$E,5,FALSE)</f>
        <v>17/02/2021</v>
      </c>
      <c r="F753" t="str">
        <f>VLOOKUP(NoviaFunds[[#This Row],[Sector]],Sectors[],2,FALSE)</f>
        <v>Sterling Corporate Bonds</v>
      </c>
    </row>
    <row r="754" spans="1:6" x14ac:dyDescent="0.2">
      <c r="A754" t="str">
        <f>'Novia Web Query'!A754</f>
        <v>GB0003749982</v>
      </c>
      <c r="B754" t="str">
        <f>VLOOKUP(NoviaFunds[[#This Row],[ISIN]],'Novia Web Query'!$A:$E,2,FALSE)</f>
        <v>BlackRock Corporate Bond A Inc TR in GB</v>
      </c>
      <c r="C754" t="str">
        <f>VLOOKUP(NoviaFunds[[#This Row],[ISIN]],'Novia Web Query'!$A:$E,3,FALSE)</f>
        <v>UT Sterling Corporate Bond</v>
      </c>
      <c r="D754" s="139">
        <f>VLOOKUP(NoviaFunds[[#This Row],[ISIN]],'Novia Web Query'!$A:$E,4,FALSE)/100</f>
        <v>1.0700000000000001E-2</v>
      </c>
      <c r="E754" s="3" t="str">
        <f>VLOOKUP(NoviaFunds[[#This Row],[ISIN]],'Novia Web Query'!$A:$E,5,FALSE)</f>
        <v>17/02/2021</v>
      </c>
      <c r="F754" t="str">
        <f>VLOOKUP(NoviaFunds[[#This Row],[Sector]],Sectors[],2,FALSE)</f>
        <v>Sterling Corporate Bonds</v>
      </c>
    </row>
    <row r="755" spans="1:6" x14ac:dyDescent="0.2">
      <c r="A755" t="str">
        <f>'Novia Web Query'!A755</f>
        <v>GB00B4QC3311</v>
      </c>
      <c r="B755" t="str">
        <f>VLOOKUP(NoviaFunds[[#This Row],[ISIN]],'Novia Web Query'!$A:$E,2,FALSE)</f>
        <v>BlackRock Corporate Bond D Acc TR in GB</v>
      </c>
      <c r="C755" t="str">
        <f>VLOOKUP(NoviaFunds[[#This Row],[ISIN]],'Novia Web Query'!$A:$E,3,FALSE)</f>
        <v>UT Sterling Corporate Bond</v>
      </c>
      <c r="D755" s="139">
        <f>VLOOKUP(NoviaFunds[[#This Row],[ISIN]],'Novia Web Query'!$A:$E,4,FALSE)/100</f>
        <v>5.6999999999999993E-3</v>
      </c>
      <c r="E755" s="3" t="str">
        <f>VLOOKUP(NoviaFunds[[#This Row],[ISIN]],'Novia Web Query'!$A:$E,5,FALSE)</f>
        <v>17/02/2021</v>
      </c>
      <c r="F755" t="str">
        <f>VLOOKUP(NoviaFunds[[#This Row],[Sector]],Sectors[],2,FALSE)</f>
        <v>Sterling Corporate Bonds</v>
      </c>
    </row>
    <row r="756" spans="1:6" x14ac:dyDescent="0.2">
      <c r="A756" t="str">
        <f>'Novia Web Query'!A756</f>
        <v>GB00B4T5JV79</v>
      </c>
      <c r="B756" t="str">
        <f>VLOOKUP(NoviaFunds[[#This Row],[ISIN]],'Novia Web Query'!$A:$E,2,FALSE)</f>
        <v>BlackRock Corporate Bond D Inc TR in GB</v>
      </c>
      <c r="C756" t="str">
        <f>VLOOKUP(NoviaFunds[[#This Row],[ISIN]],'Novia Web Query'!$A:$E,3,FALSE)</f>
        <v>UT Sterling Corporate Bond</v>
      </c>
      <c r="D756" s="139">
        <f>VLOOKUP(NoviaFunds[[#This Row],[ISIN]],'Novia Web Query'!$A:$E,4,FALSE)/100</f>
        <v>5.6999999999999993E-3</v>
      </c>
      <c r="E756" s="3" t="str">
        <f>VLOOKUP(NoviaFunds[[#This Row],[ISIN]],'Novia Web Query'!$A:$E,5,FALSE)</f>
        <v>17/02/2021</v>
      </c>
      <c r="F756" t="str">
        <f>VLOOKUP(NoviaFunds[[#This Row],[Sector]],Sectors[],2,FALSE)</f>
        <v>Sterling Corporate Bonds</v>
      </c>
    </row>
    <row r="757" spans="1:6" x14ac:dyDescent="0.2">
      <c r="A757" t="str">
        <f>'Novia Web Query'!A757</f>
        <v>GB00BK1PJT53</v>
      </c>
      <c r="B757" t="str">
        <f>VLOOKUP(NoviaFunds[[#This Row],[ISIN]],'Novia Web Query'!$A:$E,2,FALSE)</f>
        <v>BlackRock Corporate Bond S Acc in GB**</v>
      </c>
      <c r="C757" t="str">
        <f>VLOOKUP(NoviaFunds[[#This Row],[ISIN]],'Novia Web Query'!$A:$E,3,FALSE)</f>
        <v>UT Sterling Corporate Bond</v>
      </c>
      <c r="D757" s="139">
        <f>VLOOKUP(NoviaFunds[[#This Row],[ISIN]],'Novia Web Query'!$A:$E,4,FALSE)/100</f>
        <v>5.1999999999999998E-3</v>
      </c>
      <c r="E757" s="3" t="str">
        <f>VLOOKUP(NoviaFunds[[#This Row],[ISIN]],'Novia Web Query'!$A:$E,5,FALSE)</f>
        <v>17/02/2021</v>
      </c>
      <c r="F757" t="str">
        <f>VLOOKUP(NoviaFunds[[#This Row],[Sector]],Sectors[],2,FALSE)</f>
        <v>Sterling Corporate Bonds</v>
      </c>
    </row>
    <row r="758" spans="1:6" x14ac:dyDescent="0.2">
      <c r="A758" t="str">
        <f>'Novia Web Query'!A758</f>
        <v>GB00BK1PK476</v>
      </c>
      <c r="B758" t="str">
        <f>VLOOKUP(NoviaFunds[[#This Row],[ISIN]],'Novia Web Query'!$A:$E,2,FALSE)</f>
        <v>BlackRock Corporate Bond S Inc TR in GB**</v>
      </c>
      <c r="C758" t="str">
        <f>VLOOKUP(NoviaFunds[[#This Row],[ISIN]],'Novia Web Query'!$A:$E,3,FALSE)</f>
        <v>UT Sterling Corporate Bond</v>
      </c>
      <c r="D758" s="139">
        <f>VLOOKUP(NoviaFunds[[#This Row],[ISIN]],'Novia Web Query'!$A:$E,4,FALSE)/100</f>
        <v>5.1999999999999998E-3</v>
      </c>
      <c r="E758" s="3" t="str">
        <f>VLOOKUP(NoviaFunds[[#This Row],[ISIN]],'Novia Web Query'!$A:$E,5,FALSE)</f>
        <v>17/02/2021</v>
      </c>
      <c r="F758" t="str">
        <f>VLOOKUP(NoviaFunds[[#This Row],[Sector]],Sectors[],2,FALSE)</f>
        <v>Sterling Corporate Bonds</v>
      </c>
    </row>
    <row r="759" spans="1:6" x14ac:dyDescent="0.2">
      <c r="A759" t="str">
        <f>'Novia Web Query'!A759</f>
        <v>GB0000646421</v>
      </c>
      <c r="B759" t="str">
        <f>VLOOKUP(NoviaFunds[[#This Row],[ISIN]],'Novia Web Query'!$A:$E,2,FALSE)</f>
        <v>BlackRock Developed Markets Sustainable Equity A Acc in GB</v>
      </c>
      <c r="C759" t="str">
        <f>VLOOKUP(NoviaFunds[[#This Row],[ISIN]],'Novia Web Query'!$A:$E,3,FALSE)</f>
        <v>UT Global</v>
      </c>
      <c r="D759" s="139">
        <f>VLOOKUP(NoviaFunds[[#This Row],[ISIN]],'Novia Web Query'!$A:$E,4,FALSE)/100</f>
        <v>1.6899999999999998E-2</v>
      </c>
      <c r="E759" s="3" t="str">
        <f>VLOOKUP(NoviaFunds[[#This Row],[ISIN]],'Novia Web Query'!$A:$E,5,FALSE)</f>
        <v>17/02/2021</v>
      </c>
      <c r="F759" t="str">
        <f>VLOOKUP(NoviaFunds[[#This Row],[Sector]],Sectors[],2,FALSE)</f>
        <v>Other Equities</v>
      </c>
    </row>
    <row r="760" spans="1:6" x14ac:dyDescent="0.2">
      <c r="A760" t="str">
        <f>'Novia Web Query'!A760</f>
        <v>GB0000645019</v>
      </c>
      <c r="B760" t="str">
        <f>VLOOKUP(NoviaFunds[[#This Row],[ISIN]],'Novia Web Query'!$A:$E,2,FALSE)</f>
        <v>BlackRock Developed Markets Sustainable Equity A Inc TR in GB</v>
      </c>
      <c r="C760" t="str">
        <f>VLOOKUP(NoviaFunds[[#This Row],[ISIN]],'Novia Web Query'!$A:$E,3,FALSE)</f>
        <v>UT Global</v>
      </c>
      <c r="D760" s="139">
        <f>VLOOKUP(NoviaFunds[[#This Row],[ISIN]],'Novia Web Query'!$A:$E,4,FALSE)/100</f>
        <v>1.6899999999999998E-2</v>
      </c>
      <c r="E760" s="3" t="str">
        <f>VLOOKUP(NoviaFunds[[#This Row],[ISIN]],'Novia Web Query'!$A:$E,5,FALSE)</f>
        <v>17/02/2021</v>
      </c>
      <c r="F760" t="str">
        <f>VLOOKUP(NoviaFunds[[#This Row],[Sector]],Sectors[],2,FALSE)</f>
        <v>Other Equities</v>
      </c>
    </row>
    <row r="761" spans="1:6" x14ac:dyDescent="0.2">
      <c r="A761" t="str">
        <f>'Novia Web Query'!A761</f>
        <v>GB00B4XLYS34</v>
      </c>
      <c r="B761" t="str">
        <f>VLOOKUP(NoviaFunds[[#This Row],[ISIN]],'Novia Web Query'!$A:$E,2,FALSE)</f>
        <v>BlackRock Developed Markets Sustainable Equity D Acc in GB</v>
      </c>
      <c r="C761" t="str">
        <f>VLOOKUP(NoviaFunds[[#This Row],[ISIN]],'Novia Web Query'!$A:$E,3,FALSE)</f>
        <v>UT Global</v>
      </c>
      <c r="D761" s="139">
        <f>VLOOKUP(NoviaFunds[[#This Row],[ISIN]],'Novia Web Query'!$A:$E,4,FALSE)/100</f>
        <v>9.3999999999999986E-3</v>
      </c>
      <c r="E761" s="3" t="str">
        <f>VLOOKUP(NoviaFunds[[#This Row],[ISIN]],'Novia Web Query'!$A:$E,5,FALSE)</f>
        <v>17/02/2021</v>
      </c>
      <c r="F761" t="str">
        <f>VLOOKUP(NoviaFunds[[#This Row],[Sector]],Sectors[],2,FALSE)</f>
        <v>Other Equities</v>
      </c>
    </row>
    <row r="762" spans="1:6" x14ac:dyDescent="0.2">
      <c r="A762" t="str">
        <f>'Novia Web Query'!A762</f>
        <v>GB00B8DDP952</v>
      </c>
      <c r="B762" t="str">
        <f>VLOOKUP(NoviaFunds[[#This Row],[ISIN]],'Novia Web Query'!$A:$E,2,FALSE)</f>
        <v>BlackRock Developed Markets Sustainable Equity D Inc TR in GB</v>
      </c>
      <c r="C762" t="str">
        <f>VLOOKUP(NoviaFunds[[#This Row],[ISIN]],'Novia Web Query'!$A:$E,3,FALSE)</f>
        <v>UT Global</v>
      </c>
      <c r="D762" s="139">
        <f>VLOOKUP(NoviaFunds[[#This Row],[ISIN]],'Novia Web Query'!$A:$E,4,FALSE)/100</f>
        <v>9.3999999999999986E-3</v>
      </c>
      <c r="E762" s="3" t="str">
        <f>VLOOKUP(NoviaFunds[[#This Row],[ISIN]],'Novia Web Query'!$A:$E,5,FALSE)</f>
        <v>17/02/2021</v>
      </c>
      <c r="F762" t="str">
        <f>VLOOKUP(NoviaFunds[[#This Row],[Sector]],Sectors[],2,FALSE)</f>
        <v>Other Equities</v>
      </c>
    </row>
    <row r="763" spans="1:6" x14ac:dyDescent="0.2">
      <c r="A763" t="str">
        <f>'Novia Web Query'!A763</f>
        <v>GB00B1577C37</v>
      </c>
      <c r="B763" t="str">
        <f>VLOOKUP(NoviaFunds[[#This Row],[ISIN]],'Novia Web Query'!$A:$E,2,FALSE)</f>
        <v>BlackRock Dynamic Diversified Growth A Acc in GB</v>
      </c>
      <c r="C763" t="str">
        <f>VLOOKUP(NoviaFunds[[#This Row],[ISIN]],'Novia Web Query'!$A:$E,3,FALSE)</f>
        <v>UT Specialist</v>
      </c>
      <c r="D763" s="139">
        <f>VLOOKUP(NoviaFunds[[#This Row],[ISIN]],'Novia Web Query'!$A:$E,4,FALSE)/100</f>
        <v>1.3500000000000002E-2</v>
      </c>
      <c r="E763" s="3" t="str">
        <f>VLOOKUP(NoviaFunds[[#This Row],[ISIN]],'Novia Web Query'!$A:$E,5,FALSE)</f>
        <v>17/02/2021</v>
      </c>
      <c r="F763" t="str">
        <f>VLOOKUP(NoviaFunds[[#This Row],[Sector]],Sectors[],2,FALSE)</f>
        <v>Specialist</v>
      </c>
    </row>
    <row r="764" spans="1:6" x14ac:dyDescent="0.2">
      <c r="A764" t="str">
        <f>'Novia Web Query'!A764</f>
        <v>GB00B1577H81</v>
      </c>
      <c r="B764" t="str">
        <f>VLOOKUP(NoviaFunds[[#This Row],[ISIN]],'Novia Web Query'!$A:$E,2,FALSE)</f>
        <v>BlackRock Dynamic Diversified Growth A Inc TR in GB</v>
      </c>
      <c r="C764" t="str">
        <f>VLOOKUP(NoviaFunds[[#This Row],[ISIN]],'Novia Web Query'!$A:$E,3,FALSE)</f>
        <v>UT Specialist</v>
      </c>
      <c r="D764" s="139">
        <f>VLOOKUP(NoviaFunds[[#This Row],[ISIN]],'Novia Web Query'!$A:$E,4,FALSE)/100</f>
        <v>1.3500000000000002E-2</v>
      </c>
      <c r="E764" s="3" t="str">
        <f>VLOOKUP(NoviaFunds[[#This Row],[ISIN]],'Novia Web Query'!$A:$E,5,FALSE)</f>
        <v>17/02/2021</v>
      </c>
      <c r="F764" t="str">
        <f>VLOOKUP(NoviaFunds[[#This Row],[Sector]],Sectors[],2,FALSE)</f>
        <v>Specialist</v>
      </c>
    </row>
    <row r="765" spans="1:6" x14ac:dyDescent="0.2">
      <c r="A765" t="str">
        <f>'Novia Web Query'!A765</f>
        <v>GB00B823TT41</v>
      </c>
      <c r="B765" t="str">
        <f>VLOOKUP(NoviaFunds[[#This Row],[ISIN]],'Novia Web Query'!$A:$E,2,FALSE)</f>
        <v>BlackRock Dynamic Diversified Growth D Acc in GB</v>
      </c>
      <c r="C765" t="str">
        <f>VLOOKUP(NoviaFunds[[#This Row],[ISIN]],'Novia Web Query'!$A:$E,3,FALSE)</f>
        <v>UT Specialist</v>
      </c>
      <c r="D765" s="139">
        <f>VLOOKUP(NoviaFunds[[#This Row],[ISIN]],'Novia Web Query'!$A:$E,4,FALSE)/100</f>
        <v>6.5000000000000006E-3</v>
      </c>
      <c r="E765" s="3" t="str">
        <f>VLOOKUP(NoviaFunds[[#This Row],[ISIN]],'Novia Web Query'!$A:$E,5,FALSE)</f>
        <v>17/02/2021</v>
      </c>
      <c r="F765" t="str">
        <f>VLOOKUP(NoviaFunds[[#This Row],[Sector]],Sectors[],2,FALSE)</f>
        <v>Specialist</v>
      </c>
    </row>
    <row r="766" spans="1:6" x14ac:dyDescent="0.2">
      <c r="A766" t="str">
        <f>'Novia Web Query'!A766</f>
        <v>GB00B883P127</v>
      </c>
      <c r="B766" t="str">
        <f>VLOOKUP(NoviaFunds[[#This Row],[ISIN]],'Novia Web Query'!$A:$E,2,FALSE)</f>
        <v>BlackRock Dynamic Diversified Growth D Inc TR in GB</v>
      </c>
      <c r="C766" t="str">
        <f>VLOOKUP(NoviaFunds[[#This Row],[ISIN]],'Novia Web Query'!$A:$E,3,FALSE)</f>
        <v>UT Specialist</v>
      </c>
      <c r="D766" s="139">
        <f>VLOOKUP(NoviaFunds[[#This Row],[ISIN]],'Novia Web Query'!$A:$E,4,FALSE)/100</f>
        <v>6.4000000000000003E-3</v>
      </c>
      <c r="E766" s="3" t="str">
        <f>VLOOKUP(NoviaFunds[[#This Row],[ISIN]],'Novia Web Query'!$A:$E,5,FALSE)</f>
        <v>17/02/2021</v>
      </c>
      <c r="F766" t="str">
        <f>VLOOKUP(NoviaFunds[[#This Row],[Sector]],Sectors[],2,FALSE)</f>
        <v>Specialist</v>
      </c>
    </row>
    <row r="767" spans="1:6" x14ac:dyDescent="0.2">
      <c r="A767" t="str">
        <f>'Novia Web Query'!A767</f>
        <v>GB0005860944</v>
      </c>
      <c r="B767" t="str">
        <f>VLOOKUP(NoviaFunds[[#This Row],[ISIN]],'Novia Web Query'!$A:$E,2,FALSE)</f>
        <v>BlackRock Emerging Markets A Acc in GB</v>
      </c>
      <c r="C767" t="str">
        <f>VLOOKUP(NoviaFunds[[#This Row],[ISIN]],'Novia Web Query'!$A:$E,3,FALSE)</f>
        <v>UT Global Emerging Markets</v>
      </c>
      <c r="D767" s="139">
        <f>VLOOKUP(NoviaFunds[[#This Row],[ISIN]],'Novia Web Query'!$A:$E,4,FALSE)/100</f>
        <v>1.7100000000000001E-2</v>
      </c>
      <c r="E767" s="3" t="str">
        <f>VLOOKUP(NoviaFunds[[#This Row],[ISIN]],'Novia Web Query'!$A:$E,5,FALSE)</f>
        <v>17/02/2021</v>
      </c>
      <c r="F767" t="str">
        <f>VLOOKUP(NoviaFunds[[#This Row],[Sector]],Sectors[],2,FALSE)</f>
        <v>Emerging Markets</v>
      </c>
    </row>
    <row r="768" spans="1:6" x14ac:dyDescent="0.2">
      <c r="A768" t="str">
        <f>'Novia Web Query'!A768</f>
        <v>GB0005860837</v>
      </c>
      <c r="B768" t="str">
        <f>VLOOKUP(NoviaFunds[[#This Row],[ISIN]],'Novia Web Query'!$A:$E,2,FALSE)</f>
        <v>BlackRock Emerging Markets A Inc TR in GB</v>
      </c>
      <c r="C768" t="str">
        <f>VLOOKUP(NoviaFunds[[#This Row],[ISIN]],'Novia Web Query'!$A:$E,3,FALSE)</f>
        <v>UT Global Emerging Markets</v>
      </c>
      <c r="D768" s="139">
        <f>VLOOKUP(NoviaFunds[[#This Row],[ISIN]],'Novia Web Query'!$A:$E,4,FALSE)/100</f>
        <v>1.7100000000000001E-2</v>
      </c>
      <c r="E768" s="3" t="str">
        <f>VLOOKUP(NoviaFunds[[#This Row],[ISIN]],'Novia Web Query'!$A:$E,5,FALSE)</f>
        <v>17/02/2021</v>
      </c>
      <c r="F768" t="str">
        <f>VLOOKUP(NoviaFunds[[#This Row],[Sector]],Sectors[],2,FALSE)</f>
        <v>Emerging Markets</v>
      </c>
    </row>
    <row r="769" spans="1:6" x14ac:dyDescent="0.2">
      <c r="A769" t="str">
        <f>'Novia Web Query'!A769</f>
        <v>GB00B4R9F681</v>
      </c>
      <c r="B769" t="str">
        <f>VLOOKUP(NoviaFunds[[#This Row],[ISIN]],'Novia Web Query'!$A:$E,2,FALSE)</f>
        <v>BlackRock Emerging Markets D Acc in GB</v>
      </c>
      <c r="C769" t="str">
        <f>VLOOKUP(NoviaFunds[[#This Row],[ISIN]],'Novia Web Query'!$A:$E,3,FALSE)</f>
        <v>UT Global Emerging Markets</v>
      </c>
      <c r="D769" s="139">
        <f>VLOOKUP(NoviaFunds[[#This Row],[ISIN]],'Novia Web Query'!$A:$E,4,FALSE)/100</f>
        <v>9.4999999999999998E-3</v>
      </c>
      <c r="E769" s="3" t="str">
        <f>VLOOKUP(NoviaFunds[[#This Row],[ISIN]],'Novia Web Query'!$A:$E,5,FALSE)</f>
        <v>17/02/2021</v>
      </c>
      <c r="F769" t="str">
        <f>VLOOKUP(NoviaFunds[[#This Row],[Sector]],Sectors[],2,FALSE)</f>
        <v>Emerging Markets</v>
      </c>
    </row>
    <row r="770" spans="1:6" x14ac:dyDescent="0.2">
      <c r="A770" t="str">
        <f>'Novia Web Query'!A770</f>
        <v>GB00B88T6625</v>
      </c>
      <c r="B770" t="str">
        <f>VLOOKUP(NoviaFunds[[#This Row],[ISIN]],'Novia Web Query'!$A:$E,2,FALSE)</f>
        <v>BlackRock Emerging Markets D Inc TR in GB</v>
      </c>
      <c r="C770" t="str">
        <f>VLOOKUP(NoviaFunds[[#This Row],[ISIN]],'Novia Web Query'!$A:$E,3,FALSE)</f>
        <v>UT Global Emerging Markets</v>
      </c>
      <c r="D770" s="139">
        <f>VLOOKUP(NoviaFunds[[#This Row],[ISIN]],'Novia Web Query'!$A:$E,4,FALSE)/100</f>
        <v>9.3999999999999986E-3</v>
      </c>
      <c r="E770" s="3" t="str">
        <f>VLOOKUP(NoviaFunds[[#This Row],[ISIN]],'Novia Web Query'!$A:$E,5,FALSE)</f>
        <v>17/02/2021</v>
      </c>
      <c r="F770" t="str">
        <f>VLOOKUP(NoviaFunds[[#This Row],[Sector]],Sectors[],2,FALSE)</f>
        <v>Emerging Markets</v>
      </c>
    </row>
    <row r="771" spans="1:6" x14ac:dyDescent="0.2">
      <c r="A771" t="str">
        <f>'Novia Web Query'!A771</f>
        <v>GB00B4Y62W78</v>
      </c>
      <c r="B771" t="str">
        <f>VLOOKUP(NoviaFunds[[#This Row],[ISIN]],'Novia Web Query'!$A:$E,2,FALSE)</f>
        <v>BlackRock European Absolute Alpha D Acc in GB</v>
      </c>
      <c r="C771" t="str">
        <f>VLOOKUP(NoviaFunds[[#This Row],[ISIN]],'Novia Web Query'!$A:$E,3,FALSE)</f>
        <v>UT Targeted Absolute Return</v>
      </c>
      <c r="D771" s="139">
        <f>VLOOKUP(NoviaFunds[[#This Row],[ISIN]],'Novia Web Query'!$A:$E,4,FALSE)/100</f>
        <v>9.1000000000000004E-3</v>
      </c>
      <c r="E771" s="3" t="str">
        <f>VLOOKUP(NoviaFunds[[#This Row],[ISIN]],'Novia Web Query'!$A:$E,5,FALSE)</f>
        <v>17/02/2021</v>
      </c>
      <c r="F771" t="str">
        <f>VLOOKUP(NoviaFunds[[#This Row],[Sector]],Sectors[],2,FALSE)</f>
        <v>Absolute Return</v>
      </c>
    </row>
    <row r="772" spans="1:6" x14ac:dyDescent="0.2">
      <c r="A772" t="str">
        <f>'Novia Web Query'!A772</f>
        <v>GB00B4Y62T40</v>
      </c>
      <c r="B772" t="str">
        <f>VLOOKUP(NoviaFunds[[#This Row],[ISIN]],'Novia Web Query'!$A:$E,2,FALSE)</f>
        <v>BlackRock European Absolute Alpha P Acc in GB</v>
      </c>
      <c r="C772" t="str">
        <f>VLOOKUP(NoviaFunds[[#This Row],[ISIN]],'Novia Web Query'!$A:$E,3,FALSE)</f>
        <v>UT Targeted Absolute Return</v>
      </c>
      <c r="D772" s="139">
        <f>VLOOKUP(NoviaFunds[[#This Row],[ISIN]],'Novia Web Query'!$A:$E,4,FALSE)/100</f>
        <v>1.67E-2</v>
      </c>
      <c r="E772" s="3" t="str">
        <f>VLOOKUP(NoviaFunds[[#This Row],[ISIN]],'Novia Web Query'!$A:$E,5,FALSE)</f>
        <v>17/02/2021</v>
      </c>
      <c r="F772" t="str">
        <f>VLOOKUP(NoviaFunds[[#This Row],[Sector]],Sectors[],2,FALSE)</f>
        <v>Absolute Return</v>
      </c>
    </row>
    <row r="773" spans="1:6" x14ac:dyDescent="0.2">
      <c r="A773" t="str">
        <f>'Novia Web Query'!A773</f>
        <v>GB0000495209</v>
      </c>
      <c r="B773" t="str">
        <f>VLOOKUP(NoviaFunds[[#This Row],[ISIN]],'Novia Web Query'!$A:$E,2,FALSE)</f>
        <v>BlackRock European Dynamic A Acc in GB</v>
      </c>
      <c r="C773" t="str">
        <f>VLOOKUP(NoviaFunds[[#This Row],[ISIN]],'Novia Web Query'!$A:$E,3,FALSE)</f>
        <v>UT Europe Excluding UK</v>
      </c>
      <c r="D773" s="139">
        <f>VLOOKUP(NoviaFunds[[#This Row],[ISIN]],'Novia Web Query'!$A:$E,4,FALSE)/100</f>
        <v>1.67E-2</v>
      </c>
      <c r="E773" s="3" t="str">
        <f>VLOOKUP(NoviaFunds[[#This Row],[ISIN]],'Novia Web Query'!$A:$E,5,FALSE)</f>
        <v>17/02/2021</v>
      </c>
      <c r="F773" t="str">
        <f>VLOOKUP(NoviaFunds[[#This Row],[Sector]],Sectors[],2,FALSE)</f>
        <v>European Equities</v>
      </c>
    </row>
    <row r="774" spans="1:6" x14ac:dyDescent="0.2">
      <c r="A774" t="str">
        <f>'Novia Web Query'!A774</f>
        <v>GB0000494905</v>
      </c>
      <c r="B774" t="str">
        <f>VLOOKUP(NoviaFunds[[#This Row],[ISIN]],'Novia Web Query'!$A:$E,2,FALSE)</f>
        <v>BlackRock European Dynamic A Inc TR in GB</v>
      </c>
      <c r="C774" t="str">
        <f>VLOOKUP(NoviaFunds[[#This Row],[ISIN]],'Novia Web Query'!$A:$E,3,FALSE)</f>
        <v>UT Europe Excluding UK</v>
      </c>
      <c r="D774" s="139">
        <f>VLOOKUP(NoviaFunds[[#This Row],[ISIN]],'Novia Web Query'!$A:$E,4,FALSE)/100</f>
        <v>1.67E-2</v>
      </c>
      <c r="E774" s="3" t="str">
        <f>VLOOKUP(NoviaFunds[[#This Row],[ISIN]],'Novia Web Query'!$A:$E,5,FALSE)</f>
        <v>17/02/2021</v>
      </c>
      <c r="F774" t="str">
        <f>VLOOKUP(NoviaFunds[[#This Row],[Sector]],Sectors[],2,FALSE)</f>
        <v>European Equities</v>
      </c>
    </row>
    <row r="775" spans="1:6" x14ac:dyDescent="0.2">
      <c r="A775" t="str">
        <f>'Novia Web Query'!A775</f>
        <v>GB00B5W2QB11</v>
      </c>
      <c r="B775" t="str">
        <f>VLOOKUP(NoviaFunds[[#This Row],[ISIN]],'Novia Web Query'!$A:$E,2,FALSE)</f>
        <v>BlackRock European Dynamic D Acc in GB</v>
      </c>
      <c r="C775" t="str">
        <f>VLOOKUP(NoviaFunds[[#This Row],[ISIN]],'Novia Web Query'!$A:$E,3,FALSE)</f>
        <v>UT Europe Excluding UK</v>
      </c>
      <c r="D775" s="139">
        <f>VLOOKUP(NoviaFunds[[#This Row],[ISIN]],'Novia Web Query'!$A:$E,4,FALSE)/100</f>
        <v>9.1999999999999998E-3</v>
      </c>
      <c r="E775" s="3" t="str">
        <f>VLOOKUP(NoviaFunds[[#This Row],[ISIN]],'Novia Web Query'!$A:$E,5,FALSE)</f>
        <v>17/02/2021</v>
      </c>
      <c r="F775" t="str">
        <f>VLOOKUP(NoviaFunds[[#This Row],[Sector]],Sectors[],2,FALSE)</f>
        <v>European Equities</v>
      </c>
    </row>
    <row r="776" spans="1:6" x14ac:dyDescent="0.2">
      <c r="A776" t="str">
        <f>'Novia Web Query'!A776</f>
        <v>GB00B8440Z89</v>
      </c>
      <c r="B776" t="str">
        <f>VLOOKUP(NoviaFunds[[#This Row],[ISIN]],'Novia Web Query'!$A:$E,2,FALSE)</f>
        <v>BlackRock European Dynamic D Inc TR in GB</v>
      </c>
      <c r="C776" t="str">
        <f>VLOOKUP(NoviaFunds[[#This Row],[ISIN]],'Novia Web Query'!$A:$E,3,FALSE)</f>
        <v>UT Europe Excluding UK</v>
      </c>
      <c r="D776" s="139">
        <f>VLOOKUP(NoviaFunds[[#This Row],[ISIN]],'Novia Web Query'!$A:$E,4,FALSE)/100</f>
        <v>9.1999999999999998E-3</v>
      </c>
      <c r="E776" s="3" t="str">
        <f>VLOOKUP(NoviaFunds[[#This Row],[ISIN]],'Novia Web Query'!$A:$E,5,FALSE)</f>
        <v>17/02/2021</v>
      </c>
      <c r="F776" t="str">
        <f>VLOOKUP(NoviaFunds[[#This Row],[Sector]],Sectors[],2,FALSE)</f>
        <v>European Equities</v>
      </c>
    </row>
    <row r="777" spans="1:6" x14ac:dyDescent="0.2">
      <c r="A777" t="str">
        <f>'Novia Web Query'!A777</f>
        <v>GB00BCZRNL16</v>
      </c>
      <c r="B777" t="str">
        <f>VLOOKUP(NoviaFunds[[#This Row],[ISIN]],'Novia Web Query'!$A:$E,2,FALSE)</f>
        <v>BlackRock European Dynamic FA Acc in GB</v>
      </c>
      <c r="C777" t="str">
        <f>VLOOKUP(NoviaFunds[[#This Row],[ISIN]],'Novia Web Query'!$A:$E,3,FALSE)</f>
        <v>UT Europe Excluding UK</v>
      </c>
      <c r="D777" s="139">
        <f>VLOOKUP(NoviaFunds[[#This Row],[ISIN]],'Novia Web Query'!$A:$E,4,FALSE)/100</f>
        <v>1.67E-2</v>
      </c>
      <c r="E777" s="3" t="str">
        <f>VLOOKUP(NoviaFunds[[#This Row],[ISIN]],'Novia Web Query'!$A:$E,5,FALSE)</f>
        <v>17/02/2021</v>
      </c>
      <c r="F777" t="str">
        <f>VLOOKUP(NoviaFunds[[#This Row],[Sector]],Sectors[],2,FALSE)</f>
        <v>European Equities</v>
      </c>
    </row>
    <row r="778" spans="1:6" x14ac:dyDescent="0.2">
      <c r="A778" t="str">
        <f>'Novia Web Query'!A778</f>
        <v>GB00BCZRNN30</v>
      </c>
      <c r="B778" t="str">
        <f>VLOOKUP(NoviaFunds[[#This Row],[ISIN]],'Novia Web Query'!$A:$E,2,FALSE)</f>
        <v>BlackRock European Dynamic FD Acc in GB**</v>
      </c>
      <c r="C778" t="str">
        <f>VLOOKUP(NoviaFunds[[#This Row],[ISIN]],'Novia Web Query'!$A:$E,3,FALSE)</f>
        <v>UT Europe Excluding UK</v>
      </c>
      <c r="D778" s="139">
        <f>VLOOKUP(NoviaFunds[[#This Row],[ISIN]],'Novia Web Query'!$A:$E,4,FALSE)/100</f>
        <v>9.1999999999999998E-3</v>
      </c>
      <c r="E778" s="3" t="str">
        <f>VLOOKUP(NoviaFunds[[#This Row],[ISIN]],'Novia Web Query'!$A:$E,5,FALSE)</f>
        <v>17/02/2021</v>
      </c>
      <c r="F778" t="str">
        <f>VLOOKUP(NoviaFunds[[#This Row],[Sector]],Sectors[],2,FALSE)</f>
        <v>European Equities</v>
      </c>
    </row>
    <row r="779" spans="1:6" x14ac:dyDescent="0.2">
      <c r="A779" t="str">
        <f>'Novia Web Query'!A779</f>
        <v>GB00BWG05X55</v>
      </c>
      <c r="B779" t="str">
        <f>VLOOKUP(NoviaFunds[[#This Row],[ISIN]],'Novia Web Query'!$A:$E,2,FALSE)</f>
        <v>BlackRock European Dynamic FD Hedged Acc in GB</v>
      </c>
      <c r="C779" t="str">
        <f>VLOOKUP(NoviaFunds[[#This Row],[ISIN]],'Novia Web Query'!$A:$E,3,FALSE)</f>
        <v>UT Europe Excluding UK</v>
      </c>
      <c r="D779" s="139">
        <f>VLOOKUP(NoviaFunds[[#This Row],[ISIN]],'Novia Web Query'!$A:$E,4,FALSE)/100</f>
        <v>9.1999999999999998E-3</v>
      </c>
      <c r="E779" s="3" t="str">
        <f>VLOOKUP(NoviaFunds[[#This Row],[ISIN]],'Novia Web Query'!$A:$E,5,FALSE)</f>
        <v>17/02/2021</v>
      </c>
      <c r="F779" t="str">
        <f>VLOOKUP(NoviaFunds[[#This Row],[Sector]],Sectors[],2,FALSE)</f>
        <v>European Equities</v>
      </c>
    </row>
    <row r="780" spans="1:6" x14ac:dyDescent="0.2">
      <c r="A780" t="str">
        <f>'Novia Web Query'!A780</f>
        <v>GB00BWG05Z79</v>
      </c>
      <c r="B780" t="str">
        <f>VLOOKUP(NoviaFunds[[#This Row],[ISIN]],'Novia Web Query'!$A:$E,2,FALSE)</f>
        <v>BlackRock European Dynamic FD Hedged Inc TR in GB</v>
      </c>
      <c r="C780" t="str">
        <f>VLOOKUP(NoviaFunds[[#This Row],[ISIN]],'Novia Web Query'!$A:$E,3,FALSE)</f>
        <v>UT Europe Excluding UK</v>
      </c>
      <c r="D780" s="139">
        <f>VLOOKUP(NoviaFunds[[#This Row],[ISIN]],'Novia Web Query'!$A:$E,4,FALSE)/100</f>
        <v>9.1999999999999998E-3</v>
      </c>
      <c r="E780" s="3" t="str">
        <f>VLOOKUP(NoviaFunds[[#This Row],[ISIN]],'Novia Web Query'!$A:$E,5,FALSE)</f>
        <v>17/02/2021</v>
      </c>
      <c r="F780" t="str">
        <f>VLOOKUP(NoviaFunds[[#This Row],[Sector]],Sectors[],2,FALSE)</f>
        <v>European Equities</v>
      </c>
    </row>
    <row r="781" spans="1:6" x14ac:dyDescent="0.2">
      <c r="A781" t="str">
        <f>'Novia Web Query'!A781</f>
        <v>GB00BCZRNM23</v>
      </c>
      <c r="B781" t="str">
        <f>VLOOKUP(NoviaFunds[[#This Row],[ISIN]],'Novia Web Query'!$A:$E,2,FALSE)</f>
        <v>BlackRock European Dynamic FD Inc TR in GB**</v>
      </c>
      <c r="C781" t="str">
        <f>VLOOKUP(NoviaFunds[[#This Row],[ISIN]],'Novia Web Query'!$A:$E,3,FALSE)</f>
        <v>UT Europe Excluding UK</v>
      </c>
      <c r="D781" s="139">
        <f>VLOOKUP(NoviaFunds[[#This Row],[ISIN]],'Novia Web Query'!$A:$E,4,FALSE)/100</f>
        <v>9.1999999999999998E-3</v>
      </c>
      <c r="E781" s="3" t="str">
        <f>VLOOKUP(NoviaFunds[[#This Row],[ISIN]],'Novia Web Query'!$A:$E,5,FALSE)</f>
        <v>17/02/2021</v>
      </c>
      <c r="F781" t="str">
        <f>VLOOKUP(NoviaFunds[[#This Row],[Sector]],Sectors[],2,FALSE)</f>
        <v>European Equities</v>
      </c>
    </row>
    <row r="782" spans="1:6" x14ac:dyDescent="0.2">
      <c r="A782" t="str">
        <f>'Novia Web Query'!A782</f>
        <v>GB00B3R9X560</v>
      </c>
      <c r="B782" t="str">
        <f>VLOOKUP(NoviaFunds[[#This Row],[ISIN]],'Novia Web Query'!$A:$E,2,FALSE)</f>
        <v>BlackRock Global Income A Acc in GB</v>
      </c>
      <c r="C782" t="str">
        <f>VLOOKUP(NoviaFunds[[#This Row],[ISIN]],'Novia Web Query'!$A:$E,3,FALSE)</f>
        <v>UT Global Equity Income</v>
      </c>
      <c r="D782" s="139">
        <f>VLOOKUP(NoviaFunds[[#This Row],[ISIN]],'Novia Web Query'!$A:$E,4,FALSE)/100</f>
        <v>1.7000000000000001E-2</v>
      </c>
      <c r="E782" s="3" t="str">
        <f>VLOOKUP(NoviaFunds[[#This Row],[ISIN]],'Novia Web Query'!$A:$E,5,FALSE)</f>
        <v>17/02/2021</v>
      </c>
      <c r="F782" t="str">
        <f>VLOOKUP(NoviaFunds[[#This Row],[Sector]],Sectors[],2,FALSE)</f>
        <v>Other Equities</v>
      </c>
    </row>
    <row r="783" spans="1:6" x14ac:dyDescent="0.2">
      <c r="A783" t="str">
        <f>'Novia Web Query'!A783</f>
        <v>GB00B45NTV55</v>
      </c>
      <c r="B783" t="str">
        <f>VLOOKUP(NoviaFunds[[#This Row],[ISIN]],'Novia Web Query'!$A:$E,2,FALSE)</f>
        <v>BlackRock Global Income A Inc TR in GB</v>
      </c>
      <c r="C783" t="str">
        <f>VLOOKUP(NoviaFunds[[#This Row],[ISIN]],'Novia Web Query'!$A:$E,3,FALSE)</f>
        <v>UT Global Equity Income</v>
      </c>
      <c r="D783" s="139">
        <f>VLOOKUP(NoviaFunds[[#This Row],[ISIN]],'Novia Web Query'!$A:$E,4,FALSE)/100</f>
        <v>1.7000000000000001E-2</v>
      </c>
      <c r="E783" s="3" t="str">
        <f>VLOOKUP(NoviaFunds[[#This Row],[ISIN]],'Novia Web Query'!$A:$E,5,FALSE)</f>
        <v>17/02/2021</v>
      </c>
      <c r="F783" t="str">
        <f>VLOOKUP(NoviaFunds[[#This Row],[Sector]],Sectors[],2,FALSE)</f>
        <v>Other Equities</v>
      </c>
    </row>
    <row r="784" spans="1:6" x14ac:dyDescent="0.2">
      <c r="A784" t="str">
        <f>'Novia Web Query'!A784</f>
        <v>GB00B3L7Q242</v>
      </c>
      <c r="B784" t="str">
        <f>VLOOKUP(NoviaFunds[[#This Row],[ISIN]],'Novia Web Query'!$A:$E,2,FALSE)</f>
        <v>BlackRock Global Income D Acc in GB</v>
      </c>
      <c r="C784" t="str">
        <f>VLOOKUP(NoviaFunds[[#This Row],[ISIN]],'Novia Web Query'!$A:$E,3,FALSE)</f>
        <v>UT Global Equity Income</v>
      </c>
      <c r="D784" s="139">
        <f>VLOOKUP(NoviaFunds[[#This Row],[ISIN]],'Novia Web Query'!$A:$E,4,FALSE)/100</f>
        <v>9.4999999999999998E-3</v>
      </c>
      <c r="E784" s="3" t="str">
        <f>VLOOKUP(NoviaFunds[[#This Row],[ISIN]],'Novia Web Query'!$A:$E,5,FALSE)</f>
        <v>17/02/2021</v>
      </c>
      <c r="F784" t="str">
        <f>VLOOKUP(NoviaFunds[[#This Row],[Sector]],Sectors[],2,FALSE)</f>
        <v>Other Equities</v>
      </c>
    </row>
    <row r="785" spans="1:6" x14ac:dyDescent="0.2">
      <c r="A785" t="str">
        <f>'Novia Web Query'!A785</f>
        <v>GB00B3VXK756</v>
      </c>
      <c r="B785" t="str">
        <f>VLOOKUP(NoviaFunds[[#This Row],[ISIN]],'Novia Web Query'!$A:$E,2,FALSE)</f>
        <v>BlackRock Global Income D Inc TR in GB</v>
      </c>
      <c r="C785" t="str">
        <f>VLOOKUP(NoviaFunds[[#This Row],[ISIN]],'Novia Web Query'!$A:$E,3,FALSE)</f>
        <v>UT Global Equity Income</v>
      </c>
      <c r="D785" s="139">
        <f>VLOOKUP(NoviaFunds[[#This Row],[ISIN]],'Novia Web Query'!$A:$E,4,FALSE)/100</f>
        <v>9.4999999999999998E-3</v>
      </c>
      <c r="E785" s="3" t="str">
        <f>VLOOKUP(NoviaFunds[[#This Row],[ISIN]],'Novia Web Query'!$A:$E,5,FALSE)</f>
        <v>17/02/2021</v>
      </c>
      <c r="F785" t="str">
        <f>VLOOKUP(NoviaFunds[[#This Row],[Sector]],Sectors[],2,FALSE)</f>
        <v>Other Equities</v>
      </c>
    </row>
    <row r="786" spans="1:6" x14ac:dyDescent="0.2">
      <c r="A786" t="str">
        <f>'Novia Web Query'!A786</f>
        <v>GB00BFK3ML85</v>
      </c>
      <c r="B786" t="str">
        <f>VLOOKUP(NoviaFunds[[#This Row],[ISIN]],'Novia Web Query'!$A:$E,2,FALSE)</f>
        <v>BlackRock Global Unconstrained Equity (UK) D in GB</v>
      </c>
      <c r="C786" t="str">
        <f>VLOOKUP(NoviaFunds[[#This Row],[ISIN]],'Novia Web Query'!$A:$E,3,FALSE)</f>
        <v>UT Global</v>
      </c>
      <c r="D786" s="139">
        <f>VLOOKUP(NoviaFunds[[#This Row],[ISIN]],'Novia Web Query'!$A:$E,4,FALSE)/100</f>
        <v>9.300000000000001E-3</v>
      </c>
      <c r="E786" s="3" t="str">
        <f>VLOOKUP(NoviaFunds[[#This Row],[ISIN]],'Novia Web Query'!$A:$E,5,FALSE)</f>
        <v>17/02/2021</v>
      </c>
      <c r="F786" t="str">
        <f>VLOOKUP(NoviaFunds[[#This Row],[Sector]],Sectors[],2,FALSE)</f>
        <v>Other Equities</v>
      </c>
    </row>
    <row r="787" spans="1:6" x14ac:dyDescent="0.2">
      <c r="A787" t="str">
        <f>'Novia Web Query'!A787</f>
        <v>GB0005852396</v>
      </c>
      <c r="B787" t="str">
        <f>VLOOKUP(NoviaFunds[[#This Row],[ISIN]],'Novia Web Query'!$A:$E,2,FALSE)</f>
        <v>BlackRock Gold &amp; General A Acc in GB</v>
      </c>
      <c r="C787" t="str">
        <f>VLOOKUP(NoviaFunds[[#This Row],[ISIN]],'Novia Web Query'!$A:$E,3,FALSE)</f>
        <v>UT Specialist</v>
      </c>
      <c r="D787" s="139">
        <f>VLOOKUP(NoviaFunds[[#This Row],[ISIN]],'Novia Web Query'!$A:$E,4,FALSE)/100</f>
        <v>1.9199999999999998E-2</v>
      </c>
      <c r="E787" s="3" t="str">
        <f>VLOOKUP(NoviaFunds[[#This Row],[ISIN]],'Novia Web Query'!$A:$E,5,FALSE)</f>
        <v>17/02/2021</v>
      </c>
      <c r="F787" t="str">
        <f>VLOOKUP(NoviaFunds[[#This Row],[Sector]],Sectors[],2,FALSE)</f>
        <v>Specialist</v>
      </c>
    </row>
    <row r="788" spans="1:6" x14ac:dyDescent="0.2">
      <c r="A788" t="str">
        <f>'Novia Web Query'!A788</f>
        <v>GB0001732584</v>
      </c>
      <c r="B788" t="str">
        <f>VLOOKUP(NoviaFunds[[#This Row],[ISIN]],'Novia Web Query'!$A:$E,2,FALSE)</f>
        <v>BlackRock Gold &amp; General A Inc TR in GB**</v>
      </c>
      <c r="C788" t="str">
        <f>VLOOKUP(NoviaFunds[[#This Row],[ISIN]],'Novia Web Query'!$A:$E,3,FALSE)</f>
        <v>UT Specialist</v>
      </c>
      <c r="D788" s="139">
        <f>VLOOKUP(NoviaFunds[[#This Row],[ISIN]],'Novia Web Query'!$A:$E,4,FALSE)/100</f>
        <v>1.9199999999999998E-2</v>
      </c>
      <c r="E788" s="3" t="str">
        <f>VLOOKUP(NoviaFunds[[#This Row],[ISIN]],'Novia Web Query'!$A:$E,5,FALSE)</f>
        <v>17/02/2021</v>
      </c>
      <c r="F788" t="str">
        <f>VLOOKUP(NoviaFunds[[#This Row],[Sector]],Sectors[],2,FALSE)</f>
        <v>Specialist</v>
      </c>
    </row>
    <row r="789" spans="1:6" x14ac:dyDescent="0.2">
      <c r="A789" t="str">
        <f>'Novia Web Query'!A789</f>
        <v>GB00B5ZNJ896</v>
      </c>
      <c r="B789" t="str">
        <f>VLOOKUP(NoviaFunds[[#This Row],[ISIN]],'Novia Web Query'!$A:$E,2,FALSE)</f>
        <v>BlackRock Gold &amp; General D Acc in GB</v>
      </c>
      <c r="C789" t="str">
        <f>VLOOKUP(NoviaFunds[[#This Row],[ISIN]],'Novia Web Query'!$A:$E,3,FALSE)</f>
        <v>UT Specialist</v>
      </c>
      <c r="D789" s="139">
        <f>VLOOKUP(NoviaFunds[[#This Row],[ISIN]],'Novia Web Query'!$A:$E,4,FALSE)/100</f>
        <v>1.1699999999999999E-2</v>
      </c>
      <c r="E789" s="3" t="str">
        <f>VLOOKUP(NoviaFunds[[#This Row],[ISIN]],'Novia Web Query'!$A:$E,5,FALSE)</f>
        <v>17/02/2021</v>
      </c>
      <c r="F789" t="str">
        <f>VLOOKUP(NoviaFunds[[#This Row],[Sector]],Sectors[],2,FALSE)</f>
        <v>Specialist</v>
      </c>
    </row>
    <row r="790" spans="1:6" x14ac:dyDescent="0.2">
      <c r="A790" t="str">
        <f>'Novia Web Query'!A790</f>
        <v>GB00B5ZNJ904</v>
      </c>
      <c r="B790" t="str">
        <f>VLOOKUP(NoviaFunds[[#This Row],[ISIN]],'Novia Web Query'!$A:$E,2,FALSE)</f>
        <v>BlackRock Gold &amp; General D Inc TR in GB</v>
      </c>
      <c r="C790" t="str">
        <f>VLOOKUP(NoviaFunds[[#This Row],[ISIN]],'Novia Web Query'!$A:$E,3,FALSE)</f>
        <v>UT Specialist</v>
      </c>
      <c r="D790" s="139">
        <f>VLOOKUP(NoviaFunds[[#This Row],[ISIN]],'Novia Web Query'!$A:$E,4,FALSE)/100</f>
        <v>1.1699999999999999E-2</v>
      </c>
      <c r="E790" s="3" t="str">
        <f>VLOOKUP(NoviaFunds[[#This Row],[ISIN]],'Novia Web Query'!$A:$E,5,FALSE)</f>
        <v>17/02/2021</v>
      </c>
      <c r="F790" t="str">
        <f>VLOOKUP(NoviaFunds[[#This Row],[Sector]],Sectors[],2,FALSE)</f>
        <v>Specialist</v>
      </c>
    </row>
    <row r="791" spans="1:6" x14ac:dyDescent="0.2">
      <c r="A791" t="str">
        <f>'Novia Web Query'!A791</f>
        <v>GB00B99BDY18</v>
      </c>
      <c r="B791" t="str">
        <f>VLOOKUP(NoviaFunds[[#This Row],[ISIN]],'Novia Web Query'!$A:$E,2,FALSE)</f>
        <v>BlackRock Gold &amp; General DI Acc in GB**</v>
      </c>
      <c r="C791" t="str">
        <f>VLOOKUP(NoviaFunds[[#This Row],[ISIN]],'Novia Web Query'!$A:$E,3,FALSE)</f>
        <v>UT Specialist</v>
      </c>
      <c r="D791" s="139">
        <f>VLOOKUP(NoviaFunds[[#This Row],[ISIN]],'Novia Web Query'!$A:$E,4,FALSE)/100</f>
        <v>8.8999999999999999E-3</v>
      </c>
      <c r="E791" s="3" t="str">
        <f>VLOOKUP(NoviaFunds[[#This Row],[ISIN]],'Novia Web Query'!$A:$E,5,FALSE)</f>
        <v>17/02/2021</v>
      </c>
      <c r="F791" t="str">
        <f>VLOOKUP(NoviaFunds[[#This Row],[Sector]],Sectors[],2,FALSE)</f>
        <v>Specialist</v>
      </c>
    </row>
    <row r="792" spans="1:6" x14ac:dyDescent="0.2">
      <c r="A792" t="str">
        <f>'Novia Web Query'!A792</f>
        <v>GB00B99BF015</v>
      </c>
      <c r="B792" t="str">
        <f>VLOOKUP(NoviaFunds[[#This Row],[ISIN]],'Novia Web Query'!$A:$E,2,FALSE)</f>
        <v>BlackRock Gold &amp; General DI Inc TR in GB**</v>
      </c>
      <c r="C792" t="str">
        <f>VLOOKUP(NoviaFunds[[#This Row],[ISIN]],'Novia Web Query'!$A:$E,3,FALSE)</f>
        <v>UT Specialist</v>
      </c>
      <c r="D792" s="139">
        <f>VLOOKUP(NoviaFunds[[#This Row],[ISIN]],'Novia Web Query'!$A:$E,4,FALSE)/100</f>
        <v>8.8999999999999999E-3</v>
      </c>
      <c r="E792" s="3" t="str">
        <f>VLOOKUP(NoviaFunds[[#This Row],[ISIN]],'Novia Web Query'!$A:$E,5,FALSE)</f>
        <v>17/02/2021</v>
      </c>
      <c r="F792" t="str">
        <f>VLOOKUP(NoviaFunds[[#This Row],[Sector]],Sectors[],2,FALSE)</f>
        <v>Specialist</v>
      </c>
    </row>
    <row r="793" spans="1:6" x14ac:dyDescent="0.2">
      <c r="A793" t="str">
        <f>'Novia Web Query'!A793</f>
        <v>GB00BS7K6668</v>
      </c>
      <c r="B793" t="str">
        <f>VLOOKUP(NoviaFunds[[#This Row],[ISIN]],'Novia Web Query'!$A:$E,2,FALSE)</f>
        <v>BlackRock Market Advantage D Acc TR in GB</v>
      </c>
      <c r="C793" t="str">
        <f>VLOOKUP(NoviaFunds[[#This Row],[ISIN]],'Novia Web Query'!$A:$E,3,FALSE)</f>
        <v>UT Mixed Investment 0-35% Shares</v>
      </c>
      <c r="D793" s="139">
        <f>VLOOKUP(NoviaFunds[[#This Row],[ISIN]],'Novia Web Query'!$A:$E,4,FALSE)/100</f>
        <v>4.4000000000000003E-3</v>
      </c>
      <c r="E793" s="3" t="str">
        <f>VLOOKUP(NoviaFunds[[#This Row],[ISIN]],'Novia Web Query'!$A:$E,5,FALSE)</f>
        <v>17/02/2021</v>
      </c>
      <c r="F793" t="str">
        <f>VLOOKUP(NoviaFunds[[#This Row],[Sector]],Sectors[],2,FALSE)</f>
        <v>Mixed 0%-35%</v>
      </c>
    </row>
    <row r="794" spans="1:6" x14ac:dyDescent="0.2">
      <c r="A794" t="str">
        <f>'Novia Web Query'!A794</f>
        <v>GB00BFBFYB71</v>
      </c>
      <c r="B794" t="str">
        <f>VLOOKUP(NoviaFunds[[#This Row],[ISIN]],'Novia Web Query'!$A:$E,2,FALSE)</f>
        <v>BlackRock MyMap 3 D Acc in GB</v>
      </c>
      <c r="C794" t="str">
        <f>VLOOKUP(NoviaFunds[[#This Row],[ISIN]],'Novia Web Query'!$A:$E,3,FALSE)</f>
        <v>UT Volatility Managed</v>
      </c>
      <c r="D794" s="139">
        <f>VLOOKUP(NoviaFunds[[#This Row],[ISIN]],'Novia Web Query'!$A:$E,4,FALSE)/100</f>
        <v>1.7000000000000001E-3</v>
      </c>
      <c r="E794" s="3" t="str">
        <f>VLOOKUP(NoviaFunds[[#This Row],[ISIN]],'Novia Web Query'!$A:$E,5,FALSE)</f>
        <v>17/02/2021</v>
      </c>
      <c r="F794" t="e">
        <f>VLOOKUP(NoviaFunds[[#This Row],[Sector]],Sectors[],2,FALSE)</f>
        <v>#N/A</v>
      </c>
    </row>
    <row r="795" spans="1:6" x14ac:dyDescent="0.2">
      <c r="A795" t="str">
        <f>'Novia Web Query'!A795</f>
        <v>GB00BFBFYC88</v>
      </c>
      <c r="B795" t="str">
        <f>VLOOKUP(NoviaFunds[[#This Row],[ISIN]],'Novia Web Query'!$A:$E,2,FALSE)</f>
        <v>BlackRock MyMap 3 D Inc TR in GB</v>
      </c>
      <c r="C795" t="str">
        <f>VLOOKUP(NoviaFunds[[#This Row],[ISIN]],'Novia Web Query'!$A:$E,3,FALSE)</f>
        <v>UT Volatility Managed</v>
      </c>
      <c r="D795" s="139">
        <f>VLOOKUP(NoviaFunds[[#This Row],[ISIN]],'Novia Web Query'!$A:$E,4,FALSE)/100</f>
        <v>1.7000000000000001E-3</v>
      </c>
      <c r="E795" s="3" t="str">
        <f>VLOOKUP(NoviaFunds[[#This Row],[ISIN]],'Novia Web Query'!$A:$E,5,FALSE)</f>
        <v>17/02/2021</v>
      </c>
      <c r="F795" t="e">
        <f>VLOOKUP(NoviaFunds[[#This Row],[Sector]],Sectors[],2,FALSE)</f>
        <v>#N/A</v>
      </c>
    </row>
    <row r="796" spans="1:6" x14ac:dyDescent="0.2">
      <c r="A796" t="str">
        <f>'Novia Web Query'!A796</f>
        <v>GB00BFBFYJ57</v>
      </c>
      <c r="B796" t="str">
        <f>VLOOKUP(NoviaFunds[[#This Row],[ISIN]],'Novia Web Query'!$A:$E,2,FALSE)</f>
        <v>BlackRock MyMap 4 D Acc in GB</v>
      </c>
      <c r="C796" t="str">
        <f>VLOOKUP(NoviaFunds[[#This Row],[ISIN]],'Novia Web Query'!$A:$E,3,FALSE)</f>
        <v>UT Volatility Managed</v>
      </c>
      <c r="D796" s="139">
        <f>VLOOKUP(NoviaFunds[[#This Row],[ISIN]],'Novia Web Query'!$A:$E,4,FALSE)/100</f>
        <v>1.7000000000000001E-3</v>
      </c>
      <c r="E796" s="3" t="str">
        <f>VLOOKUP(NoviaFunds[[#This Row],[ISIN]],'Novia Web Query'!$A:$E,5,FALSE)</f>
        <v>17/02/2021</v>
      </c>
      <c r="F796" t="e">
        <f>VLOOKUP(NoviaFunds[[#This Row],[Sector]],Sectors[],2,FALSE)</f>
        <v>#N/A</v>
      </c>
    </row>
    <row r="797" spans="1:6" x14ac:dyDescent="0.2">
      <c r="A797" t="str">
        <f>'Novia Web Query'!A797</f>
        <v>GB00BFBFYK62</v>
      </c>
      <c r="B797" t="str">
        <f>VLOOKUP(NoviaFunds[[#This Row],[ISIN]],'Novia Web Query'!$A:$E,2,FALSE)</f>
        <v>BlackRock MyMap 4 D Inc TR in GB</v>
      </c>
      <c r="C797" t="str">
        <f>VLOOKUP(NoviaFunds[[#This Row],[ISIN]],'Novia Web Query'!$A:$E,3,FALSE)</f>
        <v>UT Volatility Managed</v>
      </c>
      <c r="D797" s="139">
        <f>VLOOKUP(NoviaFunds[[#This Row],[ISIN]],'Novia Web Query'!$A:$E,4,FALSE)/100</f>
        <v>1.7000000000000001E-3</v>
      </c>
      <c r="E797" s="3" t="str">
        <f>VLOOKUP(NoviaFunds[[#This Row],[ISIN]],'Novia Web Query'!$A:$E,5,FALSE)</f>
        <v>17/02/2021</v>
      </c>
      <c r="F797" t="e">
        <f>VLOOKUP(NoviaFunds[[#This Row],[Sector]],Sectors[],2,FALSE)</f>
        <v>#N/A</v>
      </c>
    </row>
    <row r="798" spans="1:6" x14ac:dyDescent="0.2">
      <c r="A798" t="str">
        <f>'Novia Web Query'!A798</f>
        <v>GB00BFBFYQ25</v>
      </c>
      <c r="B798" t="str">
        <f>VLOOKUP(NoviaFunds[[#This Row],[ISIN]],'Novia Web Query'!$A:$E,2,FALSE)</f>
        <v>BlackRock MyMap 5 D Acc in GB</v>
      </c>
      <c r="C798" t="str">
        <f>VLOOKUP(NoviaFunds[[#This Row],[ISIN]],'Novia Web Query'!$A:$E,3,FALSE)</f>
        <v>UT Volatility Managed</v>
      </c>
      <c r="D798" s="139">
        <f>VLOOKUP(NoviaFunds[[#This Row],[ISIN]],'Novia Web Query'!$A:$E,4,FALSE)/100</f>
        <v>1.7000000000000001E-3</v>
      </c>
      <c r="E798" s="3" t="str">
        <f>VLOOKUP(NoviaFunds[[#This Row],[ISIN]],'Novia Web Query'!$A:$E,5,FALSE)</f>
        <v>17/02/2021</v>
      </c>
      <c r="F798" t="e">
        <f>VLOOKUP(NoviaFunds[[#This Row],[Sector]],Sectors[],2,FALSE)</f>
        <v>#N/A</v>
      </c>
    </row>
    <row r="799" spans="1:6" x14ac:dyDescent="0.2">
      <c r="A799" t="str">
        <f>'Novia Web Query'!A799</f>
        <v>GB00BFBFYR32</v>
      </c>
      <c r="B799" t="str">
        <f>VLOOKUP(NoviaFunds[[#This Row],[ISIN]],'Novia Web Query'!$A:$E,2,FALSE)</f>
        <v>BlackRock MyMap 5 D Inc TR in GB</v>
      </c>
      <c r="C799" t="str">
        <f>VLOOKUP(NoviaFunds[[#This Row],[ISIN]],'Novia Web Query'!$A:$E,3,FALSE)</f>
        <v>UT Volatility Managed</v>
      </c>
      <c r="D799" s="139">
        <f>VLOOKUP(NoviaFunds[[#This Row],[ISIN]],'Novia Web Query'!$A:$E,4,FALSE)/100</f>
        <v>1.7000000000000001E-3</v>
      </c>
      <c r="E799" s="3" t="str">
        <f>VLOOKUP(NoviaFunds[[#This Row],[ISIN]],'Novia Web Query'!$A:$E,5,FALSE)</f>
        <v>17/02/2021</v>
      </c>
      <c r="F799" t="e">
        <f>VLOOKUP(NoviaFunds[[#This Row],[Sector]],Sectors[],2,FALSE)</f>
        <v>#N/A</v>
      </c>
    </row>
    <row r="800" spans="1:6" x14ac:dyDescent="0.2">
      <c r="A800" t="str">
        <f>'Novia Web Query'!A800</f>
        <v>GB00BFBFZ140</v>
      </c>
      <c r="B800" t="str">
        <f>VLOOKUP(NoviaFunds[[#This Row],[ISIN]],'Novia Web Query'!$A:$E,2,FALSE)</f>
        <v>BlackRock MyMap 6 D Acc in GB</v>
      </c>
      <c r="C800" t="str">
        <f>VLOOKUP(NoviaFunds[[#This Row],[ISIN]],'Novia Web Query'!$A:$E,3,FALSE)</f>
        <v>UT Volatility Managed</v>
      </c>
      <c r="D800" s="139">
        <f>VLOOKUP(NoviaFunds[[#This Row],[ISIN]],'Novia Web Query'!$A:$E,4,FALSE)/100</f>
        <v>1.7000000000000001E-3</v>
      </c>
      <c r="E800" s="3" t="str">
        <f>VLOOKUP(NoviaFunds[[#This Row],[ISIN]],'Novia Web Query'!$A:$E,5,FALSE)</f>
        <v>17/02/2021</v>
      </c>
      <c r="F800" t="e">
        <f>VLOOKUP(NoviaFunds[[#This Row],[Sector]],Sectors[],2,FALSE)</f>
        <v>#N/A</v>
      </c>
    </row>
    <row r="801" spans="1:6" x14ac:dyDescent="0.2">
      <c r="A801" t="str">
        <f>'Novia Web Query'!A801</f>
        <v>GB00BFBFZ256</v>
      </c>
      <c r="B801" t="str">
        <f>VLOOKUP(NoviaFunds[[#This Row],[ISIN]],'Novia Web Query'!$A:$E,2,FALSE)</f>
        <v>BlackRock MyMap 6 D Inc TR in GB</v>
      </c>
      <c r="C801" t="str">
        <f>VLOOKUP(NoviaFunds[[#This Row],[ISIN]],'Novia Web Query'!$A:$E,3,FALSE)</f>
        <v>UT Volatility Managed</v>
      </c>
      <c r="D801" s="139">
        <f>VLOOKUP(NoviaFunds[[#This Row],[ISIN]],'Novia Web Query'!$A:$E,4,FALSE)/100</f>
        <v>1.7000000000000001E-3</v>
      </c>
      <c r="E801" s="3" t="str">
        <f>VLOOKUP(NoviaFunds[[#This Row],[ISIN]],'Novia Web Query'!$A:$E,5,FALSE)</f>
        <v>17/02/2021</v>
      </c>
      <c r="F801" t="e">
        <f>VLOOKUP(NoviaFunds[[#This Row],[Sector]],Sectors[],2,FALSE)</f>
        <v>#N/A</v>
      </c>
    </row>
    <row r="802" spans="1:6" x14ac:dyDescent="0.2">
      <c r="A802" t="str">
        <f>'Novia Web Query'!A802</f>
        <v>GB00B3ZLCR97</v>
      </c>
      <c r="B802" t="str">
        <f>VLOOKUP(NoviaFunds[[#This Row],[ISIN]],'Novia Web Query'!$A:$E,2,FALSE)</f>
        <v>BlackRock Natural Resources Growth &amp; Income A Acc in GB</v>
      </c>
      <c r="C802" t="str">
        <f>VLOOKUP(NoviaFunds[[#This Row],[ISIN]],'Novia Web Query'!$A:$E,3,FALSE)</f>
        <v>UT Commodity/Natural Resources</v>
      </c>
      <c r="D802" s="139">
        <f>VLOOKUP(NoviaFunds[[#This Row],[ISIN]],'Novia Web Query'!$A:$E,4,FALSE)/100</f>
        <v>1.7399999999999999E-2</v>
      </c>
      <c r="E802" s="3" t="str">
        <f>VLOOKUP(NoviaFunds[[#This Row],[ISIN]],'Novia Web Query'!$A:$E,5,FALSE)</f>
        <v>17/02/2021</v>
      </c>
      <c r="F802" t="e">
        <f>VLOOKUP(NoviaFunds[[#This Row],[Sector]],Sectors[],2,FALSE)</f>
        <v>#N/A</v>
      </c>
    </row>
    <row r="803" spans="1:6" x14ac:dyDescent="0.2">
      <c r="A803" t="str">
        <f>'Novia Web Query'!A803</f>
        <v>GB00B6865B79</v>
      </c>
      <c r="B803" t="str">
        <f>VLOOKUP(NoviaFunds[[#This Row],[ISIN]],'Novia Web Query'!$A:$E,2,FALSE)</f>
        <v>BlackRock Natural Resources Growth &amp; Income D Acc in GB</v>
      </c>
      <c r="C803" t="str">
        <f>VLOOKUP(NoviaFunds[[#This Row],[ISIN]],'Novia Web Query'!$A:$E,3,FALSE)</f>
        <v>UT Commodity/Natural Resources</v>
      </c>
      <c r="D803" s="139">
        <f>VLOOKUP(NoviaFunds[[#This Row],[ISIN]],'Novia Web Query'!$A:$E,4,FALSE)/100</f>
        <v>9.8999999999999991E-3</v>
      </c>
      <c r="E803" s="3" t="str">
        <f>VLOOKUP(NoviaFunds[[#This Row],[ISIN]],'Novia Web Query'!$A:$E,5,FALSE)</f>
        <v>17/02/2021</v>
      </c>
      <c r="F803" t="e">
        <f>VLOOKUP(NoviaFunds[[#This Row],[Sector]],Sectors[],2,FALSE)</f>
        <v>#N/A</v>
      </c>
    </row>
    <row r="804" spans="1:6" x14ac:dyDescent="0.2">
      <c r="A804" t="str">
        <f>'Novia Web Query'!A804</f>
        <v>GB00B46KYQ57</v>
      </c>
      <c r="B804" t="str">
        <f>VLOOKUP(NoviaFunds[[#This Row],[ISIN]],'Novia Web Query'!$A:$E,2,FALSE)</f>
        <v>BlackRock Natural Resources Growth &amp; Income D Inc TR in GB</v>
      </c>
      <c r="C804" t="str">
        <f>VLOOKUP(NoviaFunds[[#This Row],[ISIN]],'Novia Web Query'!$A:$E,3,FALSE)</f>
        <v>UT Commodity/Natural Resources</v>
      </c>
      <c r="D804" s="139">
        <f>VLOOKUP(NoviaFunds[[#This Row],[ISIN]],'Novia Web Query'!$A:$E,4,FALSE)/100</f>
        <v>0.01</v>
      </c>
      <c r="E804" s="3" t="str">
        <f>VLOOKUP(NoviaFunds[[#This Row],[ISIN]],'Novia Web Query'!$A:$E,5,FALSE)</f>
        <v>17/02/2021</v>
      </c>
      <c r="F804" t="e">
        <f>VLOOKUP(NoviaFunds[[#This Row],[Sector]],Sectors[],2,FALSE)</f>
        <v>#N/A</v>
      </c>
    </row>
    <row r="805" spans="1:6" x14ac:dyDescent="0.2">
      <c r="A805" t="str">
        <f>'Novia Web Query'!A805</f>
        <v>GB00B7KPX155</v>
      </c>
      <c r="B805" t="str">
        <f>VLOOKUP(NoviaFunds[[#This Row],[ISIN]],'Novia Web Query'!$A:$E,2,FALSE)</f>
        <v>BlackRock NURS II Consensus 100 D in GB</v>
      </c>
      <c r="C805" t="str">
        <f>VLOOKUP(NoviaFunds[[#This Row],[ISIN]],'Novia Web Query'!$A:$E,3,FALSE)</f>
        <v>UT Global</v>
      </c>
      <c r="D805" s="139">
        <f>VLOOKUP(NoviaFunds[[#This Row],[ISIN]],'Novia Web Query'!$A:$E,4,FALSE)/100</f>
        <v>2.0999999999999999E-3</v>
      </c>
      <c r="E805" s="3" t="str">
        <f>VLOOKUP(NoviaFunds[[#This Row],[ISIN]],'Novia Web Query'!$A:$E,5,FALSE)</f>
        <v>17/02/2021</v>
      </c>
      <c r="F805" t="str">
        <f>VLOOKUP(NoviaFunds[[#This Row],[Sector]],Sectors[],2,FALSE)</f>
        <v>Other Equities</v>
      </c>
    </row>
    <row r="806" spans="1:6" x14ac:dyDescent="0.2">
      <c r="A806" t="str">
        <f>'Novia Web Query'!A806</f>
        <v>GB00B7W6H253</v>
      </c>
      <c r="B806" t="str">
        <f>VLOOKUP(NoviaFunds[[#This Row],[ISIN]],'Novia Web Query'!$A:$E,2,FALSE)</f>
        <v>BlackRock NURS II Consensus 35 D in GB</v>
      </c>
      <c r="C806" t="str">
        <f>VLOOKUP(NoviaFunds[[#This Row],[ISIN]],'Novia Web Query'!$A:$E,3,FALSE)</f>
        <v>UT Mixed Investment 0-35% Shares</v>
      </c>
      <c r="D806" s="139">
        <f>VLOOKUP(NoviaFunds[[#This Row],[ISIN]],'Novia Web Query'!$A:$E,4,FALSE)/100</f>
        <v>2.2000000000000001E-3</v>
      </c>
      <c r="E806" s="3" t="str">
        <f>VLOOKUP(NoviaFunds[[#This Row],[ISIN]],'Novia Web Query'!$A:$E,5,FALSE)</f>
        <v>17/02/2021</v>
      </c>
      <c r="F806" t="str">
        <f>VLOOKUP(NoviaFunds[[#This Row],[Sector]],Sectors[],2,FALSE)</f>
        <v>Mixed 0%-35%</v>
      </c>
    </row>
    <row r="807" spans="1:6" x14ac:dyDescent="0.2">
      <c r="A807" t="str">
        <f>'Novia Web Query'!A807</f>
        <v>GB00B86VJL67</v>
      </c>
      <c r="B807" t="str">
        <f>VLOOKUP(NoviaFunds[[#This Row],[ISIN]],'Novia Web Query'!$A:$E,2,FALSE)</f>
        <v>BlackRock NURS II Consensus 60 D in GB</v>
      </c>
      <c r="C807" t="str">
        <f>VLOOKUP(NoviaFunds[[#This Row],[ISIN]],'Novia Web Query'!$A:$E,3,FALSE)</f>
        <v>UT Mixed Investment 20-60% Shares</v>
      </c>
      <c r="D807" s="139">
        <f>VLOOKUP(NoviaFunds[[#This Row],[ISIN]],'Novia Web Query'!$A:$E,4,FALSE)/100</f>
        <v>2.0999999999999999E-3</v>
      </c>
      <c r="E807" s="3" t="str">
        <f>VLOOKUP(NoviaFunds[[#This Row],[ISIN]],'Novia Web Query'!$A:$E,5,FALSE)</f>
        <v>12/03/2021</v>
      </c>
      <c r="F807" t="str">
        <f>VLOOKUP(NoviaFunds[[#This Row],[Sector]],Sectors[],2,FALSE)</f>
        <v>Mixed 20%-60%</v>
      </c>
    </row>
    <row r="808" spans="1:6" x14ac:dyDescent="0.2">
      <c r="A808" t="str">
        <f>'Novia Web Query'!A808</f>
        <v>GB00B86MM213</v>
      </c>
      <c r="B808" t="str">
        <f>VLOOKUP(NoviaFunds[[#This Row],[ISIN]],'Novia Web Query'!$A:$E,2,FALSE)</f>
        <v>BlackRock NURS II Consensus 70 D in GB</v>
      </c>
      <c r="C808" t="str">
        <f>VLOOKUP(NoviaFunds[[#This Row],[ISIN]],'Novia Web Query'!$A:$E,3,FALSE)</f>
        <v>UT Mixed Investment 40-85% Shares</v>
      </c>
      <c r="D808" s="139">
        <f>VLOOKUP(NoviaFunds[[#This Row],[ISIN]],'Novia Web Query'!$A:$E,4,FALSE)/100</f>
        <v>2.0999999999999999E-3</v>
      </c>
      <c r="E808" s="3" t="str">
        <f>VLOOKUP(NoviaFunds[[#This Row],[ISIN]],'Novia Web Query'!$A:$E,5,FALSE)</f>
        <v>12/03/2021</v>
      </c>
      <c r="F808" t="str">
        <f>VLOOKUP(NoviaFunds[[#This Row],[Sector]],Sectors[],2,FALSE)</f>
        <v>Mixed 40%-85%</v>
      </c>
    </row>
    <row r="809" spans="1:6" x14ac:dyDescent="0.2">
      <c r="A809" t="str">
        <f>'Novia Web Query'!A809</f>
        <v>GB00B8D0SR58</v>
      </c>
      <c r="B809" t="str">
        <f>VLOOKUP(NoviaFunds[[#This Row],[ISIN]],'Novia Web Query'!$A:$E,2,FALSE)</f>
        <v>BlackRock NURS II Consensus 85 D in GB**</v>
      </c>
      <c r="C809" t="str">
        <f>VLOOKUP(NoviaFunds[[#This Row],[ISIN]],'Novia Web Query'!$A:$E,3,FALSE)</f>
        <v>UT Mixed Investment 40-85% Shares</v>
      </c>
      <c r="D809" s="139">
        <f>VLOOKUP(NoviaFunds[[#This Row],[ISIN]],'Novia Web Query'!$A:$E,4,FALSE)/100</f>
        <v>2.2000000000000001E-3</v>
      </c>
      <c r="E809" s="3" t="str">
        <f>VLOOKUP(NoviaFunds[[#This Row],[ISIN]],'Novia Web Query'!$A:$E,5,FALSE)</f>
        <v>17/02/2021</v>
      </c>
      <c r="F809" t="str">
        <f>VLOOKUP(NoviaFunds[[#This Row],[Sector]],Sectors[],2,FALSE)</f>
        <v>Mixed 40%-85%</v>
      </c>
    </row>
    <row r="810" spans="1:6" x14ac:dyDescent="0.2">
      <c r="A810" t="str">
        <f>'Novia Web Query'!A810</f>
        <v>GB00BZ6DDJ74</v>
      </c>
      <c r="B810" t="str">
        <f>VLOOKUP(NoviaFunds[[#This Row],[ISIN]],'Novia Web Query'!$A:$E,2,FALSE)</f>
        <v>BlackRock Sterling Strategic Bond D Acc in GB</v>
      </c>
      <c r="C810" t="str">
        <f>VLOOKUP(NoviaFunds[[#This Row],[ISIN]],'Novia Web Query'!$A:$E,3,FALSE)</f>
        <v>UT Sterling Strategic Bond</v>
      </c>
      <c r="D810" s="139">
        <f>VLOOKUP(NoviaFunds[[#This Row],[ISIN]],'Novia Web Query'!$A:$E,4,FALSE)/100</f>
        <v>6.0999999999999995E-3</v>
      </c>
      <c r="E810" s="3" t="str">
        <f>VLOOKUP(NoviaFunds[[#This Row],[ISIN]],'Novia Web Query'!$A:$E,5,FALSE)</f>
        <v>17/02/2021</v>
      </c>
      <c r="F810" t="str">
        <f>VLOOKUP(NoviaFunds[[#This Row],[Sector]],Sectors[],2,FALSE)</f>
        <v>Other Bonds</v>
      </c>
    </row>
    <row r="811" spans="1:6" x14ac:dyDescent="0.2">
      <c r="A811" t="str">
        <f>'Novia Web Query'!A811</f>
        <v>GB00BZ6DDM04</v>
      </c>
      <c r="B811" t="str">
        <f>VLOOKUP(NoviaFunds[[#This Row],[ISIN]],'Novia Web Query'!$A:$E,2,FALSE)</f>
        <v>BlackRock Sterling Strategic Bond D Inc TR in GB</v>
      </c>
      <c r="C811" t="str">
        <f>VLOOKUP(NoviaFunds[[#This Row],[ISIN]],'Novia Web Query'!$A:$E,3,FALSE)</f>
        <v>UT Sterling Strategic Bond</v>
      </c>
      <c r="D811" s="139">
        <f>VLOOKUP(NoviaFunds[[#This Row],[ISIN]],'Novia Web Query'!$A:$E,4,FALSE)/100</f>
        <v>6.0999999999999995E-3</v>
      </c>
      <c r="E811" s="3" t="str">
        <f>VLOOKUP(NoviaFunds[[#This Row],[ISIN]],'Novia Web Query'!$A:$E,5,FALSE)</f>
        <v>17/02/2021</v>
      </c>
      <c r="F811" t="str">
        <f>VLOOKUP(NoviaFunds[[#This Row],[Sector]],Sectors[],2,FALSE)</f>
        <v>Other Bonds</v>
      </c>
    </row>
    <row r="812" spans="1:6" x14ac:dyDescent="0.2">
      <c r="A812" t="str">
        <f>'Novia Web Query'!A812</f>
        <v>GB0005773774</v>
      </c>
      <c r="B812" t="str">
        <f>VLOOKUP(NoviaFunds[[#This Row],[ISIN]],'Novia Web Query'!$A:$E,2,FALSE)</f>
        <v>BlackRock UK A Acc in GB</v>
      </c>
      <c r="C812" t="str">
        <f>VLOOKUP(NoviaFunds[[#This Row],[ISIN]],'Novia Web Query'!$A:$E,3,FALSE)</f>
        <v>UT UK All Companies</v>
      </c>
      <c r="D812" s="139">
        <f>VLOOKUP(NoviaFunds[[#This Row],[ISIN]],'Novia Web Query'!$A:$E,4,FALSE)/100</f>
        <v>1.67E-2</v>
      </c>
      <c r="E812" s="3" t="str">
        <f>VLOOKUP(NoviaFunds[[#This Row],[ISIN]],'Novia Web Query'!$A:$E,5,FALSE)</f>
        <v>17/02/2021</v>
      </c>
      <c r="F812" t="str">
        <f>VLOOKUP(NoviaFunds[[#This Row],[Sector]],Sectors[],2,FALSE)</f>
        <v>UK Equities</v>
      </c>
    </row>
    <row r="813" spans="1:6" x14ac:dyDescent="0.2">
      <c r="A813" t="str">
        <f>'Novia Web Query'!A813</f>
        <v>GB0005773881</v>
      </c>
      <c r="B813" t="str">
        <f>VLOOKUP(NoviaFunds[[#This Row],[ISIN]],'Novia Web Query'!$A:$E,2,FALSE)</f>
        <v>BlackRock UK A Inc TR in GB</v>
      </c>
      <c r="C813" t="str">
        <f>VLOOKUP(NoviaFunds[[#This Row],[ISIN]],'Novia Web Query'!$A:$E,3,FALSE)</f>
        <v>UT UK All Companies</v>
      </c>
      <c r="D813" s="139">
        <f>VLOOKUP(NoviaFunds[[#This Row],[ISIN]],'Novia Web Query'!$A:$E,4,FALSE)/100</f>
        <v>1.67E-2</v>
      </c>
      <c r="E813" s="3" t="str">
        <f>VLOOKUP(NoviaFunds[[#This Row],[ISIN]],'Novia Web Query'!$A:$E,5,FALSE)</f>
        <v>17/02/2021</v>
      </c>
      <c r="F813" t="str">
        <f>VLOOKUP(NoviaFunds[[#This Row],[Sector]],Sectors[],2,FALSE)</f>
        <v>UK Equities</v>
      </c>
    </row>
    <row r="814" spans="1:6" x14ac:dyDescent="0.2">
      <c r="A814" t="str">
        <f>'Novia Web Query'!A814</f>
        <v>GB00B5ZNQ990</v>
      </c>
      <c r="B814" t="str">
        <f>VLOOKUP(NoviaFunds[[#This Row],[ISIN]],'Novia Web Query'!$A:$E,2,FALSE)</f>
        <v>BlackRock UK Absolute Alpha D Acc in GB</v>
      </c>
      <c r="C814" t="str">
        <f>VLOOKUP(NoviaFunds[[#This Row],[ISIN]],'Novia Web Query'!$A:$E,3,FALSE)</f>
        <v>UT Targeted Absolute Return</v>
      </c>
      <c r="D814" s="139">
        <f>VLOOKUP(NoviaFunds[[#This Row],[ISIN]],'Novia Web Query'!$A:$E,4,FALSE)/100</f>
        <v>9.300000000000001E-3</v>
      </c>
      <c r="E814" s="3" t="str">
        <f>VLOOKUP(NoviaFunds[[#This Row],[ISIN]],'Novia Web Query'!$A:$E,5,FALSE)</f>
        <v>17/02/2021</v>
      </c>
      <c r="F814" t="str">
        <f>VLOOKUP(NoviaFunds[[#This Row],[Sector]],Sectors[],2,FALSE)</f>
        <v>Absolute Return</v>
      </c>
    </row>
    <row r="815" spans="1:6" x14ac:dyDescent="0.2">
      <c r="A815" t="str">
        <f>'Novia Web Query'!A815</f>
        <v>GB00B11V7T69</v>
      </c>
      <c r="B815" t="str">
        <f>VLOOKUP(NoviaFunds[[#This Row],[ISIN]],'Novia Web Query'!$A:$E,2,FALSE)</f>
        <v>BlackRock UK Absolute Alpha P Acc in GB**</v>
      </c>
      <c r="C815" t="str">
        <f>VLOOKUP(NoviaFunds[[#This Row],[ISIN]],'Novia Web Query'!$A:$E,3,FALSE)</f>
        <v>UT Targeted Absolute Return</v>
      </c>
      <c r="D815" s="139">
        <f>VLOOKUP(NoviaFunds[[#This Row],[ISIN]],'Novia Web Query'!$A:$E,4,FALSE)/100</f>
        <v>1.6799999999999999E-2</v>
      </c>
      <c r="E815" s="3" t="str">
        <f>VLOOKUP(NoviaFunds[[#This Row],[ISIN]],'Novia Web Query'!$A:$E,5,FALSE)</f>
        <v>17/02/2021</v>
      </c>
      <c r="F815" t="str">
        <f>VLOOKUP(NoviaFunds[[#This Row],[Sector]],Sectors[],2,FALSE)</f>
        <v>Absolute Return</v>
      </c>
    </row>
    <row r="816" spans="1:6" x14ac:dyDescent="0.2">
      <c r="A816" t="str">
        <f>'Novia Web Query'!A816</f>
        <v>GB00B5YKQK23</v>
      </c>
      <c r="B816" t="str">
        <f>VLOOKUP(NoviaFunds[[#This Row],[ISIN]],'Novia Web Query'!$A:$E,2,FALSE)</f>
        <v>BlackRock UK D Acc in GB</v>
      </c>
      <c r="C816" t="str">
        <f>VLOOKUP(NoviaFunds[[#This Row],[ISIN]],'Novia Web Query'!$A:$E,3,FALSE)</f>
        <v>UT UK All Companies</v>
      </c>
      <c r="D816" s="139">
        <f>VLOOKUP(NoviaFunds[[#This Row],[ISIN]],'Novia Web Query'!$A:$E,4,FALSE)/100</f>
        <v>9.1999999999999998E-3</v>
      </c>
      <c r="E816" s="3" t="str">
        <f>VLOOKUP(NoviaFunds[[#This Row],[ISIN]],'Novia Web Query'!$A:$E,5,FALSE)</f>
        <v>17/02/2021</v>
      </c>
      <c r="F816" t="str">
        <f>VLOOKUP(NoviaFunds[[#This Row],[Sector]],Sectors[],2,FALSE)</f>
        <v>UK Equities</v>
      </c>
    </row>
    <row r="817" spans="1:6" x14ac:dyDescent="0.2">
      <c r="A817" t="str">
        <f>'Novia Web Query'!A817</f>
        <v>GB00B586CB96</v>
      </c>
      <c r="B817" t="str">
        <f>VLOOKUP(NoviaFunds[[#This Row],[ISIN]],'Novia Web Query'!$A:$E,2,FALSE)</f>
        <v>BlackRock UK D Inc TR in GB</v>
      </c>
      <c r="C817" t="str">
        <f>VLOOKUP(NoviaFunds[[#This Row],[ISIN]],'Novia Web Query'!$A:$E,3,FALSE)</f>
        <v>UT UK All Companies</v>
      </c>
      <c r="D817" s="139">
        <f>VLOOKUP(NoviaFunds[[#This Row],[ISIN]],'Novia Web Query'!$A:$E,4,FALSE)/100</f>
        <v>9.1999999999999998E-3</v>
      </c>
      <c r="E817" s="3" t="str">
        <f>VLOOKUP(NoviaFunds[[#This Row],[ISIN]],'Novia Web Query'!$A:$E,5,FALSE)</f>
        <v>17/02/2021</v>
      </c>
      <c r="F817" t="str">
        <f>VLOOKUP(NoviaFunds[[#This Row],[Sector]],Sectors[],2,FALSE)</f>
        <v>UK Equities</v>
      </c>
    </row>
    <row r="818" spans="1:6" x14ac:dyDescent="0.2">
      <c r="A818" t="str">
        <f>'Novia Web Query'!A818</f>
        <v>GB00B410CR74</v>
      </c>
      <c r="B818" t="str">
        <f>VLOOKUP(NoviaFunds[[#This Row],[ISIN]],'Novia Web Query'!$A:$E,2,FALSE)</f>
        <v>BlackRock UK Equity D Acc TR in GB**</v>
      </c>
      <c r="C818" t="str">
        <f>VLOOKUP(NoviaFunds[[#This Row],[ISIN]],'Novia Web Query'!$A:$E,3,FALSE)</f>
        <v>UT UK All Companies</v>
      </c>
      <c r="D818" s="139">
        <f>VLOOKUP(NoviaFunds[[#This Row],[ISIN]],'Novia Web Query'!$A:$E,4,FALSE)/100</f>
        <v>9.1999999999999998E-3</v>
      </c>
      <c r="E818" s="3" t="str">
        <f>VLOOKUP(NoviaFunds[[#This Row],[ISIN]],'Novia Web Query'!$A:$E,5,FALSE)</f>
        <v>17/02/2021</v>
      </c>
      <c r="F818" t="str">
        <f>VLOOKUP(NoviaFunds[[#This Row],[Sector]],Sectors[],2,FALSE)</f>
        <v>UK Equities</v>
      </c>
    </row>
    <row r="819" spans="1:6" x14ac:dyDescent="0.2">
      <c r="A819" t="str">
        <f>'Novia Web Query'!A819</f>
        <v>GB0005803316</v>
      </c>
      <c r="B819" t="str">
        <f>VLOOKUP(NoviaFunds[[#This Row],[ISIN]],'Novia Web Query'!$A:$E,2,FALSE)</f>
        <v>BlackRock UK Equity I Inc TR in GB</v>
      </c>
      <c r="C819" t="str">
        <f>VLOOKUP(NoviaFunds[[#This Row],[ISIN]],'Novia Web Query'!$A:$E,3,FALSE)</f>
        <v>UT UK All Companies</v>
      </c>
      <c r="D819" s="139">
        <f>VLOOKUP(NoviaFunds[[#This Row],[ISIN]],'Novia Web Query'!$A:$E,4,FALSE)/100</f>
        <v>5.3E-3</v>
      </c>
      <c r="E819" s="3" t="str">
        <f>VLOOKUP(NoviaFunds[[#This Row],[ISIN]],'Novia Web Query'!$A:$E,5,FALSE)</f>
        <v>17/02/2021</v>
      </c>
      <c r="F819" t="str">
        <f>VLOOKUP(NoviaFunds[[#This Row],[Sector]],Sectors[],2,FALSE)</f>
        <v>UK Equities</v>
      </c>
    </row>
    <row r="820" spans="1:6" x14ac:dyDescent="0.2">
      <c r="A820" t="str">
        <f>'Novia Web Query'!A820</f>
        <v>GB0005804942</v>
      </c>
      <c r="B820" t="str">
        <f>VLOOKUP(NoviaFunds[[#This Row],[ISIN]],'Novia Web Query'!$A:$E,2,FALSE)</f>
        <v>BlackRock UK Income A Acc in GB</v>
      </c>
      <c r="C820" t="str">
        <f>VLOOKUP(NoviaFunds[[#This Row],[ISIN]],'Novia Web Query'!$A:$E,3,FALSE)</f>
        <v>UT UK Equity Income</v>
      </c>
      <c r="D820" s="139">
        <f>VLOOKUP(NoviaFunds[[#This Row],[ISIN]],'Novia Web Query'!$A:$E,4,FALSE)/100</f>
        <v>1.6299999999999999E-2</v>
      </c>
      <c r="E820" s="3" t="str">
        <f>VLOOKUP(NoviaFunds[[#This Row],[ISIN]],'Novia Web Query'!$A:$E,5,FALSE)</f>
        <v>17/02/2021</v>
      </c>
      <c r="F820" t="str">
        <f>VLOOKUP(NoviaFunds[[#This Row],[Sector]],Sectors[],2,FALSE)</f>
        <v>UK Equities</v>
      </c>
    </row>
    <row r="821" spans="1:6" x14ac:dyDescent="0.2">
      <c r="A821" t="str">
        <f>'Novia Web Query'!A821</f>
        <v>GB0005804835</v>
      </c>
      <c r="B821" t="str">
        <f>VLOOKUP(NoviaFunds[[#This Row],[ISIN]],'Novia Web Query'!$A:$E,2,FALSE)</f>
        <v>BlackRock UK Income A Inc TR in GB</v>
      </c>
      <c r="C821" t="str">
        <f>VLOOKUP(NoviaFunds[[#This Row],[ISIN]],'Novia Web Query'!$A:$E,3,FALSE)</f>
        <v>UT UK Equity Income</v>
      </c>
      <c r="D821" s="139">
        <f>VLOOKUP(NoviaFunds[[#This Row],[ISIN]],'Novia Web Query'!$A:$E,4,FALSE)/100</f>
        <v>1.6299999999999999E-2</v>
      </c>
      <c r="E821" s="3" t="str">
        <f>VLOOKUP(NoviaFunds[[#This Row],[ISIN]],'Novia Web Query'!$A:$E,5,FALSE)</f>
        <v>17/02/2021</v>
      </c>
      <c r="F821" t="str">
        <f>VLOOKUP(NoviaFunds[[#This Row],[Sector]],Sectors[],2,FALSE)</f>
        <v>UK Equities</v>
      </c>
    </row>
    <row r="822" spans="1:6" x14ac:dyDescent="0.2">
      <c r="A822" t="str">
        <f>'Novia Web Query'!A822</f>
        <v>GB00B67DWT67</v>
      </c>
      <c r="B822" t="str">
        <f>VLOOKUP(NoviaFunds[[#This Row],[ISIN]],'Novia Web Query'!$A:$E,2,FALSE)</f>
        <v>BlackRock UK Income D Acc in GB</v>
      </c>
      <c r="C822" t="str">
        <f>VLOOKUP(NoviaFunds[[#This Row],[ISIN]],'Novia Web Query'!$A:$E,3,FALSE)</f>
        <v>UT UK Equity Income</v>
      </c>
      <c r="D822" s="139">
        <f>VLOOKUP(NoviaFunds[[#This Row],[ISIN]],'Novia Web Query'!$A:$E,4,FALSE)/100</f>
        <v>8.8000000000000005E-3</v>
      </c>
      <c r="E822" s="3" t="str">
        <f>VLOOKUP(NoviaFunds[[#This Row],[ISIN]],'Novia Web Query'!$A:$E,5,FALSE)</f>
        <v>17/02/2021</v>
      </c>
      <c r="F822" t="str">
        <f>VLOOKUP(NoviaFunds[[#This Row],[Sector]],Sectors[],2,FALSE)</f>
        <v>UK Equities</v>
      </c>
    </row>
    <row r="823" spans="1:6" x14ac:dyDescent="0.2">
      <c r="A823" t="str">
        <f>'Novia Web Query'!A823</f>
        <v>GB00B67DWR44</v>
      </c>
      <c r="B823" t="str">
        <f>VLOOKUP(NoviaFunds[[#This Row],[ISIN]],'Novia Web Query'!$A:$E,2,FALSE)</f>
        <v>BlackRock UK Income D Inc TR in GB</v>
      </c>
      <c r="C823" t="str">
        <f>VLOOKUP(NoviaFunds[[#This Row],[ISIN]],'Novia Web Query'!$A:$E,3,FALSE)</f>
        <v>UT UK Equity Income</v>
      </c>
      <c r="D823" s="139">
        <f>VLOOKUP(NoviaFunds[[#This Row],[ISIN]],'Novia Web Query'!$A:$E,4,FALSE)/100</f>
        <v>8.8000000000000005E-3</v>
      </c>
      <c r="E823" s="3" t="str">
        <f>VLOOKUP(NoviaFunds[[#This Row],[ISIN]],'Novia Web Query'!$A:$E,5,FALSE)</f>
        <v>17/02/2021</v>
      </c>
      <c r="F823" t="str">
        <f>VLOOKUP(NoviaFunds[[#This Row],[Sector]],Sectors[],2,FALSE)</f>
        <v>UK Equities</v>
      </c>
    </row>
    <row r="824" spans="1:6" x14ac:dyDescent="0.2">
      <c r="A824" t="str">
        <f>'Novia Web Query'!A824</f>
        <v>GB00BK1PK369</v>
      </c>
      <c r="B824" t="str">
        <f>VLOOKUP(NoviaFunds[[#This Row],[ISIN]],'Novia Web Query'!$A:$E,2,FALSE)</f>
        <v>BlackRock UK Income S Inc TR in GB**</v>
      </c>
      <c r="C824" t="str">
        <f>VLOOKUP(NoviaFunds[[#This Row],[ISIN]],'Novia Web Query'!$A:$E,3,FALSE)</f>
        <v>UT UK Equity Income</v>
      </c>
      <c r="D824" s="139">
        <f>VLOOKUP(NoviaFunds[[#This Row],[ISIN]],'Novia Web Query'!$A:$E,4,FALSE)/100</f>
        <v>8.0000000000000002E-3</v>
      </c>
      <c r="E824" s="3" t="str">
        <f>VLOOKUP(NoviaFunds[[#This Row],[ISIN]],'Novia Web Query'!$A:$E,5,FALSE)</f>
        <v>17/02/2021</v>
      </c>
      <c r="F824" t="str">
        <f>VLOOKUP(NoviaFunds[[#This Row],[Sector]],Sectors[],2,FALSE)</f>
        <v>UK Equities</v>
      </c>
    </row>
    <row r="825" spans="1:6" x14ac:dyDescent="0.2">
      <c r="A825" t="str">
        <f>'Novia Web Query'!A825</f>
        <v>GB0005811418</v>
      </c>
      <c r="B825" t="str">
        <f>VLOOKUP(NoviaFunds[[#This Row],[ISIN]],'Novia Web Query'!$A:$E,2,FALSE)</f>
        <v>BlackRock UK Smaller Companies A Acc in GB</v>
      </c>
      <c r="C825" t="str">
        <f>VLOOKUP(NoviaFunds[[#This Row],[ISIN]],'Novia Web Query'!$A:$E,3,FALSE)</f>
        <v>UT UK Smaller Companies</v>
      </c>
      <c r="D825" s="139">
        <f>VLOOKUP(NoviaFunds[[#This Row],[ISIN]],'Novia Web Query'!$A:$E,4,FALSE)/100</f>
        <v>1.6799999999999999E-2</v>
      </c>
      <c r="E825" s="3" t="str">
        <f>VLOOKUP(NoviaFunds[[#This Row],[ISIN]],'Novia Web Query'!$A:$E,5,FALSE)</f>
        <v>17/02/2021</v>
      </c>
      <c r="F825" t="str">
        <f>VLOOKUP(NoviaFunds[[#This Row],[Sector]],Sectors[],2,FALSE)</f>
        <v>UK Equities</v>
      </c>
    </row>
    <row r="826" spans="1:6" x14ac:dyDescent="0.2">
      <c r="A826" t="str">
        <f>'Novia Web Query'!A826</f>
        <v>GB0005811301</v>
      </c>
      <c r="B826" t="str">
        <f>VLOOKUP(NoviaFunds[[#This Row],[ISIN]],'Novia Web Query'!$A:$E,2,FALSE)</f>
        <v>BlackRock UK Smaller Companies A Inc TR in GB</v>
      </c>
      <c r="C826" t="str">
        <f>VLOOKUP(NoviaFunds[[#This Row],[ISIN]],'Novia Web Query'!$A:$E,3,FALSE)</f>
        <v>UT UK Smaller Companies</v>
      </c>
      <c r="D826" s="139">
        <f>VLOOKUP(NoviaFunds[[#This Row],[ISIN]],'Novia Web Query'!$A:$E,4,FALSE)/100</f>
        <v>1.6799999999999999E-2</v>
      </c>
      <c r="E826" s="3" t="str">
        <f>VLOOKUP(NoviaFunds[[#This Row],[ISIN]],'Novia Web Query'!$A:$E,5,FALSE)</f>
        <v>17/02/2021</v>
      </c>
      <c r="F826" t="str">
        <f>VLOOKUP(NoviaFunds[[#This Row],[Sector]],Sectors[],2,FALSE)</f>
        <v>UK Equities</v>
      </c>
    </row>
    <row r="827" spans="1:6" x14ac:dyDescent="0.2">
      <c r="A827" t="str">
        <f>'Novia Web Query'!A827</f>
        <v>GB00B4LHDZ30</v>
      </c>
      <c r="B827" t="str">
        <f>VLOOKUP(NoviaFunds[[#This Row],[ISIN]],'Novia Web Query'!$A:$E,2,FALSE)</f>
        <v>BlackRock UK Smaller Companies D Acc in GB</v>
      </c>
      <c r="C827" t="str">
        <f>VLOOKUP(NoviaFunds[[#This Row],[ISIN]],'Novia Web Query'!$A:$E,3,FALSE)</f>
        <v>UT UK Smaller Companies</v>
      </c>
      <c r="D827" s="139">
        <f>VLOOKUP(NoviaFunds[[#This Row],[ISIN]],'Novia Web Query'!$A:$E,4,FALSE)/100</f>
        <v>9.300000000000001E-3</v>
      </c>
      <c r="E827" s="3" t="str">
        <f>VLOOKUP(NoviaFunds[[#This Row],[ISIN]],'Novia Web Query'!$A:$E,5,FALSE)</f>
        <v>17/02/2021</v>
      </c>
      <c r="F827" t="str">
        <f>VLOOKUP(NoviaFunds[[#This Row],[Sector]],Sectors[],2,FALSE)</f>
        <v>UK Equities</v>
      </c>
    </row>
    <row r="828" spans="1:6" x14ac:dyDescent="0.2">
      <c r="A828" t="str">
        <f>'Novia Web Query'!A828</f>
        <v>GB00B8BS3324</v>
      </c>
      <c r="B828" t="str">
        <f>VLOOKUP(NoviaFunds[[#This Row],[ISIN]],'Novia Web Query'!$A:$E,2,FALSE)</f>
        <v>BlackRock UK Smaller Companies D Inc TR in GB</v>
      </c>
      <c r="C828" t="str">
        <f>VLOOKUP(NoviaFunds[[#This Row],[ISIN]],'Novia Web Query'!$A:$E,3,FALSE)</f>
        <v>UT UK Smaller Companies</v>
      </c>
      <c r="D828" s="139">
        <f>VLOOKUP(NoviaFunds[[#This Row],[ISIN]],'Novia Web Query'!$A:$E,4,FALSE)/100</f>
        <v>9.300000000000001E-3</v>
      </c>
      <c r="E828" s="3" t="str">
        <f>VLOOKUP(NoviaFunds[[#This Row],[ISIN]],'Novia Web Query'!$A:$E,5,FALSE)</f>
        <v>17/02/2021</v>
      </c>
      <c r="F828" t="str">
        <f>VLOOKUP(NoviaFunds[[#This Row],[Sector]],Sectors[],2,FALSE)</f>
        <v>UK Equities</v>
      </c>
    </row>
    <row r="829" spans="1:6" x14ac:dyDescent="0.2">
      <c r="A829" t="str">
        <f>'Novia Web Query'!A829</f>
        <v>GB0005805022</v>
      </c>
      <c r="B829" t="str">
        <f>VLOOKUP(NoviaFunds[[#This Row],[ISIN]],'Novia Web Query'!$A:$E,2,FALSE)</f>
        <v>BlackRock UK Special Situations A Acc in GB</v>
      </c>
      <c r="C829" t="str">
        <f>VLOOKUP(NoviaFunds[[#This Row],[ISIN]],'Novia Web Query'!$A:$E,3,FALSE)</f>
        <v>UT UK All Companies</v>
      </c>
      <c r="D829" s="139">
        <f>VLOOKUP(NoviaFunds[[#This Row],[ISIN]],'Novia Web Query'!$A:$E,4,FALSE)/100</f>
        <v>1.67E-2</v>
      </c>
      <c r="E829" s="3" t="str">
        <f>VLOOKUP(NoviaFunds[[#This Row],[ISIN]],'Novia Web Query'!$A:$E,5,FALSE)</f>
        <v>17/02/2021</v>
      </c>
      <c r="F829" t="str">
        <f>VLOOKUP(NoviaFunds[[#This Row],[Sector]],Sectors[],2,FALSE)</f>
        <v>UK Equities</v>
      </c>
    </row>
    <row r="830" spans="1:6" x14ac:dyDescent="0.2">
      <c r="A830" t="str">
        <f>'Novia Web Query'!A830</f>
        <v>GB0005803977</v>
      </c>
      <c r="B830" t="str">
        <f>VLOOKUP(NoviaFunds[[#This Row],[ISIN]],'Novia Web Query'!$A:$E,2,FALSE)</f>
        <v>BlackRock UK Special Situations A Inc TR in GB**</v>
      </c>
      <c r="C830" t="str">
        <f>VLOOKUP(NoviaFunds[[#This Row],[ISIN]],'Novia Web Query'!$A:$E,3,FALSE)</f>
        <v>UT UK All Companies</v>
      </c>
      <c r="D830" s="139">
        <f>VLOOKUP(NoviaFunds[[#This Row],[ISIN]],'Novia Web Query'!$A:$E,4,FALSE)/100</f>
        <v>1.67E-2</v>
      </c>
      <c r="E830" s="3" t="str">
        <f>VLOOKUP(NoviaFunds[[#This Row],[ISIN]],'Novia Web Query'!$A:$E,5,FALSE)</f>
        <v>17/02/2021</v>
      </c>
      <c r="F830" t="str">
        <f>VLOOKUP(NoviaFunds[[#This Row],[Sector]],Sectors[],2,FALSE)</f>
        <v>UK Equities</v>
      </c>
    </row>
    <row r="831" spans="1:6" x14ac:dyDescent="0.2">
      <c r="A831" t="str">
        <f>'Novia Web Query'!A831</f>
        <v>GB00B3V1C060</v>
      </c>
      <c r="B831" t="str">
        <f>VLOOKUP(NoviaFunds[[#This Row],[ISIN]],'Novia Web Query'!$A:$E,2,FALSE)</f>
        <v>BlackRock UK Special Situations D Acc in GB</v>
      </c>
      <c r="C831" t="str">
        <f>VLOOKUP(NoviaFunds[[#This Row],[ISIN]],'Novia Web Query'!$A:$E,3,FALSE)</f>
        <v>UT UK All Companies</v>
      </c>
      <c r="D831" s="139">
        <f>VLOOKUP(NoviaFunds[[#This Row],[ISIN]],'Novia Web Query'!$A:$E,4,FALSE)/100</f>
        <v>9.1999999999999998E-3</v>
      </c>
      <c r="E831" s="3" t="str">
        <f>VLOOKUP(NoviaFunds[[#This Row],[ISIN]],'Novia Web Query'!$A:$E,5,FALSE)</f>
        <v>17/02/2021</v>
      </c>
      <c r="F831" t="str">
        <f>VLOOKUP(NoviaFunds[[#This Row],[Sector]],Sectors[],2,FALSE)</f>
        <v>UK Equities</v>
      </c>
    </row>
    <row r="832" spans="1:6" x14ac:dyDescent="0.2">
      <c r="A832" t="str">
        <f>'Novia Web Query'!A832</f>
        <v>GB00B3R25W66</v>
      </c>
      <c r="B832" t="str">
        <f>VLOOKUP(NoviaFunds[[#This Row],[ISIN]],'Novia Web Query'!$A:$E,2,FALSE)</f>
        <v>BlackRock UK Special Situations D Inc TR in GB</v>
      </c>
      <c r="C832" t="str">
        <f>VLOOKUP(NoviaFunds[[#This Row],[ISIN]],'Novia Web Query'!$A:$E,3,FALSE)</f>
        <v>UT UK All Companies</v>
      </c>
      <c r="D832" s="139">
        <f>VLOOKUP(NoviaFunds[[#This Row],[ISIN]],'Novia Web Query'!$A:$E,4,FALSE)/100</f>
        <v>9.1999999999999998E-3</v>
      </c>
      <c r="E832" s="3" t="str">
        <f>VLOOKUP(NoviaFunds[[#This Row],[ISIN]],'Novia Web Query'!$A:$E,5,FALSE)</f>
        <v>17/02/2021</v>
      </c>
      <c r="F832" t="str">
        <f>VLOOKUP(NoviaFunds[[#This Row],[Sector]],Sectors[],2,FALSE)</f>
        <v>UK Equities</v>
      </c>
    </row>
    <row r="833" spans="1:6" x14ac:dyDescent="0.2">
      <c r="A833" t="str">
        <f>'Novia Web Query'!A833</f>
        <v>GB0005804165</v>
      </c>
      <c r="B833" t="str">
        <f>VLOOKUP(NoviaFunds[[#This Row],[ISIN]],'Novia Web Query'!$A:$E,2,FALSE)</f>
        <v>BlackRock US Dynamic A Acc in GB</v>
      </c>
      <c r="C833" t="str">
        <f>VLOOKUP(NoviaFunds[[#This Row],[ISIN]],'Novia Web Query'!$A:$E,3,FALSE)</f>
        <v>UT North America</v>
      </c>
      <c r="D833" s="139">
        <f>VLOOKUP(NoviaFunds[[#This Row],[ISIN]],'Novia Web Query'!$A:$E,4,FALSE)/100</f>
        <v>1.6399999999999998E-2</v>
      </c>
      <c r="E833" s="3" t="str">
        <f>VLOOKUP(NoviaFunds[[#This Row],[ISIN]],'Novia Web Query'!$A:$E,5,FALSE)</f>
        <v>17/02/2021</v>
      </c>
      <c r="F833" t="str">
        <f>VLOOKUP(NoviaFunds[[#This Row],[Sector]],Sectors[],2,FALSE)</f>
        <v>USA Equities</v>
      </c>
    </row>
    <row r="834" spans="1:6" x14ac:dyDescent="0.2">
      <c r="A834" t="str">
        <f>'Novia Web Query'!A834</f>
        <v>GB0005803191</v>
      </c>
      <c r="B834" t="str">
        <f>VLOOKUP(NoviaFunds[[#This Row],[ISIN]],'Novia Web Query'!$A:$E,2,FALSE)</f>
        <v>BlackRock US Dynamic A Inc TR in GB</v>
      </c>
      <c r="C834" t="str">
        <f>VLOOKUP(NoviaFunds[[#This Row],[ISIN]],'Novia Web Query'!$A:$E,3,FALSE)</f>
        <v>UT North America</v>
      </c>
      <c r="D834" s="139">
        <f>VLOOKUP(NoviaFunds[[#This Row],[ISIN]],'Novia Web Query'!$A:$E,4,FALSE)/100</f>
        <v>1.6399999999999998E-2</v>
      </c>
      <c r="E834" s="3" t="str">
        <f>VLOOKUP(NoviaFunds[[#This Row],[ISIN]],'Novia Web Query'!$A:$E,5,FALSE)</f>
        <v>17/02/2021</v>
      </c>
      <c r="F834" t="str">
        <f>VLOOKUP(NoviaFunds[[#This Row],[Sector]],Sectors[],2,FALSE)</f>
        <v>USA Equities</v>
      </c>
    </row>
    <row r="835" spans="1:6" x14ac:dyDescent="0.2">
      <c r="A835" t="str">
        <f>'Novia Web Query'!A835</f>
        <v>GB00B87XJQ69</v>
      </c>
      <c r="B835" t="str">
        <f>VLOOKUP(NoviaFunds[[#This Row],[ISIN]],'Novia Web Query'!$A:$E,2,FALSE)</f>
        <v>BlackRock US Dynamic D Acc in GB</v>
      </c>
      <c r="C835" t="str">
        <f>VLOOKUP(NoviaFunds[[#This Row],[ISIN]],'Novia Web Query'!$A:$E,3,FALSE)</f>
        <v>UT North America</v>
      </c>
      <c r="D835" s="139">
        <f>VLOOKUP(NoviaFunds[[#This Row],[ISIN]],'Novia Web Query'!$A:$E,4,FALSE)/100</f>
        <v>8.8999999999999999E-3</v>
      </c>
      <c r="E835" s="3" t="str">
        <f>VLOOKUP(NoviaFunds[[#This Row],[ISIN]],'Novia Web Query'!$A:$E,5,FALSE)</f>
        <v>17/02/2021</v>
      </c>
      <c r="F835" t="str">
        <f>VLOOKUP(NoviaFunds[[#This Row],[Sector]],Sectors[],2,FALSE)</f>
        <v>USA Equities</v>
      </c>
    </row>
    <row r="836" spans="1:6" x14ac:dyDescent="0.2">
      <c r="A836" t="str">
        <f>'Novia Web Query'!A836</f>
        <v>GB00B8GKJQ82</v>
      </c>
      <c r="B836" t="str">
        <f>VLOOKUP(NoviaFunds[[#This Row],[ISIN]],'Novia Web Query'!$A:$E,2,FALSE)</f>
        <v>BlackRock US Dynamic D Inc TR in GB</v>
      </c>
      <c r="C836" t="str">
        <f>VLOOKUP(NoviaFunds[[#This Row],[ISIN]],'Novia Web Query'!$A:$E,3,FALSE)</f>
        <v>UT North America</v>
      </c>
      <c r="D836" s="139">
        <f>VLOOKUP(NoviaFunds[[#This Row],[ISIN]],'Novia Web Query'!$A:$E,4,FALSE)/100</f>
        <v>8.8999999999999999E-3</v>
      </c>
      <c r="E836" s="3" t="str">
        <f>VLOOKUP(NoviaFunds[[#This Row],[ISIN]],'Novia Web Query'!$A:$E,5,FALSE)</f>
        <v>17/02/2021</v>
      </c>
      <c r="F836" t="str">
        <f>VLOOKUP(NoviaFunds[[#This Row],[Sector]],Sectors[],2,FALSE)</f>
        <v>USA Equities</v>
      </c>
    </row>
    <row r="837" spans="1:6" x14ac:dyDescent="0.2">
      <c r="A837" t="str">
        <f>'Novia Web Query'!A837</f>
        <v>GB0005811855</v>
      </c>
      <c r="B837" t="str">
        <f>VLOOKUP(NoviaFunds[[#This Row],[ISIN]],'Novia Web Query'!$A:$E,2,FALSE)</f>
        <v>BlackRock US Opportunities A Acc in GB</v>
      </c>
      <c r="C837" t="str">
        <f>VLOOKUP(NoviaFunds[[#This Row],[ISIN]],'Novia Web Query'!$A:$E,3,FALSE)</f>
        <v>UT North America</v>
      </c>
      <c r="D837" s="139">
        <f>VLOOKUP(NoviaFunds[[#This Row],[ISIN]],'Novia Web Query'!$A:$E,4,FALSE)/100</f>
        <v>1.6399999999999998E-2</v>
      </c>
      <c r="E837" s="3" t="str">
        <f>VLOOKUP(NoviaFunds[[#This Row],[ISIN]],'Novia Web Query'!$A:$E,5,FALSE)</f>
        <v>17/02/2021</v>
      </c>
      <c r="F837" t="str">
        <f>VLOOKUP(NoviaFunds[[#This Row],[Sector]],Sectors[],2,FALSE)</f>
        <v>USA Equities</v>
      </c>
    </row>
    <row r="838" spans="1:6" x14ac:dyDescent="0.2">
      <c r="A838" t="str">
        <f>'Novia Web Query'!A838</f>
        <v>GB0005811749</v>
      </c>
      <c r="B838" t="str">
        <f>VLOOKUP(NoviaFunds[[#This Row],[ISIN]],'Novia Web Query'!$A:$E,2,FALSE)</f>
        <v>BlackRock US Opportunities A Inc TR in GB</v>
      </c>
      <c r="C838" t="str">
        <f>VLOOKUP(NoviaFunds[[#This Row],[ISIN]],'Novia Web Query'!$A:$E,3,FALSE)</f>
        <v>UT North America</v>
      </c>
      <c r="D838" s="139">
        <f>VLOOKUP(NoviaFunds[[#This Row],[ISIN]],'Novia Web Query'!$A:$E,4,FALSE)/100</f>
        <v>1.6399999999999998E-2</v>
      </c>
      <c r="E838" s="3" t="str">
        <f>VLOOKUP(NoviaFunds[[#This Row],[ISIN]],'Novia Web Query'!$A:$E,5,FALSE)</f>
        <v>17/02/2021</v>
      </c>
      <c r="F838" t="str">
        <f>VLOOKUP(NoviaFunds[[#This Row],[Sector]],Sectors[],2,FALSE)</f>
        <v>USA Equities</v>
      </c>
    </row>
    <row r="839" spans="1:6" x14ac:dyDescent="0.2">
      <c r="A839" t="str">
        <f>'Novia Web Query'!A839</f>
        <v>GB00B8GMZS88</v>
      </c>
      <c r="B839" t="str">
        <f>VLOOKUP(NoviaFunds[[#This Row],[ISIN]],'Novia Web Query'!$A:$E,2,FALSE)</f>
        <v>BlackRock US Opportunities D Acc in GB</v>
      </c>
      <c r="C839" t="str">
        <f>VLOOKUP(NoviaFunds[[#This Row],[ISIN]],'Novia Web Query'!$A:$E,3,FALSE)</f>
        <v>UT North America</v>
      </c>
      <c r="D839" s="139">
        <f>VLOOKUP(NoviaFunds[[#This Row],[ISIN]],'Novia Web Query'!$A:$E,4,FALSE)/100</f>
        <v>8.8999999999999999E-3</v>
      </c>
      <c r="E839" s="3" t="str">
        <f>VLOOKUP(NoviaFunds[[#This Row],[ISIN]],'Novia Web Query'!$A:$E,5,FALSE)</f>
        <v>17/02/2021</v>
      </c>
      <c r="F839" t="str">
        <f>VLOOKUP(NoviaFunds[[#This Row],[Sector]],Sectors[],2,FALSE)</f>
        <v>USA Equities</v>
      </c>
    </row>
    <row r="840" spans="1:6" x14ac:dyDescent="0.2">
      <c r="A840" t="str">
        <f>'Novia Web Query'!A840</f>
        <v>GB00B80S7M00</v>
      </c>
      <c r="B840" t="str">
        <f>VLOOKUP(NoviaFunds[[#This Row],[ISIN]],'Novia Web Query'!$A:$E,2,FALSE)</f>
        <v>BlackRock US Opportunities D Inc TR in GB</v>
      </c>
      <c r="C840" t="str">
        <f>VLOOKUP(NoviaFunds[[#This Row],[ISIN]],'Novia Web Query'!$A:$E,3,FALSE)</f>
        <v>UT North America</v>
      </c>
      <c r="D840" s="139">
        <f>VLOOKUP(NoviaFunds[[#This Row],[ISIN]],'Novia Web Query'!$A:$E,4,FALSE)/100</f>
        <v>8.8999999999999999E-3</v>
      </c>
      <c r="E840" s="3" t="str">
        <f>VLOOKUP(NoviaFunds[[#This Row],[ISIN]],'Novia Web Query'!$A:$E,5,FALSE)</f>
        <v>17/02/2021</v>
      </c>
      <c r="F840" t="str">
        <f>VLOOKUP(NoviaFunds[[#This Row],[Sector]],Sectors[],2,FALSE)</f>
        <v>USA Equities</v>
      </c>
    </row>
    <row r="841" spans="1:6" x14ac:dyDescent="0.2">
      <c r="A841" t="str">
        <f>'Novia Web Query'!A841</f>
        <v>GB0033143115</v>
      </c>
      <c r="B841" t="str">
        <f>VLOOKUP(NoviaFunds[[#This Row],[ISIN]],'Novia Web Query'!$A:$E,2,FALSE)</f>
        <v>BMO Asia Pacific Equity 1 Acc in GB</v>
      </c>
      <c r="C841" t="str">
        <f>VLOOKUP(NoviaFunds[[#This Row],[ISIN]],'Novia Web Query'!$A:$E,3,FALSE)</f>
        <v>UT Asia Pacific Excluding Japan</v>
      </c>
      <c r="D841" s="139">
        <f>VLOOKUP(NoviaFunds[[#This Row],[ISIN]],'Novia Web Query'!$A:$E,4,FALSE)/100</f>
        <v>1.9299999999999998E-2</v>
      </c>
      <c r="E841" s="3" t="str">
        <f>VLOOKUP(NoviaFunds[[#This Row],[ISIN]],'Novia Web Query'!$A:$E,5,FALSE)</f>
        <v>14/01/2021</v>
      </c>
      <c r="F841" t="str">
        <f>VLOOKUP(NoviaFunds[[#This Row],[Sector]],Sectors[],2,FALSE)</f>
        <v>Asia Pacific</v>
      </c>
    </row>
    <row r="842" spans="1:6" x14ac:dyDescent="0.2">
      <c r="A842" t="str">
        <f>'Novia Web Query'!A842</f>
        <v>GB00B23SF324</v>
      </c>
      <c r="B842" t="str">
        <f>VLOOKUP(NoviaFunds[[#This Row],[ISIN]],'Novia Web Query'!$A:$E,2,FALSE)</f>
        <v>BMO Asia Pacific Equity 2 Acc in GB</v>
      </c>
      <c r="C842" t="str">
        <f>VLOOKUP(NoviaFunds[[#This Row],[ISIN]],'Novia Web Query'!$A:$E,3,FALSE)</f>
        <v>UT Asia Pacific Excluding Japan</v>
      </c>
      <c r="D842" s="139">
        <f>VLOOKUP(NoviaFunds[[#This Row],[ISIN]],'Novia Web Query'!$A:$E,4,FALSE)/100</f>
        <v>9.300000000000001E-3</v>
      </c>
      <c r="E842" s="3" t="str">
        <f>VLOOKUP(NoviaFunds[[#This Row],[ISIN]],'Novia Web Query'!$A:$E,5,FALSE)</f>
        <v>14/01/2021</v>
      </c>
      <c r="F842" t="str">
        <f>VLOOKUP(NoviaFunds[[#This Row],[Sector]],Sectors[],2,FALSE)</f>
        <v>Asia Pacific</v>
      </c>
    </row>
    <row r="843" spans="1:6" x14ac:dyDescent="0.2">
      <c r="A843" t="str">
        <f>'Novia Web Query'!A843</f>
        <v>GB0005801484</v>
      </c>
      <c r="B843" t="str">
        <f>VLOOKUP(NoviaFunds[[#This Row],[ISIN]],'Novia Web Query'!$A:$E,2,FALSE)</f>
        <v>BMO Corporate Bond 1 Inc TR in GB</v>
      </c>
      <c r="C843" t="str">
        <f>VLOOKUP(NoviaFunds[[#This Row],[ISIN]],'Novia Web Query'!$A:$E,3,FALSE)</f>
        <v>UT Sterling Corporate Bond</v>
      </c>
      <c r="D843" s="139">
        <f>VLOOKUP(NoviaFunds[[#This Row],[ISIN]],'Novia Web Query'!$A:$E,4,FALSE)/100</f>
        <v>1.5300000000000001E-2</v>
      </c>
      <c r="E843" s="3" t="str">
        <f>VLOOKUP(NoviaFunds[[#This Row],[ISIN]],'Novia Web Query'!$A:$E,5,FALSE)</f>
        <v>14/01/2021</v>
      </c>
      <c r="F843" t="str">
        <f>VLOOKUP(NoviaFunds[[#This Row],[Sector]],Sectors[],2,FALSE)</f>
        <v>Sterling Corporate Bonds</v>
      </c>
    </row>
    <row r="844" spans="1:6" x14ac:dyDescent="0.2">
      <c r="A844" t="str">
        <f>'Novia Web Query'!A844</f>
        <v>GB00B77G9791</v>
      </c>
      <c r="B844" t="str">
        <f>VLOOKUP(NoviaFunds[[#This Row],[ISIN]],'Novia Web Query'!$A:$E,2,FALSE)</f>
        <v>BMO Corporate Bond C Inc TR in GB</v>
      </c>
      <c r="C844" t="str">
        <f>VLOOKUP(NoviaFunds[[#This Row],[ISIN]],'Novia Web Query'!$A:$E,3,FALSE)</f>
        <v>UT Sterling Corporate Bond</v>
      </c>
      <c r="D844" s="139">
        <f>VLOOKUP(NoviaFunds[[#This Row],[ISIN]],'Novia Web Query'!$A:$E,4,FALSE)/100</f>
        <v>6.1999999999999998E-3</v>
      </c>
      <c r="E844" s="3" t="str">
        <f>VLOOKUP(NoviaFunds[[#This Row],[ISIN]],'Novia Web Query'!$A:$E,5,FALSE)</f>
        <v>14/01/2021</v>
      </c>
      <c r="F844" t="str">
        <f>VLOOKUP(NoviaFunds[[#This Row],[Sector]],Sectors[],2,FALSE)</f>
        <v>Sterling Corporate Bonds</v>
      </c>
    </row>
    <row r="845" spans="1:6" x14ac:dyDescent="0.2">
      <c r="A845" t="str">
        <f>'Novia Web Query'!A845</f>
        <v>GB0003460507</v>
      </c>
      <c r="B845" t="str">
        <f>VLOOKUP(NoviaFunds[[#This Row],[ISIN]],'Novia Web Query'!$A:$E,2,FALSE)</f>
        <v>BMO Diversified Monthly Income 1 Inc TR in GB</v>
      </c>
      <c r="C845" t="str">
        <f>VLOOKUP(NoviaFunds[[#This Row],[ISIN]],'Novia Web Query'!$A:$E,3,FALSE)</f>
        <v>UT Specialist</v>
      </c>
      <c r="D845" s="139">
        <f>VLOOKUP(NoviaFunds[[#This Row],[ISIN]],'Novia Web Query'!$A:$E,4,FALSE)/100</f>
        <v>2.1400000000000002E-2</v>
      </c>
      <c r="E845" s="3" t="str">
        <f>VLOOKUP(NoviaFunds[[#This Row],[ISIN]],'Novia Web Query'!$A:$E,5,FALSE)</f>
        <v>15/03/2021</v>
      </c>
      <c r="F845" t="str">
        <f>VLOOKUP(NoviaFunds[[#This Row],[Sector]],Sectors[],2,FALSE)</f>
        <v>Specialist</v>
      </c>
    </row>
    <row r="846" spans="1:6" x14ac:dyDescent="0.2">
      <c r="A846" t="str">
        <f>'Novia Web Query'!A846</f>
        <v>GB00BYZ62Z90</v>
      </c>
      <c r="B846" t="str">
        <f>VLOOKUP(NoviaFunds[[#This Row],[ISIN]],'Novia Web Query'!$A:$E,2,FALSE)</f>
        <v>BMO Diversified Monthly Income C Inc TR in GB**</v>
      </c>
      <c r="C846" t="str">
        <f>VLOOKUP(NoviaFunds[[#This Row],[ISIN]],'Novia Web Query'!$A:$E,3,FALSE)</f>
        <v>UT Specialist</v>
      </c>
      <c r="D846" s="139">
        <f>VLOOKUP(NoviaFunds[[#This Row],[ISIN]],'Novia Web Query'!$A:$E,4,FALSE)/100</f>
        <v>7.7000000000000002E-3</v>
      </c>
      <c r="E846" s="3" t="str">
        <f>VLOOKUP(NoviaFunds[[#This Row],[ISIN]],'Novia Web Query'!$A:$E,5,FALSE)</f>
        <v>25/07/2021</v>
      </c>
      <c r="F846" t="str">
        <f>VLOOKUP(NoviaFunds[[#This Row],[Sector]],Sectors[],2,FALSE)</f>
        <v>Specialist</v>
      </c>
    </row>
    <row r="847" spans="1:6" x14ac:dyDescent="0.2">
      <c r="A847" t="str">
        <f>'Novia Web Query'!A847</f>
        <v>GB0005751002</v>
      </c>
      <c r="B847" t="str">
        <f>VLOOKUP(NoviaFunds[[#This Row],[ISIN]],'Novia Web Query'!$A:$E,2,FALSE)</f>
        <v>BMO Emerging Markets Equity 1 Acc in GB</v>
      </c>
      <c r="C847" t="str">
        <f>VLOOKUP(NoviaFunds[[#This Row],[ISIN]],'Novia Web Query'!$A:$E,3,FALSE)</f>
        <v>UT Global Emerging Markets</v>
      </c>
      <c r="D847" s="139">
        <f>VLOOKUP(NoviaFunds[[#This Row],[ISIN]],'Novia Web Query'!$A:$E,4,FALSE)/100</f>
        <v>2.41E-2</v>
      </c>
      <c r="E847" s="3" t="str">
        <f>VLOOKUP(NoviaFunds[[#This Row],[ISIN]],'Novia Web Query'!$A:$E,5,FALSE)</f>
        <v>14/01/2021</v>
      </c>
      <c r="F847" t="str">
        <f>VLOOKUP(NoviaFunds[[#This Row],[Sector]],Sectors[],2,FALSE)</f>
        <v>Emerging Markets</v>
      </c>
    </row>
    <row r="848" spans="1:6" x14ac:dyDescent="0.2">
      <c r="A848" t="str">
        <f>'Novia Web Query'!A848</f>
        <v>GB00B5463542</v>
      </c>
      <c r="B848" t="str">
        <f>VLOOKUP(NoviaFunds[[#This Row],[ISIN]],'Novia Web Query'!$A:$E,2,FALSE)</f>
        <v>BMO Emerging Markets Equity 2 Acc in GB</v>
      </c>
      <c r="C848" t="str">
        <f>VLOOKUP(NoviaFunds[[#This Row],[ISIN]],'Novia Web Query'!$A:$E,3,FALSE)</f>
        <v>UT Global Emerging Markets</v>
      </c>
      <c r="D848" s="139">
        <f>VLOOKUP(NoviaFunds[[#This Row],[ISIN]],'Novia Web Query'!$A:$E,4,FALSE)/100</f>
        <v>1.11E-2</v>
      </c>
      <c r="E848" s="3" t="str">
        <f>VLOOKUP(NoviaFunds[[#This Row],[ISIN]],'Novia Web Query'!$A:$E,5,FALSE)</f>
        <v>14/01/2021</v>
      </c>
      <c r="F848" t="str">
        <f>VLOOKUP(NoviaFunds[[#This Row],[Sector]],Sectors[],2,FALSE)</f>
        <v>Emerging Markets</v>
      </c>
    </row>
    <row r="849" spans="1:6" x14ac:dyDescent="0.2">
      <c r="A849" t="str">
        <f>'Novia Web Query'!A849</f>
        <v>GB0033138024</v>
      </c>
      <c r="B849" t="str">
        <f>VLOOKUP(NoviaFunds[[#This Row],[ISIN]],'Novia Web Query'!$A:$E,2,FALSE)</f>
        <v>BMO FTSE All-Share Tracker 1 Acc TR in GB**</v>
      </c>
      <c r="C849" t="str">
        <f>VLOOKUP(NoviaFunds[[#This Row],[ISIN]],'Novia Web Query'!$A:$E,3,FALSE)</f>
        <v>UT UK All Companies</v>
      </c>
      <c r="D849" s="139">
        <f>VLOOKUP(NoviaFunds[[#This Row],[ISIN]],'Novia Web Query'!$A:$E,4,FALSE)/100</f>
        <v>4.5000000000000005E-3</v>
      </c>
      <c r="E849" s="3" t="str">
        <f>VLOOKUP(NoviaFunds[[#This Row],[ISIN]],'Novia Web Query'!$A:$E,5,FALSE)</f>
        <v>15/03/2021</v>
      </c>
      <c r="F849" t="str">
        <f>VLOOKUP(NoviaFunds[[#This Row],[Sector]],Sectors[],2,FALSE)</f>
        <v>UK Equities</v>
      </c>
    </row>
    <row r="850" spans="1:6" x14ac:dyDescent="0.2">
      <c r="A850" t="str">
        <f>'Novia Web Query'!A850</f>
        <v>GB0008464199</v>
      </c>
      <c r="B850" t="str">
        <f>VLOOKUP(NoviaFunds[[#This Row],[ISIN]],'Novia Web Query'!$A:$E,2,FALSE)</f>
        <v>BMO FTSE All-Share Tracker 1 Inc TR in GB</v>
      </c>
      <c r="C850" t="str">
        <f>VLOOKUP(NoviaFunds[[#This Row],[ISIN]],'Novia Web Query'!$A:$E,3,FALSE)</f>
        <v>UT UK All Companies</v>
      </c>
      <c r="D850" s="139">
        <f>VLOOKUP(NoviaFunds[[#This Row],[ISIN]],'Novia Web Query'!$A:$E,4,FALSE)/100</f>
        <v>6.8999999999999999E-3</v>
      </c>
      <c r="E850" s="3" t="str">
        <f>VLOOKUP(NoviaFunds[[#This Row],[ISIN]],'Novia Web Query'!$A:$E,5,FALSE)</f>
        <v>15/03/2021</v>
      </c>
      <c r="F850" t="str">
        <f>VLOOKUP(NoviaFunds[[#This Row],[Sector]],Sectors[],2,FALSE)</f>
        <v>UK Equities</v>
      </c>
    </row>
    <row r="851" spans="1:6" x14ac:dyDescent="0.2">
      <c r="A851" t="str">
        <f>'Novia Web Query'!A851</f>
        <v>GB0033138131</v>
      </c>
      <c r="B851" t="str">
        <f>VLOOKUP(NoviaFunds[[#This Row],[ISIN]],'Novia Web Query'!$A:$E,2,FALSE)</f>
        <v>BMO FTSE All-Share Tracker 2 Acc TR in GB**</v>
      </c>
      <c r="C851" t="str">
        <f>VLOOKUP(NoviaFunds[[#This Row],[ISIN]],'Novia Web Query'!$A:$E,3,FALSE)</f>
        <v>UT UK All Companies</v>
      </c>
      <c r="D851" s="139">
        <f>VLOOKUP(NoviaFunds[[#This Row],[ISIN]],'Novia Web Query'!$A:$E,4,FALSE)/100</f>
        <v>3.0999999999999999E-3</v>
      </c>
      <c r="E851" s="3" t="str">
        <f>VLOOKUP(NoviaFunds[[#This Row],[ISIN]],'Novia Web Query'!$A:$E,5,FALSE)</f>
        <v>08/11/2021</v>
      </c>
      <c r="F851" t="str">
        <f>VLOOKUP(NoviaFunds[[#This Row],[Sector]],Sectors[],2,FALSE)</f>
        <v>UK Equities</v>
      </c>
    </row>
    <row r="852" spans="1:6" x14ac:dyDescent="0.2">
      <c r="A852" t="str">
        <f>'Novia Web Query'!A852</f>
        <v>GB0008464645</v>
      </c>
      <c r="B852" t="str">
        <f>VLOOKUP(NoviaFunds[[#This Row],[ISIN]],'Novia Web Query'!$A:$E,2,FALSE)</f>
        <v>BMO FTSE All-Share Tracker 2 Inc TR in GB</v>
      </c>
      <c r="C852" t="str">
        <f>VLOOKUP(NoviaFunds[[#This Row],[ISIN]],'Novia Web Query'!$A:$E,3,FALSE)</f>
        <v>UT UK All Companies</v>
      </c>
      <c r="D852" s="139">
        <f>VLOOKUP(NoviaFunds[[#This Row],[ISIN]],'Novia Web Query'!$A:$E,4,FALSE)/100</f>
        <v>3.4000000000000002E-3</v>
      </c>
      <c r="E852" s="3" t="str">
        <f>VLOOKUP(NoviaFunds[[#This Row],[ISIN]],'Novia Web Query'!$A:$E,5,FALSE)</f>
        <v>08/11/2021</v>
      </c>
      <c r="F852" t="str">
        <f>VLOOKUP(NoviaFunds[[#This Row],[Sector]],Sectors[],2,FALSE)</f>
        <v>UK Equities</v>
      </c>
    </row>
    <row r="853" spans="1:6" x14ac:dyDescent="0.2">
      <c r="A853" t="str">
        <f>'Novia Web Query'!A853</f>
        <v>GB0008465501</v>
      </c>
      <c r="B853" t="str">
        <f>VLOOKUP(NoviaFunds[[#This Row],[ISIN]],'Novia Web Query'!$A:$E,2,FALSE)</f>
        <v>BMO FTSE All-Share Tracker 3 Inc TR in GB**</v>
      </c>
      <c r="C853" t="str">
        <f>VLOOKUP(NoviaFunds[[#This Row],[ISIN]],'Novia Web Query'!$A:$E,3,FALSE)</f>
        <v>UT UK All Companies</v>
      </c>
      <c r="D853" s="139">
        <f>VLOOKUP(NoviaFunds[[#This Row],[ISIN]],'Novia Web Query'!$A:$E,4,FALSE)/100</f>
        <v>3.3E-3</v>
      </c>
      <c r="E853" s="3" t="str">
        <f>VLOOKUP(NoviaFunds[[#This Row],[ISIN]],'Novia Web Query'!$A:$E,5,FALSE)</f>
        <v>15/03/2021</v>
      </c>
      <c r="F853" t="str">
        <f>VLOOKUP(NoviaFunds[[#This Row],[Sector]],Sectors[],2,FALSE)</f>
        <v>UK Equities</v>
      </c>
    </row>
    <row r="854" spans="1:6" x14ac:dyDescent="0.2">
      <c r="A854" t="str">
        <f>'Novia Web Query'!A854</f>
        <v>GB00BJ05NG47</v>
      </c>
      <c r="B854" t="str">
        <f>VLOOKUP(NoviaFunds[[#This Row],[ISIN]],'Novia Web Query'!$A:$E,2,FALSE)</f>
        <v>BMO Global Real Estate Securities 2 Acc in GB</v>
      </c>
      <c r="C854" t="str">
        <f>VLOOKUP(NoviaFunds[[#This Row],[ISIN]],'Novia Web Query'!$A:$E,3,FALSE)</f>
        <v>UT Property Other</v>
      </c>
      <c r="D854" s="139">
        <f>VLOOKUP(NoviaFunds[[#This Row],[ISIN]],'Novia Web Query'!$A:$E,4,FALSE)/100</f>
        <v>9.8999999999999991E-3</v>
      </c>
      <c r="E854" s="3" t="str">
        <f>VLOOKUP(NoviaFunds[[#This Row],[ISIN]],'Novia Web Query'!$A:$E,5,FALSE)</f>
        <v>14/01/2021</v>
      </c>
      <c r="F854" t="e">
        <f>VLOOKUP(NoviaFunds[[#This Row],[Sector]],Sectors[],2,FALSE)</f>
        <v>#N/A</v>
      </c>
    </row>
    <row r="855" spans="1:6" x14ac:dyDescent="0.2">
      <c r="A855" t="str">
        <f>'Novia Web Query'!A855</f>
        <v>GB0033145268</v>
      </c>
      <c r="B855" t="str">
        <f>VLOOKUP(NoviaFunds[[#This Row],[ISIN]],'Novia Web Query'!$A:$E,2,FALSE)</f>
        <v>BMO Global Total Return Bond (GBP Hedged) 1 Acc in GB</v>
      </c>
      <c r="C855" t="str">
        <f>VLOOKUP(NoviaFunds[[#This Row],[ISIN]],'Novia Web Query'!$A:$E,3,FALSE)</f>
        <v>UT Global Bonds</v>
      </c>
      <c r="D855" s="139">
        <f>VLOOKUP(NoviaFunds[[#This Row],[ISIN]],'Novia Web Query'!$A:$E,4,FALSE)/100</f>
        <v>1.3999999999999999E-2</v>
      </c>
      <c r="E855" s="3" t="str">
        <f>VLOOKUP(NoviaFunds[[#This Row],[ISIN]],'Novia Web Query'!$A:$E,5,FALSE)</f>
        <v>14/01/2021</v>
      </c>
      <c r="F855" t="str">
        <f>VLOOKUP(NoviaFunds[[#This Row],[Sector]],Sectors[],2,FALSE)</f>
        <v>Global Investment Grade</v>
      </c>
    </row>
    <row r="856" spans="1:6" x14ac:dyDescent="0.2">
      <c r="A856" t="str">
        <f>'Novia Web Query'!A856</f>
        <v>GB0033145151</v>
      </c>
      <c r="B856" t="str">
        <f>VLOOKUP(NoviaFunds[[#This Row],[ISIN]],'Novia Web Query'!$A:$E,2,FALSE)</f>
        <v>BMO Global Total Return Bond (GBP Hedged) 1 Inc TR in GB</v>
      </c>
      <c r="C856" t="str">
        <f>VLOOKUP(NoviaFunds[[#This Row],[ISIN]],'Novia Web Query'!$A:$E,3,FALSE)</f>
        <v>UT Global Bonds</v>
      </c>
      <c r="D856" s="139">
        <f>VLOOKUP(NoviaFunds[[#This Row],[ISIN]],'Novia Web Query'!$A:$E,4,FALSE)/100</f>
        <v>1.4199999999999999E-2</v>
      </c>
      <c r="E856" s="3" t="str">
        <f>VLOOKUP(NoviaFunds[[#This Row],[ISIN]],'Novia Web Query'!$A:$E,5,FALSE)</f>
        <v>14/01/2021</v>
      </c>
      <c r="F856" t="str">
        <f>VLOOKUP(NoviaFunds[[#This Row],[Sector]],Sectors[],2,FALSE)</f>
        <v>Global Investment Grade</v>
      </c>
    </row>
    <row r="857" spans="1:6" x14ac:dyDescent="0.2">
      <c r="A857" t="str">
        <f>'Novia Web Query'!A857</f>
        <v>GB00B80KFS89</v>
      </c>
      <c r="B857" t="str">
        <f>VLOOKUP(NoviaFunds[[#This Row],[ISIN]],'Novia Web Query'!$A:$E,2,FALSE)</f>
        <v>BMO Global Total Return Bond (GBP Hedged) C Acc TR in GB**</v>
      </c>
      <c r="C857" t="str">
        <f>VLOOKUP(NoviaFunds[[#This Row],[ISIN]],'Novia Web Query'!$A:$E,3,FALSE)</f>
        <v>UT Global Bonds</v>
      </c>
      <c r="D857" s="139">
        <f>VLOOKUP(NoviaFunds[[#This Row],[ISIN]],'Novia Web Query'!$A:$E,4,FALSE)/100</f>
        <v>5.6000000000000008E-3</v>
      </c>
      <c r="E857" s="3" t="str">
        <f>VLOOKUP(NoviaFunds[[#This Row],[ISIN]],'Novia Web Query'!$A:$E,5,FALSE)</f>
        <v>14/01/2021</v>
      </c>
      <c r="F857" t="str">
        <f>VLOOKUP(NoviaFunds[[#This Row],[Sector]],Sectors[],2,FALSE)</f>
        <v>Global Investment Grade</v>
      </c>
    </row>
    <row r="858" spans="1:6" x14ac:dyDescent="0.2">
      <c r="A858" t="str">
        <f>'Novia Web Query'!A858</f>
        <v>GB00B80KHR13</v>
      </c>
      <c r="B858" t="str">
        <f>VLOOKUP(NoviaFunds[[#This Row],[ISIN]],'Novia Web Query'!$A:$E,2,FALSE)</f>
        <v>BMO Global Total Return Bond (GBP Hedged) C Inc TR in GB</v>
      </c>
      <c r="C858" t="str">
        <f>VLOOKUP(NoviaFunds[[#This Row],[ISIN]],'Novia Web Query'!$A:$E,3,FALSE)</f>
        <v>UT Global Bonds</v>
      </c>
      <c r="D858" s="139">
        <f>VLOOKUP(NoviaFunds[[#This Row],[ISIN]],'Novia Web Query'!$A:$E,4,FALSE)/100</f>
        <v>6.8999999999999999E-3</v>
      </c>
      <c r="E858" s="3" t="str">
        <f>VLOOKUP(NoviaFunds[[#This Row],[ISIN]],'Novia Web Query'!$A:$E,5,FALSE)</f>
        <v>14/01/2021</v>
      </c>
      <c r="F858" t="str">
        <f>VLOOKUP(NoviaFunds[[#This Row],[Sector]],Sectors[],2,FALSE)</f>
        <v>Global Investment Grade</v>
      </c>
    </row>
    <row r="859" spans="1:6" x14ac:dyDescent="0.2">
      <c r="A859" t="str">
        <f>'Novia Web Query'!A859</f>
        <v>GB00B8460N21</v>
      </c>
      <c r="B859" t="str">
        <f>VLOOKUP(NoviaFunds[[#This Row],[ISIN]],'Novia Web Query'!$A:$E,2,FALSE)</f>
        <v>BMO Long Dated Sterling Corporate Bond 3 Acc in GB</v>
      </c>
      <c r="C859" t="str">
        <f>VLOOKUP(NoviaFunds[[#This Row],[ISIN]],'Novia Web Query'!$A:$E,3,FALSE)</f>
        <v>UT Sterling Corporate Bond</v>
      </c>
      <c r="D859" s="139">
        <f>VLOOKUP(NoviaFunds[[#This Row],[ISIN]],'Novia Web Query'!$A:$E,4,FALSE)/100</f>
        <v>4.5000000000000005E-3</v>
      </c>
      <c r="E859" s="3" t="str">
        <f>VLOOKUP(NoviaFunds[[#This Row],[ISIN]],'Novia Web Query'!$A:$E,5,FALSE)</f>
        <v>14/01/2021</v>
      </c>
      <c r="F859" t="str">
        <f>VLOOKUP(NoviaFunds[[#This Row],[Sector]],Sectors[],2,FALSE)</f>
        <v>Sterling Corporate Bonds</v>
      </c>
    </row>
    <row r="860" spans="1:6" x14ac:dyDescent="0.2">
      <c r="A860" t="str">
        <f>'Novia Web Query'!A860</f>
        <v>GB0033141846</v>
      </c>
      <c r="B860" t="str">
        <f>VLOOKUP(NoviaFunds[[#This Row],[ISIN]],'Novia Web Query'!$A:$E,2,FALSE)</f>
        <v>BMO Managed Growth 1 Acc in GB</v>
      </c>
      <c r="C860" t="str">
        <f>VLOOKUP(NoviaFunds[[#This Row],[ISIN]],'Novia Web Query'!$A:$E,3,FALSE)</f>
        <v>UT Flexible Investment</v>
      </c>
      <c r="D860" s="139">
        <f>VLOOKUP(NoviaFunds[[#This Row],[ISIN]],'Novia Web Query'!$A:$E,4,FALSE)/100</f>
        <v>1.9599999999999999E-2</v>
      </c>
      <c r="E860" s="3" t="str">
        <f>VLOOKUP(NoviaFunds[[#This Row],[ISIN]],'Novia Web Query'!$A:$E,5,FALSE)</f>
        <v>14/01/2021</v>
      </c>
      <c r="F860" t="str">
        <f>VLOOKUP(NoviaFunds[[#This Row],[Sector]],Sectors[],2,FALSE)</f>
        <v>Flexible</v>
      </c>
    </row>
    <row r="861" spans="1:6" x14ac:dyDescent="0.2">
      <c r="A861" t="str">
        <f>'Novia Web Query'!A861</f>
        <v>GB00BYZ62Y83</v>
      </c>
      <c r="B861" t="str">
        <f>VLOOKUP(NoviaFunds[[#This Row],[ISIN]],'Novia Web Query'!$A:$E,2,FALSE)</f>
        <v>BMO Managed Growth C Acc in GB**</v>
      </c>
      <c r="C861" t="str">
        <f>VLOOKUP(NoviaFunds[[#This Row],[ISIN]],'Novia Web Query'!$A:$E,3,FALSE)</f>
        <v>UT Flexible Investment</v>
      </c>
      <c r="D861" s="139">
        <f>VLOOKUP(NoviaFunds[[#This Row],[ISIN]],'Novia Web Query'!$A:$E,4,FALSE)/100</f>
        <v>1.0800000000000001E-2</v>
      </c>
      <c r="E861" s="3" t="str">
        <f>VLOOKUP(NoviaFunds[[#This Row],[ISIN]],'Novia Web Query'!$A:$E,5,FALSE)</f>
        <v>14/01/2021</v>
      </c>
      <c r="F861" t="str">
        <f>VLOOKUP(NoviaFunds[[#This Row],[Sector]],Sectors[],2,FALSE)</f>
        <v>Flexible</v>
      </c>
    </row>
    <row r="862" spans="1:6" x14ac:dyDescent="0.2">
      <c r="A862" t="str">
        <f>'Novia Web Query'!A862</f>
        <v>GB00BYZ62W69</v>
      </c>
      <c r="B862" t="str">
        <f>VLOOKUP(NoviaFunds[[#This Row],[ISIN]],'Novia Web Query'!$A:$E,2,FALSE)</f>
        <v>BMO Managed Growth C Inc TR in GB**</v>
      </c>
      <c r="C862" t="str">
        <f>VLOOKUP(NoviaFunds[[#This Row],[ISIN]],'Novia Web Query'!$A:$E,3,FALSE)</f>
        <v>UT Flexible Investment</v>
      </c>
      <c r="D862" s="139">
        <f>VLOOKUP(NoviaFunds[[#This Row],[ISIN]],'Novia Web Query'!$A:$E,4,FALSE)/100</f>
        <v>1.6200000000000003E-2</v>
      </c>
      <c r="E862" s="3" t="str">
        <f>VLOOKUP(NoviaFunds[[#This Row],[ISIN]],'Novia Web Query'!$A:$E,5,FALSE)</f>
        <v>14/01/2021</v>
      </c>
      <c r="F862" t="str">
        <f>VLOOKUP(NoviaFunds[[#This Row],[Sector]],Sectors[],2,FALSE)</f>
        <v>Flexible</v>
      </c>
    </row>
    <row r="863" spans="1:6" x14ac:dyDescent="0.2">
      <c r="A863" t="str">
        <f>'Novia Web Query'!A863</f>
        <v>GB00BG5GMB95</v>
      </c>
      <c r="B863" t="str">
        <f>VLOOKUP(NoviaFunds[[#This Row],[ISIN]],'Novia Web Query'!$A:$E,2,FALSE)</f>
        <v>BMO MM Lifestyle 3 B Acc in GB</v>
      </c>
      <c r="C863" t="str">
        <f>VLOOKUP(NoviaFunds[[#This Row],[ISIN]],'Novia Web Query'!$A:$E,3,FALSE)</f>
        <v>UT Volatility Managed</v>
      </c>
      <c r="D863" s="139">
        <f>VLOOKUP(NoviaFunds[[#This Row],[ISIN]],'Novia Web Query'!$A:$E,4,FALSE)/100</f>
        <v>1.0500000000000001E-2</v>
      </c>
      <c r="E863" s="3" t="str">
        <f>VLOOKUP(NoviaFunds[[#This Row],[ISIN]],'Novia Web Query'!$A:$E,5,FALSE)</f>
        <v>01/03/2021</v>
      </c>
      <c r="F863" t="e">
        <f>VLOOKUP(NoviaFunds[[#This Row],[Sector]],Sectors[],2,FALSE)</f>
        <v>#N/A</v>
      </c>
    </row>
    <row r="864" spans="1:6" x14ac:dyDescent="0.2">
      <c r="A864" t="str">
        <f>'Novia Web Query'!A864</f>
        <v>GB00BG5GM973</v>
      </c>
      <c r="B864" t="str">
        <f>VLOOKUP(NoviaFunds[[#This Row],[ISIN]],'Novia Web Query'!$A:$E,2,FALSE)</f>
        <v>BMO MM Lifestyle 3 B Inc TR in GB</v>
      </c>
      <c r="C864" t="str">
        <f>VLOOKUP(NoviaFunds[[#This Row],[ISIN]],'Novia Web Query'!$A:$E,3,FALSE)</f>
        <v>UT Volatility Managed</v>
      </c>
      <c r="D864" s="139">
        <f>VLOOKUP(NoviaFunds[[#This Row],[ISIN]],'Novia Web Query'!$A:$E,4,FALSE)/100</f>
        <v>1.0500000000000001E-2</v>
      </c>
      <c r="E864" s="3" t="str">
        <f>VLOOKUP(NoviaFunds[[#This Row],[ISIN]],'Novia Web Query'!$A:$E,5,FALSE)</f>
        <v>01/03/2021</v>
      </c>
      <c r="F864" t="e">
        <f>VLOOKUP(NoviaFunds[[#This Row],[Sector]],Sectors[],2,FALSE)</f>
        <v>#N/A</v>
      </c>
    </row>
    <row r="865" spans="1:6" x14ac:dyDescent="0.2">
      <c r="A865" t="str">
        <f>'Novia Web Query'!A865</f>
        <v>GB00B1TMPQ43</v>
      </c>
      <c r="B865" t="str">
        <f>VLOOKUP(NoviaFunds[[#This Row],[ISIN]],'Novia Web Query'!$A:$E,2,FALSE)</f>
        <v>BMO MM Lifestyle 4 A Acc in GB</v>
      </c>
      <c r="C865" t="str">
        <f>VLOOKUP(NoviaFunds[[#This Row],[ISIN]],'Novia Web Query'!$A:$E,3,FALSE)</f>
        <v>UT Volatility Managed</v>
      </c>
      <c r="D865" s="139">
        <f>VLOOKUP(NoviaFunds[[#This Row],[ISIN]],'Novia Web Query'!$A:$E,4,FALSE)/100</f>
        <v>1.9699999999999999E-2</v>
      </c>
      <c r="E865" s="3" t="str">
        <f>VLOOKUP(NoviaFunds[[#This Row],[ISIN]],'Novia Web Query'!$A:$E,5,FALSE)</f>
        <v>01/03/2021</v>
      </c>
      <c r="F865" t="e">
        <f>VLOOKUP(NoviaFunds[[#This Row],[Sector]],Sectors[],2,FALSE)</f>
        <v>#N/A</v>
      </c>
    </row>
    <row r="866" spans="1:6" x14ac:dyDescent="0.2">
      <c r="A866" t="str">
        <f>'Novia Web Query'!A866</f>
        <v>GB00B83XVS65</v>
      </c>
      <c r="B866" t="str">
        <f>VLOOKUP(NoviaFunds[[#This Row],[ISIN]],'Novia Web Query'!$A:$E,2,FALSE)</f>
        <v>BMO MM Lifestyle 4 B Acc TR in GB**</v>
      </c>
      <c r="C866" t="str">
        <f>VLOOKUP(NoviaFunds[[#This Row],[ISIN]],'Novia Web Query'!$A:$E,3,FALSE)</f>
        <v>UT Volatility Managed</v>
      </c>
      <c r="D866" s="139">
        <f>VLOOKUP(NoviaFunds[[#This Row],[ISIN]],'Novia Web Query'!$A:$E,4,FALSE)/100</f>
        <v>9.7000000000000003E-3</v>
      </c>
      <c r="E866" s="3" t="str">
        <f>VLOOKUP(NoviaFunds[[#This Row],[ISIN]],'Novia Web Query'!$A:$E,5,FALSE)</f>
        <v>01/03/2021</v>
      </c>
      <c r="F866" t="e">
        <f>VLOOKUP(NoviaFunds[[#This Row],[Sector]],Sectors[],2,FALSE)</f>
        <v>#N/A</v>
      </c>
    </row>
    <row r="867" spans="1:6" x14ac:dyDescent="0.2">
      <c r="A867" t="str">
        <f>'Novia Web Query'!A867</f>
        <v>GB00B4YQGY73</v>
      </c>
      <c r="B867" t="str">
        <f>VLOOKUP(NoviaFunds[[#This Row],[ISIN]],'Novia Web Query'!$A:$E,2,FALSE)</f>
        <v>BMO MM Lifestyle 4 B Inc TR in GB**</v>
      </c>
      <c r="C867" t="str">
        <f>VLOOKUP(NoviaFunds[[#This Row],[ISIN]],'Novia Web Query'!$A:$E,3,FALSE)</f>
        <v>UT Volatility Managed</v>
      </c>
      <c r="D867" s="139">
        <f>VLOOKUP(NoviaFunds[[#This Row],[ISIN]],'Novia Web Query'!$A:$E,4,FALSE)/100</f>
        <v>9.7000000000000003E-3</v>
      </c>
      <c r="E867" s="3" t="str">
        <f>VLOOKUP(NoviaFunds[[#This Row],[ISIN]],'Novia Web Query'!$A:$E,5,FALSE)</f>
        <v>01/03/2021</v>
      </c>
      <c r="F867" t="e">
        <f>VLOOKUP(NoviaFunds[[#This Row],[Sector]],Sectors[],2,FALSE)</f>
        <v>#N/A</v>
      </c>
    </row>
    <row r="868" spans="1:6" x14ac:dyDescent="0.2">
      <c r="A868" t="str">
        <f>'Novia Web Query'!A868</f>
        <v>GB00B1TMPP36</v>
      </c>
      <c r="B868" t="str">
        <f>VLOOKUP(NoviaFunds[[#This Row],[ISIN]],'Novia Web Query'!$A:$E,2,FALSE)</f>
        <v>BMO MM Lifestyle 5 A Acc in GB</v>
      </c>
      <c r="C868" t="str">
        <f>VLOOKUP(NoviaFunds[[#This Row],[ISIN]],'Novia Web Query'!$A:$E,3,FALSE)</f>
        <v>UT Volatility Managed</v>
      </c>
      <c r="D868" s="139">
        <f>VLOOKUP(NoviaFunds[[#This Row],[ISIN]],'Novia Web Query'!$A:$E,4,FALSE)/100</f>
        <v>1.9900000000000001E-2</v>
      </c>
      <c r="E868" s="3" t="str">
        <f>VLOOKUP(NoviaFunds[[#This Row],[ISIN]],'Novia Web Query'!$A:$E,5,FALSE)</f>
        <v>14/01/2021</v>
      </c>
      <c r="F868" t="e">
        <f>VLOOKUP(NoviaFunds[[#This Row],[Sector]],Sectors[],2,FALSE)</f>
        <v>#N/A</v>
      </c>
    </row>
    <row r="869" spans="1:6" x14ac:dyDescent="0.2">
      <c r="A869" t="str">
        <f>'Novia Web Query'!A869</f>
        <v>GB00B7MXZP57</v>
      </c>
      <c r="B869" t="str">
        <f>VLOOKUP(NoviaFunds[[#This Row],[ISIN]],'Novia Web Query'!$A:$E,2,FALSE)</f>
        <v>BMO MM Lifestyle 5 B Acc TR in GB**</v>
      </c>
      <c r="C869" t="str">
        <f>VLOOKUP(NoviaFunds[[#This Row],[ISIN]],'Novia Web Query'!$A:$E,3,FALSE)</f>
        <v>UT Volatility Managed</v>
      </c>
      <c r="D869" s="139">
        <f>VLOOKUP(NoviaFunds[[#This Row],[ISIN]],'Novia Web Query'!$A:$E,4,FALSE)/100</f>
        <v>9.8999999999999991E-3</v>
      </c>
      <c r="E869" s="3" t="str">
        <f>VLOOKUP(NoviaFunds[[#This Row],[ISIN]],'Novia Web Query'!$A:$E,5,FALSE)</f>
        <v>01/03/2021</v>
      </c>
      <c r="F869" t="e">
        <f>VLOOKUP(NoviaFunds[[#This Row],[Sector]],Sectors[],2,FALSE)</f>
        <v>#N/A</v>
      </c>
    </row>
    <row r="870" spans="1:6" x14ac:dyDescent="0.2">
      <c r="A870" t="str">
        <f>'Novia Web Query'!A870</f>
        <v>GB00B4YRCK80</v>
      </c>
      <c r="B870" t="str">
        <f>VLOOKUP(NoviaFunds[[#This Row],[ISIN]],'Novia Web Query'!$A:$E,2,FALSE)</f>
        <v>BMO MM Lifestyle 5 B Inc TR in GB**</v>
      </c>
      <c r="C870" t="str">
        <f>VLOOKUP(NoviaFunds[[#This Row],[ISIN]],'Novia Web Query'!$A:$E,3,FALSE)</f>
        <v>UT Volatility Managed</v>
      </c>
      <c r="D870" s="139">
        <f>VLOOKUP(NoviaFunds[[#This Row],[ISIN]],'Novia Web Query'!$A:$E,4,FALSE)/100</f>
        <v>9.8999999999999991E-3</v>
      </c>
      <c r="E870" s="3" t="str">
        <f>VLOOKUP(NoviaFunds[[#This Row],[ISIN]],'Novia Web Query'!$A:$E,5,FALSE)</f>
        <v>01/03/2021</v>
      </c>
      <c r="F870" t="e">
        <f>VLOOKUP(NoviaFunds[[#This Row],[Sector]],Sectors[],2,FALSE)</f>
        <v>#N/A</v>
      </c>
    </row>
    <row r="871" spans="1:6" x14ac:dyDescent="0.2">
      <c r="A871" t="str">
        <f>'Novia Web Query'!A871</f>
        <v>GB00B1TMPN12</v>
      </c>
      <c r="B871" t="str">
        <f>VLOOKUP(NoviaFunds[[#This Row],[ISIN]],'Novia Web Query'!$A:$E,2,FALSE)</f>
        <v>BMO MM Lifestyle 6 A Acc in GB</v>
      </c>
      <c r="C871" t="str">
        <f>VLOOKUP(NoviaFunds[[#This Row],[ISIN]],'Novia Web Query'!$A:$E,3,FALSE)</f>
        <v>UT Volatility Managed</v>
      </c>
      <c r="D871" s="139">
        <f>VLOOKUP(NoviaFunds[[#This Row],[ISIN]],'Novia Web Query'!$A:$E,4,FALSE)/100</f>
        <v>1.9900000000000001E-2</v>
      </c>
      <c r="E871" s="3" t="str">
        <f>VLOOKUP(NoviaFunds[[#This Row],[ISIN]],'Novia Web Query'!$A:$E,5,FALSE)</f>
        <v>14/01/2021</v>
      </c>
      <c r="F871" t="e">
        <f>VLOOKUP(NoviaFunds[[#This Row],[Sector]],Sectors[],2,FALSE)</f>
        <v>#N/A</v>
      </c>
    </row>
    <row r="872" spans="1:6" x14ac:dyDescent="0.2">
      <c r="A872" t="str">
        <f>'Novia Web Query'!A872</f>
        <v>GB00B7S6RS52</v>
      </c>
      <c r="B872" t="str">
        <f>VLOOKUP(NoviaFunds[[#This Row],[ISIN]],'Novia Web Query'!$A:$E,2,FALSE)</f>
        <v>BMO MM Lifestyle 6 B Acc TR in GB**</v>
      </c>
      <c r="C872" t="str">
        <f>VLOOKUP(NoviaFunds[[#This Row],[ISIN]],'Novia Web Query'!$A:$E,3,FALSE)</f>
        <v>UT Volatility Managed</v>
      </c>
      <c r="D872" s="139">
        <f>VLOOKUP(NoviaFunds[[#This Row],[ISIN]],'Novia Web Query'!$A:$E,4,FALSE)/100</f>
        <v>1.03E-2</v>
      </c>
      <c r="E872" s="3" t="str">
        <f>VLOOKUP(NoviaFunds[[#This Row],[ISIN]],'Novia Web Query'!$A:$E,5,FALSE)</f>
        <v>01/03/2021</v>
      </c>
      <c r="F872" t="e">
        <f>VLOOKUP(NoviaFunds[[#This Row],[Sector]],Sectors[],2,FALSE)</f>
        <v>#N/A</v>
      </c>
    </row>
    <row r="873" spans="1:6" x14ac:dyDescent="0.2">
      <c r="A873" t="str">
        <f>'Novia Web Query'!A873</f>
        <v>GB00B503GT43</v>
      </c>
      <c r="B873" t="str">
        <f>VLOOKUP(NoviaFunds[[#This Row],[ISIN]],'Novia Web Query'!$A:$E,2,FALSE)</f>
        <v>BMO MM Lifestyle 6 B Inc TR in GB**</v>
      </c>
      <c r="C873" t="str">
        <f>VLOOKUP(NoviaFunds[[#This Row],[ISIN]],'Novia Web Query'!$A:$E,3,FALSE)</f>
        <v>UT Volatility Managed</v>
      </c>
      <c r="D873" s="139">
        <f>VLOOKUP(NoviaFunds[[#This Row],[ISIN]],'Novia Web Query'!$A:$E,4,FALSE)/100</f>
        <v>1.03E-2</v>
      </c>
      <c r="E873" s="3" t="str">
        <f>VLOOKUP(NoviaFunds[[#This Row],[ISIN]],'Novia Web Query'!$A:$E,5,FALSE)</f>
        <v>01/03/2021</v>
      </c>
      <c r="F873" t="e">
        <f>VLOOKUP(NoviaFunds[[#This Row],[Sector]],Sectors[],2,FALSE)</f>
        <v>#N/A</v>
      </c>
    </row>
    <row r="874" spans="1:6" x14ac:dyDescent="0.2">
      <c r="A874" t="str">
        <f>'Novia Web Query'!A874</f>
        <v>GB00B1TMPR59</v>
      </c>
      <c r="B874" t="str">
        <f>VLOOKUP(NoviaFunds[[#This Row],[ISIN]],'Novia Web Query'!$A:$E,2,FALSE)</f>
        <v>BMO MM Lifestyle 7 A Acc in GB</v>
      </c>
      <c r="C874" t="str">
        <f>VLOOKUP(NoviaFunds[[#This Row],[ISIN]],'Novia Web Query'!$A:$E,3,FALSE)</f>
        <v>UT Volatility Managed</v>
      </c>
      <c r="D874" s="139">
        <f>VLOOKUP(NoviaFunds[[#This Row],[ISIN]],'Novia Web Query'!$A:$E,4,FALSE)/100</f>
        <v>1.9900000000000001E-2</v>
      </c>
      <c r="E874" s="3" t="str">
        <f>VLOOKUP(NoviaFunds[[#This Row],[ISIN]],'Novia Web Query'!$A:$E,5,FALSE)</f>
        <v>14/01/2021</v>
      </c>
      <c r="F874" t="e">
        <f>VLOOKUP(NoviaFunds[[#This Row],[Sector]],Sectors[],2,FALSE)</f>
        <v>#N/A</v>
      </c>
    </row>
    <row r="875" spans="1:6" x14ac:dyDescent="0.2">
      <c r="A875" t="str">
        <f>'Novia Web Query'!A875</f>
        <v>GB00B8987430</v>
      </c>
      <c r="B875" t="str">
        <f>VLOOKUP(NoviaFunds[[#This Row],[ISIN]],'Novia Web Query'!$A:$E,2,FALSE)</f>
        <v>BMO MM Lifestyle 7 B Acc TR in GB**</v>
      </c>
      <c r="C875" t="str">
        <f>VLOOKUP(NoviaFunds[[#This Row],[ISIN]],'Novia Web Query'!$A:$E,3,FALSE)</f>
        <v>UT Volatility Managed</v>
      </c>
      <c r="D875" s="139">
        <f>VLOOKUP(NoviaFunds[[#This Row],[ISIN]],'Novia Web Query'!$A:$E,4,FALSE)/100</f>
        <v>1.09E-2</v>
      </c>
      <c r="E875" s="3" t="str">
        <f>VLOOKUP(NoviaFunds[[#This Row],[ISIN]],'Novia Web Query'!$A:$E,5,FALSE)</f>
        <v>14/01/2021</v>
      </c>
      <c r="F875" t="e">
        <f>VLOOKUP(NoviaFunds[[#This Row],[Sector]],Sectors[],2,FALSE)</f>
        <v>#N/A</v>
      </c>
    </row>
    <row r="876" spans="1:6" x14ac:dyDescent="0.2">
      <c r="A876" t="str">
        <f>'Novia Web Query'!A876</f>
        <v>GB00B4YRDJ41</v>
      </c>
      <c r="B876" t="str">
        <f>VLOOKUP(NoviaFunds[[#This Row],[ISIN]],'Novia Web Query'!$A:$E,2,FALSE)</f>
        <v>BMO MM Lifestyle 7 B Inc TR in GB**</v>
      </c>
      <c r="C876" t="str">
        <f>VLOOKUP(NoviaFunds[[#This Row],[ISIN]],'Novia Web Query'!$A:$E,3,FALSE)</f>
        <v>UT Volatility Managed</v>
      </c>
      <c r="D876" s="139">
        <f>VLOOKUP(NoviaFunds[[#This Row],[ISIN]],'Novia Web Query'!$A:$E,4,FALSE)/100</f>
        <v>1.09E-2</v>
      </c>
      <c r="E876" s="3" t="str">
        <f>VLOOKUP(NoviaFunds[[#This Row],[ISIN]],'Novia Web Query'!$A:$E,5,FALSE)</f>
        <v>14/01/2021</v>
      </c>
      <c r="F876" t="e">
        <f>VLOOKUP(NoviaFunds[[#This Row],[Sector]],Sectors[],2,FALSE)</f>
        <v>#N/A</v>
      </c>
    </row>
    <row r="877" spans="1:6" x14ac:dyDescent="0.2">
      <c r="A877" t="str">
        <f>'Novia Web Query'!A877</f>
        <v>GB00B23Y3920</v>
      </c>
      <c r="B877" t="str">
        <f>VLOOKUP(NoviaFunds[[#This Row],[ISIN]],'Novia Web Query'!$A:$E,2,FALSE)</f>
        <v>BMO MM Navigator Balanced A Acc in GB</v>
      </c>
      <c r="C877" t="str">
        <f>VLOOKUP(NoviaFunds[[#This Row],[ISIN]],'Novia Web Query'!$A:$E,3,FALSE)</f>
        <v>UT Mixed Investment 40-85% Shares</v>
      </c>
      <c r="D877" s="139">
        <f>VLOOKUP(NoviaFunds[[#This Row],[ISIN]],'Novia Web Query'!$A:$E,4,FALSE)/100</f>
        <v>2.53E-2</v>
      </c>
      <c r="E877" s="3" t="str">
        <f>VLOOKUP(NoviaFunds[[#This Row],[ISIN]],'Novia Web Query'!$A:$E,5,FALSE)</f>
        <v>22/03/2021</v>
      </c>
      <c r="F877" t="str">
        <f>VLOOKUP(NoviaFunds[[#This Row],[Sector]],Sectors[],2,FALSE)</f>
        <v>Mixed 40%-85%</v>
      </c>
    </row>
    <row r="878" spans="1:6" x14ac:dyDescent="0.2">
      <c r="A878" t="str">
        <f>'Novia Web Query'!A878</f>
        <v>GB00B23Y3813</v>
      </c>
      <c r="B878" t="str">
        <f>VLOOKUP(NoviaFunds[[#This Row],[ISIN]],'Novia Web Query'!$A:$E,2,FALSE)</f>
        <v>BMO MM Navigator Balanced A Inc TR in GB</v>
      </c>
      <c r="C878" t="str">
        <f>VLOOKUP(NoviaFunds[[#This Row],[ISIN]],'Novia Web Query'!$A:$E,3,FALSE)</f>
        <v>UT Mixed Investment 40-85% Shares</v>
      </c>
      <c r="D878" s="139">
        <f>VLOOKUP(NoviaFunds[[#This Row],[ISIN]],'Novia Web Query'!$A:$E,4,FALSE)/100</f>
        <v>2.53E-2</v>
      </c>
      <c r="E878" s="3" t="str">
        <f>VLOOKUP(NoviaFunds[[#This Row],[ISIN]],'Novia Web Query'!$A:$E,5,FALSE)</f>
        <v>22/03/2021</v>
      </c>
      <c r="F878" t="str">
        <f>VLOOKUP(NoviaFunds[[#This Row],[Sector]],Sectors[],2,FALSE)</f>
        <v>Mixed 40%-85%</v>
      </c>
    </row>
    <row r="879" spans="1:6" x14ac:dyDescent="0.2">
      <c r="A879" t="str">
        <f>'Novia Web Query'!A879</f>
        <v>GB00B80KKL63</v>
      </c>
      <c r="B879" t="str">
        <f>VLOOKUP(NoviaFunds[[#This Row],[ISIN]],'Novia Web Query'!$A:$E,2,FALSE)</f>
        <v>BMO MM Navigator Balanced C Acc in GB</v>
      </c>
      <c r="C879" t="str">
        <f>VLOOKUP(NoviaFunds[[#This Row],[ISIN]],'Novia Web Query'!$A:$E,3,FALSE)</f>
        <v>UT Mixed Investment 40-85% Shares</v>
      </c>
      <c r="D879" s="139">
        <f>VLOOKUP(NoviaFunds[[#This Row],[ISIN]],'Novia Web Query'!$A:$E,4,FALSE)/100</f>
        <v>1.78E-2</v>
      </c>
      <c r="E879" s="3" t="str">
        <f>VLOOKUP(NoviaFunds[[#This Row],[ISIN]],'Novia Web Query'!$A:$E,5,FALSE)</f>
        <v>22/03/2021</v>
      </c>
      <c r="F879" t="str">
        <f>VLOOKUP(NoviaFunds[[#This Row],[Sector]],Sectors[],2,FALSE)</f>
        <v>Mixed 40%-85%</v>
      </c>
    </row>
    <row r="880" spans="1:6" x14ac:dyDescent="0.2">
      <c r="A880" t="str">
        <f>'Novia Web Query'!A880</f>
        <v>GB00B80KN069</v>
      </c>
      <c r="B880" t="str">
        <f>VLOOKUP(NoviaFunds[[#This Row],[ISIN]],'Novia Web Query'!$A:$E,2,FALSE)</f>
        <v>BMO MM Navigator Balanced C Inc TR in GB**</v>
      </c>
      <c r="C880" t="str">
        <f>VLOOKUP(NoviaFunds[[#This Row],[ISIN]],'Novia Web Query'!$A:$E,3,FALSE)</f>
        <v>UT Mixed Investment 40-85% Shares</v>
      </c>
      <c r="D880" s="139">
        <f>VLOOKUP(NoviaFunds[[#This Row],[ISIN]],'Novia Web Query'!$A:$E,4,FALSE)/100</f>
        <v>1.78E-2</v>
      </c>
      <c r="E880" s="3" t="str">
        <f>VLOOKUP(NoviaFunds[[#This Row],[ISIN]],'Novia Web Query'!$A:$E,5,FALSE)</f>
        <v>22/03/2021</v>
      </c>
      <c r="F880" t="str">
        <f>VLOOKUP(NoviaFunds[[#This Row],[Sector]],Sectors[],2,FALSE)</f>
        <v>Mixed 40%-85%</v>
      </c>
    </row>
    <row r="881" spans="1:6" x14ac:dyDescent="0.2">
      <c r="A881" t="str">
        <f>'Novia Web Query'!A881</f>
        <v>GB00B23Y3K38</v>
      </c>
      <c r="B881" t="str">
        <f>VLOOKUP(NoviaFunds[[#This Row],[ISIN]],'Novia Web Query'!$A:$E,2,FALSE)</f>
        <v>BMO MM Navigator Boutiques A Acc in GB</v>
      </c>
      <c r="C881" t="str">
        <f>VLOOKUP(NoviaFunds[[#This Row],[ISIN]],'Novia Web Query'!$A:$E,3,FALSE)</f>
        <v>UT Global</v>
      </c>
      <c r="D881" s="139">
        <f>VLOOKUP(NoviaFunds[[#This Row],[ISIN]],'Novia Web Query'!$A:$E,4,FALSE)/100</f>
        <v>2.6099999999999998E-2</v>
      </c>
      <c r="E881" s="3" t="str">
        <f>VLOOKUP(NoviaFunds[[#This Row],[ISIN]],'Novia Web Query'!$A:$E,5,FALSE)</f>
        <v>14/01/2021</v>
      </c>
      <c r="F881" t="str">
        <f>VLOOKUP(NoviaFunds[[#This Row],[Sector]],Sectors[],2,FALSE)</f>
        <v>Other Equities</v>
      </c>
    </row>
    <row r="882" spans="1:6" x14ac:dyDescent="0.2">
      <c r="A882" t="str">
        <f>'Novia Web Query'!A882</f>
        <v>GB00B80L5H04</v>
      </c>
      <c r="B882" t="str">
        <f>VLOOKUP(NoviaFunds[[#This Row],[ISIN]],'Novia Web Query'!$A:$E,2,FALSE)</f>
        <v>BMO MM Navigator Boutiques C Acc in GB</v>
      </c>
      <c r="C882" t="str">
        <f>VLOOKUP(NoviaFunds[[#This Row],[ISIN]],'Novia Web Query'!$A:$E,3,FALSE)</f>
        <v>UT Global</v>
      </c>
      <c r="D882" s="139">
        <f>VLOOKUP(NoviaFunds[[#This Row],[ISIN]],'Novia Web Query'!$A:$E,4,FALSE)/100</f>
        <v>1.8600000000000002E-2</v>
      </c>
      <c r="E882" s="3" t="str">
        <f>VLOOKUP(NoviaFunds[[#This Row],[ISIN]],'Novia Web Query'!$A:$E,5,FALSE)</f>
        <v>14/01/2021</v>
      </c>
      <c r="F882" t="str">
        <f>VLOOKUP(NoviaFunds[[#This Row],[Sector]],Sectors[],2,FALSE)</f>
        <v>Other Equities</v>
      </c>
    </row>
    <row r="883" spans="1:6" x14ac:dyDescent="0.2">
      <c r="A883" t="str">
        <f>'Novia Web Query'!A883</f>
        <v>GB00B23Y3C53</v>
      </c>
      <c r="B883" t="str">
        <f>VLOOKUP(NoviaFunds[[#This Row],[ISIN]],'Novia Web Query'!$A:$E,2,FALSE)</f>
        <v>BMO MM Navigator Cautious A Acc in GB</v>
      </c>
      <c r="C883" t="str">
        <f>VLOOKUP(NoviaFunds[[#This Row],[ISIN]],'Novia Web Query'!$A:$E,3,FALSE)</f>
        <v>UT Mixed Investment 20-60% Shares</v>
      </c>
      <c r="D883" s="139">
        <f>VLOOKUP(NoviaFunds[[#This Row],[ISIN]],'Novia Web Query'!$A:$E,4,FALSE)/100</f>
        <v>2.29E-2</v>
      </c>
      <c r="E883" s="3" t="str">
        <f>VLOOKUP(NoviaFunds[[#This Row],[ISIN]],'Novia Web Query'!$A:$E,5,FALSE)</f>
        <v>22/03/2021</v>
      </c>
      <c r="F883" t="str">
        <f>VLOOKUP(NoviaFunds[[#This Row],[Sector]],Sectors[],2,FALSE)</f>
        <v>Mixed 20%-60%</v>
      </c>
    </row>
    <row r="884" spans="1:6" x14ac:dyDescent="0.2">
      <c r="A884" t="str">
        <f>'Novia Web Query'!A884</f>
        <v>GB00B23Y3B47</v>
      </c>
      <c r="B884" t="str">
        <f>VLOOKUP(NoviaFunds[[#This Row],[ISIN]],'Novia Web Query'!$A:$E,2,FALSE)</f>
        <v>BMO MM Navigator Cautious A Inc TR in GB</v>
      </c>
      <c r="C884" t="str">
        <f>VLOOKUP(NoviaFunds[[#This Row],[ISIN]],'Novia Web Query'!$A:$E,3,FALSE)</f>
        <v>UT Mixed Investment 20-60% Shares</v>
      </c>
      <c r="D884" s="139">
        <f>VLOOKUP(NoviaFunds[[#This Row],[ISIN]],'Novia Web Query'!$A:$E,4,FALSE)/100</f>
        <v>2.3E-2</v>
      </c>
      <c r="E884" s="3" t="str">
        <f>VLOOKUP(NoviaFunds[[#This Row],[ISIN]],'Novia Web Query'!$A:$E,5,FALSE)</f>
        <v>22/03/2021</v>
      </c>
      <c r="F884" t="str">
        <f>VLOOKUP(NoviaFunds[[#This Row],[Sector]],Sectors[],2,FALSE)</f>
        <v>Mixed 20%-60%</v>
      </c>
    </row>
    <row r="885" spans="1:6" x14ac:dyDescent="0.2">
      <c r="A885" t="str">
        <f>'Novia Web Query'!A885</f>
        <v>GB00B80KPZ54</v>
      </c>
      <c r="B885" t="str">
        <f>VLOOKUP(NoviaFunds[[#This Row],[ISIN]],'Novia Web Query'!$A:$E,2,FALSE)</f>
        <v>BMO MM Navigator Cautious C Acc in GB</v>
      </c>
      <c r="C885" t="str">
        <f>VLOOKUP(NoviaFunds[[#This Row],[ISIN]],'Novia Web Query'!$A:$E,3,FALSE)</f>
        <v>UT Mixed Investment 20-60% Shares</v>
      </c>
      <c r="D885" s="139">
        <f>VLOOKUP(NoviaFunds[[#This Row],[ISIN]],'Novia Web Query'!$A:$E,4,FALSE)/100</f>
        <v>1.54E-2</v>
      </c>
      <c r="E885" s="3" t="str">
        <f>VLOOKUP(NoviaFunds[[#This Row],[ISIN]],'Novia Web Query'!$A:$E,5,FALSE)</f>
        <v>22/03/2021</v>
      </c>
      <c r="F885" t="str">
        <f>VLOOKUP(NoviaFunds[[#This Row],[Sector]],Sectors[],2,FALSE)</f>
        <v>Mixed 20%-60%</v>
      </c>
    </row>
    <row r="886" spans="1:6" x14ac:dyDescent="0.2">
      <c r="A886" t="str">
        <f>'Novia Web Query'!A886</f>
        <v>GB00B80KRT35</v>
      </c>
      <c r="B886" t="str">
        <f>VLOOKUP(NoviaFunds[[#This Row],[ISIN]],'Novia Web Query'!$A:$E,2,FALSE)</f>
        <v>BMO MM Navigator Cautious C Inc TR in GB**</v>
      </c>
      <c r="C886" t="str">
        <f>VLOOKUP(NoviaFunds[[#This Row],[ISIN]],'Novia Web Query'!$A:$E,3,FALSE)</f>
        <v>UT Mixed Investment 20-60% Shares</v>
      </c>
      <c r="D886" s="139">
        <f>VLOOKUP(NoviaFunds[[#This Row],[ISIN]],'Novia Web Query'!$A:$E,4,FALSE)/100</f>
        <v>1.54E-2</v>
      </c>
      <c r="E886" s="3" t="str">
        <f>VLOOKUP(NoviaFunds[[#This Row],[ISIN]],'Novia Web Query'!$A:$E,5,FALSE)</f>
        <v>22/03/2021</v>
      </c>
      <c r="F886" t="str">
        <f>VLOOKUP(NoviaFunds[[#This Row],[Sector]],Sectors[],2,FALSE)</f>
        <v>Mixed 20%-60%</v>
      </c>
    </row>
    <row r="887" spans="1:6" x14ac:dyDescent="0.2">
      <c r="A887" t="str">
        <f>'Novia Web Query'!A887</f>
        <v>GB00B23Y3F84</v>
      </c>
      <c r="B887" t="str">
        <f>VLOOKUP(NoviaFunds[[#This Row],[ISIN]],'Novia Web Query'!$A:$E,2,FALSE)</f>
        <v>BMO MM Navigator Distribution A Acc in GB</v>
      </c>
      <c r="C887" t="str">
        <f>VLOOKUP(NoviaFunds[[#This Row],[ISIN]],'Novia Web Query'!$A:$E,3,FALSE)</f>
        <v>UT Mixed Investment 20-60% Shares</v>
      </c>
      <c r="D887" s="139">
        <f>VLOOKUP(NoviaFunds[[#This Row],[ISIN]],'Novia Web Query'!$A:$E,4,FALSE)/100</f>
        <v>2.1400000000000002E-2</v>
      </c>
      <c r="E887" s="3" t="str">
        <f>VLOOKUP(NoviaFunds[[#This Row],[ISIN]],'Novia Web Query'!$A:$E,5,FALSE)</f>
        <v>22/03/2021</v>
      </c>
      <c r="F887" t="str">
        <f>VLOOKUP(NoviaFunds[[#This Row],[Sector]],Sectors[],2,FALSE)</f>
        <v>Mixed 20%-60%</v>
      </c>
    </row>
    <row r="888" spans="1:6" x14ac:dyDescent="0.2">
      <c r="A888" t="str">
        <f>'Novia Web Query'!A888</f>
        <v>GB00B23Y3D60</v>
      </c>
      <c r="B888" t="str">
        <f>VLOOKUP(NoviaFunds[[#This Row],[ISIN]],'Novia Web Query'!$A:$E,2,FALSE)</f>
        <v>BMO MM Navigator Distribution A Inc TR in GB</v>
      </c>
      <c r="C888" t="str">
        <f>VLOOKUP(NoviaFunds[[#This Row],[ISIN]],'Novia Web Query'!$A:$E,3,FALSE)</f>
        <v>UT Mixed Investment 20-60% Shares</v>
      </c>
      <c r="D888" s="139">
        <f>VLOOKUP(NoviaFunds[[#This Row],[ISIN]],'Novia Web Query'!$A:$E,4,FALSE)/100</f>
        <v>2.1400000000000002E-2</v>
      </c>
      <c r="E888" s="3" t="str">
        <f>VLOOKUP(NoviaFunds[[#This Row],[ISIN]],'Novia Web Query'!$A:$E,5,FALSE)</f>
        <v>22/03/2021</v>
      </c>
      <c r="F888" t="str">
        <f>VLOOKUP(NoviaFunds[[#This Row],[Sector]],Sectors[],2,FALSE)</f>
        <v>Mixed 20%-60%</v>
      </c>
    </row>
    <row r="889" spans="1:6" x14ac:dyDescent="0.2">
      <c r="A889" t="str">
        <f>'Novia Web Query'!A889</f>
        <v>GB00B80KXN90</v>
      </c>
      <c r="B889" t="str">
        <f>VLOOKUP(NoviaFunds[[#This Row],[ISIN]],'Novia Web Query'!$A:$E,2,FALSE)</f>
        <v>BMO MM Navigator Distribution C Acc in GB**</v>
      </c>
      <c r="C889" t="str">
        <f>VLOOKUP(NoviaFunds[[#This Row],[ISIN]],'Novia Web Query'!$A:$E,3,FALSE)</f>
        <v>UT Mixed Investment 20-60% Shares</v>
      </c>
      <c r="D889" s="139">
        <f>VLOOKUP(NoviaFunds[[#This Row],[ISIN]],'Novia Web Query'!$A:$E,4,FALSE)/100</f>
        <v>1.38E-2</v>
      </c>
      <c r="E889" s="3" t="str">
        <f>VLOOKUP(NoviaFunds[[#This Row],[ISIN]],'Novia Web Query'!$A:$E,5,FALSE)</f>
        <v>22/03/2021</v>
      </c>
      <c r="F889" t="str">
        <f>VLOOKUP(NoviaFunds[[#This Row],[Sector]],Sectors[],2,FALSE)</f>
        <v>Mixed 20%-60%</v>
      </c>
    </row>
    <row r="890" spans="1:6" x14ac:dyDescent="0.2">
      <c r="A890" t="str">
        <f>'Novia Web Query'!A890</f>
        <v>GB00B80KZH70</v>
      </c>
      <c r="B890" t="str">
        <f>VLOOKUP(NoviaFunds[[#This Row],[ISIN]],'Novia Web Query'!$A:$E,2,FALSE)</f>
        <v>BMO MM Navigator Distribution C Inc TR in GB</v>
      </c>
      <c r="C890" t="str">
        <f>VLOOKUP(NoviaFunds[[#This Row],[ISIN]],'Novia Web Query'!$A:$E,3,FALSE)</f>
        <v>UT Mixed Investment 20-60% Shares</v>
      </c>
      <c r="D890" s="139">
        <f>VLOOKUP(NoviaFunds[[#This Row],[ISIN]],'Novia Web Query'!$A:$E,4,FALSE)/100</f>
        <v>1.38E-2</v>
      </c>
      <c r="E890" s="3" t="str">
        <f>VLOOKUP(NoviaFunds[[#This Row],[ISIN]],'Novia Web Query'!$A:$E,5,FALSE)</f>
        <v>22/03/2021</v>
      </c>
      <c r="F890" t="str">
        <f>VLOOKUP(NoviaFunds[[#This Row],[Sector]],Sectors[],2,FALSE)</f>
        <v>Mixed 20%-60%</v>
      </c>
    </row>
    <row r="891" spans="1:6" x14ac:dyDescent="0.2">
      <c r="A891" t="str">
        <f>'Novia Web Query'!A891</f>
        <v>GB00BZCTP049</v>
      </c>
      <c r="B891" t="str">
        <f>VLOOKUP(NoviaFunds[[#This Row],[ISIN]],'Novia Web Query'!$A:$E,2,FALSE)</f>
        <v>BMO MM Navigator Distribution M Inc TR in GB**</v>
      </c>
      <c r="C891" t="str">
        <f>VLOOKUP(NoviaFunds[[#This Row],[ISIN]],'Novia Web Query'!$A:$E,3,FALSE)</f>
        <v>UT Mixed Investment 20-60% Shares</v>
      </c>
      <c r="D891" s="139">
        <f>VLOOKUP(NoviaFunds[[#This Row],[ISIN]],'Novia Web Query'!$A:$E,4,FALSE)/100</f>
        <v>1.38E-2</v>
      </c>
      <c r="E891" s="3" t="str">
        <f>VLOOKUP(NoviaFunds[[#This Row],[ISIN]],'Novia Web Query'!$A:$E,5,FALSE)</f>
        <v>22/03/2021</v>
      </c>
      <c r="F891" t="str">
        <f>VLOOKUP(NoviaFunds[[#This Row],[Sector]],Sectors[],2,FALSE)</f>
        <v>Mixed 20%-60%</v>
      </c>
    </row>
    <row r="892" spans="1:6" x14ac:dyDescent="0.2">
      <c r="A892" t="str">
        <f>'Novia Web Query'!A892</f>
        <v>GB00B23Y3H09</v>
      </c>
      <c r="B892" t="str">
        <f>VLOOKUP(NoviaFunds[[#This Row],[ISIN]],'Novia Web Query'!$A:$E,2,FALSE)</f>
        <v>BMO MM Navigator Growth A Acc in GB</v>
      </c>
      <c r="C892" t="str">
        <f>VLOOKUP(NoviaFunds[[#This Row],[ISIN]],'Novia Web Query'!$A:$E,3,FALSE)</f>
        <v>UT Flexible Investment</v>
      </c>
      <c r="D892" s="139">
        <f>VLOOKUP(NoviaFunds[[#This Row],[ISIN]],'Novia Web Query'!$A:$E,4,FALSE)/100</f>
        <v>2.4900000000000002E-2</v>
      </c>
      <c r="E892" s="3" t="str">
        <f>VLOOKUP(NoviaFunds[[#This Row],[ISIN]],'Novia Web Query'!$A:$E,5,FALSE)</f>
        <v>14/01/2021</v>
      </c>
      <c r="F892" t="str">
        <f>VLOOKUP(NoviaFunds[[#This Row],[Sector]],Sectors[],2,FALSE)</f>
        <v>Flexible</v>
      </c>
    </row>
    <row r="893" spans="1:6" x14ac:dyDescent="0.2">
      <c r="A893" t="str">
        <f>'Novia Web Query'!A893</f>
        <v>GB00B80L3W15</v>
      </c>
      <c r="B893" t="str">
        <f>VLOOKUP(NoviaFunds[[#This Row],[ISIN]],'Novia Web Query'!$A:$E,2,FALSE)</f>
        <v>BMO MM Navigator Growth C Acc in GB</v>
      </c>
      <c r="C893" t="str">
        <f>VLOOKUP(NoviaFunds[[#This Row],[ISIN]],'Novia Web Query'!$A:$E,3,FALSE)</f>
        <v>UT Flexible Investment</v>
      </c>
      <c r="D893" s="139">
        <f>VLOOKUP(NoviaFunds[[#This Row],[ISIN]],'Novia Web Query'!$A:$E,4,FALSE)/100</f>
        <v>1.7399999999999999E-2</v>
      </c>
      <c r="E893" s="3" t="str">
        <f>VLOOKUP(NoviaFunds[[#This Row],[ISIN]],'Novia Web Query'!$A:$E,5,FALSE)</f>
        <v>14/01/2021</v>
      </c>
      <c r="F893" t="str">
        <f>VLOOKUP(NoviaFunds[[#This Row],[Sector]],Sectors[],2,FALSE)</f>
        <v>Flexible</v>
      </c>
    </row>
    <row r="894" spans="1:6" x14ac:dyDescent="0.2">
      <c r="A894" t="str">
        <f>'Novia Web Query'!A894</f>
        <v>GB0033142588</v>
      </c>
      <c r="B894" t="str">
        <f>VLOOKUP(NoviaFunds[[#This Row],[ISIN]],'Novia Web Query'!$A:$E,2,FALSE)</f>
        <v>BMO Multi-Manager Investment Trust 1 Acc in GB</v>
      </c>
      <c r="C894" t="str">
        <f>VLOOKUP(NoviaFunds[[#This Row],[ISIN]],'Novia Web Query'!$A:$E,3,FALSE)</f>
        <v>UT Flexible Investment</v>
      </c>
      <c r="D894" s="139">
        <f>VLOOKUP(NoviaFunds[[#This Row],[ISIN]],'Novia Web Query'!$A:$E,4,FALSE)/100</f>
        <v>2.75E-2</v>
      </c>
      <c r="E894" s="3" t="str">
        <f>VLOOKUP(NoviaFunds[[#This Row],[ISIN]],'Novia Web Query'!$A:$E,5,FALSE)</f>
        <v>15/03/2021</v>
      </c>
      <c r="F894" t="str">
        <f>VLOOKUP(NoviaFunds[[#This Row],[Sector]],Sectors[],2,FALSE)</f>
        <v>Flexible</v>
      </c>
    </row>
    <row r="895" spans="1:6" x14ac:dyDescent="0.2">
      <c r="A895" t="str">
        <f>'Novia Web Query'!A895</f>
        <v>GB00B80KBX52</v>
      </c>
      <c r="B895" t="str">
        <f>VLOOKUP(NoviaFunds[[#This Row],[ISIN]],'Novia Web Query'!$A:$E,2,FALSE)</f>
        <v>BMO Multi-Manager Investment Trust C Acc in GB</v>
      </c>
      <c r="C895" t="str">
        <f>VLOOKUP(NoviaFunds[[#This Row],[ISIN]],'Novia Web Query'!$A:$E,3,FALSE)</f>
        <v>UT Flexible Investment</v>
      </c>
      <c r="D895" s="139">
        <f>VLOOKUP(NoviaFunds[[#This Row],[ISIN]],'Novia Web Query'!$A:$E,4,FALSE)/100</f>
        <v>1.8600000000000002E-2</v>
      </c>
      <c r="E895" s="3" t="str">
        <f>VLOOKUP(NoviaFunds[[#This Row],[ISIN]],'Novia Web Query'!$A:$E,5,FALSE)</f>
        <v>15/03/2021</v>
      </c>
      <c r="F895" t="str">
        <f>VLOOKUP(NoviaFunds[[#This Row],[Sector]],Sectors[],2,FALSE)</f>
        <v>Flexible</v>
      </c>
    </row>
    <row r="896" spans="1:6" x14ac:dyDescent="0.2">
      <c r="A896" t="str">
        <f>'Novia Web Query'!A896</f>
        <v>GB0009455436</v>
      </c>
      <c r="B896" t="str">
        <f>VLOOKUP(NoviaFunds[[#This Row],[ISIN]],'Novia Web Query'!$A:$E,2,FALSE)</f>
        <v>BMO Multi-Sector Bond 1 Inc TR in GB</v>
      </c>
      <c r="C896" t="str">
        <f>VLOOKUP(NoviaFunds[[#This Row],[ISIN]],'Novia Web Query'!$A:$E,3,FALSE)</f>
        <v>UT Sterling Strategic Bond</v>
      </c>
      <c r="D896" s="139">
        <f>VLOOKUP(NoviaFunds[[#This Row],[ISIN]],'Novia Web Query'!$A:$E,4,FALSE)/100</f>
        <v>1.4199999999999999E-2</v>
      </c>
      <c r="E896" s="3" t="str">
        <f>VLOOKUP(NoviaFunds[[#This Row],[ISIN]],'Novia Web Query'!$A:$E,5,FALSE)</f>
        <v>14/01/2021</v>
      </c>
      <c r="F896" t="str">
        <f>VLOOKUP(NoviaFunds[[#This Row],[Sector]],Sectors[],2,FALSE)</f>
        <v>Other Bonds</v>
      </c>
    </row>
    <row r="897" spans="1:6" x14ac:dyDescent="0.2">
      <c r="A897" t="str">
        <f>'Novia Web Query'!A897</f>
        <v>GB00B783SR26</v>
      </c>
      <c r="B897" t="str">
        <f>VLOOKUP(NoviaFunds[[#This Row],[ISIN]],'Novia Web Query'!$A:$E,2,FALSE)</f>
        <v>BMO Multi-Sector Bond C Inc TR in GB</v>
      </c>
      <c r="C897" t="str">
        <f>VLOOKUP(NoviaFunds[[#This Row],[ISIN]],'Novia Web Query'!$A:$E,3,FALSE)</f>
        <v>UT Sterling Strategic Bond</v>
      </c>
      <c r="D897" s="139">
        <f>VLOOKUP(NoviaFunds[[#This Row],[ISIN]],'Novia Web Query'!$A:$E,4,FALSE)/100</f>
        <v>6.0999999999999995E-3</v>
      </c>
      <c r="E897" s="3" t="str">
        <f>VLOOKUP(NoviaFunds[[#This Row],[ISIN]],'Novia Web Query'!$A:$E,5,FALSE)</f>
        <v>14/01/2021</v>
      </c>
      <c r="F897" t="str">
        <f>VLOOKUP(NoviaFunds[[#This Row],[Sector]],Sectors[],2,FALSE)</f>
        <v>Other Bonds</v>
      </c>
    </row>
    <row r="898" spans="1:6" x14ac:dyDescent="0.2">
      <c r="A898" t="str">
        <f>'Novia Web Query'!A898</f>
        <v>GB0002053006</v>
      </c>
      <c r="B898" t="str">
        <f>VLOOKUP(NoviaFunds[[#This Row],[ISIN]],'Novia Web Query'!$A:$E,2,FALSE)</f>
        <v>BMO Multi-Sector Higher Income Bond 1 Inc TR in GB</v>
      </c>
      <c r="C898" t="str">
        <f>VLOOKUP(NoviaFunds[[#This Row],[ISIN]],'Novia Web Query'!$A:$E,3,FALSE)</f>
        <v>UT Sterling High Yield</v>
      </c>
      <c r="D898" s="139">
        <f>VLOOKUP(NoviaFunds[[#This Row],[ISIN]],'Novia Web Query'!$A:$E,4,FALSE)/100</f>
        <v>1.6500000000000001E-2</v>
      </c>
      <c r="E898" s="3" t="str">
        <f>VLOOKUP(NoviaFunds[[#This Row],[ISIN]],'Novia Web Query'!$A:$E,5,FALSE)</f>
        <v>14/01/2021</v>
      </c>
      <c r="F898" t="str">
        <f>VLOOKUP(NoviaFunds[[#This Row],[Sector]],Sectors[],2,FALSE)</f>
        <v>High Yield</v>
      </c>
    </row>
    <row r="899" spans="1:6" x14ac:dyDescent="0.2">
      <c r="A899" t="str">
        <f>'Novia Web Query'!A899</f>
        <v>GB00B8191314</v>
      </c>
      <c r="B899" t="str">
        <f>VLOOKUP(NoviaFunds[[#This Row],[ISIN]],'Novia Web Query'!$A:$E,2,FALSE)</f>
        <v>BMO Multi-Sector Higher Income Bond C Inc TR in GB</v>
      </c>
      <c r="C899" t="str">
        <f>VLOOKUP(NoviaFunds[[#This Row],[ISIN]],'Novia Web Query'!$A:$E,3,FALSE)</f>
        <v>UT Sterling High Yield</v>
      </c>
      <c r="D899" s="139">
        <f>VLOOKUP(NoviaFunds[[#This Row],[ISIN]],'Novia Web Query'!$A:$E,4,FALSE)/100</f>
        <v>5.6000000000000008E-3</v>
      </c>
      <c r="E899" s="3" t="str">
        <f>VLOOKUP(NoviaFunds[[#This Row],[ISIN]],'Novia Web Query'!$A:$E,5,FALSE)</f>
        <v>14/01/2021</v>
      </c>
      <c r="F899" t="str">
        <f>VLOOKUP(NoviaFunds[[#This Row],[Sector]],Sectors[],2,FALSE)</f>
        <v>High Yield</v>
      </c>
    </row>
    <row r="900" spans="1:6" x14ac:dyDescent="0.2">
      <c r="A900" t="str">
        <f>'Novia Web Query'!A900</f>
        <v>GB0030281405</v>
      </c>
      <c r="B900" t="str">
        <f>VLOOKUP(NoviaFunds[[#This Row],[ISIN]],'Novia Web Query'!$A:$E,2,FALSE)</f>
        <v>BMO North American Equity 1 Acc in GB</v>
      </c>
      <c r="C900" t="str">
        <f>VLOOKUP(NoviaFunds[[#This Row],[ISIN]],'Novia Web Query'!$A:$E,3,FALSE)</f>
        <v>UT North America</v>
      </c>
      <c r="D900" s="139">
        <f>VLOOKUP(NoviaFunds[[#This Row],[ISIN]],'Novia Web Query'!$A:$E,4,FALSE)/100</f>
        <v>1.8799999999999997E-2</v>
      </c>
      <c r="E900" s="3" t="str">
        <f>VLOOKUP(NoviaFunds[[#This Row],[ISIN]],'Novia Web Query'!$A:$E,5,FALSE)</f>
        <v>14/01/2021</v>
      </c>
      <c r="F900" t="str">
        <f>VLOOKUP(NoviaFunds[[#This Row],[Sector]],Sectors[],2,FALSE)</f>
        <v>USA Equities</v>
      </c>
    </row>
    <row r="901" spans="1:6" x14ac:dyDescent="0.2">
      <c r="A901" t="str">
        <f>'Novia Web Query'!A901</f>
        <v>GB0030281512</v>
      </c>
      <c r="B901" t="str">
        <f>VLOOKUP(NoviaFunds[[#This Row],[ISIN]],'Novia Web Query'!$A:$E,2,FALSE)</f>
        <v>BMO North American Equity 2 Acc in GB</v>
      </c>
      <c r="C901" t="str">
        <f>VLOOKUP(NoviaFunds[[#This Row],[ISIN]],'Novia Web Query'!$A:$E,3,FALSE)</f>
        <v>UT North America</v>
      </c>
      <c r="D901" s="139">
        <f>VLOOKUP(NoviaFunds[[#This Row],[ISIN]],'Novia Web Query'!$A:$E,4,FALSE)/100</f>
        <v>8.6E-3</v>
      </c>
      <c r="E901" s="3" t="str">
        <f>VLOOKUP(NoviaFunds[[#This Row],[ISIN]],'Novia Web Query'!$A:$E,5,FALSE)</f>
        <v>14/01/2021</v>
      </c>
      <c r="F901" t="str">
        <f>VLOOKUP(NoviaFunds[[#This Row],[Sector]],Sectors[],2,FALSE)</f>
        <v>USA Equities</v>
      </c>
    </row>
    <row r="902" spans="1:6" x14ac:dyDescent="0.2">
      <c r="A902" t="str">
        <f>'Novia Web Query'!A902</f>
        <v>GB00B55H7436</v>
      </c>
      <c r="B902" t="str">
        <f>VLOOKUP(NoviaFunds[[#This Row],[ISIN]],'Novia Web Query'!$A:$E,2,FALSE)</f>
        <v>BMO Overseas Equity-Linked UK Gilt 3 Acc in GB</v>
      </c>
      <c r="C902" t="str">
        <f>VLOOKUP(NoviaFunds[[#This Row],[ISIN]],'Novia Web Query'!$A:$E,3,FALSE)</f>
        <v>UT Specialist</v>
      </c>
      <c r="D902" s="139">
        <f>VLOOKUP(NoviaFunds[[#This Row],[ISIN]],'Novia Web Query'!$A:$E,4,FALSE)/100</f>
        <v>4.1999999999999997E-3</v>
      </c>
      <c r="E902" s="3" t="str">
        <f>VLOOKUP(NoviaFunds[[#This Row],[ISIN]],'Novia Web Query'!$A:$E,5,FALSE)</f>
        <v>14/01/2021</v>
      </c>
      <c r="F902" t="str">
        <f>VLOOKUP(NoviaFunds[[#This Row],[Sector]],Sectors[],2,FALSE)</f>
        <v>Specialist</v>
      </c>
    </row>
    <row r="903" spans="1:6" x14ac:dyDescent="0.2">
      <c r="A903" t="str">
        <f>'Novia Web Query'!A903</f>
        <v>GB00B4NVY384</v>
      </c>
      <c r="B903" t="str">
        <f>VLOOKUP(NoviaFunds[[#This Row],[ISIN]],'Novia Web Query'!$A:$E,2,FALSE)</f>
        <v>BMO Overseas Equity-Linked UK Inflation 3 Acc in GB</v>
      </c>
      <c r="C903" t="str">
        <f>VLOOKUP(NoviaFunds[[#This Row],[ISIN]],'Novia Web Query'!$A:$E,3,FALSE)</f>
        <v>UT Specialist</v>
      </c>
      <c r="D903" s="139">
        <f>VLOOKUP(NoviaFunds[[#This Row],[ISIN]],'Novia Web Query'!$A:$E,4,FALSE)/100</f>
        <v>3.4999999999999996E-3</v>
      </c>
      <c r="E903" s="3" t="str">
        <f>VLOOKUP(NoviaFunds[[#This Row],[ISIN]],'Novia Web Query'!$A:$E,5,FALSE)</f>
        <v>14/01/2021</v>
      </c>
      <c r="F903" t="str">
        <f>VLOOKUP(NoviaFunds[[#This Row],[Sector]],Sectors[],2,FALSE)</f>
        <v>Specialist</v>
      </c>
    </row>
    <row r="904" spans="1:6" x14ac:dyDescent="0.2">
      <c r="A904" t="str">
        <f>'Novia Web Query'!A904</f>
        <v>GB00BQWJ8687</v>
      </c>
      <c r="B904" t="str">
        <f>VLOOKUP(NoviaFunds[[#This Row],[ISIN]],'Novia Web Query'!$A:$E,2,FALSE)</f>
        <v>BMO Property Growth &amp; Income I Acc in GB</v>
      </c>
      <c r="C904" t="str">
        <f>VLOOKUP(NoviaFunds[[#This Row],[ISIN]],'Novia Web Query'!$A:$E,3,FALSE)</f>
        <v>UT Property Other</v>
      </c>
      <c r="D904" s="139">
        <f>VLOOKUP(NoviaFunds[[#This Row],[ISIN]],'Novia Web Query'!$A:$E,4,FALSE)/100</f>
        <v>1.0200000000000001E-2</v>
      </c>
      <c r="E904" s="3" t="str">
        <f>VLOOKUP(NoviaFunds[[#This Row],[ISIN]],'Novia Web Query'!$A:$E,5,FALSE)</f>
        <v>14/01/2021</v>
      </c>
      <c r="F904" t="e">
        <f>VLOOKUP(NoviaFunds[[#This Row],[Sector]],Sectors[],2,FALSE)</f>
        <v>#N/A</v>
      </c>
    </row>
    <row r="905" spans="1:6" x14ac:dyDescent="0.2">
      <c r="A905" t="str">
        <f>'Novia Web Query'!A905</f>
        <v>GB00BQWJ8794</v>
      </c>
      <c r="B905" t="str">
        <f>VLOOKUP(NoviaFunds[[#This Row],[ISIN]],'Novia Web Query'!$A:$E,2,FALSE)</f>
        <v>BMO Property Growth &amp; Income I Inc TR in GB**</v>
      </c>
      <c r="C905" t="str">
        <f>VLOOKUP(NoviaFunds[[#This Row],[ISIN]],'Novia Web Query'!$A:$E,3,FALSE)</f>
        <v>UT Property Other</v>
      </c>
      <c r="D905" s="139">
        <f>VLOOKUP(NoviaFunds[[#This Row],[ISIN]],'Novia Web Query'!$A:$E,4,FALSE)/100</f>
        <v>1.0200000000000001E-2</v>
      </c>
      <c r="E905" s="3" t="str">
        <f>VLOOKUP(NoviaFunds[[#This Row],[ISIN]],'Novia Web Query'!$A:$E,5,FALSE)</f>
        <v>14/01/2021</v>
      </c>
      <c r="F905" t="e">
        <f>VLOOKUP(NoviaFunds[[#This Row],[Sector]],Sectors[],2,FALSE)</f>
        <v>#N/A</v>
      </c>
    </row>
    <row r="906" spans="1:6" x14ac:dyDescent="0.2">
      <c r="A906" t="str">
        <f>'Novia Web Query'!A906</f>
        <v>GB0030833650</v>
      </c>
      <c r="B906" t="str">
        <f>VLOOKUP(NoviaFunds[[#This Row],[ISIN]],'Novia Web Query'!$A:$E,2,FALSE)</f>
        <v>BMO Responsible Global Equity 1 Acc in GB</v>
      </c>
      <c r="C906" t="str">
        <f>VLOOKUP(NoviaFunds[[#This Row],[ISIN]],'Novia Web Query'!$A:$E,3,FALSE)</f>
        <v>UT Global</v>
      </c>
      <c r="D906" s="139">
        <f>VLOOKUP(NoviaFunds[[#This Row],[ISIN]],'Novia Web Query'!$A:$E,4,FALSE)/100</f>
        <v>1.6299999999999999E-2</v>
      </c>
      <c r="E906" s="3" t="str">
        <f>VLOOKUP(NoviaFunds[[#This Row],[ISIN]],'Novia Web Query'!$A:$E,5,FALSE)</f>
        <v>14/01/2021</v>
      </c>
      <c r="F906" t="str">
        <f>VLOOKUP(NoviaFunds[[#This Row],[Sector]],Sectors[],2,FALSE)</f>
        <v>Other Equities</v>
      </c>
    </row>
    <row r="907" spans="1:6" x14ac:dyDescent="0.2">
      <c r="A907" t="str">
        <f>'Novia Web Query'!A907</f>
        <v>GB0030833767</v>
      </c>
      <c r="B907" t="str">
        <f>VLOOKUP(NoviaFunds[[#This Row],[ISIN]],'Novia Web Query'!$A:$E,2,FALSE)</f>
        <v>BMO Responsible Global Equity 1 Inc TR in GB</v>
      </c>
      <c r="C907" t="str">
        <f>VLOOKUP(NoviaFunds[[#This Row],[ISIN]],'Novia Web Query'!$A:$E,3,FALSE)</f>
        <v>UT Global</v>
      </c>
      <c r="D907" s="139">
        <f>VLOOKUP(NoviaFunds[[#This Row],[ISIN]],'Novia Web Query'!$A:$E,4,FALSE)/100</f>
        <v>1.7100000000000001E-2</v>
      </c>
      <c r="E907" s="3" t="str">
        <f>VLOOKUP(NoviaFunds[[#This Row],[ISIN]],'Novia Web Query'!$A:$E,5,FALSE)</f>
        <v>14/01/2021</v>
      </c>
      <c r="F907" t="str">
        <f>VLOOKUP(NoviaFunds[[#This Row],[Sector]],Sectors[],2,FALSE)</f>
        <v>Other Equities</v>
      </c>
    </row>
    <row r="908" spans="1:6" x14ac:dyDescent="0.2">
      <c r="A908" t="str">
        <f>'Novia Web Query'!A908</f>
        <v>GB0033145045</v>
      </c>
      <c r="B908" t="str">
        <f>VLOOKUP(NoviaFunds[[#This Row],[ISIN]],'Novia Web Query'!$A:$E,2,FALSE)</f>
        <v>BMO Responsible Global Equity 2 Acc in GB</v>
      </c>
      <c r="C908" t="str">
        <f>VLOOKUP(NoviaFunds[[#This Row],[ISIN]],'Novia Web Query'!$A:$E,3,FALSE)</f>
        <v>UT Global</v>
      </c>
      <c r="D908" s="139">
        <f>VLOOKUP(NoviaFunds[[#This Row],[ISIN]],'Novia Web Query'!$A:$E,4,FALSE)/100</f>
        <v>7.9000000000000008E-3</v>
      </c>
      <c r="E908" s="3" t="str">
        <f>VLOOKUP(NoviaFunds[[#This Row],[ISIN]],'Novia Web Query'!$A:$E,5,FALSE)</f>
        <v>14/01/2021</v>
      </c>
      <c r="F908" t="str">
        <f>VLOOKUP(NoviaFunds[[#This Row],[Sector]],Sectors[],2,FALSE)</f>
        <v>Other Equities</v>
      </c>
    </row>
    <row r="909" spans="1:6" x14ac:dyDescent="0.2">
      <c r="A909" t="str">
        <f>'Novia Web Query'!A909</f>
        <v>GB00B828PQ84</v>
      </c>
      <c r="B909" t="str">
        <f>VLOOKUP(NoviaFunds[[#This Row],[ISIN]],'Novia Web Query'!$A:$E,2,FALSE)</f>
        <v>BMO Responsible Global Equity 2 Inc TR in GB**</v>
      </c>
      <c r="C909" t="str">
        <f>VLOOKUP(NoviaFunds[[#This Row],[ISIN]],'Novia Web Query'!$A:$E,3,FALSE)</f>
        <v>UT Global</v>
      </c>
      <c r="D909" s="139">
        <f>VLOOKUP(NoviaFunds[[#This Row],[ISIN]],'Novia Web Query'!$A:$E,4,FALSE)/100</f>
        <v>8.0000000000000002E-3</v>
      </c>
      <c r="E909" s="3" t="str">
        <f>VLOOKUP(NoviaFunds[[#This Row],[ISIN]],'Novia Web Query'!$A:$E,5,FALSE)</f>
        <v>14/01/2021</v>
      </c>
      <c r="F909" t="str">
        <f>VLOOKUP(NoviaFunds[[#This Row],[Sector]],Sectors[],2,FALSE)</f>
        <v>Other Equities</v>
      </c>
    </row>
    <row r="910" spans="1:6" x14ac:dyDescent="0.2">
      <c r="A910" t="str">
        <f>'Novia Web Query'!A910</f>
        <v>GB00B23YHT07</v>
      </c>
      <c r="B910" t="str">
        <f>VLOOKUP(NoviaFunds[[#This Row],[ISIN]],'Novia Web Query'!$A:$E,2,FALSE)</f>
        <v>BMO Responsible Sterling Corporate Bond 1 Inc TR in GB</v>
      </c>
      <c r="C910" t="str">
        <f>VLOOKUP(NoviaFunds[[#This Row],[ISIN]],'Novia Web Query'!$A:$E,3,FALSE)</f>
        <v>UT Sterling Corporate Bond</v>
      </c>
      <c r="D910" s="139">
        <f>VLOOKUP(NoviaFunds[[#This Row],[ISIN]],'Novia Web Query'!$A:$E,4,FALSE)/100</f>
        <v>1.24E-2</v>
      </c>
      <c r="E910" s="3" t="str">
        <f>VLOOKUP(NoviaFunds[[#This Row],[ISIN]],'Novia Web Query'!$A:$E,5,FALSE)</f>
        <v>14/01/2021</v>
      </c>
      <c r="F910" t="str">
        <f>VLOOKUP(NoviaFunds[[#This Row],[Sector]],Sectors[],2,FALSE)</f>
        <v>Sterling Corporate Bonds</v>
      </c>
    </row>
    <row r="911" spans="1:6" x14ac:dyDescent="0.2">
      <c r="A911" t="str">
        <f>'Novia Web Query'!A911</f>
        <v>GB00B23YHV29</v>
      </c>
      <c r="B911" t="str">
        <f>VLOOKUP(NoviaFunds[[#This Row],[ISIN]],'Novia Web Query'!$A:$E,2,FALSE)</f>
        <v>BMO Responsible Sterling Corporate Bond 2 Inc TR in GB</v>
      </c>
      <c r="C911" t="str">
        <f>VLOOKUP(NoviaFunds[[#This Row],[ISIN]],'Novia Web Query'!$A:$E,3,FALSE)</f>
        <v>UT Sterling Corporate Bond</v>
      </c>
      <c r="D911" s="139">
        <f>VLOOKUP(NoviaFunds[[#This Row],[ISIN]],'Novia Web Query'!$A:$E,4,FALSE)/100</f>
        <v>5.6000000000000008E-3</v>
      </c>
      <c r="E911" s="3" t="str">
        <f>VLOOKUP(NoviaFunds[[#This Row],[ISIN]],'Novia Web Query'!$A:$E,5,FALSE)</f>
        <v>14/01/2021</v>
      </c>
      <c r="F911" t="str">
        <f>VLOOKUP(NoviaFunds[[#This Row],[Sector]],Sectors[],2,FALSE)</f>
        <v>Sterling Corporate Bonds</v>
      </c>
    </row>
    <row r="912" spans="1:6" x14ac:dyDescent="0.2">
      <c r="A912" t="str">
        <f>'Novia Web Query'!A912</f>
        <v>GB00B4RB3Z95</v>
      </c>
      <c r="B912" t="str">
        <f>VLOOKUP(NoviaFunds[[#This Row],[ISIN]],'Novia Web Query'!$A:$E,2,FALSE)</f>
        <v>BMO Responsible Sterling Corporate Bond C Inc TR in GB</v>
      </c>
      <c r="C912" t="str">
        <f>VLOOKUP(NoviaFunds[[#This Row],[ISIN]],'Novia Web Query'!$A:$E,3,FALSE)</f>
        <v>UT Sterling Corporate Bond</v>
      </c>
      <c r="D912" s="139">
        <f>VLOOKUP(NoviaFunds[[#This Row],[ISIN]],'Novia Web Query'!$A:$E,4,FALSE)/100</f>
        <v>5.6999999999999993E-3</v>
      </c>
      <c r="E912" s="3" t="str">
        <f>VLOOKUP(NoviaFunds[[#This Row],[ISIN]],'Novia Web Query'!$A:$E,5,FALSE)</f>
        <v>14/01/2021</v>
      </c>
      <c r="F912" t="str">
        <f>VLOOKUP(NoviaFunds[[#This Row],[Sector]],Sectors[],2,FALSE)</f>
        <v>Sterling Corporate Bonds</v>
      </c>
    </row>
    <row r="913" spans="1:6" x14ac:dyDescent="0.2">
      <c r="A913" t="str">
        <f>'Novia Web Query'!A913</f>
        <v>GB0030833981</v>
      </c>
      <c r="B913" t="str">
        <f>VLOOKUP(NoviaFunds[[#This Row],[ISIN]],'Novia Web Query'!$A:$E,2,FALSE)</f>
        <v>BMO Responsible UK Equity 1 Acc in GB</v>
      </c>
      <c r="C913" t="str">
        <f>VLOOKUP(NoviaFunds[[#This Row],[ISIN]],'Novia Web Query'!$A:$E,3,FALSE)</f>
        <v>UT UK All Companies</v>
      </c>
      <c r="D913" s="139">
        <f>VLOOKUP(NoviaFunds[[#This Row],[ISIN]],'Novia Web Query'!$A:$E,4,FALSE)/100</f>
        <v>1.7100000000000001E-2</v>
      </c>
      <c r="E913" s="3" t="str">
        <f>VLOOKUP(NoviaFunds[[#This Row],[ISIN]],'Novia Web Query'!$A:$E,5,FALSE)</f>
        <v>14/01/2021</v>
      </c>
      <c r="F913" t="str">
        <f>VLOOKUP(NoviaFunds[[#This Row],[Sector]],Sectors[],2,FALSE)</f>
        <v>UK Equities</v>
      </c>
    </row>
    <row r="914" spans="1:6" x14ac:dyDescent="0.2">
      <c r="A914" t="str">
        <f>'Novia Web Query'!A914</f>
        <v>GB0030834518</v>
      </c>
      <c r="B914" t="str">
        <f>VLOOKUP(NoviaFunds[[#This Row],[ISIN]],'Novia Web Query'!$A:$E,2,FALSE)</f>
        <v>BMO Responsible UK Equity 1 Inc TR in GB</v>
      </c>
      <c r="C914" t="str">
        <f>VLOOKUP(NoviaFunds[[#This Row],[ISIN]],'Novia Web Query'!$A:$E,3,FALSE)</f>
        <v>UT UK All Companies</v>
      </c>
      <c r="D914" s="139">
        <f>VLOOKUP(NoviaFunds[[#This Row],[ISIN]],'Novia Web Query'!$A:$E,4,FALSE)/100</f>
        <v>1.7000000000000001E-2</v>
      </c>
      <c r="E914" s="3" t="str">
        <f>VLOOKUP(NoviaFunds[[#This Row],[ISIN]],'Novia Web Query'!$A:$E,5,FALSE)</f>
        <v>14/01/2021</v>
      </c>
      <c r="F914" t="str">
        <f>VLOOKUP(NoviaFunds[[#This Row],[Sector]],Sectors[],2,FALSE)</f>
        <v>UK Equities</v>
      </c>
    </row>
    <row r="915" spans="1:6" x14ac:dyDescent="0.2">
      <c r="A915" t="str">
        <f>'Novia Web Query'!A915</f>
        <v>GB0033396481</v>
      </c>
      <c r="B915" t="str">
        <f>VLOOKUP(NoviaFunds[[#This Row],[ISIN]],'Novia Web Query'!$A:$E,2,FALSE)</f>
        <v>BMO Responsible UK Equity 2 Acc in GB**</v>
      </c>
      <c r="C915" t="str">
        <f>VLOOKUP(NoviaFunds[[#This Row],[ISIN]],'Novia Web Query'!$A:$E,3,FALSE)</f>
        <v>UT UK All Companies</v>
      </c>
      <c r="D915" s="139">
        <f>VLOOKUP(NoviaFunds[[#This Row],[ISIN]],'Novia Web Query'!$A:$E,4,FALSE)/100</f>
        <v>7.9000000000000008E-3</v>
      </c>
      <c r="E915" s="3" t="str">
        <f>VLOOKUP(NoviaFunds[[#This Row],[ISIN]],'Novia Web Query'!$A:$E,5,FALSE)</f>
        <v>14/01/2021</v>
      </c>
      <c r="F915" t="str">
        <f>VLOOKUP(NoviaFunds[[#This Row],[Sector]],Sectors[],2,FALSE)</f>
        <v>UK Equities</v>
      </c>
    </row>
    <row r="916" spans="1:6" x14ac:dyDescent="0.2">
      <c r="A916" t="str">
        <f>'Novia Web Query'!A916</f>
        <v>GB00B8BKZY38</v>
      </c>
      <c r="B916" t="str">
        <f>VLOOKUP(NoviaFunds[[#This Row],[ISIN]],'Novia Web Query'!$A:$E,2,FALSE)</f>
        <v>BMO Responsible UK Equity 2 Inc TR in GB**</v>
      </c>
      <c r="C916" t="str">
        <f>VLOOKUP(NoviaFunds[[#This Row],[ISIN]],'Novia Web Query'!$A:$E,3,FALSE)</f>
        <v>UT UK All Companies</v>
      </c>
      <c r="D916" s="139">
        <f>VLOOKUP(NoviaFunds[[#This Row],[ISIN]],'Novia Web Query'!$A:$E,4,FALSE)/100</f>
        <v>8.3000000000000001E-3</v>
      </c>
      <c r="E916" s="3" t="str">
        <f>VLOOKUP(NoviaFunds[[#This Row],[ISIN]],'Novia Web Query'!$A:$E,5,FALSE)</f>
        <v>14/01/2021</v>
      </c>
      <c r="F916" t="str">
        <f>VLOOKUP(NoviaFunds[[#This Row],[Sector]],Sectors[],2,FALSE)</f>
        <v>UK Equities</v>
      </c>
    </row>
    <row r="917" spans="1:6" x14ac:dyDescent="0.2">
      <c r="A917" t="str">
        <f>'Novia Web Query'!A917</f>
        <v>GB0030835580</v>
      </c>
      <c r="B917" t="str">
        <f>VLOOKUP(NoviaFunds[[#This Row],[ISIN]],'Novia Web Query'!$A:$E,2,FALSE)</f>
        <v>BMO Responsible UK Income 1 Acc in GB</v>
      </c>
      <c r="C917" t="str">
        <f>VLOOKUP(NoviaFunds[[#This Row],[ISIN]],'Novia Web Query'!$A:$E,3,FALSE)</f>
        <v>UT UK Equity Income</v>
      </c>
      <c r="D917" s="139">
        <f>VLOOKUP(NoviaFunds[[#This Row],[ISIN]],'Novia Web Query'!$A:$E,4,FALSE)/100</f>
        <v>1.8000000000000002E-2</v>
      </c>
      <c r="E917" s="3" t="str">
        <f>VLOOKUP(NoviaFunds[[#This Row],[ISIN]],'Novia Web Query'!$A:$E,5,FALSE)</f>
        <v>15/03/2021</v>
      </c>
      <c r="F917" t="str">
        <f>VLOOKUP(NoviaFunds[[#This Row],[Sector]],Sectors[],2,FALSE)</f>
        <v>UK Equities</v>
      </c>
    </row>
    <row r="918" spans="1:6" x14ac:dyDescent="0.2">
      <c r="A918" t="str">
        <f>'Novia Web Query'!A918</f>
        <v>GB0030835697</v>
      </c>
      <c r="B918" t="str">
        <f>VLOOKUP(NoviaFunds[[#This Row],[ISIN]],'Novia Web Query'!$A:$E,2,FALSE)</f>
        <v>BMO Responsible UK Income 1 Inc TR in GB</v>
      </c>
      <c r="C918" t="str">
        <f>VLOOKUP(NoviaFunds[[#This Row],[ISIN]],'Novia Web Query'!$A:$E,3,FALSE)</f>
        <v>UT UK Equity Income</v>
      </c>
      <c r="D918" s="139">
        <f>VLOOKUP(NoviaFunds[[#This Row],[ISIN]],'Novia Web Query'!$A:$E,4,FALSE)/100</f>
        <v>1.8700000000000001E-2</v>
      </c>
      <c r="E918" s="3" t="str">
        <f>VLOOKUP(NoviaFunds[[#This Row],[ISIN]],'Novia Web Query'!$A:$E,5,FALSE)</f>
        <v>15/03/2021</v>
      </c>
      <c r="F918" t="str">
        <f>VLOOKUP(NoviaFunds[[#This Row],[Sector]],Sectors[],2,FALSE)</f>
        <v>UK Equities</v>
      </c>
    </row>
    <row r="919" spans="1:6" x14ac:dyDescent="0.2">
      <c r="A919" t="str">
        <f>'Novia Web Query'!A919</f>
        <v>GB00B4NKFT88</v>
      </c>
      <c r="B919" t="str">
        <f>VLOOKUP(NoviaFunds[[#This Row],[ISIN]],'Novia Web Query'!$A:$E,2,FALSE)</f>
        <v>BMO Responsible UK Income 2 Acc TR in GB**</v>
      </c>
      <c r="C919" t="str">
        <f>VLOOKUP(NoviaFunds[[#This Row],[ISIN]],'Novia Web Query'!$A:$E,3,FALSE)</f>
        <v>UT UK Equity Income</v>
      </c>
      <c r="D919" s="139">
        <f>VLOOKUP(NoviaFunds[[#This Row],[ISIN]],'Novia Web Query'!$A:$E,4,FALSE)/100</f>
        <v>8.0000000000000002E-3</v>
      </c>
      <c r="E919" s="3" t="str">
        <f>VLOOKUP(NoviaFunds[[#This Row],[ISIN]],'Novia Web Query'!$A:$E,5,FALSE)</f>
        <v>08/11/2021</v>
      </c>
      <c r="F919" t="str">
        <f>VLOOKUP(NoviaFunds[[#This Row],[Sector]],Sectors[],2,FALSE)</f>
        <v>UK Equities</v>
      </c>
    </row>
    <row r="920" spans="1:6" x14ac:dyDescent="0.2">
      <c r="A920" t="str">
        <f>'Novia Web Query'!A920</f>
        <v>GB0033144857</v>
      </c>
      <c r="B920" t="str">
        <f>VLOOKUP(NoviaFunds[[#This Row],[ISIN]],'Novia Web Query'!$A:$E,2,FALSE)</f>
        <v>BMO Responsible UK Income 2 Inc TR in GB**</v>
      </c>
      <c r="C920" t="str">
        <f>VLOOKUP(NoviaFunds[[#This Row],[ISIN]],'Novia Web Query'!$A:$E,3,FALSE)</f>
        <v>UT UK Equity Income</v>
      </c>
      <c r="D920" s="139">
        <f>VLOOKUP(NoviaFunds[[#This Row],[ISIN]],'Novia Web Query'!$A:$E,4,FALSE)/100</f>
        <v>8.1000000000000013E-3</v>
      </c>
      <c r="E920" s="3" t="str">
        <f>VLOOKUP(NoviaFunds[[#This Row],[ISIN]],'Novia Web Query'!$A:$E,5,FALSE)</f>
        <v>08/11/2021</v>
      </c>
      <c r="F920" t="str">
        <f>VLOOKUP(NoviaFunds[[#This Row],[Sector]],Sectors[],2,FALSE)</f>
        <v>UK Equities</v>
      </c>
    </row>
    <row r="921" spans="1:6" x14ac:dyDescent="0.2">
      <c r="A921" t="str">
        <f>'Novia Web Query'!A921</f>
        <v>GB0008464082</v>
      </c>
      <c r="B921" t="str">
        <f>VLOOKUP(NoviaFunds[[#This Row],[ISIN]],'Novia Web Query'!$A:$E,2,FALSE)</f>
        <v>BMO Select European Equity 1 Acc in GB</v>
      </c>
      <c r="C921" t="str">
        <f>VLOOKUP(NoviaFunds[[#This Row],[ISIN]],'Novia Web Query'!$A:$E,3,FALSE)</f>
        <v>UT Europe Excluding UK</v>
      </c>
      <c r="D921" s="139">
        <f>VLOOKUP(NoviaFunds[[#This Row],[ISIN]],'Novia Web Query'!$A:$E,4,FALSE)/100</f>
        <v>1.7399999999999999E-2</v>
      </c>
      <c r="E921" s="3" t="str">
        <f>VLOOKUP(NoviaFunds[[#This Row],[ISIN]],'Novia Web Query'!$A:$E,5,FALSE)</f>
        <v>14/01/2021</v>
      </c>
      <c r="F921" t="str">
        <f>VLOOKUP(NoviaFunds[[#This Row],[Sector]],Sectors[],2,FALSE)</f>
        <v>European Equities</v>
      </c>
    </row>
    <row r="922" spans="1:6" x14ac:dyDescent="0.2">
      <c r="A922" t="str">
        <f>'Novia Web Query'!A922</f>
        <v>GB00B3CS8Q40</v>
      </c>
      <c r="B922" t="str">
        <f>VLOOKUP(NoviaFunds[[#This Row],[ISIN]],'Novia Web Query'!$A:$E,2,FALSE)</f>
        <v>BMO Select European Equity 1 Inc TR in GB**</v>
      </c>
      <c r="C922" t="str">
        <f>VLOOKUP(NoviaFunds[[#This Row],[ISIN]],'Novia Web Query'!$A:$E,3,FALSE)</f>
        <v>UT Europe Excluding UK</v>
      </c>
      <c r="D922" s="139">
        <f>VLOOKUP(NoviaFunds[[#This Row],[ISIN]],'Novia Web Query'!$A:$E,4,FALSE)/100</f>
        <v>1.89E-2</v>
      </c>
      <c r="E922" s="3" t="str">
        <f>VLOOKUP(NoviaFunds[[#This Row],[ISIN]],'Novia Web Query'!$A:$E,5,FALSE)</f>
        <v>14/01/2021</v>
      </c>
      <c r="F922" t="str">
        <f>VLOOKUP(NoviaFunds[[#This Row],[Sector]],Sectors[],2,FALSE)</f>
        <v>European Equities</v>
      </c>
    </row>
    <row r="923" spans="1:6" x14ac:dyDescent="0.2">
      <c r="A923" t="str">
        <f>'Novia Web Query'!A923</f>
        <v>GB00B4Q7SF31</v>
      </c>
      <c r="B923" t="str">
        <f>VLOOKUP(NoviaFunds[[#This Row],[ISIN]],'Novia Web Query'!$A:$E,2,FALSE)</f>
        <v>BMO Select European Equity 2 Acc in GB</v>
      </c>
      <c r="C923" t="str">
        <f>VLOOKUP(NoviaFunds[[#This Row],[ISIN]],'Novia Web Query'!$A:$E,3,FALSE)</f>
        <v>UT Europe Excluding UK</v>
      </c>
      <c r="D923" s="139">
        <f>VLOOKUP(NoviaFunds[[#This Row],[ISIN]],'Novia Web Query'!$A:$E,4,FALSE)/100</f>
        <v>8.3000000000000001E-3</v>
      </c>
      <c r="E923" s="3" t="str">
        <f>VLOOKUP(NoviaFunds[[#This Row],[ISIN]],'Novia Web Query'!$A:$E,5,FALSE)</f>
        <v>14/01/2021</v>
      </c>
      <c r="F923" t="str">
        <f>VLOOKUP(NoviaFunds[[#This Row],[Sector]],Sectors[],2,FALSE)</f>
        <v>European Equities</v>
      </c>
    </row>
    <row r="924" spans="1:6" x14ac:dyDescent="0.2">
      <c r="A924" t="str">
        <f>'Novia Web Query'!A924</f>
        <v>GB00B4P2X988</v>
      </c>
      <c r="B924" t="str">
        <f>VLOOKUP(NoviaFunds[[#This Row],[ISIN]],'Novia Web Query'!$A:$E,2,FALSE)</f>
        <v>BMO Select European Equity 2 Inc TR in GB**</v>
      </c>
      <c r="C924" t="str">
        <f>VLOOKUP(NoviaFunds[[#This Row],[ISIN]],'Novia Web Query'!$A:$E,3,FALSE)</f>
        <v>UT Europe Excluding UK</v>
      </c>
      <c r="D924" s="139">
        <f>VLOOKUP(NoviaFunds[[#This Row],[ISIN]],'Novia Web Query'!$A:$E,4,FALSE)/100</f>
        <v>9.4999999999999998E-3</v>
      </c>
      <c r="E924" s="3" t="str">
        <f>VLOOKUP(NoviaFunds[[#This Row],[ISIN]],'Novia Web Query'!$A:$E,5,FALSE)</f>
        <v>14/01/2021</v>
      </c>
      <c r="F924" t="str">
        <f>VLOOKUP(NoviaFunds[[#This Row],[Sector]],Sectors[],2,FALSE)</f>
        <v>European Equities</v>
      </c>
    </row>
    <row r="925" spans="1:6" x14ac:dyDescent="0.2">
      <c r="A925" t="str">
        <f>'Novia Web Query'!A925</f>
        <v>GB0008463894</v>
      </c>
      <c r="B925" t="str">
        <f>VLOOKUP(NoviaFunds[[#This Row],[ISIN]],'Novia Web Query'!$A:$E,2,FALSE)</f>
        <v>BMO Select UK Equity 1 Acc in GB</v>
      </c>
      <c r="C925" t="str">
        <f>VLOOKUP(NoviaFunds[[#This Row],[ISIN]],'Novia Web Query'!$A:$E,3,FALSE)</f>
        <v>UT UK All Companies</v>
      </c>
      <c r="D925" s="139">
        <f>VLOOKUP(NoviaFunds[[#This Row],[ISIN]],'Novia Web Query'!$A:$E,4,FALSE)/100</f>
        <v>1.9599999999999999E-2</v>
      </c>
      <c r="E925" s="3" t="str">
        <f>VLOOKUP(NoviaFunds[[#This Row],[ISIN]],'Novia Web Query'!$A:$E,5,FALSE)</f>
        <v>14/01/2021</v>
      </c>
      <c r="F925" t="str">
        <f>VLOOKUP(NoviaFunds[[#This Row],[Sector]],Sectors[],2,FALSE)</f>
        <v>UK Equities</v>
      </c>
    </row>
    <row r="926" spans="1:6" x14ac:dyDescent="0.2">
      <c r="A926" t="str">
        <f>'Novia Web Query'!A926</f>
        <v>GB0008464314</v>
      </c>
      <c r="B926" t="str">
        <f>VLOOKUP(NoviaFunds[[#This Row],[ISIN]],'Novia Web Query'!$A:$E,2,FALSE)</f>
        <v>BMO Select UK Equity 2 Acc in GB</v>
      </c>
      <c r="C926" t="str">
        <f>VLOOKUP(NoviaFunds[[#This Row],[ISIN]],'Novia Web Query'!$A:$E,3,FALSE)</f>
        <v>UT UK All Companies</v>
      </c>
      <c r="D926" s="139">
        <f>VLOOKUP(NoviaFunds[[#This Row],[ISIN]],'Novia Web Query'!$A:$E,4,FALSE)/100</f>
        <v>1.06E-2</v>
      </c>
      <c r="E926" s="3" t="str">
        <f>VLOOKUP(NoviaFunds[[#This Row],[ISIN]],'Novia Web Query'!$A:$E,5,FALSE)</f>
        <v>14/01/2021</v>
      </c>
      <c r="F926" t="str">
        <f>VLOOKUP(NoviaFunds[[#This Row],[Sector]],Sectors[],2,FALSE)</f>
        <v>UK Equities</v>
      </c>
    </row>
    <row r="927" spans="1:6" x14ac:dyDescent="0.2">
      <c r="A927" t="str">
        <f>'Novia Web Query'!A927</f>
        <v>GB0008464207</v>
      </c>
      <c r="B927" t="str">
        <f>VLOOKUP(NoviaFunds[[#This Row],[ISIN]],'Novia Web Query'!$A:$E,2,FALSE)</f>
        <v>BMO Sustainable Opportunities Global Equity 1 Acc in GB</v>
      </c>
      <c r="C927" t="str">
        <f>VLOOKUP(NoviaFunds[[#This Row],[ISIN]],'Novia Web Query'!$A:$E,3,FALSE)</f>
        <v>UT Global</v>
      </c>
      <c r="D927" s="139">
        <f>VLOOKUP(NoviaFunds[[#This Row],[ISIN]],'Novia Web Query'!$A:$E,4,FALSE)/100</f>
        <v>2.1099999999999997E-2</v>
      </c>
      <c r="E927" s="3" t="str">
        <f>VLOOKUP(NoviaFunds[[#This Row],[ISIN]],'Novia Web Query'!$A:$E,5,FALSE)</f>
        <v>14/01/2021</v>
      </c>
      <c r="F927" t="str">
        <f>VLOOKUP(NoviaFunds[[#This Row],[Sector]],Sectors[],2,FALSE)</f>
        <v>Other Equities</v>
      </c>
    </row>
    <row r="928" spans="1:6" x14ac:dyDescent="0.2">
      <c r="A928" t="str">
        <f>'Novia Web Query'!A928</f>
        <v>GB00BYZ62V52</v>
      </c>
      <c r="B928" t="str">
        <f>VLOOKUP(NoviaFunds[[#This Row],[ISIN]],'Novia Web Query'!$A:$E,2,FALSE)</f>
        <v>BMO Sustainable Opportunities Global Equity C Acc in GB**</v>
      </c>
      <c r="C928" t="str">
        <f>VLOOKUP(NoviaFunds[[#This Row],[ISIN]],'Novia Web Query'!$A:$E,3,FALSE)</f>
        <v>UT Global</v>
      </c>
      <c r="D928" s="139">
        <f>VLOOKUP(NoviaFunds[[#This Row],[ISIN]],'Novia Web Query'!$A:$E,4,FALSE)/100</f>
        <v>8.3000000000000001E-3</v>
      </c>
      <c r="E928" s="3" t="str">
        <f>VLOOKUP(NoviaFunds[[#This Row],[ISIN]],'Novia Web Query'!$A:$E,5,FALSE)</f>
        <v>14/01/2021</v>
      </c>
      <c r="F928" t="str">
        <f>VLOOKUP(NoviaFunds[[#This Row],[Sector]],Sectors[],2,FALSE)</f>
        <v>Other Equities</v>
      </c>
    </row>
    <row r="929" spans="1:6" x14ac:dyDescent="0.2">
      <c r="A929" t="str">
        <f>'Novia Web Query'!A929</f>
        <v>GB00BKV44860</v>
      </c>
      <c r="B929" t="str">
        <f>VLOOKUP(NoviaFunds[[#This Row],[ISIN]],'Novia Web Query'!$A:$E,2,FALSE)</f>
        <v>BMO Sustainable Universal MAP Balanced C Acc GBP in GB</v>
      </c>
      <c r="C929" t="str">
        <f>VLOOKUP(NoviaFunds[[#This Row],[ISIN]],'Novia Web Query'!$A:$E,3,FALSE)</f>
        <v>UT Volatility Managed</v>
      </c>
      <c r="D929" s="139">
        <f>VLOOKUP(NoviaFunds[[#This Row],[ISIN]],'Novia Web Query'!$A:$E,4,FALSE)/100</f>
        <v>3.9000000000000003E-3</v>
      </c>
      <c r="E929" s="3" t="str">
        <f>VLOOKUP(NoviaFunds[[#This Row],[ISIN]],'Novia Web Query'!$A:$E,5,FALSE)</f>
        <v>30/11/2020</v>
      </c>
      <c r="F929" t="e">
        <f>VLOOKUP(NoviaFunds[[#This Row],[Sector]],Sectors[],2,FALSE)</f>
        <v>#N/A</v>
      </c>
    </row>
    <row r="930" spans="1:6" x14ac:dyDescent="0.2">
      <c r="A930" t="str">
        <f>'Novia Web Query'!A930</f>
        <v>GB00BKV44647</v>
      </c>
      <c r="B930" t="str">
        <f>VLOOKUP(NoviaFunds[[#This Row],[ISIN]],'Novia Web Query'!$A:$E,2,FALSE)</f>
        <v>BMO Sustainable Universal MAP Cautious C Acc GBP in GB</v>
      </c>
      <c r="C930" t="str">
        <f>VLOOKUP(NoviaFunds[[#This Row],[ISIN]],'Novia Web Query'!$A:$E,3,FALSE)</f>
        <v>UT Volatility Managed</v>
      </c>
      <c r="D930" s="139">
        <f>VLOOKUP(NoviaFunds[[#This Row],[ISIN]],'Novia Web Query'!$A:$E,4,FALSE)/100</f>
        <v>3.9000000000000003E-3</v>
      </c>
      <c r="E930" s="3" t="str">
        <f>VLOOKUP(NoviaFunds[[#This Row],[ISIN]],'Novia Web Query'!$A:$E,5,FALSE)</f>
        <v>30/11/2020</v>
      </c>
      <c r="F930" t="e">
        <f>VLOOKUP(NoviaFunds[[#This Row],[Sector]],Sectors[],2,FALSE)</f>
        <v>#N/A</v>
      </c>
    </row>
    <row r="931" spans="1:6" x14ac:dyDescent="0.2">
      <c r="A931" t="str">
        <f>'Novia Web Query'!A931</f>
        <v>GB00BKV44B91</v>
      </c>
      <c r="B931" t="str">
        <f>VLOOKUP(NoviaFunds[[#This Row],[ISIN]],'Novia Web Query'!$A:$E,2,FALSE)</f>
        <v>BMO Sustainable Universal MAP Growth C Acc GBP in GB</v>
      </c>
      <c r="C931" t="str">
        <f>VLOOKUP(NoviaFunds[[#This Row],[ISIN]],'Novia Web Query'!$A:$E,3,FALSE)</f>
        <v>UT Volatility Managed</v>
      </c>
      <c r="D931" s="139">
        <f>VLOOKUP(NoviaFunds[[#This Row],[ISIN]],'Novia Web Query'!$A:$E,4,FALSE)/100</f>
        <v>3.9000000000000003E-3</v>
      </c>
      <c r="E931" s="3" t="str">
        <f>VLOOKUP(NoviaFunds[[#This Row],[ISIN]],'Novia Web Query'!$A:$E,5,FALSE)</f>
        <v>09/12/2019</v>
      </c>
      <c r="F931" t="e">
        <f>VLOOKUP(NoviaFunds[[#This Row],[Sector]],Sectors[],2,FALSE)</f>
        <v>#N/A</v>
      </c>
    </row>
    <row r="932" spans="1:6" x14ac:dyDescent="0.2">
      <c r="A932" t="str">
        <f>'Novia Web Query'!A932</f>
        <v>GB0033146126</v>
      </c>
      <c r="B932" t="str">
        <f>VLOOKUP(NoviaFunds[[#This Row],[ISIN]],'Novia Web Query'!$A:$E,2,FALSE)</f>
        <v>BMO UK Equity Income 1 Acc in GB</v>
      </c>
      <c r="C932" t="str">
        <f>VLOOKUP(NoviaFunds[[#This Row],[ISIN]],'Novia Web Query'!$A:$E,3,FALSE)</f>
        <v>UT UK Equity Income</v>
      </c>
      <c r="D932" s="139">
        <f>VLOOKUP(NoviaFunds[[#This Row],[ISIN]],'Novia Web Query'!$A:$E,4,FALSE)/100</f>
        <v>1.89E-2</v>
      </c>
      <c r="E932" s="3" t="str">
        <f>VLOOKUP(NoviaFunds[[#This Row],[ISIN]],'Novia Web Query'!$A:$E,5,FALSE)</f>
        <v>14/01/2021</v>
      </c>
      <c r="F932" t="str">
        <f>VLOOKUP(NoviaFunds[[#This Row],[Sector]],Sectors[],2,FALSE)</f>
        <v>UK Equities</v>
      </c>
    </row>
    <row r="933" spans="1:6" x14ac:dyDescent="0.2">
      <c r="A933" t="str">
        <f>'Novia Web Query'!A933</f>
        <v>GB0033146019</v>
      </c>
      <c r="B933" t="str">
        <f>VLOOKUP(NoviaFunds[[#This Row],[ISIN]],'Novia Web Query'!$A:$E,2,FALSE)</f>
        <v>BMO UK Equity Income 1 Inc TR in GB</v>
      </c>
      <c r="C933" t="str">
        <f>VLOOKUP(NoviaFunds[[#This Row],[ISIN]],'Novia Web Query'!$A:$E,3,FALSE)</f>
        <v>UT UK Equity Income</v>
      </c>
      <c r="D933" s="139">
        <f>VLOOKUP(NoviaFunds[[#This Row],[ISIN]],'Novia Web Query'!$A:$E,4,FALSE)/100</f>
        <v>2.0400000000000001E-2</v>
      </c>
      <c r="E933" s="3" t="str">
        <f>VLOOKUP(NoviaFunds[[#This Row],[ISIN]],'Novia Web Query'!$A:$E,5,FALSE)</f>
        <v>14/01/2021</v>
      </c>
      <c r="F933" t="str">
        <f>VLOOKUP(NoviaFunds[[#This Row],[Sector]],Sectors[],2,FALSE)</f>
        <v>UK Equities</v>
      </c>
    </row>
    <row r="934" spans="1:6" x14ac:dyDescent="0.2">
      <c r="A934" t="str">
        <f>'Novia Web Query'!A934</f>
        <v>GB00B7TFC979</v>
      </c>
      <c r="B934" t="str">
        <f>VLOOKUP(NoviaFunds[[#This Row],[ISIN]],'Novia Web Query'!$A:$E,2,FALSE)</f>
        <v>BMO UK Equity Income 2 Acc TR in GB**</v>
      </c>
      <c r="C934" t="str">
        <f>VLOOKUP(NoviaFunds[[#This Row],[ISIN]],'Novia Web Query'!$A:$E,3,FALSE)</f>
        <v>UT UK Equity Income</v>
      </c>
      <c r="D934" s="139">
        <f>VLOOKUP(NoviaFunds[[#This Row],[ISIN]],'Novia Web Query'!$A:$E,4,FALSE)/100</f>
        <v>7.9000000000000008E-3</v>
      </c>
      <c r="E934" s="3" t="str">
        <f>VLOOKUP(NoviaFunds[[#This Row],[ISIN]],'Novia Web Query'!$A:$E,5,FALSE)</f>
        <v>14/01/2021</v>
      </c>
      <c r="F934" t="str">
        <f>VLOOKUP(NoviaFunds[[#This Row],[Sector]],Sectors[],2,FALSE)</f>
        <v>UK Equities</v>
      </c>
    </row>
    <row r="935" spans="1:6" x14ac:dyDescent="0.2">
      <c r="A935" t="str">
        <f>'Novia Web Query'!A935</f>
        <v>GB00B60HHR87</v>
      </c>
      <c r="B935" t="str">
        <f>VLOOKUP(NoviaFunds[[#This Row],[ISIN]],'Novia Web Query'!$A:$E,2,FALSE)</f>
        <v>BMO UK Equity Income 2 Inc TR in GB</v>
      </c>
      <c r="C935" t="str">
        <f>VLOOKUP(NoviaFunds[[#This Row],[ISIN]],'Novia Web Query'!$A:$E,3,FALSE)</f>
        <v>UT UK Equity Income</v>
      </c>
      <c r="D935" s="139">
        <f>VLOOKUP(NoviaFunds[[#This Row],[ISIN]],'Novia Web Query'!$A:$E,4,FALSE)/100</f>
        <v>1.11E-2</v>
      </c>
      <c r="E935" s="3" t="str">
        <f>VLOOKUP(NoviaFunds[[#This Row],[ISIN]],'Novia Web Query'!$A:$E,5,FALSE)</f>
        <v>14/01/2021</v>
      </c>
      <c r="F935" t="str">
        <f>VLOOKUP(NoviaFunds[[#This Row],[Sector]],Sectors[],2,FALSE)</f>
        <v>UK Equities</v>
      </c>
    </row>
    <row r="936" spans="1:6" x14ac:dyDescent="0.2">
      <c r="A936" t="str">
        <f>'Novia Web Query'!A936</f>
        <v>GB00B4WHQ646</v>
      </c>
      <c r="B936" t="str">
        <f>VLOOKUP(NoviaFunds[[#This Row],[ISIN]],'Novia Web Query'!$A:$E,2,FALSE)</f>
        <v>BMO UK Equity-Linked Gilt 2 Acc in GB**</v>
      </c>
      <c r="C936" t="str">
        <f>VLOOKUP(NoviaFunds[[#This Row],[ISIN]],'Novia Web Query'!$A:$E,3,FALSE)</f>
        <v>UT Specialist</v>
      </c>
      <c r="D936" s="139">
        <f>VLOOKUP(NoviaFunds[[#This Row],[ISIN]],'Novia Web Query'!$A:$E,4,FALSE)/100</f>
        <v>5.4000000000000003E-3</v>
      </c>
      <c r="E936" s="3" t="str">
        <f>VLOOKUP(NoviaFunds[[#This Row],[ISIN]],'Novia Web Query'!$A:$E,5,FALSE)</f>
        <v>14/01/2021</v>
      </c>
      <c r="F936" t="str">
        <f>VLOOKUP(NoviaFunds[[#This Row],[Sector]],Sectors[],2,FALSE)</f>
        <v>Specialist</v>
      </c>
    </row>
    <row r="937" spans="1:6" x14ac:dyDescent="0.2">
      <c r="A937" t="str">
        <f>'Novia Web Query'!A937</f>
        <v>GB00B3MWZ870</v>
      </c>
      <c r="B937" t="str">
        <f>VLOOKUP(NoviaFunds[[#This Row],[ISIN]],'Novia Web Query'!$A:$E,2,FALSE)</f>
        <v>BMO UK Equity-Linked Gilt 2 Inc TR in GB**</v>
      </c>
      <c r="C937" t="str">
        <f>VLOOKUP(NoviaFunds[[#This Row],[ISIN]],'Novia Web Query'!$A:$E,3,FALSE)</f>
        <v>UT Specialist</v>
      </c>
      <c r="D937" s="139">
        <f>VLOOKUP(NoviaFunds[[#This Row],[ISIN]],'Novia Web Query'!$A:$E,4,FALSE)/100</f>
        <v>8.6E-3</v>
      </c>
      <c r="E937" s="3" t="str">
        <f>VLOOKUP(NoviaFunds[[#This Row],[ISIN]],'Novia Web Query'!$A:$E,5,FALSE)</f>
        <v>14/01/2021</v>
      </c>
      <c r="F937" t="str">
        <f>VLOOKUP(NoviaFunds[[#This Row],[Sector]],Sectors[],2,FALSE)</f>
        <v>Specialist</v>
      </c>
    </row>
    <row r="938" spans="1:6" x14ac:dyDescent="0.2">
      <c r="A938" t="str">
        <f>'Novia Web Query'!A938</f>
        <v>GB00B4WP7L06</v>
      </c>
      <c r="B938" t="str">
        <f>VLOOKUP(NoviaFunds[[#This Row],[ISIN]],'Novia Web Query'!$A:$E,2,FALSE)</f>
        <v>BMO UK Equity-Linked Gilt 3 Acc in GB</v>
      </c>
      <c r="C938" t="str">
        <f>VLOOKUP(NoviaFunds[[#This Row],[ISIN]],'Novia Web Query'!$A:$E,3,FALSE)</f>
        <v>UT Specialist</v>
      </c>
      <c r="D938" s="139">
        <f>VLOOKUP(NoviaFunds[[#This Row],[ISIN]],'Novia Web Query'!$A:$E,4,FALSE)/100</f>
        <v>4.4000000000000003E-3</v>
      </c>
      <c r="E938" s="3" t="str">
        <f>VLOOKUP(NoviaFunds[[#This Row],[ISIN]],'Novia Web Query'!$A:$E,5,FALSE)</f>
        <v>14/01/2021</v>
      </c>
      <c r="F938" t="str">
        <f>VLOOKUP(NoviaFunds[[#This Row],[Sector]],Sectors[],2,FALSE)</f>
        <v>Specialist</v>
      </c>
    </row>
    <row r="939" spans="1:6" x14ac:dyDescent="0.2">
      <c r="A939" t="str">
        <f>'Novia Web Query'!A939</f>
        <v>GB00B4R4LG53</v>
      </c>
      <c r="B939" t="str">
        <f>VLOOKUP(NoviaFunds[[#This Row],[ISIN]],'Novia Web Query'!$A:$E,2,FALSE)</f>
        <v>BMO UK Equity-Linked Inflation 3 Acc in GB</v>
      </c>
      <c r="C939" t="str">
        <f>VLOOKUP(NoviaFunds[[#This Row],[ISIN]],'Novia Web Query'!$A:$E,3,FALSE)</f>
        <v>UT Specialist</v>
      </c>
      <c r="D939" s="139">
        <f>VLOOKUP(NoviaFunds[[#This Row],[ISIN]],'Novia Web Query'!$A:$E,4,FALSE)/100</f>
        <v>3.5999999999999999E-3</v>
      </c>
      <c r="E939" s="3" t="str">
        <f>VLOOKUP(NoviaFunds[[#This Row],[ISIN]],'Novia Web Query'!$A:$E,5,FALSE)</f>
        <v>14/01/2021</v>
      </c>
      <c r="F939" t="str">
        <f>VLOOKUP(NoviaFunds[[#This Row],[Sector]],Sectors[],2,FALSE)</f>
        <v>Specialist</v>
      </c>
    </row>
    <row r="940" spans="1:6" x14ac:dyDescent="0.2">
      <c r="A940" t="str">
        <f>'Novia Web Query'!A940</f>
        <v>GB00B0RBLJ18</v>
      </c>
      <c r="B940" t="str">
        <f>VLOOKUP(NoviaFunds[[#This Row],[ISIN]],'Novia Web Query'!$A:$E,2,FALSE)</f>
        <v>BMO UK Mid-Cap 1 Acc in GB</v>
      </c>
      <c r="C940" t="str">
        <f>VLOOKUP(NoviaFunds[[#This Row],[ISIN]],'Novia Web Query'!$A:$E,3,FALSE)</f>
        <v>UT UK All Companies</v>
      </c>
      <c r="D940" s="139">
        <f>VLOOKUP(NoviaFunds[[#This Row],[ISIN]],'Novia Web Query'!$A:$E,4,FALSE)/100</f>
        <v>2.1700000000000001E-2</v>
      </c>
      <c r="E940" s="3" t="str">
        <f>VLOOKUP(NoviaFunds[[#This Row],[ISIN]],'Novia Web Query'!$A:$E,5,FALSE)</f>
        <v>14/01/2021</v>
      </c>
      <c r="F940" t="str">
        <f>VLOOKUP(NoviaFunds[[#This Row],[Sector]],Sectors[],2,FALSE)</f>
        <v>UK Equities</v>
      </c>
    </row>
    <row r="941" spans="1:6" x14ac:dyDescent="0.2">
      <c r="A941" t="str">
        <f>'Novia Web Query'!A941</f>
        <v>GB00BD8YZ090</v>
      </c>
      <c r="B941" t="str">
        <f>VLOOKUP(NoviaFunds[[#This Row],[ISIN]],'Novia Web Query'!$A:$E,2,FALSE)</f>
        <v>BMO UK Mid-Cap 3 Acc in GB**</v>
      </c>
      <c r="C941" t="str">
        <f>VLOOKUP(NoviaFunds[[#This Row],[ISIN]],'Novia Web Query'!$A:$E,3,FALSE)</f>
        <v>UT UK All Companies</v>
      </c>
      <c r="D941" s="139">
        <f>VLOOKUP(NoviaFunds[[#This Row],[ISIN]],'Novia Web Query'!$A:$E,4,FALSE)/100</f>
        <v>5.1999999999999998E-3</v>
      </c>
      <c r="E941" s="3" t="str">
        <f>VLOOKUP(NoviaFunds[[#This Row],[ISIN]],'Novia Web Query'!$A:$E,5,FALSE)</f>
        <v>14/01/2021</v>
      </c>
      <c r="F941" t="str">
        <f>VLOOKUP(NoviaFunds[[#This Row],[Sector]],Sectors[],2,FALSE)</f>
        <v>UK Equities</v>
      </c>
    </row>
    <row r="942" spans="1:6" x14ac:dyDescent="0.2">
      <c r="A942" t="str">
        <f>'Novia Web Query'!A942</f>
        <v>GB00B60SFN31</v>
      </c>
      <c r="B942" t="str">
        <f>VLOOKUP(NoviaFunds[[#This Row],[ISIN]],'Novia Web Query'!$A:$E,2,FALSE)</f>
        <v>BMO UK Mid-Cap C Acc in GB**</v>
      </c>
      <c r="C942" t="str">
        <f>VLOOKUP(NoviaFunds[[#This Row],[ISIN]],'Novia Web Query'!$A:$E,3,FALSE)</f>
        <v>UT UK All Companies</v>
      </c>
      <c r="D942" s="139">
        <f>VLOOKUP(NoviaFunds[[#This Row],[ISIN]],'Novia Web Query'!$A:$E,4,FALSE)/100</f>
        <v>8.1000000000000013E-3</v>
      </c>
      <c r="E942" s="3" t="str">
        <f>VLOOKUP(NoviaFunds[[#This Row],[ISIN]],'Novia Web Query'!$A:$E,5,FALSE)</f>
        <v>14/01/2021</v>
      </c>
      <c r="F942" t="str">
        <f>VLOOKUP(NoviaFunds[[#This Row],[Sector]],Sectors[],2,FALSE)</f>
        <v>UK Equities</v>
      </c>
    </row>
    <row r="943" spans="1:6" x14ac:dyDescent="0.2">
      <c r="A943" t="str">
        <f>'Novia Web Query'!A943</f>
        <v>GB00BWZMHK32</v>
      </c>
      <c r="B943" t="str">
        <f>VLOOKUP(NoviaFunds[[#This Row],[ISIN]],'Novia Web Query'!$A:$E,2,FALSE)</f>
        <v>BMO UK Property Feeder 1 Acc in GB</v>
      </c>
      <c r="C943" t="str">
        <f>VLOOKUP(NoviaFunds[[#This Row],[ISIN]],'Novia Web Query'!$A:$E,3,FALSE)</f>
        <v>UT UK Direct Property</v>
      </c>
      <c r="D943" s="139">
        <f>VLOOKUP(NoviaFunds[[#This Row],[ISIN]],'Novia Web Query'!$A:$E,4,FALSE)/100</f>
        <v>1.5700000000000002E-2</v>
      </c>
      <c r="E943" s="3" t="str">
        <f>VLOOKUP(NoviaFunds[[#This Row],[ISIN]],'Novia Web Query'!$A:$E,5,FALSE)</f>
        <v>14/01/2021</v>
      </c>
      <c r="F943" t="e">
        <f>VLOOKUP(NoviaFunds[[#This Row],[Sector]],Sectors[],2,FALSE)</f>
        <v>#N/A</v>
      </c>
    </row>
    <row r="944" spans="1:6" x14ac:dyDescent="0.2">
      <c r="A944" t="str">
        <f>'Novia Web Query'!A944</f>
        <v>GB00BWZMHJ27</v>
      </c>
      <c r="B944" t="str">
        <f>VLOOKUP(NoviaFunds[[#This Row],[ISIN]],'Novia Web Query'!$A:$E,2,FALSE)</f>
        <v>BMO UK Property Feeder 1 Inc TR in GB</v>
      </c>
      <c r="C944" t="str">
        <f>VLOOKUP(NoviaFunds[[#This Row],[ISIN]],'Novia Web Query'!$A:$E,3,FALSE)</f>
        <v>UT UK Direct Property</v>
      </c>
      <c r="D944" s="139">
        <f>VLOOKUP(NoviaFunds[[#This Row],[ISIN]],'Novia Web Query'!$A:$E,4,FALSE)/100</f>
        <v>1.5700000000000002E-2</v>
      </c>
      <c r="E944" s="3" t="str">
        <f>VLOOKUP(NoviaFunds[[#This Row],[ISIN]],'Novia Web Query'!$A:$E,5,FALSE)</f>
        <v>14/01/2021</v>
      </c>
      <c r="F944" t="e">
        <f>VLOOKUP(NoviaFunds[[#This Row],[Sector]],Sectors[],2,FALSE)</f>
        <v>#N/A</v>
      </c>
    </row>
    <row r="945" spans="1:6" x14ac:dyDescent="0.2">
      <c r="A945" t="str">
        <f>'Novia Web Query'!A945</f>
        <v>GB00BWZMHM55</v>
      </c>
      <c r="B945" t="str">
        <f>VLOOKUP(NoviaFunds[[#This Row],[ISIN]],'Novia Web Query'!$A:$E,2,FALSE)</f>
        <v>BMO UK Property Feeder 2 Acc in GB</v>
      </c>
      <c r="C945" t="str">
        <f>VLOOKUP(NoviaFunds[[#This Row],[ISIN]],'Novia Web Query'!$A:$E,3,FALSE)</f>
        <v>UT UK Direct Property</v>
      </c>
      <c r="D945" s="139">
        <f>VLOOKUP(NoviaFunds[[#This Row],[ISIN]],'Novia Web Query'!$A:$E,4,FALSE)/100</f>
        <v>8.199999999999999E-3</v>
      </c>
      <c r="E945" s="3" t="str">
        <f>VLOOKUP(NoviaFunds[[#This Row],[ISIN]],'Novia Web Query'!$A:$E,5,FALSE)</f>
        <v>14/01/2021</v>
      </c>
      <c r="F945" t="e">
        <f>VLOOKUP(NoviaFunds[[#This Row],[Sector]],Sectors[],2,FALSE)</f>
        <v>#N/A</v>
      </c>
    </row>
    <row r="946" spans="1:6" x14ac:dyDescent="0.2">
      <c r="A946" t="str">
        <f>'Novia Web Query'!A946</f>
        <v>GB00BWZMHL49</v>
      </c>
      <c r="B946" t="str">
        <f>VLOOKUP(NoviaFunds[[#This Row],[ISIN]],'Novia Web Query'!$A:$E,2,FALSE)</f>
        <v>BMO UK Property Feeder 2 Inc TR in GB</v>
      </c>
      <c r="C946" t="str">
        <f>VLOOKUP(NoviaFunds[[#This Row],[ISIN]],'Novia Web Query'!$A:$E,3,FALSE)</f>
        <v>UT UK Direct Property</v>
      </c>
      <c r="D946" s="139">
        <f>VLOOKUP(NoviaFunds[[#This Row],[ISIN]],'Novia Web Query'!$A:$E,4,FALSE)/100</f>
        <v>8.199999999999999E-3</v>
      </c>
      <c r="E946" s="3" t="str">
        <f>VLOOKUP(NoviaFunds[[#This Row],[ISIN]],'Novia Web Query'!$A:$E,5,FALSE)</f>
        <v>14/01/2021</v>
      </c>
      <c r="F946" t="e">
        <f>VLOOKUP(NoviaFunds[[#This Row],[Sector]],Sectors[],2,FALSE)</f>
        <v>#N/A</v>
      </c>
    </row>
    <row r="947" spans="1:6" x14ac:dyDescent="0.2">
      <c r="A947" t="str">
        <f>'Novia Web Query'!A947</f>
        <v>GB0005801609</v>
      </c>
      <c r="B947" t="str">
        <f>VLOOKUP(NoviaFunds[[#This Row],[ISIN]],'Novia Web Query'!$A:$E,2,FALSE)</f>
        <v>BMO UK Smaller Companies 1 Acc in GB</v>
      </c>
      <c r="C947" t="str">
        <f>VLOOKUP(NoviaFunds[[#This Row],[ISIN]],'Novia Web Query'!$A:$E,3,FALSE)</f>
        <v>UT UK Smaller Companies</v>
      </c>
      <c r="D947" s="139">
        <f>VLOOKUP(NoviaFunds[[#This Row],[ISIN]],'Novia Web Query'!$A:$E,4,FALSE)/100</f>
        <v>1.8500000000000003E-2</v>
      </c>
      <c r="E947" s="3" t="str">
        <f>VLOOKUP(NoviaFunds[[#This Row],[ISIN]],'Novia Web Query'!$A:$E,5,FALSE)</f>
        <v>14/01/2021</v>
      </c>
      <c r="F947" t="str">
        <f>VLOOKUP(NoviaFunds[[#This Row],[Sector]],Sectors[],2,FALSE)</f>
        <v>UK Equities</v>
      </c>
    </row>
    <row r="948" spans="1:6" x14ac:dyDescent="0.2">
      <c r="A948" t="str">
        <f>'Novia Web Query'!A948</f>
        <v>GB0005843882</v>
      </c>
      <c r="B948" t="str">
        <f>VLOOKUP(NoviaFunds[[#This Row],[ISIN]],'Novia Web Query'!$A:$E,2,FALSE)</f>
        <v>BMO UK Smaller Companies 2 Acc in GB</v>
      </c>
      <c r="C948" t="str">
        <f>VLOOKUP(NoviaFunds[[#This Row],[ISIN]],'Novia Web Query'!$A:$E,3,FALSE)</f>
        <v>UT UK Smaller Companies</v>
      </c>
      <c r="D948" s="139">
        <f>VLOOKUP(NoviaFunds[[#This Row],[ISIN]],'Novia Web Query'!$A:$E,4,FALSE)/100</f>
        <v>9.3999999999999986E-3</v>
      </c>
      <c r="E948" s="3" t="str">
        <f>VLOOKUP(NoviaFunds[[#This Row],[ISIN]],'Novia Web Query'!$A:$E,5,FALSE)</f>
        <v>14/01/2021</v>
      </c>
      <c r="F948" t="str">
        <f>VLOOKUP(NoviaFunds[[#This Row],[Sector]],Sectors[],2,FALSE)</f>
        <v>UK Equities</v>
      </c>
    </row>
    <row r="949" spans="1:6" x14ac:dyDescent="0.2">
      <c r="A949" t="str">
        <f>'Novia Web Query'!A949</f>
        <v>GB00BK5Z9G83</v>
      </c>
      <c r="B949" t="str">
        <f>VLOOKUP(NoviaFunds[[#This Row],[ISIN]],'Novia Web Query'!$A:$E,2,FALSE)</f>
        <v>BMO Universal MAP Adventurous C Acc in GB</v>
      </c>
      <c r="C949" t="str">
        <f>VLOOKUP(NoviaFunds[[#This Row],[ISIN]],'Novia Web Query'!$A:$E,3,FALSE)</f>
        <v>UT Volatility Managed</v>
      </c>
      <c r="D949" s="139">
        <f>VLOOKUP(NoviaFunds[[#This Row],[ISIN]],'Novia Web Query'!$A:$E,4,FALSE)/100</f>
        <v>2.8999999999999998E-3</v>
      </c>
      <c r="E949" s="3" t="str">
        <f>VLOOKUP(NoviaFunds[[#This Row],[ISIN]],'Novia Web Query'!$A:$E,5,FALSE)</f>
        <v>14/01/2021</v>
      </c>
      <c r="F949" t="e">
        <f>VLOOKUP(NoviaFunds[[#This Row],[Sector]],Sectors[],2,FALSE)</f>
        <v>#N/A</v>
      </c>
    </row>
    <row r="950" spans="1:6" x14ac:dyDescent="0.2">
      <c r="A950" t="str">
        <f>'Novia Web Query'!A950</f>
        <v>GB00BF99W060</v>
      </c>
      <c r="B950" t="str">
        <f>VLOOKUP(NoviaFunds[[#This Row],[ISIN]],'Novia Web Query'!$A:$E,2,FALSE)</f>
        <v>BMO Universal MAP Balanced C Acc in GB</v>
      </c>
      <c r="C950" t="str">
        <f>VLOOKUP(NoviaFunds[[#This Row],[ISIN]],'Novia Web Query'!$A:$E,3,FALSE)</f>
        <v>UT Volatility Managed</v>
      </c>
      <c r="D950" s="139">
        <f>VLOOKUP(NoviaFunds[[#This Row],[ISIN]],'Novia Web Query'!$A:$E,4,FALSE)/100</f>
        <v>2.8999999999999998E-3</v>
      </c>
      <c r="E950" s="3" t="str">
        <f>VLOOKUP(NoviaFunds[[#This Row],[ISIN]],'Novia Web Query'!$A:$E,5,FALSE)</f>
        <v>14/01/2021</v>
      </c>
      <c r="F950" t="e">
        <f>VLOOKUP(NoviaFunds[[#This Row],[Sector]],Sectors[],2,FALSE)</f>
        <v>#N/A</v>
      </c>
    </row>
    <row r="951" spans="1:6" x14ac:dyDescent="0.2">
      <c r="A951" t="str">
        <f>'Novia Web Query'!A951</f>
        <v>GB00BF99VY38</v>
      </c>
      <c r="B951" t="str">
        <f>VLOOKUP(NoviaFunds[[#This Row],[ISIN]],'Novia Web Query'!$A:$E,2,FALSE)</f>
        <v>BMO Universal MAP Cautious C Acc in GB</v>
      </c>
      <c r="C951" t="str">
        <f>VLOOKUP(NoviaFunds[[#This Row],[ISIN]],'Novia Web Query'!$A:$E,3,FALSE)</f>
        <v>UT Volatility Managed</v>
      </c>
      <c r="D951" s="139">
        <f>VLOOKUP(NoviaFunds[[#This Row],[ISIN]],'Novia Web Query'!$A:$E,4,FALSE)/100</f>
        <v>2.8999999999999998E-3</v>
      </c>
      <c r="E951" s="3" t="str">
        <f>VLOOKUP(NoviaFunds[[#This Row],[ISIN]],'Novia Web Query'!$A:$E,5,FALSE)</f>
        <v>14/01/2021</v>
      </c>
      <c r="F951" t="e">
        <f>VLOOKUP(NoviaFunds[[#This Row],[Sector]],Sectors[],2,FALSE)</f>
        <v>#N/A</v>
      </c>
    </row>
    <row r="952" spans="1:6" x14ac:dyDescent="0.2">
      <c r="A952" t="str">
        <f>'Novia Web Query'!A952</f>
        <v>GB00BK5Z9D52</v>
      </c>
      <c r="B952" t="str">
        <f>VLOOKUP(NoviaFunds[[#This Row],[ISIN]],'Novia Web Query'!$A:$E,2,FALSE)</f>
        <v>BMO Universal MAP Defensive C Acc in GB</v>
      </c>
      <c r="C952" t="str">
        <f>VLOOKUP(NoviaFunds[[#This Row],[ISIN]],'Novia Web Query'!$A:$E,3,FALSE)</f>
        <v>UT Volatility Managed</v>
      </c>
      <c r="D952" s="139">
        <f>VLOOKUP(NoviaFunds[[#This Row],[ISIN]],'Novia Web Query'!$A:$E,4,FALSE)/100</f>
        <v>2.8999999999999998E-3</v>
      </c>
      <c r="E952" s="3" t="str">
        <f>VLOOKUP(NoviaFunds[[#This Row],[ISIN]],'Novia Web Query'!$A:$E,5,FALSE)</f>
        <v>14/01/2021</v>
      </c>
      <c r="F952" t="e">
        <f>VLOOKUP(NoviaFunds[[#This Row],[Sector]],Sectors[],2,FALSE)</f>
        <v>#N/A</v>
      </c>
    </row>
    <row r="953" spans="1:6" x14ac:dyDescent="0.2">
      <c r="A953" t="str">
        <f>'Novia Web Query'!A953</f>
        <v>GB00BF99W284</v>
      </c>
      <c r="B953" t="str">
        <f>VLOOKUP(NoviaFunds[[#This Row],[ISIN]],'Novia Web Query'!$A:$E,2,FALSE)</f>
        <v>BMO Universal MAP Growth C Acc in GB</v>
      </c>
      <c r="C953" t="str">
        <f>VLOOKUP(NoviaFunds[[#This Row],[ISIN]],'Novia Web Query'!$A:$E,3,FALSE)</f>
        <v>UT Volatility Managed</v>
      </c>
      <c r="D953" s="139">
        <f>VLOOKUP(NoviaFunds[[#This Row],[ISIN]],'Novia Web Query'!$A:$E,4,FALSE)/100</f>
        <v>2.8999999999999998E-3</v>
      </c>
      <c r="E953" s="3" t="str">
        <f>VLOOKUP(NoviaFunds[[#This Row],[ISIN]],'Novia Web Query'!$A:$E,5,FALSE)</f>
        <v>14/01/2021</v>
      </c>
      <c r="F953" t="e">
        <f>VLOOKUP(NoviaFunds[[#This Row],[Sector]],Sectors[],2,FALSE)</f>
        <v>#N/A</v>
      </c>
    </row>
    <row r="954" spans="1:6" x14ac:dyDescent="0.2">
      <c r="A954" t="str">
        <f>'Novia Web Query'!A954</f>
        <v>GB00B06PF580</v>
      </c>
      <c r="B954" t="str">
        <f>VLOOKUP(NoviaFunds[[#This Row],[ISIN]],'Novia Web Query'!$A:$E,2,FALSE)</f>
        <v>BMO US Smaller Companies 1 Inc in GB</v>
      </c>
      <c r="C954" t="str">
        <f>VLOOKUP(NoviaFunds[[#This Row],[ISIN]],'Novia Web Query'!$A:$E,3,FALSE)</f>
        <v>UT North American Smaller Companies</v>
      </c>
      <c r="D954" s="139">
        <f>VLOOKUP(NoviaFunds[[#This Row],[ISIN]],'Novia Web Query'!$A:$E,4,FALSE)/100</f>
        <v>1.7299999999999999E-2</v>
      </c>
      <c r="E954" s="3" t="str">
        <f>VLOOKUP(NoviaFunds[[#This Row],[ISIN]],'Novia Web Query'!$A:$E,5,FALSE)</f>
        <v>14/01/2021</v>
      </c>
      <c r="F954" t="str">
        <f>VLOOKUP(NoviaFunds[[#This Row],[Sector]],Sectors[],2,FALSE)</f>
        <v>USA Equities</v>
      </c>
    </row>
    <row r="955" spans="1:6" x14ac:dyDescent="0.2">
      <c r="A955" t="str">
        <f>'Novia Web Query'!A955</f>
        <v>GB00B7YDFB99</v>
      </c>
      <c r="B955" t="str">
        <f>VLOOKUP(NoviaFunds[[#This Row],[ISIN]],'Novia Web Query'!$A:$E,2,FALSE)</f>
        <v>BMO US Smaller Companies C Inc TR in GB**</v>
      </c>
      <c r="C955" t="str">
        <f>VLOOKUP(NoviaFunds[[#This Row],[ISIN]],'Novia Web Query'!$A:$E,3,FALSE)</f>
        <v>UT North American Smaller Companies</v>
      </c>
      <c r="D955" s="139">
        <f>VLOOKUP(NoviaFunds[[#This Row],[ISIN]],'Novia Web Query'!$A:$E,4,FALSE)/100</f>
        <v>8.3000000000000001E-3</v>
      </c>
      <c r="E955" s="3" t="str">
        <f>VLOOKUP(NoviaFunds[[#This Row],[ISIN]],'Novia Web Query'!$A:$E,5,FALSE)</f>
        <v>14/01/2021</v>
      </c>
      <c r="F955" t="str">
        <f>VLOOKUP(NoviaFunds[[#This Row],[Sector]],Sectors[],2,FALSE)</f>
        <v>USA Equities</v>
      </c>
    </row>
    <row r="956" spans="1:6" x14ac:dyDescent="0.2">
      <c r="A956" t="str">
        <f>'Novia Web Query'!A956</f>
        <v>GB00B5MF4S35</v>
      </c>
      <c r="B956" t="str">
        <f>VLOOKUP(NoviaFunds[[#This Row],[ISIN]],'Novia Web Query'!$A:$E,2,FALSE)</f>
        <v>BNY Mellon Absolute Insight AP Acc in GB</v>
      </c>
      <c r="C956" t="str">
        <f>VLOOKUP(NoviaFunds[[#This Row],[ISIN]],'Novia Web Query'!$A:$E,3,FALSE)</f>
        <v>UT Targeted Absolute Return</v>
      </c>
      <c r="D956" s="139">
        <f>VLOOKUP(NoviaFunds[[#This Row],[ISIN]],'Novia Web Query'!$A:$E,4,FALSE)/100</f>
        <v>1.09E-2</v>
      </c>
      <c r="E956" s="3" t="str">
        <f>VLOOKUP(NoviaFunds[[#This Row],[ISIN]],'Novia Web Query'!$A:$E,5,FALSE)</f>
        <v>21/12/2021</v>
      </c>
      <c r="F956" t="str">
        <f>VLOOKUP(NoviaFunds[[#This Row],[Sector]],Sectors[],2,FALSE)</f>
        <v>Absolute Return</v>
      </c>
    </row>
    <row r="957" spans="1:6" x14ac:dyDescent="0.2">
      <c r="A957" t="str">
        <f>'Novia Web Query'!A957</f>
        <v>GB00B1SVX803</v>
      </c>
      <c r="B957" t="str">
        <f>VLOOKUP(NoviaFunds[[#This Row],[ISIN]],'Novia Web Query'!$A:$E,2,FALSE)</f>
        <v>BNY Mellon Absolute Insight Fp TR in GB</v>
      </c>
      <c r="C957" t="str">
        <f>VLOOKUP(NoviaFunds[[#This Row],[ISIN]],'Novia Web Query'!$A:$E,3,FALSE)</f>
        <v>UT Targeted Absolute Return</v>
      </c>
      <c r="D957" s="139">
        <f>VLOOKUP(NoviaFunds[[#This Row],[ISIN]],'Novia Web Query'!$A:$E,4,FALSE)/100</f>
        <v>1.09E-2</v>
      </c>
      <c r="E957" s="3" t="str">
        <f>VLOOKUP(NoviaFunds[[#This Row],[ISIN]],'Novia Web Query'!$A:$E,5,FALSE)</f>
        <v>21/12/2021</v>
      </c>
      <c r="F957" t="str">
        <f>VLOOKUP(NoviaFunds[[#This Row],[Sector]],Sectors[],2,FALSE)</f>
        <v>Absolute Return</v>
      </c>
    </row>
    <row r="958" spans="1:6" x14ac:dyDescent="0.2">
      <c r="A958" t="str">
        <f>'Novia Web Query'!A958</f>
        <v>GB00B89QJK70</v>
      </c>
      <c r="B958" t="str">
        <f>VLOOKUP(NoviaFunds[[#This Row],[ISIN]],'Novia Web Query'!$A:$E,2,FALSE)</f>
        <v>BNY Mellon Absolute Insight W TR in GB</v>
      </c>
      <c r="C958" t="str">
        <f>VLOOKUP(NoviaFunds[[#This Row],[ISIN]],'Novia Web Query'!$A:$E,3,FALSE)</f>
        <v>UT Targeted Absolute Return</v>
      </c>
      <c r="D958" s="139">
        <f>VLOOKUP(NoviaFunds[[#This Row],[ISIN]],'Novia Web Query'!$A:$E,4,FALSE)/100</f>
        <v>9.1999999999999998E-3</v>
      </c>
      <c r="E958" s="3" t="str">
        <f>VLOOKUP(NoviaFunds[[#This Row],[ISIN]],'Novia Web Query'!$A:$E,5,FALSE)</f>
        <v>21/12/2021</v>
      </c>
      <c r="F958" t="str">
        <f>VLOOKUP(NoviaFunds[[#This Row],[Sector]],Sectors[],2,FALSE)</f>
        <v>Absolute Return</v>
      </c>
    </row>
    <row r="959" spans="1:6" x14ac:dyDescent="0.2">
      <c r="A959" t="str">
        <f>'Novia Web Query'!A959</f>
        <v>GB00B0MY7207</v>
      </c>
      <c r="B959" t="str">
        <f>VLOOKUP(NoviaFunds[[#This Row],[ISIN]],'Novia Web Query'!$A:$E,2,FALSE)</f>
        <v>BNY Mellon Asian Income Inst Acc GBP in GB</v>
      </c>
      <c r="C959" t="str">
        <f>VLOOKUP(NoviaFunds[[#This Row],[ISIN]],'Novia Web Query'!$A:$E,3,FALSE)</f>
        <v>UT Asia Pacific Excluding Japan</v>
      </c>
      <c r="D959" s="139">
        <f>VLOOKUP(NoviaFunds[[#This Row],[ISIN]],'Novia Web Query'!$A:$E,4,FALSE)/100</f>
        <v>1.0800000000000001E-2</v>
      </c>
      <c r="E959" s="3" t="str">
        <f>VLOOKUP(NoviaFunds[[#This Row],[ISIN]],'Novia Web Query'!$A:$E,5,FALSE)</f>
        <v>21/12/2021</v>
      </c>
      <c r="F959" t="str">
        <f>VLOOKUP(NoviaFunds[[#This Row],[Sector]],Sectors[],2,FALSE)</f>
        <v>Asia Pacific</v>
      </c>
    </row>
    <row r="960" spans="1:6" x14ac:dyDescent="0.2">
      <c r="A960" t="str">
        <f>'Novia Web Query'!A960</f>
        <v>GB00B0MY7199</v>
      </c>
      <c r="B960" t="str">
        <f>VLOOKUP(NoviaFunds[[#This Row],[ISIN]],'Novia Web Query'!$A:$E,2,FALSE)</f>
        <v>BNY Mellon Asian Income Inst Inc GBP TR in GB</v>
      </c>
      <c r="C960" t="str">
        <f>VLOOKUP(NoviaFunds[[#This Row],[ISIN]],'Novia Web Query'!$A:$E,3,FALSE)</f>
        <v>UT Asia Pacific Excluding Japan</v>
      </c>
      <c r="D960" s="139">
        <f>VLOOKUP(NoviaFunds[[#This Row],[ISIN]],'Novia Web Query'!$A:$E,4,FALSE)/100</f>
        <v>1.0800000000000001E-2</v>
      </c>
      <c r="E960" s="3" t="str">
        <f>VLOOKUP(NoviaFunds[[#This Row],[ISIN]],'Novia Web Query'!$A:$E,5,FALSE)</f>
        <v>21/12/2021</v>
      </c>
      <c r="F960" t="str">
        <f>VLOOKUP(NoviaFunds[[#This Row],[Sector]],Sectors[],2,FALSE)</f>
        <v>Asia Pacific</v>
      </c>
    </row>
    <row r="961" spans="1:6" x14ac:dyDescent="0.2">
      <c r="A961" t="str">
        <f>'Novia Web Query'!A961</f>
        <v>GB00B8KT3V48</v>
      </c>
      <c r="B961" t="str">
        <f>VLOOKUP(NoviaFunds[[#This Row],[ISIN]],'Novia Web Query'!$A:$E,2,FALSE)</f>
        <v>BNY Mellon Asian Income Inst W Acc GBP TR in GB</v>
      </c>
      <c r="C961" t="str">
        <f>VLOOKUP(NoviaFunds[[#This Row],[ISIN]],'Novia Web Query'!$A:$E,3,FALSE)</f>
        <v>UT Asia Pacific Excluding Japan</v>
      </c>
      <c r="D961" s="139">
        <f>VLOOKUP(NoviaFunds[[#This Row],[ISIN]],'Novia Web Query'!$A:$E,4,FALSE)/100</f>
        <v>8.3000000000000001E-3</v>
      </c>
      <c r="E961" s="3" t="str">
        <f>VLOOKUP(NoviaFunds[[#This Row],[ISIN]],'Novia Web Query'!$A:$E,5,FALSE)</f>
        <v>21/12/2021</v>
      </c>
      <c r="F961" t="str">
        <f>VLOOKUP(NoviaFunds[[#This Row],[Sector]],Sectors[],2,FALSE)</f>
        <v>Asia Pacific</v>
      </c>
    </row>
    <row r="962" spans="1:6" x14ac:dyDescent="0.2">
      <c r="A962" t="str">
        <f>'Novia Web Query'!A962</f>
        <v>GB00B8KPW262</v>
      </c>
      <c r="B962" t="str">
        <f>VLOOKUP(NoviaFunds[[#This Row],[ISIN]],'Novia Web Query'!$A:$E,2,FALSE)</f>
        <v>BNY Mellon Asian Income Inst W Inc GBP TR in GB</v>
      </c>
      <c r="C962" t="str">
        <f>VLOOKUP(NoviaFunds[[#This Row],[ISIN]],'Novia Web Query'!$A:$E,3,FALSE)</f>
        <v>UT Asia Pacific Excluding Japan</v>
      </c>
      <c r="D962" s="139">
        <f>VLOOKUP(NoviaFunds[[#This Row],[ISIN]],'Novia Web Query'!$A:$E,4,FALSE)/100</f>
        <v>8.3000000000000001E-3</v>
      </c>
      <c r="E962" s="3" t="str">
        <f>VLOOKUP(NoviaFunds[[#This Row],[ISIN]],'Novia Web Query'!$A:$E,5,FALSE)</f>
        <v>21/12/2021</v>
      </c>
      <c r="F962" t="str">
        <f>VLOOKUP(NoviaFunds[[#This Row],[Sector]],Sectors[],2,FALSE)</f>
        <v>Asia Pacific</v>
      </c>
    </row>
    <row r="963" spans="1:6" x14ac:dyDescent="0.2">
      <c r="A963" t="str">
        <f>'Novia Web Query'!A963</f>
        <v>GB00B0MY6Z69</v>
      </c>
      <c r="B963" t="str">
        <f>VLOOKUP(NoviaFunds[[#This Row],[ISIN]],'Novia Web Query'!$A:$E,2,FALSE)</f>
        <v>BNY Mellon Asian Income Sterling GBP TR in GB</v>
      </c>
      <c r="C963" t="str">
        <f>VLOOKUP(NoviaFunds[[#This Row],[ISIN]],'Novia Web Query'!$A:$E,3,FALSE)</f>
        <v>UT Asia Pacific Excluding Japan</v>
      </c>
      <c r="D963" s="139">
        <f>VLOOKUP(NoviaFunds[[#This Row],[ISIN]],'Novia Web Query'!$A:$E,4,FALSE)/100</f>
        <v>1.6500000000000001E-2</v>
      </c>
      <c r="E963" s="3" t="str">
        <f>VLOOKUP(NoviaFunds[[#This Row],[ISIN]],'Novia Web Query'!$A:$E,5,FALSE)</f>
        <v>21/12/2021</v>
      </c>
      <c r="F963" t="str">
        <f>VLOOKUP(NoviaFunds[[#This Row],[Sector]],Sectors[],2,FALSE)</f>
        <v>Asia Pacific</v>
      </c>
    </row>
    <row r="964" spans="1:6" x14ac:dyDescent="0.2">
      <c r="A964" t="str">
        <f>'Novia Web Query'!A964</f>
        <v>GB00B8GGF462</v>
      </c>
      <c r="B964" t="str">
        <f>VLOOKUP(NoviaFunds[[#This Row],[ISIN]],'Novia Web Query'!$A:$E,2,FALSE)</f>
        <v>BNY Mellon Emerging Income Inst W Acc in GB</v>
      </c>
      <c r="C964" t="str">
        <f>VLOOKUP(NoviaFunds[[#This Row],[ISIN]],'Novia Web Query'!$A:$E,3,FALSE)</f>
        <v>UT Global Emerging Markets</v>
      </c>
      <c r="D964" s="139">
        <f>VLOOKUP(NoviaFunds[[#This Row],[ISIN]],'Novia Web Query'!$A:$E,4,FALSE)/100</f>
        <v>8.8999999999999999E-3</v>
      </c>
      <c r="E964" s="3" t="str">
        <f>VLOOKUP(NoviaFunds[[#This Row],[ISIN]],'Novia Web Query'!$A:$E,5,FALSE)</f>
        <v>21/12/2021</v>
      </c>
      <c r="F964" t="str">
        <f>VLOOKUP(NoviaFunds[[#This Row],[Sector]],Sectors[],2,FALSE)</f>
        <v>Emerging Markets</v>
      </c>
    </row>
    <row r="965" spans="1:6" x14ac:dyDescent="0.2">
      <c r="A965" t="str">
        <f>'Novia Web Query'!A965</f>
        <v>GB00B8HMC861</v>
      </c>
      <c r="B965" t="str">
        <f>VLOOKUP(NoviaFunds[[#This Row],[ISIN]],'Novia Web Query'!$A:$E,2,FALSE)</f>
        <v>BNY Mellon Emerging Income Inst W Inc TR in GB</v>
      </c>
      <c r="C965" t="str">
        <f>VLOOKUP(NoviaFunds[[#This Row],[ISIN]],'Novia Web Query'!$A:$E,3,FALSE)</f>
        <v>UT Global Emerging Markets</v>
      </c>
      <c r="D965" s="139">
        <f>VLOOKUP(NoviaFunds[[#This Row],[ISIN]],'Novia Web Query'!$A:$E,4,FALSE)/100</f>
        <v>8.8999999999999999E-3</v>
      </c>
      <c r="E965" s="3" t="str">
        <f>VLOOKUP(NoviaFunds[[#This Row],[ISIN]],'Novia Web Query'!$A:$E,5,FALSE)</f>
        <v>21/12/2021</v>
      </c>
      <c r="F965" t="str">
        <f>VLOOKUP(NoviaFunds[[#This Row],[Sector]],Sectors[],2,FALSE)</f>
        <v>Emerging Markets</v>
      </c>
    </row>
    <row r="966" spans="1:6" x14ac:dyDescent="0.2">
      <c r="A966" t="str">
        <f>'Novia Web Query'!A966</f>
        <v>GB00B8HVZ392</v>
      </c>
      <c r="B966" t="str">
        <f>VLOOKUP(NoviaFunds[[#This Row],[ISIN]],'Novia Web Query'!$A:$E,2,FALSE)</f>
        <v>BNY Mellon Emerging Income Sterling Acc in GB</v>
      </c>
      <c r="C966" t="str">
        <f>VLOOKUP(NoviaFunds[[#This Row],[ISIN]],'Novia Web Query'!$A:$E,3,FALSE)</f>
        <v>UT Global Emerging Markets</v>
      </c>
      <c r="D966" s="139">
        <f>VLOOKUP(NoviaFunds[[#This Row],[ISIN]],'Novia Web Query'!$A:$E,4,FALSE)/100</f>
        <v>1.7100000000000001E-2</v>
      </c>
      <c r="E966" s="3" t="str">
        <f>VLOOKUP(NoviaFunds[[#This Row],[ISIN]],'Novia Web Query'!$A:$E,5,FALSE)</f>
        <v>21/12/2021</v>
      </c>
      <c r="F966" t="str">
        <f>VLOOKUP(NoviaFunds[[#This Row],[Sector]],Sectors[],2,FALSE)</f>
        <v>Emerging Markets</v>
      </c>
    </row>
    <row r="967" spans="1:6" x14ac:dyDescent="0.2">
      <c r="A967" t="str">
        <f>'Novia Web Query'!A967</f>
        <v>GB00B8HVVL95</v>
      </c>
      <c r="B967" t="str">
        <f>VLOOKUP(NoviaFunds[[#This Row],[ISIN]],'Novia Web Query'!$A:$E,2,FALSE)</f>
        <v>BNY Mellon Emerging Income Sterling Inc TR in GB</v>
      </c>
      <c r="C967" t="str">
        <f>VLOOKUP(NoviaFunds[[#This Row],[ISIN]],'Novia Web Query'!$A:$E,3,FALSE)</f>
        <v>UT Global Emerging Markets</v>
      </c>
      <c r="D967" s="139">
        <f>VLOOKUP(NoviaFunds[[#This Row],[ISIN]],'Novia Web Query'!$A:$E,4,FALSE)/100</f>
        <v>1.7100000000000001E-2</v>
      </c>
      <c r="E967" s="3" t="str">
        <f>VLOOKUP(NoviaFunds[[#This Row],[ISIN]],'Novia Web Query'!$A:$E,5,FALSE)</f>
        <v>21/12/2021</v>
      </c>
      <c r="F967" t="str">
        <f>VLOOKUP(NoviaFunds[[#This Row],[Sector]],Sectors[],2,FALSE)</f>
        <v>Emerging Markets</v>
      </c>
    </row>
    <row r="968" spans="1:6" x14ac:dyDescent="0.2">
      <c r="A968" t="str">
        <f>'Novia Web Query'!A968</f>
        <v>GB00B8SFP070</v>
      </c>
      <c r="B968" t="str">
        <f>VLOOKUP(NoviaFunds[[#This Row],[ISIN]],'Novia Web Query'!$A:$E,2,FALSE)</f>
        <v>BNY Mellon Equity Income Booster Inst W Acc in GB</v>
      </c>
      <c r="C968" t="str">
        <f>VLOOKUP(NoviaFunds[[#This Row],[ISIN]],'Novia Web Query'!$A:$E,3,FALSE)</f>
        <v>UT UK Equity Income</v>
      </c>
      <c r="D968" s="139">
        <f>VLOOKUP(NoviaFunds[[#This Row],[ISIN]],'Novia Web Query'!$A:$E,4,FALSE)/100</f>
        <v>8.3999999999999995E-3</v>
      </c>
      <c r="E968" s="3" t="str">
        <f>VLOOKUP(NoviaFunds[[#This Row],[ISIN]],'Novia Web Query'!$A:$E,5,FALSE)</f>
        <v>21/12/2021</v>
      </c>
      <c r="F968" t="str">
        <f>VLOOKUP(NoviaFunds[[#This Row],[Sector]],Sectors[],2,FALSE)</f>
        <v>UK Equities</v>
      </c>
    </row>
    <row r="969" spans="1:6" x14ac:dyDescent="0.2">
      <c r="A969" t="str">
        <f>'Novia Web Query'!A969</f>
        <v>GB00B8HCF105</v>
      </c>
      <c r="B969" t="str">
        <f>VLOOKUP(NoviaFunds[[#This Row],[ISIN]],'Novia Web Query'!$A:$E,2,FALSE)</f>
        <v>BNY Mellon Equity Income Booster Inst W Inc TR in GB</v>
      </c>
      <c r="C969" t="str">
        <f>VLOOKUP(NoviaFunds[[#This Row],[ISIN]],'Novia Web Query'!$A:$E,3,FALSE)</f>
        <v>UT UK Equity Income</v>
      </c>
      <c r="D969" s="139">
        <f>VLOOKUP(NoviaFunds[[#This Row],[ISIN]],'Novia Web Query'!$A:$E,4,FALSE)/100</f>
        <v>8.3999999999999995E-3</v>
      </c>
      <c r="E969" s="3" t="str">
        <f>VLOOKUP(NoviaFunds[[#This Row],[ISIN]],'Novia Web Query'!$A:$E,5,FALSE)</f>
        <v>21/12/2021</v>
      </c>
      <c r="F969" t="str">
        <f>VLOOKUP(NoviaFunds[[#This Row],[Sector]],Sectors[],2,FALSE)</f>
        <v>UK Equities</v>
      </c>
    </row>
    <row r="970" spans="1:6" x14ac:dyDescent="0.2">
      <c r="A970" t="str">
        <f>'Novia Web Query'!A970</f>
        <v>GB00B8GBR344</v>
      </c>
      <c r="B970" t="str">
        <f>VLOOKUP(NoviaFunds[[#This Row],[ISIN]],'Novia Web Query'!$A:$E,2,FALSE)</f>
        <v>BNY Mellon Equity Income Booster Sterling Acc in GB</v>
      </c>
      <c r="C970" t="str">
        <f>VLOOKUP(NoviaFunds[[#This Row],[ISIN]],'Novia Web Query'!$A:$E,3,FALSE)</f>
        <v>UT UK Equity Income</v>
      </c>
      <c r="D970" s="139">
        <f>VLOOKUP(NoviaFunds[[#This Row],[ISIN]],'Novia Web Query'!$A:$E,4,FALSE)/100</f>
        <v>1.66E-2</v>
      </c>
      <c r="E970" s="3" t="str">
        <f>VLOOKUP(NoviaFunds[[#This Row],[ISIN]],'Novia Web Query'!$A:$E,5,FALSE)</f>
        <v>21/12/2021</v>
      </c>
      <c r="F970" t="str">
        <f>VLOOKUP(NoviaFunds[[#This Row],[Sector]],Sectors[],2,FALSE)</f>
        <v>UK Equities</v>
      </c>
    </row>
    <row r="971" spans="1:6" x14ac:dyDescent="0.2">
      <c r="A971" t="str">
        <f>'Novia Web Query'!A971</f>
        <v>GB00B7XF7Y37</v>
      </c>
      <c r="B971" t="str">
        <f>VLOOKUP(NoviaFunds[[#This Row],[ISIN]],'Novia Web Query'!$A:$E,2,FALSE)</f>
        <v>BNY Mellon Equity Income Booster Sterling Inc TR in GB</v>
      </c>
      <c r="C971" t="str">
        <f>VLOOKUP(NoviaFunds[[#This Row],[ISIN]],'Novia Web Query'!$A:$E,3,FALSE)</f>
        <v>UT UK Equity Income</v>
      </c>
      <c r="D971" s="139">
        <f>VLOOKUP(NoviaFunds[[#This Row],[ISIN]],'Novia Web Query'!$A:$E,4,FALSE)/100</f>
        <v>1.66E-2</v>
      </c>
      <c r="E971" s="3" t="str">
        <f>VLOOKUP(NoviaFunds[[#This Row],[ISIN]],'Novia Web Query'!$A:$E,5,FALSE)</f>
        <v>21/12/2021</v>
      </c>
      <c r="F971" t="str">
        <f>VLOOKUP(NoviaFunds[[#This Row],[Sector]],Sectors[],2,FALSE)</f>
        <v>UK Equities</v>
      </c>
    </row>
    <row r="972" spans="1:6" x14ac:dyDescent="0.2">
      <c r="A972" t="str">
        <f>'Novia Web Query'!A972</f>
        <v>GB00B8K9KC42</v>
      </c>
      <c r="B972" t="str">
        <f>VLOOKUP(NoviaFunds[[#This Row],[ISIN]],'Novia Web Query'!$A:$E,2,FALSE)</f>
        <v>BNY Mellon Equity Income Inst W Acc TR in GB</v>
      </c>
      <c r="C972" t="str">
        <f>VLOOKUP(NoviaFunds[[#This Row],[ISIN]],'Novia Web Query'!$A:$E,3,FALSE)</f>
        <v>UT UK Equity Income</v>
      </c>
      <c r="D972" s="139">
        <f>VLOOKUP(NoviaFunds[[#This Row],[ISIN]],'Novia Web Query'!$A:$E,4,FALSE)/100</f>
        <v>8.199999999999999E-3</v>
      </c>
      <c r="E972" s="3" t="str">
        <f>VLOOKUP(NoviaFunds[[#This Row],[ISIN]],'Novia Web Query'!$A:$E,5,FALSE)</f>
        <v>21/12/2021</v>
      </c>
      <c r="F972" t="str">
        <f>VLOOKUP(NoviaFunds[[#This Row],[Sector]],Sectors[],2,FALSE)</f>
        <v>UK Equities</v>
      </c>
    </row>
    <row r="973" spans="1:6" x14ac:dyDescent="0.2">
      <c r="A973" t="str">
        <f>'Novia Web Query'!A973</f>
        <v>GB00B8HRGG71</v>
      </c>
      <c r="B973" t="str">
        <f>VLOOKUP(NoviaFunds[[#This Row],[ISIN]],'Novia Web Query'!$A:$E,2,FALSE)</f>
        <v>BNY Mellon Equity Income Inst W Inc TR in GB**</v>
      </c>
      <c r="C973" t="str">
        <f>VLOOKUP(NoviaFunds[[#This Row],[ISIN]],'Novia Web Query'!$A:$E,3,FALSE)</f>
        <v>UT UK Equity Income</v>
      </c>
      <c r="D973" s="139">
        <f>VLOOKUP(NoviaFunds[[#This Row],[ISIN]],'Novia Web Query'!$A:$E,4,FALSE)/100</f>
        <v>8.199999999999999E-3</v>
      </c>
      <c r="E973" s="3" t="str">
        <f>VLOOKUP(NoviaFunds[[#This Row],[ISIN]],'Novia Web Query'!$A:$E,5,FALSE)</f>
        <v>21/12/2021</v>
      </c>
      <c r="F973" t="str">
        <f>VLOOKUP(NoviaFunds[[#This Row],[Sector]],Sectors[],2,FALSE)</f>
        <v>UK Equities</v>
      </c>
    </row>
    <row r="974" spans="1:6" x14ac:dyDescent="0.2">
      <c r="A974" t="str">
        <f>'Novia Web Query'!A974</f>
        <v>GB00B83RKN61</v>
      </c>
      <c r="B974" t="str">
        <f>VLOOKUP(NoviaFunds[[#This Row],[ISIN]],'Novia Web Query'!$A:$E,2,FALSE)</f>
        <v>BNY Mellon Equity Income Sterling Acc in GB</v>
      </c>
      <c r="C974" t="str">
        <f>VLOOKUP(NoviaFunds[[#This Row],[ISIN]],'Novia Web Query'!$A:$E,3,FALSE)</f>
        <v>UT UK Equity Income</v>
      </c>
      <c r="D974" s="139">
        <f>VLOOKUP(NoviaFunds[[#This Row],[ISIN]],'Novia Web Query'!$A:$E,4,FALSE)/100</f>
        <v>1.6399999999999998E-2</v>
      </c>
      <c r="E974" s="3" t="str">
        <f>VLOOKUP(NoviaFunds[[#This Row],[ISIN]],'Novia Web Query'!$A:$E,5,FALSE)</f>
        <v>21/12/2021</v>
      </c>
      <c r="F974" t="str">
        <f>VLOOKUP(NoviaFunds[[#This Row],[Sector]],Sectors[],2,FALSE)</f>
        <v>UK Equities</v>
      </c>
    </row>
    <row r="975" spans="1:6" x14ac:dyDescent="0.2">
      <c r="A975" t="str">
        <f>'Novia Web Query'!A975</f>
        <v>GB00B843K114</v>
      </c>
      <c r="B975" t="str">
        <f>VLOOKUP(NoviaFunds[[#This Row],[ISIN]],'Novia Web Query'!$A:$E,2,FALSE)</f>
        <v>BNY Mellon Equity Income Sterling Inc TR in GB</v>
      </c>
      <c r="C975" t="str">
        <f>VLOOKUP(NoviaFunds[[#This Row],[ISIN]],'Novia Web Query'!$A:$E,3,FALSE)</f>
        <v>UT UK Equity Income</v>
      </c>
      <c r="D975" s="139">
        <f>VLOOKUP(NoviaFunds[[#This Row],[ISIN]],'Novia Web Query'!$A:$E,4,FALSE)/100</f>
        <v>1.6399999999999998E-2</v>
      </c>
      <c r="E975" s="3" t="str">
        <f>VLOOKUP(NoviaFunds[[#This Row],[ISIN]],'Novia Web Query'!$A:$E,5,FALSE)</f>
        <v>21/12/2021</v>
      </c>
      <c r="F975" t="str">
        <f>VLOOKUP(NoviaFunds[[#This Row],[Sector]],Sectors[],2,FALSE)</f>
        <v>UK Equities</v>
      </c>
    </row>
    <row r="976" spans="1:6" x14ac:dyDescent="0.2">
      <c r="A976" t="str">
        <f>'Novia Web Query'!A976</f>
        <v>GB00B83VQG35</v>
      </c>
      <c r="B976" t="str">
        <f>VLOOKUP(NoviaFunds[[#This Row],[ISIN]],'Novia Web Query'!$A:$E,2,FALSE)</f>
        <v>BNY Mellon Global Absolute Return Inst W Acc in GB</v>
      </c>
      <c r="C976" t="str">
        <f>VLOOKUP(NoviaFunds[[#This Row],[ISIN]],'Novia Web Query'!$A:$E,3,FALSE)</f>
        <v>UT Targeted Absolute Return</v>
      </c>
      <c r="D976" s="139">
        <f>VLOOKUP(NoviaFunds[[#This Row],[ISIN]],'Novia Web Query'!$A:$E,4,FALSE)/100</f>
        <v>7.0999999999999995E-3</v>
      </c>
      <c r="E976" s="3" t="str">
        <f>VLOOKUP(NoviaFunds[[#This Row],[ISIN]],'Novia Web Query'!$A:$E,5,FALSE)</f>
        <v>21/12/2021</v>
      </c>
      <c r="F976" t="str">
        <f>VLOOKUP(NoviaFunds[[#This Row],[Sector]],Sectors[],2,FALSE)</f>
        <v>Absolute Return</v>
      </c>
    </row>
    <row r="977" spans="1:6" x14ac:dyDescent="0.2">
      <c r="A977" t="str">
        <f>'Novia Web Query'!A977</f>
        <v>GB00B841JM97</v>
      </c>
      <c r="B977" t="str">
        <f>VLOOKUP(NoviaFunds[[#This Row],[ISIN]],'Novia Web Query'!$A:$E,2,FALSE)</f>
        <v>BNY Mellon Global Absolute Return Inst W Inc TR in GB</v>
      </c>
      <c r="C977" t="str">
        <f>VLOOKUP(NoviaFunds[[#This Row],[ISIN]],'Novia Web Query'!$A:$E,3,FALSE)</f>
        <v>UT Targeted Absolute Return</v>
      </c>
      <c r="D977" s="139">
        <f>VLOOKUP(NoviaFunds[[#This Row],[ISIN]],'Novia Web Query'!$A:$E,4,FALSE)/100</f>
        <v>7.0999999999999995E-3</v>
      </c>
      <c r="E977" s="3" t="str">
        <f>VLOOKUP(NoviaFunds[[#This Row],[ISIN]],'Novia Web Query'!$A:$E,5,FALSE)</f>
        <v>21/12/2021</v>
      </c>
      <c r="F977" t="str">
        <f>VLOOKUP(NoviaFunds[[#This Row],[Sector]],Sectors[],2,FALSE)</f>
        <v>Absolute Return</v>
      </c>
    </row>
    <row r="978" spans="1:6" x14ac:dyDescent="0.2">
      <c r="A978" t="str">
        <f>'Novia Web Query'!A978</f>
        <v>GB00B86R4N19</v>
      </c>
      <c r="B978" t="str">
        <f>VLOOKUP(NoviaFunds[[#This Row],[ISIN]],'Novia Web Query'!$A:$E,2,FALSE)</f>
        <v>BNY Mellon Global Absolute Return Sterling Acc in GB</v>
      </c>
      <c r="C978" t="str">
        <f>VLOOKUP(NoviaFunds[[#This Row],[ISIN]],'Novia Web Query'!$A:$E,3,FALSE)</f>
        <v>UT Targeted Absolute Return</v>
      </c>
      <c r="D978" s="139">
        <f>VLOOKUP(NoviaFunds[[#This Row],[ISIN]],'Novia Web Query'!$A:$E,4,FALSE)/100</f>
        <v>1.66E-2</v>
      </c>
      <c r="E978" s="3" t="str">
        <f>VLOOKUP(NoviaFunds[[#This Row],[ISIN]],'Novia Web Query'!$A:$E,5,FALSE)</f>
        <v>21/12/2021</v>
      </c>
      <c r="F978" t="str">
        <f>VLOOKUP(NoviaFunds[[#This Row],[Sector]],Sectors[],2,FALSE)</f>
        <v>Absolute Return</v>
      </c>
    </row>
    <row r="979" spans="1:6" x14ac:dyDescent="0.2">
      <c r="A979" t="str">
        <f>'Novia Web Query'!A979</f>
        <v>GB00BYQ9L722</v>
      </c>
      <c r="B979" t="str">
        <f>VLOOKUP(NoviaFunds[[#This Row],[ISIN]],'Novia Web Query'!$A:$E,2,FALSE)</f>
        <v>BNY Mellon Global Dynamic Bond Income F Acc TR in GB**</v>
      </c>
      <c r="C979" t="str">
        <f>VLOOKUP(NoviaFunds[[#This Row],[ISIN]],'Novia Web Query'!$A:$E,3,FALSE)</f>
        <v>UT Sterling Strategic Bond</v>
      </c>
      <c r="D979" s="139">
        <f>VLOOKUP(NoviaFunds[[#This Row],[ISIN]],'Novia Web Query'!$A:$E,4,FALSE)/100</f>
        <v>6.0000000000000001E-3</v>
      </c>
      <c r="E979" s="3" t="str">
        <f>VLOOKUP(NoviaFunds[[#This Row],[ISIN]],'Novia Web Query'!$A:$E,5,FALSE)</f>
        <v>21/12/2021</v>
      </c>
      <c r="F979" t="str">
        <f>VLOOKUP(NoviaFunds[[#This Row],[Sector]],Sectors[],2,FALSE)</f>
        <v>Other Bonds</v>
      </c>
    </row>
    <row r="980" spans="1:6" x14ac:dyDescent="0.2">
      <c r="A980" t="str">
        <f>'Novia Web Query'!A980</f>
        <v>GB00BYQ9L839</v>
      </c>
      <c r="B980" t="str">
        <f>VLOOKUP(NoviaFunds[[#This Row],[ISIN]],'Novia Web Query'!$A:$E,2,FALSE)</f>
        <v>BNY Mellon Global Dynamic Bond Income F Inc TR in GB**</v>
      </c>
      <c r="C980" t="str">
        <f>VLOOKUP(NoviaFunds[[#This Row],[ISIN]],'Novia Web Query'!$A:$E,3,FALSE)</f>
        <v>UT Sterling Strategic Bond</v>
      </c>
      <c r="D980" s="139">
        <f>VLOOKUP(NoviaFunds[[#This Row],[ISIN]],'Novia Web Query'!$A:$E,4,FALSE)/100</f>
        <v>6.0000000000000001E-3</v>
      </c>
      <c r="E980" s="3" t="str">
        <f>VLOOKUP(NoviaFunds[[#This Row],[ISIN]],'Novia Web Query'!$A:$E,5,FALSE)</f>
        <v>21/12/2021</v>
      </c>
      <c r="F980" t="str">
        <f>VLOOKUP(NoviaFunds[[#This Row],[Sector]],Sectors[],2,FALSE)</f>
        <v>Other Bonds</v>
      </c>
    </row>
    <row r="981" spans="1:6" x14ac:dyDescent="0.2">
      <c r="A981" t="str">
        <f>'Novia Web Query'!A981</f>
        <v>GB00B1294H67</v>
      </c>
      <c r="B981" t="str">
        <f>VLOOKUP(NoviaFunds[[#This Row],[ISIN]],'Novia Web Query'!$A:$E,2,FALSE)</f>
        <v>BNY Mellon Global Dynamic Bond Inst Inc TR in GB</v>
      </c>
      <c r="C981" t="str">
        <f>VLOOKUP(NoviaFunds[[#This Row],[ISIN]],'Novia Web Query'!$A:$E,3,FALSE)</f>
        <v>UT Targeted Absolute Return</v>
      </c>
      <c r="D981" s="139">
        <f>VLOOKUP(NoviaFunds[[#This Row],[ISIN]],'Novia Web Query'!$A:$E,4,FALSE)/100</f>
        <v>8.0000000000000002E-3</v>
      </c>
      <c r="E981" s="3" t="str">
        <f>VLOOKUP(NoviaFunds[[#This Row],[ISIN]],'Novia Web Query'!$A:$E,5,FALSE)</f>
        <v>21/12/2021</v>
      </c>
      <c r="F981" t="str">
        <f>VLOOKUP(NoviaFunds[[#This Row],[Sector]],Sectors[],2,FALSE)</f>
        <v>Absolute Return</v>
      </c>
    </row>
    <row r="982" spans="1:6" x14ac:dyDescent="0.2">
      <c r="A982" t="str">
        <f>'Novia Web Query'!A982</f>
        <v>GB00B8H50V47</v>
      </c>
      <c r="B982" t="str">
        <f>VLOOKUP(NoviaFunds[[#This Row],[ISIN]],'Novia Web Query'!$A:$E,2,FALSE)</f>
        <v>BNY Mellon Global Dynamic Bond Institutional W Acc GBP TR in GB</v>
      </c>
      <c r="C982" t="str">
        <f>VLOOKUP(NoviaFunds[[#This Row],[ISIN]],'Novia Web Query'!$A:$E,3,FALSE)</f>
        <v>UT Targeted Absolute Return</v>
      </c>
      <c r="D982" s="139">
        <f>VLOOKUP(NoviaFunds[[#This Row],[ISIN]],'Novia Web Query'!$A:$E,4,FALSE)/100</f>
        <v>5.5000000000000005E-3</v>
      </c>
      <c r="E982" s="3" t="str">
        <f>VLOOKUP(NoviaFunds[[#This Row],[ISIN]],'Novia Web Query'!$A:$E,5,FALSE)</f>
        <v>21/12/2021</v>
      </c>
      <c r="F982" t="str">
        <f>VLOOKUP(NoviaFunds[[#This Row],[Sector]],Sectors[],2,FALSE)</f>
        <v>Absolute Return</v>
      </c>
    </row>
    <row r="983" spans="1:6" x14ac:dyDescent="0.2">
      <c r="A983" t="str">
        <f>'Novia Web Query'!A983</f>
        <v>GB00B801BG18</v>
      </c>
      <c r="B983" t="str">
        <f>VLOOKUP(NoviaFunds[[#This Row],[ISIN]],'Novia Web Query'!$A:$E,2,FALSE)</f>
        <v>BNY Mellon Global Dynamic Bond Institutional W Inc GBP TR in GB</v>
      </c>
      <c r="C983" t="str">
        <f>VLOOKUP(NoviaFunds[[#This Row],[ISIN]],'Novia Web Query'!$A:$E,3,FALSE)</f>
        <v>UT Targeted Absolute Return</v>
      </c>
      <c r="D983" s="139">
        <f>VLOOKUP(NoviaFunds[[#This Row],[ISIN]],'Novia Web Query'!$A:$E,4,FALSE)/100</f>
        <v>5.5000000000000005E-3</v>
      </c>
      <c r="E983" s="3" t="str">
        <f>VLOOKUP(NoviaFunds[[#This Row],[ISIN]],'Novia Web Query'!$A:$E,5,FALSE)</f>
        <v>21/12/2021</v>
      </c>
      <c r="F983" t="str">
        <f>VLOOKUP(NoviaFunds[[#This Row],[Sector]],Sectors[],2,FALSE)</f>
        <v>Absolute Return</v>
      </c>
    </row>
    <row r="984" spans="1:6" x14ac:dyDescent="0.2">
      <c r="A984" t="str">
        <f>'Novia Web Query'!A984</f>
        <v>GB00BHRX2821</v>
      </c>
      <c r="B984" t="str">
        <f>VLOOKUP(NoviaFunds[[#This Row],[ISIN]],'Novia Web Query'!$A:$E,2,FALSE)</f>
        <v>BNY Mellon Global Dynamic Bond Newton Institutional 3 Acc TR in GB**</v>
      </c>
      <c r="C984" t="str">
        <f>VLOOKUP(NoviaFunds[[#This Row],[ISIN]],'Novia Web Query'!$A:$E,3,FALSE)</f>
        <v>UT Targeted Absolute Return</v>
      </c>
      <c r="D984" s="139">
        <f>VLOOKUP(NoviaFunds[[#This Row],[ISIN]],'Novia Web Query'!$A:$E,4,FALSE)/100</f>
        <v>4.0000000000000001E-3</v>
      </c>
      <c r="E984" s="3" t="str">
        <f>VLOOKUP(NoviaFunds[[#This Row],[ISIN]],'Novia Web Query'!$A:$E,5,FALSE)</f>
        <v>21/12/2021</v>
      </c>
      <c r="F984" t="str">
        <f>VLOOKUP(NoviaFunds[[#This Row],[Sector]],Sectors[],2,FALSE)</f>
        <v>Absolute Return</v>
      </c>
    </row>
    <row r="985" spans="1:6" x14ac:dyDescent="0.2">
      <c r="A985" t="str">
        <f>'Novia Web Query'!A985</f>
        <v>GB00BHRX2268</v>
      </c>
      <c r="B985" t="str">
        <f>VLOOKUP(NoviaFunds[[#This Row],[ISIN]],'Novia Web Query'!$A:$E,2,FALSE)</f>
        <v>BNY Mellon Global Dynamic Bond Newton Institutional 3 Inc TR in GB**</v>
      </c>
      <c r="C985" t="str">
        <f>VLOOKUP(NoviaFunds[[#This Row],[ISIN]],'Novia Web Query'!$A:$E,3,FALSE)</f>
        <v>UT Targeted Absolute Return</v>
      </c>
      <c r="D985" s="139">
        <f>VLOOKUP(NoviaFunds[[#This Row],[ISIN]],'Novia Web Query'!$A:$E,4,FALSE)/100</f>
        <v>4.0000000000000001E-3</v>
      </c>
      <c r="E985" s="3" t="str">
        <f>VLOOKUP(NoviaFunds[[#This Row],[ISIN]],'Novia Web Query'!$A:$E,5,FALSE)</f>
        <v>21/12/2021</v>
      </c>
      <c r="F985" t="str">
        <f>VLOOKUP(NoviaFunds[[#This Row],[Sector]],Sectors[],2,FALSE)</f>
        <v>Absolute Return</v>
      </c>
    </row>
    <row r="986" spans="1:6" x14ac:dyDescent="0.2">
      <c r="A986" t="str">
        <f>'Novia Web Query'!A986</f>
        <v>GB00B1294F44</v>
      </c>
      <c r="B986" t="str">
        <f>VLOOKUP(NoviaFunds[[#This Row],[ISIN]],'Novia Web Query'!$A:$E,2,FALSE)</f>
        <v>BNY Mellon Global Dynamic Bond Sterling Inc TR in GB</v>
      </c>
      <c r="C986" t="str">
        <f>VLOOKUP(NoviaFunds[[#This Row],[ISIN]],'Novia Web Query'!$A:$E,3,FALSE)</f>
        <v>UT Targeted Absolute Return</v>
      </c>
      <c r="D986" s="139">
        <f>VLOOKUP(NoviaFunds[[#This Row],[ISIN]],'Novia Web Query'!$A:$E,4,FALSE)/100</f>
        <v>1.37E-2</v>
      </c>
      <c r="E986" s="3" t="str">
        <f>VLOOKUP(NoviaFunds[[#This Row],[ISIN]],'Novia Web Query'!$A:$E,5,FALSE)</f>
        <v>21/12/2021</v>
      </c>
      <c r="F986" t="str">
        <f>VLOOKUP(NoviaFunds[[#This Row],[Sector]],Sectors[],2,FALSE)</f>
        <v>Absolute Return</v>
      </c>
    </row>
    <row r="987" spans="1:6" x14ac:dyDescent="0.2">
      <c r="A987" t="str">
        <f>'Novia Web Query'!A987</f>
        <v>GB00BVRZK937</v>
      </c>
      <c r="B987" t="str">
        <f>VLOOKUP(NoviaFunds[[#This Row],[ISIN]],'Novia Web Query'!$A:$E,2,FALSE)</f>
        <v>BNY Mellon Global Emerging Markets Inst W Acc in GB</v>
      </c>
      <c r="C987" t="str">
        <f>VLOOKUP(NoviaFunds[[#This Row],[ISIN]],'Novia Web Query'!$A:$E,3,FALSE)</f>
        <v>UT Global Emerging Markets</v>
      </c>
      <c r="D987" s="139">
        <f>VLOOKUP(NoviaFunds[[#This Row],[ISIN]],'Novia Web Query'!$A:$E,4,FALSE)/100</f>
        <v>8.3999999999999995E-3</v>
      </c>
      <c r="E987" s="3" t="str">
        <f>VLOOKUP(NoviaFunds[[#This Row],[ISIN]],'Novia Web Query'!$A:$E,5,FALSE)</f>
        <v>21/12/2021</v>
      </c>
      <c r="F987" t="str">
        <f>VLOOKUP(NoviaFunds[[#This Row],[Sector]],Sectors[],2,FALSE)</f>
        <v>Emerging Markets</v>
      </c>
    </row>
    <row r="988" spans="1:6" x14ac:dyDescent="0.2">
      <c r="A988" t="str">
        <f>'Novia Web Query'!A988</f>
        <v>GB00BVYPP917</v>
      </c>
      <c r="B988" t="str">
        <f>VLOOKUP(NoviaFunds[[#This Row],[ISIN]],'Novia Web Query'!$A:$E,2,FALSE)</f>
        <v>BNY Mellon Global Emerging Markets Inst W Inc TR in GB</v>
      </c>
      <c r="C988" t="str">
        <f>VLOOKUP(NoviaFunds[[#This Row],[ISIN]],'Novia Web Query'!$A:$E,3,FALSE)</f>
        <v>UT Global Emerging Markets</v>
      </c>
      <c r="D988" s="139">
        <f>VLOOKUP(NoviaFunds[[#This Row],[ISIN]],'Novia Web Query'!$A:$E,4,FALSE)/100</f>
        <v>8.3999999999999995E-3</v>
      </c>
      <c r="E988" s="3" t="str">
        <f>VLOOKUP(NoviaFunds[[#This Row],[ISIN]],'Novia Web Query'!$A:$E,5,FALSE)</f>
        <v>21/12/2021</v>
      </c>
      <c r="F988" t="str">
        <f>VLOOKUP(NoviaFunds[[#This Row],[Sector]],Sectors[],2,FALSE)</f>
        <v>Emerging Markets</v>
      </c>
    </row>
    <row r="989" spans="1:6" x14ac:dyDescent="0.2">
      <c r="A989" t="str">
        <f>'Novia Web Query'!A989</f>
        <v>GB00B8376K50</v>
      </c>
      <c r="B989" t="str">
        <f>VLOOKUP(NoviaFunds[[#This Row],[ISIN]],'Novia Web Query'!$A:$E,2,FALSE)</f>
        <v>BNY Mellon Global Equity Inst W Acc GBP TR in GB</v>
      </c>
      <c r="C989" t="str">
        <f>VLOOKUP(NoviaFunds[[#This Row],[ISIN]],'Novia Web Query'!$A:$E,3,FALSE)</f>
        <v>UT Global</v>
      </c>
      <c r="D989" s="139">
        <f>VLOOKUP(NoviaFunds[[#This Row],[ISIN]],'Novia Web Query'!$A:$E,4,FALSE)/100</f>
        <v>8.0000000000000002E-3</v>
      </c>
      <c r="E989" s="3" t="str">
        <f>VLOOKUP(NoviaFunds[[#This Row],[ISIN]],'Novia Web Query'!$A:$E,5,FALSE)</f>
        <v>21/12/2021</v>
      </c>
      <c r="F989" t="str">
        <f>VLOOKUP(NoviaFunds[[#This Row],[Sector]],Sectors[],2,FALSE)</f>
        <v>Other Equities</v>
      </c>
    </row>
    <row r="990" spans="1:6" x14ac:dyDescent="0.2">
      <c r="A990" t="str">
        <f>'Novia Web Query'!A990</f>
        <v>GB00B53Q5S23</v>
      </c>
      <c r="B990" t="str">
        <f>VLOOKUP(NoviaFunds[[#This Row],[ISIN]],'Novia Web Query'!$A:$E,2,FALSE)</f>
        <v>BNY Mellon Global Equity Inst W Inc GBP TR in GB</v>
      </c>
      <c r="C990" t="str">
        <f>VLOOKUP(NoviaFunds[[#This Row],[ISIN]],'Novia Web Query'!$A:$E,3,FALSE)</f>
        <v>UT Global</v>
      </c>
      <c r="D990" s="139">
        <f>VLOOKUP(NoviaFunds[[#This Row],[ISIN]],'Novia Web Query'!$A:$E,4,FALSE)/100</f>
        <v>8.0000000000000002E-3</v>
      </c>
      <c r="E990" s="3" t="str">
        <f>VLOOKUP(NoviaFunds[[#This Row],[ISIN]],'Novia Web Query'!$A:$E,5,FALSE)</f>
        <v>21/12/2021</v>
      </c>
      <c r="F990" t="str">
        <f>VLOOKUP(NoviaFunds[[#This Row],[Sector]],Sectors[],2,FALSE)</f>
        <v>Other Equities</v>
      </c>
    </row>
    <row r="991" spans="1:6" x14ac:dyDescent="0.2">
      <c r="A991" t="str">
        <f>'Novia Web Query'!A991</f>
        <v>GB0006779986</v>
      </c>
      <c r="B991" t="str">
        <f>VLOOKUP(NoviaFunds[[#This Row],[ISIN]],'Novia Web Query'!$A:$E,2,FALSE)</f>
        <v>BNY Mellon Global Equity Sterling GBP Inc TR in GB</v>
      </c>
      <c r="C991" t="str">
        <f>VLOOKUP(NoviaFunds[[#This Row],[ISIN]],'Novia Web Query'!$A:$E,3,FALSE)</f>
        <v>UT Global</v>
      </c>
      <c r="D991" s="139">
        <f>VLOOKUP(NoviaFunds[[#This Row],[ISIN]],'Novia Web Query'!$A:$E,4,FALSE)/100</f>
        <v>1.6200000000000003E-2</v>
      </c>
      <c r="E991" s="3" t="str">
        <f>VLOOKUP(NoviaFunds[[#This Row],[ISIN]],'Novia Web Query'!$A:$E,5,FALSE)</f>
        <v>21/12/2021</v>
      </c>
      <c r="F991" t="str">
        <f>VLOOKUP(NoviaFunds[[#This Row],[Sector]],Sectors[],2,FALSE)</f>
        <v>Other Equities</v>
      </c>
    </row>
    <row r="992" spans="1:6" x14ac:dyDescent="0.2">
      <c r="A992" t="str">
        <f>'Novia Web Query'!A992</f>
        <v>GB00B7KWF216</v>
      </c>
      <c r="B992" t="str">
        <f>VLOOKUP(NoviaFunds[[#This Row],[ISIN]],'Novia Web Query'!$A:$E,2,FALSE)</f>
        <v>BNY Mellon Global High Yield Bond Inst W Acc TR in GB</v>
      </c>
      <c r="C992" t="str">
        <f>VLOOKUP(NoviaFunds[[#This Row],[ISIN]],'Novia Web Query'!$A:$E,3,FALSE)</f>
        <v>UT Sterling High Yield</v>
      </c>
      <c r="D992" s="139">
        <f>VLOOKUP(NoviaFunds[[#This Row],[ISIN]],'Novia Web Query'!$A:$E,4,FALSE)/100</f>
        <v>5.6999999999999993E-3</v>
      </c>
      <c r="E992" s="3" t="str">
        <f>VLOOKUP(NoviaFunds[[#This Row],[ISIN]],'Novia Web Query'!$A:$E,5,FALSE)</f>
        <v>21/12/2021</v>
      </c>
      <c r="F992" t="str">
        <f>VLOOKUP(NoviaFunds[[#This Row],[Sector]],Sectors[],2,FALSE)</f>
        <v>High Yield</v>
      </c>
    </row>
    <row r="993" spans="1:6" x14ac:dyDescent="0.2">
      <c r="A993" t="str">
        <f>'Novia Web Query'!A993</f>
        <v>GB00B8BX3V56</v>
      </c>
      <c r="B993" t="str">
        <f>VLOOKUP(NoviaFunds[[#This Row],[ISIN]],'Novia Web Query'!$A:$E,2,FALSE)</f>
        <v>BNY Mellon Global High Yield Bond Inst W Inc TR in GB</v>
      </c>
      <c r="C993" t="str">
        <f>VLOOKUP(NoviaFunds[[#This Row],[ISIN]],'Novia Web Query'!$A:$E,3,FALSE)</f>
        <v>UT Sterling High Yield</v>
      </c>
      <c r="D993" s="139">
        <f>VLOOKUP(NoviaFunds[[#This Row],[ISIN]],'Novia Web Query'!$A:$E,4,FALSE)/100</f>
        <v>5.6999999999999993E-3</v>
      </c>
      <c r="E993" s="3" t="str">
        <f>VLOOKUP(NoviaFunds[[#This Row],[ISIN]],'Novia Web Query'!$A:$E,5,FALSE)</f>
        <v>21/12/2021</v>
      </c>
      <c r="F993" t="str">
        <f>VLOOKUP(NoviaFunds[[#This Row],[Sector]],Sectors[],2,FALSE)</f>
        <v>High Yield</v>
      </c>
    </row>
    <row r="994" spans="1:6" x14ac:dyDescent="0.2">
      <c r="A994" t="str">
        <f>'Novia Web Query'!A994</f>
        <v>GB0009633073</v>
      </c>
      <c r="B994" t="str">
        <f>VLOOKUP(NoviaFunds[[#This Row],[ISIN]],'Novia Web Query'!$A:$E,2,FALSE)</f>
        <v>BNY Mellon Global High Yield Bond Sterling TR in GB</v>
      </c>
      <c r="C994" t="str">
        <f>VLOOKUP(NoviaFunds[[#This Row],[ISIN]],'Novia Web Query'!$A:$E,3,FALSE)</f>
        <v>UT Sterling High Yield</v>
      </c>
      <c r="D994" s="139">
        <f>VLOOKUP(NoviaFunds[[#This Row],[ISIN]],'Novia Web Query'!$A:$E,4,FALSE)/100</f>
        <v>1.1399999999999999E-2</v>
      </c>
      <c r="E994" s="3" t="str">
        <f>VLOOKUP(NoviaFunds[[#This Row],[ISIN]],'Novia Web Query'!$A:$E,5,FALSE)</f>
        <v>21/12/2021</v>
      </c>
      <c r="F994" t="str">
        <f>VLOOKUP(NoviaFunds[[#This Row],[Sector]],Sectors[],2,FALSE)</f>
        <v>High Yield</v>
      </c>
    </row>
    <row r="995" spans="1:6" x14ac:dyDescent="0.2">
      <c r="A995" t="str">
        <f>'Novia Web Query'!A995</f>
        <v>GB00B0MY6X46</v>
      </c>
      <c r="B995" t="str">
        <f>VLOOKUP(NoviaFunds[[#This Row],[ISIN]],'Novia Web Query'!$A:$E,2,FALSE)</f>
        <v>BNY Mellon Global Income Inst Acc in GB</v>
      </c>
      <c r="C995" t="str">
        <f>VLOOKUP(NoviaFunds[[#This Row],[ISIN]],'Novia Web Query'!$A:$E,3,FALSE)</f>
        <v>UT Global Equity Income</v>
      </c>
      <c r="D995" s="139">
        <f>VLOOKUP(NoviaFunds[[#This Row],[ISIN]],'Novia Web Query'!$A:$E,4,FALSE)/100</f>
        <v>1.06E-2</v>
      </c>
      <c r="E995" s="3" t="str">
        <f>VLOOKUP(NoviaFunds[[#This Row],[ISIN]],'Novia Web Query'!$A:$E,5,FALSE)</f>
        <v>21/12/2021</v>
      </c>
      <c r="F995" t="str">
        <f>VLOOKUP(NoviaFunds[[#This Row],[Sector]],Sectors[],2,FALSE)</f>
        <v>Other Equities</v>
      </c>
    </row>
    <row r="996" spans="1:6" x14ac:dyDescent="0.2">
      <c r="A996" t="str">
        <f>'Novia Web Query'!A996</f>
        <v>GB00B0MY6W39</v>
      </c>
      <c r="B996" t="str">
        <f>VLOOKUP(NoviaFunds[[#This Row],[ISIN]],'Novia Web Query'!$A:$E,2,FALSE)</f>
        <v>BNY Mellon Global Income Inst Inc TR in GB</v>
      </c>
      <c r="C996" t="str">
        <f>VLOOKUP(NoviaFunds[[#This Row],[ISIN]],'Novia Web Query'!$A:$E,3,FALSE)</f>
        <v>UT Global Equity Income</v>
      </c>
      <c r="D996" s="139">
        <f>VLOOKUP(NoviaFunds[[#This Row],[ISIN]],'Novia Web Query'!$A:$E,4,FALSE)/100</f>
        <v>1.06E-2</v>
      </c>
      <c r="E996" s="3" t="str">
        <f>VLOOKUP(NoviaFunds[[#This Row],[ISIN]],'Novia Web Query'!$A:$E,5,FALSE)</f>
        <v>21/12/2021</v>
      </c>
      <c r="F996" t="str">
        <f>VLOOKUP(NoviaFunds[[#This Row],[Sector]],Sectors[],2,FALSE)</f>
        <v>Other Equities</v>
      </c>
    </row>
    <row r="997" spans="1:6" x14ac:dyDescent="0.2">
      <c r="A997" t="str">
        <f>'Novia Web Query'!A997</f>
        <v>GB00B7S9KM94</v>
      </c>
      <c r="B997" t="str">
        <f>VLOOKUP(NoviaFunds[[#This Row],[ISIN]],'Novia Web Query'!$A:$E,2,FALSE)</f>
        <v>BNY Mellon Global Income Inst W Acc GBP TR in GB</v>
      </c>
      <c r="C997" t="str">
        <f>VLOOKUP(NoviaFunds[[#This Row],[ISIN]],'Novia Web Query'!$A:$E,3,FALSE)</f>
        <v>UT Global Equity Income</v>
      </c>
      <c r="D997" s="139">
        <f>VLOOKUP(NoviaFunds[[#This Row],[ISIN]],'Novia Web Query'!$A:$E,4,FALSE)/100</f>
        <v>8.1000000000000013E-3</v>
      </c>
      <c r="E997" s="3" t="str">
        <f>VLOOKUP(NoviaFunds[[#This Row],[ISIN]],'Novia Web Query'!$A:$E,5,FALSE)</f>
        <v>21/12/2021</v>
      </c>
      <c r="F997" t="str">
        <f>VLOOKUP(NoviaFunds[[#This Row],[Sector]],Sectors[],2,FALSE)</f>
        <v>Other Equities</v>
      </c>
    </row>
    <row r="998" spans="1:6" x14ac:dyDescent="0.2">
      <c r="A998" t="str">
        <f>'Novia Web Query'!A998</f>
        <v>GB00B8BQG486</v>
      </c>
      <c r="B998" t="str">
        <f>VLOOKUP(NoviaFunds[[#This Row],[ISIN]],'Novia Web Query'!$A:$E,2,FALSE)</f>
        <v>BNY Mellon Global Income Inst W Inc GBP TR in GB</v>
      </c>
      <c r="C998" t="str">
        <f>VLOOKUP(NoviaFunds[[#This Row],[ISIN]],'Novia Web Query'!$A:$E,3,FALSE)</f>
        <v>UT Global Equity Income</v>
      </c>
      <c r="D998" s="139">
        <f>VLOOKUP(NoviaFunds[[#This Row],[ISIN]],'Novia Web Query'!$A:$E,4,FALSE)/100</f>
        <v>8.1000000000000013E-3</v>
      </c>
      <c r="E998" s="3" t="str">
        <f>VLOOKUP(NoviaFunds[[#This Row],[ISIN]],'Novia Web Query'!$A:$E,5,FALSE)</f>
        <v>21/12/2021</v>
      </c>
      <c r="F998" t="str">
        <f>VLOOKUP(NoviaFunds[[#This Row],[Sector]],Sectors[],2,FALSE)</f>
        <v>Other Equities</v>
      </c>
    </row>
    <row r="999" spans="1:6" x14ac:dyDescent="0.2">
      <c r="A999" t="str">
        <f>'Novia Web Query'!A999</f>
        <v>GB00B0MY6T00</v>
      </c>
      <c r="B999" t="str">
        <f>VLOOKUP(NoviaFunds[[#This Row],[ISIN]],'Novia Web Query'!$A:$E,2,FALSE)</f>
        <v>BNY Mellon Global Income Sterling TR in GB</v>
      </c>
      <c r="C999" t="str">
        <f>VLOOKUP(NoviaFunds[[#This Row],[ISIN]],'Novia Web Query'!$A:$E,3,FALSE)</f>
        <v>UT Global Equity Income</v>
      </c>
      <c r="D999" s="139">
        <f>VLOOKUP(NoviaFunds[[#This Row],[ISIN]],'Novia Web Query'!$A:$E,4,FALSE)/100</f>
        <v>1.6299999999999999E-2</v>
      </c>
      <c r="E999" s="3" t="str">
        <f>VLOOKUP(NoviaFunds[[#This Row],[ISIN]],'Novia Web Query'!$A:$E,5,FALSE)</f>
        <v>21/12/2021</v>
      </c>
      <c r="F999" t="str">
        <f>VLOOKUP(NoviaFunds[[#This Row],[Sector]],Sectors[],2,FALSE)</f>
        <v>Other Equities</v>
      </c>
    </row>
    <row r="1000" spans="1:6" x14ac:dyDescent="0.2">
      <c r="A1000" t="str">
        <f>'Novia Web Query'!A1000</f>
        <v>GB00B5VNWP12</v>
      </c>
      <c r="B1000" t="str">
        <f>VLOOKUP(NoviaFunds[[#This Row],[ISIN]],'Novia Web Query'!$A:$E,2,FALSE)</f>
        <v>BNY Mellon Global Income Sterling Acc in GB</v>
      </c>
      <c r="C1000" t="str">
        <f>VLOOKUP(NoviaFunds[[#This Row],[ISIN]],'Novia Web Query'!$A:$E,3,FALSE)</f>
        <v>UT Global Equity Income</v>
      </c>
      <c r="D1000" s="139">
        <f>VLOOKUP(NoviaFunds[[#This Row],[ISIN]],'Novia Web Query'!$A:$E,4,FALSE)/100</f>
        <v>1.6299999999999999E-2</v>
      </c>
      <c r="E1000" s="3" t="str">
        <f>VLOOKUP(NoviaFunds[[#This Row],[ISIN]],'Novia Web Query'!$A:$E,5,FALSE)</f>
        <v>21/12/2021</v>
      </c>
      <c r="F1000" t="str">
        <f>VLOOKUP(NoviaFunds[[#This Row],[Sector]],Sectors[],2,FALSE)</f>
        <v>Other Equities</v>
      </c>
    </row>
    <row r="1001" spans="1:6" x14ac:dyDescent="0.2">
      <c r="A1001" t="str">
        <f>'Novia Web Query'!A1001</f>
        <v>GB00BDR8GF45</v>
      </c>
      <c r="B1001" t="str">
        <f>VLOOKUP(NoviaFunds[[#This Row],[ISIN]],'Novia Web Query'!$A:$E,2,FALSE)</f>
        <v>BNY Mellon Global Infrastructure Income F Acc in GB</v>
      </c>
      <c r="C1001" t="str">
        <f>VLOOKUP(NoviaFunds[[#This Row],[ISIN]],'Novia Web Query'!$A:$E,3,FALSE)</f>
        <v>UT Infrastructure</v>
      </c>
      <c r="D1001" s="139">
        <f>VLOOKUP(NoviaFunds[[#This Row],[ISIN]],'Novia Web Query'!$A:$E,4,FALSE)/100</f>
        <v>5.3E-3</v>
      </c>
      <c r="E1001" s="3" t="str">
        <f>VLOOKUP(NoviaFunds[[#This Row],[ISIN]],'Novia Web Query'!$A:$E,5,FALSE)</f>
        <v>21/12/2021</v>
      </c>
      <c r="F1001" t="e">
        <f>VLOOKUP(NoviaFunds[[#This Row],[Sector]],Sectors[],2,FALSE)</f>
        <v>#N/A</v>
      </c>
    </row>
    <row r="1002" spans="1:6" x14ac:dyDescent="0.2">
      <c r="A1002" t="str">
        <f>'Novia Web Query'!A1002</f>
        <v>GB00BDR8G983</v>
      </c>
      <c r="B1002" t="str">
        <f>VLOOKUP(NoviaFunds[[#This Row],[ISIN]],'Novia Web Query'!$A:$E,2,FALSE)</f>
        <v>BNY Mellon Global Infrastructure Income F Inc TR in GB</v>
      </c>
      <c r="C1002" t="str">
        <f>VLOOKUP(NoviaFunds[[#This Row],[ISIN]],'Novia Web Query'!$A:$E,3,FALSE)</f>
        <v>UT Infrastructure</v>
      </c>
      <c r="D1002" s="139">
        <f>VLOOKUP(NoviaFunds[[#This Row],[ISIN]],'Novia Web Query'!$A:$E,4,FALSE)/100</f>
        <v>5.3E-3</v>
      </c>
      <c r="E1002" s="3" t="str">
        <f>VLOOKUP(NoviaFunds[[#This Row],[ISIN]],'Novia Web Query'!$A:$E,5,FALSE)</f>
        <v>21/12/2021</v>
      </c>
      <c r="F1002" t="e">
        <f>VLOOKUP(NoviaFunds[[#This Row],[Sector]],Sectors[],2,FALSE)</f>
        <v>#N/A</v>
      </c>
    </row>
    <row r="1003" spans="1:6" x14ac:dyDescent="0.2">
      <c r="A1003" t="str">
        <f>'Novia Web Query'!A1003</f>
        <v>GB00BDR8GH68</v>
      </c>
      <c r="B1003" t="str">
        <f>VLOOKUP(NoviaFunds[[#This Row],[ISIN]],'Novia Web Query'!$A:$E,2,FALSE)</f>
        <v>BNY Mellon Global Infrastructure Income Inst W Acc in GB</v>
      </c>
      <c r="C1003" t="str">
        <f>VLOOKUP(NoviaFunds[[#This Row],[ISIN]],'Novia Web Query'!$A:$E,3,FALSE)</f>
        <v>UT Infrastructure</v>
      </c>
      <c r="D1003" s="139">
        <f>VLOOKUP(NoviaFunds[[#This Row],[ISIN]],'Novia Web Query'!$A:$E,4,FALSE)/100</f>
        <v>8.1000000000000013E-3</v>
      </c>
      <c r="E1003" s="3" t="str">
        <f>VLOOKUP(NoviaFunds[[#This Row],[ISIN]],'Novia Web Query'!$A:$E,5,FALSE)</f>
        <v>21/12/2021</v>
      </c>
      <c r="F1003" t="e">
        <f>VLOOKUP(NoviaFunds[[#This Row],[Sector]],Sectors[],2,FALSE)</f>
        <v>#N/A</v>
      </c>
    </row>
    <row r="1004" spans="1:6" x14ac:dyDescent="0.2">
      <c r="A1004" t="str">
        <f>'Novia Web Query'!A1004</f>
        <v>GB00BDR8GG51</v>
      </c>
      <c r="B1004" t="str">
        <f>VLOOKUP(NoviaFunds[[#This Row],[ISIN]],'Novia Web Query'!$A:$E,2,FALSE)</f>
        <v>BNY Mellon Global Infrastructure Income Inst W Inc TR in GB</v>
      </c>
      <c r="C1004" t="str">
        <f>VLOOKUP(NoviaFunds[[#This Row],[ISIN]],'Novia Web Query'!$A:$E,3,FALSE)</f>
        <v>UT Infrastructure</v>
      </c>
      <c r="D1004" s="139">
        <f>VLOOKUP(NoviaFunds[[#This Row],[ISIN]],'Novia Web Query'!$A:$E,4,FALSE)/100</f>
        <v>8.1000000000000013E-3</v>
      </c>
      <c r="E1004" s="3" t="str">
        <f>VLOOKUP(NoviaFunds[[#This Row],[ISIN]],'Novia Web Query'!$A:$E,5,FALSE)</f>
        <v>21/12/2021</v>
      </c>
      <c r="F1004" t="e">
        <f>VLOOKUP(NoviaFunds[[#This Row],[Sector]],Sectors[],2,FALSE)</f>
        <v>#N/A</v>
      </c>
    </row>
    <row r="1005" spans="1:6" x14ac:dyDescent="0.2">
      <c r="A1005" t="str">
        <f>'Novia Web Query'!A1005</f>
        <v>GB00B84QL393</v>
      </c>
      <c r="B1005" t="str">
        <f>VLOOKUP(NoviaFunds[[#This Row],[ISIN]],'Novia Web Query'!$A:$E,2,FALSE)</f>
        <v>BNY Mellon Global Multi-Strategy Inst W Acc in GB</v>
      </c>
      <c r="C1005" t="str">
        <f>VLOOKUP(NoviaFunds[[#This Row],[ISIN]],'Novia Web Query'!$A:$E,3,FALSE)</f>
        <v>UT Mixed Investment 20-60% Shares</v>
      </c>
      <c r="D1005" s="139">
        <f>VLOOKUP(NoviaFunds[[#This Row],[ISIN]],'Novia Web Query'!$A:$E,4,FALSE)/100</f>
        <v>7.1999999999999998E-3</v>
      </c>
      <c r="E1005" s="3" t="str">
        <f>VLOOKUP(NoviaFunds[[#This Row],[ISIN]],'Novia Web Query'!$A:$E,5,FALSE)</f>
        <v>21/12/2021</v>
      </c>
      <c r="F1005" t="str">
        <f>VLOOKUP(NoviaFunds[[#This Row],[Sector]],Sectors[],2,FALSE)</f>
        <v>Mixed 20%-60%</v>
      </c>
    </row>
    <row r="1006" spans="1:6" x14ac:dyDescent="0.2">
      <c r="A1006" t="str">
        <f>'Novia Web Query'!A1006</f>
        <v>GB00B8BSRR47</v>
      </c>
      <c r="B1006" t="str">
        <f>VLOOKUP(NoviaFunds[[#This Row],[ISIN]],'Novia Web Query'!$A:$E,2,FALSE)</f>
        <v>BNY Mellon Global Multi-Strategy Inst W Inc TR in GB</v>
      </c>
      <c r="C1006" t="str">
        <f>VLOOKUP(NoviaFunds[[#This Row],[ISIN]],'Novia Web Query'!$A:$E,3,FALSE)</f>
        <v>UT Mixed Investment 20-60% Shares</v>
      </c>
      <c r="D1006" s="139">
        <f>VLOOKUP(NoviaFunds[[#This Row],[ISIN]],'Novia Web Query'!$A:$E,4,FALSE)/100</f>
        <v>7.1999999999999998E-3</v>
      </c>
      <c r="E1006" s="3" t="str">
        <f>VLOOKUP(NoviaFunds[[#This Row],[ISIN]],'Novia Web Query'!$A:$E,5,FALSE)</f>
        <v>21/12/2021</v>
      </c>
      <c r="F1006" t="str">
        <f>VLOOKUP(NoviaFunds[[#This Row],[Sector]],Sectors[],2,FALSE)</f>
        <v>Mixed 20%-60%</v>
      </c>
    </row>
    <row r="1007" spans="1:6" x14ac:dyDescent="0.2">
      <c r="A1007" t="str">
        <f>'Novia Web Query'!A1007</f>
        <v>GB00B7S8QD90</v>
      </c>
      <c r="B1007" t="str">
        <f>VLOOKUP(NoviaFunds[[#This Row],[ISIN]],'Novia Web Query'!$A:$E,2,FALSE)</f>
        <v>BNY Mellon Global Multi-Strategy Sterling Acc in GB</v>
      </c>
      <c r="C1007" t="str">
        <f>VLOOKUP(NoviaFunds[[#This Row],[ISIN]],'Novia Web Query'!$A:$E,3,FALSE)</f>
        <v>UT Mixed Investment 20-60% Shares</v>
      </c>
      <c r="D1007" s="139">
        <f>VLOOKUP(NoviaFunds[[#This Row],[ISIN]],'Novia Web Query'!$A:$E,4,FALSE)/100</f>
        <v>1.67E-2</v>
      </c>
      <c r="E1007" s="3" t="str">
        <f>VLOOKUP(NoviaFunds[[#This Row],[ISIN]],'Novia Web Query'!$A:$E,5,FALSE)</f>
        <v>21/12/2021</v>
      </c>
      <c r="F1007" t="str">
        <f>VLOOKUP(NoviaFunds[[#This Row],[Sector]],Sectors[],2,FALSE)</f>
        <v>Mixed 20%-60%</v>
      </c>
    </row>
    <row r="1008" spans="1:6" x14ac:dyDescent="0.2">
      <c r="A1008" t="str">
        <f>'Novia Web Query'!A1008</f>
        <v>GB00B3Y9D712</v>
      </c>
      <c r="B1008" t="str">
        <f>VLOOKUP(NoviaFunds[[#This Row],[ISIN]],'Novia Web Query'!$A:$E,2,FALSE)</f>
        <v>BNY Mellon Global Multi-Strategy Sterling Inc TR in GB</v>
      </c>
      <c r="C1008" t="str">
        <f>VLOOKUP(NoviaFunds[[#This Row],[ISIN]],'Novia Web Query'!$A:$E,3,FALSE)</f>
        <v>UT Mixed Investment 20-60% Shares</v>
      </c>
      <c r="D1008" s="139">
        <f>VLOOKUP(NoviaFunds[[#This Row],[ISIN]],'Novia Web Query'!$A:$E,4,FALSE)/100</f>
        <v>1.67E-2</v>
      </c>
      <c r="E1008" s="3" t="str">
        <f>VLOOKUP(NoviaFunds[[#This Row],[ISIN]],'Novia Web Query'!$A:$E,5,FALSE)</f>
        <v>21/12/2021</v>
      </c>
      <c r="F1008" t="str">
        <f>VLOOKUP(NoviaFunds[[#This Row],[Sector]],Sectors[],2,FALSE)</f>
        <v>Mixed 20%-60%</v>
      </c>
    </row>
    <row r="1009" spans="1:6" x14ac:dyDescent="0.2">
      <c r="A1009" t="str">
        <f>'Novia Web Query'!A1009</f>
        <v>GB00B83R9Z17</v>
      </c>
      <c r="B1009" t="str">
        <f>VLOOKUP(NoviaFunds[[#This Row],[ISIN]],'Novia Web Query'!$A:$E,2,FALSE)</f>
        <v>BNY Mellon Global Opportunities Inst W Acc GBP TR in GB</v>
      </c>
      <c r="C1009" t="str">
        <f>VLOOKUP(NoviaFunds[[#This Row],[ISIN]],'Novia Web Query'!$A:$E,3,FALSE)</f>
        <v>UT Global</v>
      </c>
      <c r="D1009" s="139">
        <f>VLOOKUP(NoviaFunds[[#This Row],[ISIN]],'Novia Web Query'!$A:$E,4,FALSE)/100</f>
        <v>8.0000000000000002E-3</v>
      </c>
      <c r="E1009" s="3" t="str">
        <f>VLOOKUP(NoviaFunds[[#This Row],[ISIN]],'Novia Web Query'!$A:$E,5,FALSE)</f>
        <v>21/12/2021</v>
      </c>
      <c r="F1009" t="str">
        <f>VLOOKUP(NoviaFunds[[#This Row],[Sector]],Sectors[],2,FALSE)</f>
        <v>Other Equities</v>
      </c>
    </row>
    <row r="1010" spans="1:6" x14ac:dyDescent="0.2">
      <c r="A1010" t="str">
        <f>'Novia Web Query'!A1010</f>
        <v>GB00B8C1LK38</v>
      </c>
      <c r="B1010" t="str">
        <f>VLOOKUP(NoviaFunds[[#This Row],[ISIN]],'Novia Web Query'!$A:$E,2,FALSE)</f>
        <v>BNY Mellon Global Opportunities Inst W Inc GBP TR in GB</v>
      </c>
      <c r="C1010" t="str">
        <f>VLOOKUP(NoviaFunds[[#This Row],[ISIN]],'Novia Web Query'!$A:$E,3,FALSE)</f>
        <v>UT Global</v>
      </c>
      <c r="D1010" s="139">
        <f>VLOOKUP(NoviaFunds[[#This Row],[ISIN]],'Novia Web Query'!$A:$E,4,FALSE)/100</f>
        <v>8.0000000000000002E-3</v>
      </c>
      <c r="E1010" s="3" t="str">
        <f>VLOOKUP(NoviaFunds[[#This Row],[ISIN]],'Novia Web Query'!$A:$E,5,FALSE)</f>
        <v>21/12/2021</v>
      </c>
      <c r="F1010" t="str">
        <f>VLOOKUP(NoviaFunds[[#This Row],[Sector]],Sectors[],2,FALSE)</f>
        <v>Other Equities</v>
      </c>
    </row>
    <row r="1011" spans="1:6" x14ac:dyDescent="0.2">
      <c r="A1011" t="str">
        <f>'Novia Web Query'!A1011</f>
        <v>GB00B01X0X00</v>
      </c>
      <c r="B1011" t="str">
        <f>VLOOKUP(NoviaFunds[[#This Row],[ISIN]],'Novia Web Query'!$A:$E,2,FALSE)</f>
        <v>BNY Mellon Index Linked Gilt Inst Acc in GB</v>
      </c>
      <c r="C1011" t="str">
        <f>VLOOKUP(NoviaFunds[[#This Row],[ISIN]],'Novia Web Query'!$A:$E,3,FALSE)</f>
        <v>UT UK Index Linked Gilts</v>
      </c>
      <c r="D1011" s="139">
        <f>VLOOKUP(NoviaFunds[[#This Row],[ISIN]],'Novia Web Query'!$A:$E,4,FALSE)/100</f>
        <v>5.7999999999999996E-3</v>
      </c>
      <c r="E1011" s="3" t="str">
        <f>VLOOKUP(NoviaFunds[[#This Row],[ISIN]],'Novia Web Query'!$A:$E,5,FALSE)</f>
        <v>21/12/2021</v>
      </c>
      <c r="F1011" t="str">
        <f>VLOOKUP(NoviaFunds[[#This Row],[Sector]],Sectors[],2,FALSE)</f>
        <v>UK Index Linked Gilts</v>
      </c>
    </row>
    <row r="1012" spans="1:6" x14ac:dyDescent="0.2">
      <c r="A1012" t="str">
        <f>'Novia Web Query'!A1012</f>
        <v>GB00BW1YLP65</v>
      </c>
      <c r="B1012" t="str">
        <f>VLOOKUP(NoviaFunds[[#This Row],[ISIN]],'Novia Web Query'!$A:$E,2,FALSE)</f>
        <v>BNY Mellon Inflation Linked Corporate Bond F Acc in GB**</v>
      </c>
      <c r="C1012" t="str">
        <f>VLOOKUP(NoviaFunds[[#This Row],[ISIN]],'Novia Web Query'!$A:$E,3,FALSE)</f>
        <v>UT Sterling Strategic Bond</v>
      </c>
      <c r="D1012" s="139">
        <f>VLOOKUP(NoviaFunds[[#This Row],[ISIN]],'Novia Web Query'!$A:$E,4,FALSE)/100</f>
        <v>5.1999999999999998E-3</v>
      </c>
      <c r="E1012" s="3" t="str">
        <f>VLOOKUP(NoviaFunds[[#This Row],[ISIN]],'Novia Web Query'!$A:$E,5,FALSE)</f>
        <v>21/12/2021</v>
      </c>
      <c r="F1012" t="str">
        <f>VLOOKUP(NoviaFunds[[#This Row],[Sector]],Sectors[],2,FALSE)</f>
        <v>Other Bonds</v>
      </c>
    </row>
    <row r="1013" spans="1:6" x14ac:dyDescent="0.2">
      <c r="A1013" t="str">
        <f>'Novia Web Query'!A1013</f>
        <v>GB00BW1YLQ72</v>
      </c>
      <c r="B1013" t="str">
        <f>VLOOKUP(NoviaFunds[[#This Row],[ISIN]],'Novia Web Query'!$A:$E,2,FALSE)</f>
        <v>BNY Mellon Inflation Linked Corporate Bond F Inc TR in GB**</v>
      </c>
      <c r="C1013" t="str">
        <f>VLOOKUP(NoviaFunds[[#This Row],[ISIN]],'Novia Web Query'!$A:$E,3,FALSE)</f>
        <v>UT Sterling Strategic Bond</v>
      </c>
      <c r="D1013" s="139">
        <f>VLOOKUP(NoviaFunds[[#This Row],[ISIN]],'Novia Web Query'!$A:$E,4,FALSE)/100</f>
        <v>5.1999999999999998E-3</v>
      </c>
      <c r="E1013" s="3" t="str">
        <f>VLOOKUP(NoviaFunds[[#This Row],[ISIN]],'Novia Web Query'!$A:$E,5,FALSE)</f>
        <v>21/12/2021</v>
      </c>
      <c r="F1013" t="str">
        <f>VLOOKUP(NoviaFunds[[#This Row],[Sector]],Sectors[],2,FALSE)</f>
        <v>Other Bonds</v>
      </c>
    </row>
    <row r="1014" spans="1:6" x14ac:dyDescent="0.2">
      <c r="A1014" t="str">
        <f>'Novia Web Query'!A1014</f>
        <v>GB00B8HY5051</v>
      </c>
      <c r="B1014" t="str">
        <f>VLOOKUP(NoviaFunds[[#This Row],[ISIN]],'Novia Web Query'!$A:$E,2,FALSE)</f>
        <v>BNY Mellon Inflation Linked Corporate Bond Institutional W Acc in GB</v>
      </c>
      <c r="C1014" t="str">
        <f>VLOOKUP(NoviaFunds[[#This Row],[ISIN]],'Novia Web Query'!$A:$E,3,FALSE)</f>
        <v>UT Sterling Strategic Bond</v>
      </c>
      <c r="D1014" s="139">
        <f>VLOOKUP(NoviaFunds[[#This Row],[ISIN]],'Novia Web Query'!$A:$E,4,FALSE)/100</f>
        <v>6.7000000000000002E-3</v>
      </c>
      <c r="E1014" s="3" t="str">
        <f>VLOOKUP(NoviaFunds[[#This Row],[ISIN]],'Novia Web Query'!$A:$E,5,FALSE)</f>
        <v>21/12/2021</v>
      </c>
      <c r="F1014" t="str">
        <f>VLOOKUP(NoviaFunds[[#This Row],[Sector]],Sectors[],2,FALSE)</f>
        <v>Other Bonds</v>
      </c>
    </row>
    <row r="1015" spans="1:6" x14ac:dyDescent="0.2">
      <c r="A1015" t="str">
        <f>'Novia Web Query'!A1015</f>
        <v>GB00B7HYGP07</v>
      </c>
      <c r="B1015" t="str">
        <f>VLOOKUP(NoviaFunds[[#This Row],[ISIN]],'Novia Web Query'!$A:$E,2,FALSE)</f>
        <v>BNY Mellon Inflation Linked Corporate Bond Institutional W Inc TR in GB</v>
      </c>
      <c r="C1015" t="str">
        <f>VLOOKUP(NoviaFunds[[#This Row],[ISIN]],'Novia Web Query'!$A:$E,3,FALSE)</f>
        <v>UT Sterling Strategic Bond</v>
      </c>
      <c r="D1015" s="139">
        <f>VLOOKUP(NoviaFunds[[#This Row],[ISIN]],'Novia Web Query'!$A:$E,4,FALSE)/100</f>
        <v>6.7000000000000002E-3</v>
      </c>
      <c r="E1015" s="3" t="str">
        <f>VLOOKUP(NoviaFunds[[#This Row],[ISIN]],'Novia Web Query'!$A:$E,5,FALSE)</f>
        <v>21/12/2021</v>
      </c>
      <c r="F1015" t="str">
        <f>VLOOKUP(NoviaFunds[[#This Row],[Sector]],Sectors[],2,FALSE)</f>
        <v>Other Bonds</v>
      </c>
    </row>
    <row r="1016" spans="1:6" x14ac:dyDescent="0.2">
      <c r="A1016" t="str">
        <f>'Novia Web Query'!A1016</f>
        <v>GB00B8CJGZ73</v>
      </c>
      <c r="B1016" t="str">
        <f>VLOOKUP(NoviaFunds[[#This Row],[ISIN]],'Novia Web Query'!$A:$E,2,FALSE)</f>
        <v>BNY Mellon Inflation Linked Corporate Bond Sterling Acc in GB</v>
      </c>
      <c r="C1016" t="str">
        <f>VLOOKUP(NoviaFunds[[#This Row],[ISIN]],'Novia Web Query'!$A:$E,3,FALSE)</f>
        <v>UT Sterling Strategic Bond</v>
      </c>
      <c r="D1016" s="139">
        <f>VLOOKUP(NoviaFunds[[#This Row],[ISIN]],'Novia Web Query'!$A:$E,4,FALSE)/100</f>
        <v>1.34E-2</v>
      </c>
      <c r="E1016" s="3" t="str">
        <f>VLOOKUP(NoviaFunds[[#This Row],[ISIN]],'Novia Web Query'!$A:$E,5,FALSE)</f>
        <v>21/12/2021</v>
      </c>
      <c r="F1016" t="str">
        <f>VLOOKUP(NoviaFunds[[#This Row],[Sector]],Sectors[],2,FALSE)</f>
        <v>Other Bonds</v>
      </c>
    </row>
    <row r="1017" spans="1:6" x14ac:dyDescent="0.2">
      <c r="A1017" t="str">
        <f>'Novia Web Query'!A1017</f>
        <v>GB00B8DRN932</v>
      </c>
      <c r="B1017" t="str">
        <f>VLOOKUP(NoviaFunds[[#This Row],[ISIN]],'Novia Web Query'!$A:$E,2,FALSE)</f>
        <v>BNY Mellon Inflation Linked Corporate Bond Sterling Inc TR in GB</v>
      </c>
      <c r="C1017" t="str">
        <f>VLOOKUP(NoviaFunds[[#This Row],[ISIN]],'Novia Web Query'!$A:$E,3,FALSE)</f>
        <v>UT Sterling Strategic Bond</v>
      </c>
      <c r="D1017" s="139">
        <f>VLOOKUP(NoviaFunds[[#This Row],[ISIN]],'Novia Web Query'!$A:$E,4,FALSE)/100</f>
        <v>1.34E-2</v>
      </c>
      <c r="E1017" s="3" t="str">
        <f>VLOOKUP(NoviaFunds[[#This Row],[ISIN]],'Novia Web Query'!$A:$E,5,FALSE)</f>
        <v>21/12/2021</v>
      </c>
      <c r="F1017" t="str">
        <f>VLOOKUP(NoviaFunds[[#This Row],[Sector]],Sectors[],2,FALSE)</f>
        <v>Other Bonds</v>
      </c>
    </row>
    <row r="1018" spans="1:6" x14ac:dyDescent="0.2">
      <c r="A1018" t="str">
        <f>'Novia Web Query'!A1018</f>
        <v>GB00B0702Y07</v>
      </c>
      <c r="B1018" t="str">
        <f>VLOOKUP(NoviaFunds[[#This Row],[ISIN]],'Novia Web Query'!$A:$E,2,FALSE)</f>
        <v>BNY Mellon International Bond Inst GBP in GB</v>
      </c>
      <c r="C1018" t="str">
        <f>VLOOKUP(NoviaFunds[[#This Row],[ISIN]],'Novia Web Query'!$A:$E,3,FALSE)</f>
        <v>UT Global Bonds</v>
      </c>
      <c r="D1018" s="139">
        <f>VLOOKUP(NoviaFunds[[#This Row],[ISIN]],'Novia Web Query'!$A:$E,4,FALSE)/100</f>
        <v>5.6000000000000008E-3</v>
      </c>
      <c r="E1018" s="3" t="str">
        <f>VLOOKUP(NoviaFunds[[#This Row],[ISIN]],'Novia Web Query'!$A:$E,5,FALSE)</f>
        <v>21/12/2021</v>
      </c>
      <c r="F1018" t="str">
        <f>VLOOKUP(NoviaFunds[[#This Row],[Sector]],Sectors[],2,FALSE)</f>
        <v>Global Investment Grade</v>
      </c>
    </row>
    <row r="1019" spans="1:6" x14ac:dyDescent="0.2">
      <c r="A1019" t="str">
        <f>'Novia Web Query'!A1019</f>
        <v>GB00B1W0M427</v>
      </c>
      <c r="B1019" t="str">
        <f>VLOOKUP(NoviaFunds[[#This Row],[ISIN]],'Novia Web Query'!$A:$E,2,FALSE)</f>
        <v>BNY Mellon International Bond Inst Inc GBP TR in GB</v>
      </c>
      <c r="C1019" t="str">
        <f>VLOOKUP(NoviaFunds[[#This Row],[ISIN]],'Novia Web Query'!$A:$E,3,FALSE)</f>
        <v>UT Global Bonds</v>
      </c>
      <c r="D1019" s="139">
        <f>VLOOKUP(NoviaFunds[[#This Row],[ISIN]],'Novia Web Query'!$A:$E,4,FALSE)/100</f>
        <v>5.6000000000000008E-3</v>
      </c>
      <c r="E1019" s="3" t="str">
        <f>VLOOKUP(NoviaFunds[[#This Row],[ISIN]],'Novia Web Query'!$A:$E,5,FALSE)</f>
        <v>21/12/2021</v>
      </c>
      <c r="F1019" t="str">
        <f>VLOOKUP(NoviaFunds[[#This Row],[Sector]],Sectors[],2,FALSE)</f>
        <v>Global Investment Grade</v>
      </c>
    </row>
    <row r="1020" spans="1:6" x14ac:dyDescent="0.2">
      <c r="A1020" t="str">
        <f>'Novia Web Query'!A1020</f>
        <v>GB00B8BYHS32</v>
      </c>
      <c r="B1020" t="str">
        <f>VLOOKUP(NoviaFunds[[#This Row],[ISIN]],'Novia Web Query'!$A:$E,2,FALSE)</f>
        <v>BNY Mellon International Bond Inst W Acc GBP TR in GB</v>
      </c>
      <c r="C1020" t="str">
        <f>VLOOKUP(NoviaFunds[[#This Row],[ISIN]],'Novia Web Query'!$A:$E,3,FALSE)</f>
        <v>UT Global Bonds</v>
      </c>
      <c r="D1020" s="139">
        <f>VLOOKUP(NoviaFunds[[#This Row],[ISIN]],'Novia Web Query'!$A:$E,4,FALSE)/100</f>
        <v>5.6000000000000008E-3</v>
      </c>
      <c r="E1020" s="3" t="str">
        <f>VLOOKUP(NoviaFunds[[#This Row],[ISIN]],'Novia Web Query'!$A:$E,5,FALSE)</f>
        <v>21/12/2021</v>
      </c>
      <c r="F1020" t="str">
        <f>VLOOKUP(NoviaFunds[[#This Row],[Sector]],Sectors[],2,FALSE)</f>
        <v>Global Investment Grade</v>
      </c>
    </row>
    <row r="1021" spans="1:6" x14ac:dyDescent="0.2">
      <c r="A1021" t="str">
        <f>'Novia Web Query'!A1021</f>
        <v>GB00B88K4389</v>
      </c>
      <c r="B1021" t="str">
        <f>VLOOKUP(NoviaFunds[[#This Row],[ISIN]],'Novia Web Query'!$A:$E,2,FALSE)</f>
        <v>BNY Mellon International Bond Inst W Inc GBP TR in GB</v>
      </c>
      <c r="C1021" t="str">
        <f>VLOOKUP(NoviaFunds[[#This Row],[ISIN]],'Novia Web Query'!$A:$E,3,FALSE)</f>
        <v>UT Global Bonds</v>
      </c>
      <c r="D1021" s="139">
        <f>VLOOKUP(NoviaFunds[[#This Row],[ISIN]],'Novia Web Query'!$A:$E,4,FALSE)/100</f>
        <v>5.6000000000000008E-3</v>
      </c>
      <c r="E1021" s="3" t="str">
        <f>VLOOKUP(NoviaFunds[[#This Row],[ISIN]],'Novia Web Query'!$A:$E,5,FALSE)</f>
        <v>21/12/2021</v>
      </c>
      <c r="F1021" t="str">
        <f>VLOOKUP(NoviaFunds[[#This Row],[Sector]],Sectors[],2,FALSE)</f>
        <v>Global Investment Grade</v>
      </c>
    </row>
    <row r="1022" spans="1:6" x14ac:dyDescent="0.2">
      <c r="A1022" t="str">
        <f>'Novia Web Query'!A1022</f>
        <v>GB0006779655</v>
      </c>
      <c r="B1022" t="str">
        <f>VLOOKUP(NoviaFunds[[#This Row],[ISIN]],'Novia Web Query'!$A:$E,2,FALSE)</f>
        <v>BNY Mellon International Bond Sterling GBP TR in GB</v>
      </c>
      <c r="C1022" t="str">
        <f>VLOOKUP(NoviaFunds[[#This Row],[ISIN]],'Novia Web Query'!$A:$E,3,FALSE)</f>
        <v>UT Global Bonds</v>
      </c>
      <c r="D1022" s="139">
        <f>VLOOKUP(NoviaFunds[[#This Row],[ISIN]],'Novia Web Query'!$A:$E,4,FALSE)/100</f>
        <v>1.1299999999999999E-2</v>
      </c>
      <c r="E1022" s="3" t="str">
        <f>VLOOKUP(NoviaFunds[[#This Row],[ISIN]],'Novia Web Query'!$A:$E,5,FALSE)</f>
        <v>21/12/2021</v>
      </c>
      <c r="F1022" t="str">
        <f>VLOOKUP(NoviaFunds[[#This Row],[Sector]],Sectors[],2,FALSE)</f>
        <v>Global Investment Grade</v>
      </c>
    </row>
    <row r="1023" spans="1:6" x14ac:dyDescent="0.2">
      <c r="A1023" t="str">
        <f>'Novia Web Query'!A1023</f>
        <v>GB00B01X1269</v>
      </c>
      <c r="B1023" t="str">
        <f>VLOOKUP(NoviaFunds[[#This Row],[ISIN]],'Novia Web Query'!$A:$E,2,FALSE)</f>
        <v>BNY Mellon Long Gilt Inst TR in GB</v>
      </c>
      <c r="C1023" t="str">
        <f>VLOOKUP(NoviaFunds[[#This Row],[ISIN]],'Novia Web Query'!$A:$E,3,FALSE)</f>
        <v>UT UK Gilts</v>
      </c>
      <c r="D1023" s="139">
        <f>VLOOKUP(NoviaFunds[[#This Row],[ISIN]],'Novia Web Query'!$A:$E,4,FALSE)/100</f>
        <v>5.6999999999999993E-3</v>
      </c>
      <c r="E1023" s="3" t="str">
        <f>VLOOKUP(NoviaFunds[[#This Row],[ISIN]],'Novia Web Query'!$A:$E,5,FALSE)</f>
        <v>21/12/2021</v>
      </c>
      <c r="F1023" t="str">
        <f>VLOOKUP(NoviaFunds[[#This Row],[Sector]],Sectors[],2,FALSE)</f>
        <v>Gilts</v>
      </c>
    </row>
    <row r="1024" spans="1:6" x14ac:dyDescent="0.2">
      <c r="A1024" t="str">
        <f>'Novia Web Query'!A1024</f>
        <v>GB00B8K6W529</v>
      </c>
      <c r="B1024" t="str">
        <f>VLOOKUP(NoviaFunds[[#This Row],[ISIN]],'Novia Web Query'!$A:$E,2,FALSE)</f>
        <v>BNY Mellon Long Term Global Equity Inst W Acc GBP TR in GB</v>
      </c>
      <c r="C1024" t="str">
        <f>VLOOKUP(NoviaFunds[[#This Row],[ISIN]],'Novia Web Query'!$A:$E,3,FALSE)</f>
        <v>UT Global</v>
      </c>
      <c r="D1024" s="139">
        <f>VLOOKUP(NoviaFunds[[#This Row],[ISIN]],'Novia Web Query'!$A:$E,4,FALSE)/100</f>
        <v>8.0000000000000002E-3</v>
      </c>
      <c r="E1024" s="3" t="str">
        <f>VLOOKUP(NoviaFunds[[#This Row],[ISIN]],'Novia Web Query'!$A:$E,5,FALSE)</f>
        <v>21/12/2021</v>
      </c>
      <c r="F1024" t="str">
        <f>VLOOKUP(NoviaFunds[[#This Row],[Sector]],Sectors[],2,FALSE)</f>
        <v>Other Equities</v>
      </c>
    </row>
    <row r="1025" spans="1:6" x14ac:dyDescent="0.2">
      <c r="A1025" t="str">
        <f>'Novia Web Query'!A1025</f>
        <v>GB00B7V94793</v>
      </c>
      <c r="B1025" t="str">
        <f>VLOOKUP(NoviaFunds[[#This Row],[ISIN]],'Novia Web Query'!$A:$E,2,FALSE)</f>
        <v>BNY Mellon Long Term Global Equity Inst W Inc GBP TR in GB</v>
      </c>
      <c r="C1025" t="str">
        <f>VLOOKUP(NoviaFunds[[#This Row],[ISIN]],'Novia Web Query'!$A:$E,3,FALSE)</f>
        <v>UT Global</v>
      </c>
      <c r="D1025" s="139">
        <f>VLOOKUP(NoviaFunds[[#This Row],[ISIN]],'Novia Web Query'!$A:$E,4,FALSE)/100</f>
        <v>8.0000000000000002E-3</v>
      </c>
      <c r="E1025" s="3" t="str">
        <f>VLOOKUP(NoviaFunds[[#This Row],[ISIN]],'Novia Web Query'!$A:$E,5,FALSE)</f>
        <v>21/12/2021</v>
      </c>
      <c r="F1025" t="str">
        <f>VLOOKUP(NoviaFunds[[#This Row],[Sector]],Sectors[],2,FALSE)</f>
        <v>Other Equities</v>
      </c>
    </row>
    <row r="1026" spans="1:6" x14ac:dyDescent="0.2">
      <c r="A1026" t="str">
        <f>'Novia Web Query'!A1026</f>
        <v>GB00B2423L71</v>
      </c>
      <c r="B1026" t="str">
        <f>VLOOKUP(NoviaFunds[[#This Row],[ISIN]],'Novia Web Query'!$A:$E,2,FALSE)</f>
        <v>BNY Mellon Long Term Global Equity Sterling Inc TR in GB</v>
      </c>
      <c r="C1026" t="str">
        <f>VLOOKUP(NoviaFunds[[#This Row],[ISIN]],'Novia Web Query'!$A:$E,3,FALSE)</f>
        <v>UT Global</v>
      </c>
      <c r="D1026" s="139">
        <f>VLOOKUP(NoviaFunds[[#This Row],[ISIN]],'Novia Web Query'!$A:$E,4,FALSE)/100</f>
        <v>1.6200000000000003E-2</v>
      </c>
      <c r="E1026" s="3" t="str">
        <f>VLOOKUP(NoviaFunds[[#This Row],[ISIN]],'Novia Web Query'!$A:$E,5,FALSE)</f>
        <v>21/12/2021</v>
      </c>
      <c r="F1026" t="str">
        <f>VLOOKUP(NoviaFunds[[#This Row],[Sector]],Sectors[],2,FALSE)</f>
        <v>Other Equities</v>
      </c>
    </row>
    <row r="1027" spans="1:6" x14ac:dyDescent="0.2">
      <c r="A1027" t="str">
        <f>'Novia Web Query'!A1027</f>
        <v>GB00BGJZ1S25</v>
      </c>
      <c r="B1027" t="str">
        <f>VLOOKUP(NoviaFunds[[#This Row],[ISIN]],'Novia Web Query'!$A:$E,2,FALSE)</f>
        <v>BNY Mellon Managed Targeted Return Institutional W Acc in GB</v>
      </c>
      <c r="C1027" t="str">
        <f>VLOOKUP(NoviaFunds[[#This Row],[ISIN]],'Novia Web Query'!$A:$E,3,FALSE)</f>
        <v>UT Targeted Absolute Return</v>
      </c>
      <c r="D1027" s="139">
        <f>VLOOKUP(NoviaFunds[[#This Row],[ISIN]],'Novia Web Query'!$A:$E,4,FALSE)/100</f>
        <v>8.0000000000000002E-3</v>
      </c>
      <c r="E1027" s="3" t="str">
        <f>VLOOKUP(NoviaFunds[[#This Row],[ISIN]],'Novia Web Query'!$A:$E,5,FALSE)</f>
        <v>21/12/2021</v>
      </c>
      <c r="F1027" t="str">
        <f>VLOOKUP(NoviaFunds[[#This Row],[Sector]],Sectors[],2,FALSE)</f>
        <v>Absolute Return</v>
      </c>
    </row>
    <row r="1028" spans="1:6" x14ac:dyDescent="0.2">
      <c r="A1028" t="str">
        <f>'Novia Web Query'!A1028</f>
        <v>GB00B86LX253</v>
      </c>
      <c r="B1028" t="str">
        <f>VLOOKUP(NoviaFunds[[#This Row],[ISIN]],'Novia Web Query'!$A:$E,2,FALSE)</f>
        <v>BNY Mellon Multi-Asset Balanced Inst W Acc TR in GB</v>
      </c>
      <c r="C1028" t="str">
        <f>VLOOKUP(NoviaFunds[[#This Row],[ISIN]],'Novia Web Query'!$A:$E,3,FALSE)</f>
        <v>UT Mixed Investment 40-85% Shares</v>
      </c>
      <c r="D1028" s="139">
        <f>VLOOKUP(NoviaFunds[[#This Row],[ISIN]],'Novia Web Query'!$A:$E,4,FALSE)/100</f>
        <v>6.7000000000000002E-3</v>
      </c>
      <c r="E1028" s="3" t="str">
        <f>VLOOKUP(NoviaFunds[[#This Row],[ISIN]],'Novia Web Query'!$A:$E,5,FALSE)</f>
        <v>21/12/2021</v>
      </c>
      <c r="F1028" t="str">
        <f>VLOOKUP(NoviaFunds[[#This Row],[Sector]],Sectors[],2,FALSE)</f>
        <v>Mixed 40%-85%</v>
      </c>
    </row>
    <row r="1029" spans="1:6" x14ac:dyDescent="0.2">
      <c r="A1029" t="str">
        <f>'Novia Web Query'!A1029</f>
        <v>GB00B7LB0P54</v>
      </c>
      <c r="B1029" t="str">
        <f>VLOOKUP(NoviaFunds[[#This Row],[ISIN]],'Novia Web Query'!$A:$E,2,FALSE)</f>
        <v>BNY Mellon Multi-Asset Balanced Inst W Inc TR in GB</v>
      </c>
      <c r="C1029" t="str">
        <f>VLOOKUP(NoviaFunds[[#This Row],[ISIN]],'Novia Web Query'!$A:$E,3,FALSE)</f>
        <v>UT Mixed Investment 40-85% Shares</v>
      </c>
      <c r="D1029" s="139">
        <f>VLOOKUP(NoviaFunds[[#This Row],[ISIN]],'Novia Web Query'!$A:$E,4,FALSE)/100</f>
        <v>6.7000000000000002E-3</v>
      </c>
      <c r="E1029" s="3" t="str">
        <f>VLOOKUP(NoviaFunds[[#This Row],[ISIN]],'Novia Web Query'!$A:$E,5,FALSE)</f>
        <v>21/12/2021</v>
      </c>
      <c r="F1029" t="str">
        <f>VLOOKUP(NoviaFunds[[#This Row],[Sector]],Sectors[],2,FALSE)</f>
        <v>Mixed 40%-85%</v>
      </c>
    </row>
    <row r="1030" spans="1:6" x14ac:dyDescent="0.2">
      <c r="A1030" t="str">
        <f>'Novia Web Query'!A1030</f>
        <v>GB0006778574</v>
      </c>
      <c r="B1030" t="str">
        <f>VLOOKUP(NoviaFunds[[#This Row],[ISIN]],'Novia Web Query'!$A:$E,2,FALSE)</f>
        <v>BNY Mellon Multi-Asset Balanced Sterling TR in GB</v>
      </c>
      <c r="C1030" t="str">
        <f>VLOOKUP(NoviaFunds[[#This Row],[ISIN]],'Novia Web Query'!$A:$E,3,FALSE)</f>
        <v>UT Mixed Investment 40-85% Shares</v>
      </c>
      <c r="D1030" s="139">
        <f>VLOOKUP(NoviaFunds[[#This Row],[ISIN]],'Novia Web Query'!$A:$E,4,FALSE)/100</f>
        <v>1.61E-2</v>
      </c>
      <c r="E1030" s="3" t="str">
        <f>VLOOKUP(NoviaFunds[[#This Row],[ISIN]],'Novia Web Query'!$A:$E,5,FALSE)</f>
        <v>21/12/2021</v>
      </c>
      <c r="F1030" t="str">
        <f>VLOOKUP(NoviaFunds[[#This Row],[Sector]],Sectors[],2,FALSE)</f>
        <v>Mixed 40%-85%</v>
      </c>
    </row>
    <row r="1031" spans="1:6" x14ac:dyDescent="0.2">
      <c r="A1031" t="str">
        <f>'Novia Web Query'!A1031</f>
        <v>GB00B81C8395</v>
      </c>
      <c r="B1031" t="str">
        <f>VLOOKUP(NoviaFunds[[#This Row],[ISIN]],'Novia Web Query'!$A:$E,2,FALSE)</f>
        <v>BNY Mellon Multi-Asset Diversified Return Inst W Acc in GB</v>
      </c>
      <c r="C1031" t="str">
        <f>VLOOKUP(NoviaFunds[[#This Row],[ISIN]],'Novia Web Query'!$A:$E,3,FALSE)</f>
        <v>UT Targeted Absolute Return</v>
      </c>
      <c r="D1031" s="139">
        <f>VLOOKUP(NoviaFunds[[#This Row],[ISIN]],'Novia Web Query'!$A:$E,4,FALSE)/100</f>
        <v>6.8000000000000005E-3</v>
      </c>
      <c r="E1031" s="3" t="str">
        <f>VLOOKUP(NoviaFunds[[#This Row],[ISIN]],'Novia Web Query'!$A:$E,5,FALSE)</f>
        <v>21/12/2021</v>
      </c>
      <c r="F1031" t="str">
        <f>VLOOKUP(NoviaFunds[[#This Row],[Sector]],Sectors[],2,FALSE)</f>
        <v>Absolute Return</v>
      </c>
    </row>
    <row r="1032" spans="1:6" x14ac:dyDescent="0.2">
      <c r="A1032" t="str">
        <f>'Novia Web Query'!A1032</f>
        <v>GB00B8HJ5779</v>
      </c>
      <c r="B1032" t="str">
        <f>VLOOKUP(NoviaFunds[[#This Row],[ISIN]],'Novia Web Query'!$A:$E,2,FALSE)</f>
        <v>BNY Mellon Multi-Asset Diversified Return Inst W Inc TR in GB</v>
      </c>
      <c r="C1032" t="str">
        <f>VLOOKUP(NoviaFunds[[#This Row],[ISIN]],'Novia Web Query'!$A:$E,3,FALSE)</f>
        <v>UT Targeted Absolute Return</v>
      </c>
      <c r="D1032" s="139">
        <f>VLOOKUP(NoviaFunds[[#This Row],[ISIN]],'Novia Web Query'!$A:$E,4,FALSE)/100</f>
        <v>6.8000000000000005E-3</v>
      </c>
      <c r="E1032" s="3" t="str">
        <f>VLOOKUP(NoviaFunds[[#This Row],[ISIN]],'Novia Web Query'!$A:$E,5,FALSE)</f>
        <v>21/12/2021</v>
      </c>
      <c r="F1032" t="str">
        <f>VLOOKUP(NoviaFunds[[#This Row],[Sector]],Sectors[],2,FALSE)</f>
        <v>Absolute Return</v>
      </c>
    </row>
    <row r="1033" spans="1:6" x14ac:dyDescent="0.2">
      <c r="A1033" t="str">
        <f>'Novia Web Query'!A1033</f>
        <v>GB00B1GJ9N38</v>
      </c>
      <c r="B1033" t="str">
        <f>VLOOKUP(NoviaFunds[[#This Row],[ISIN]],'Novia Web Query'!$A:$E,2,FALSE)</f>
        <v>BNY Mellon Multi-Asset Diversified Return Sterling Acc in GB</v>
      </c>
      <c r="C1033" t="str">
        <f>VLOOKUP(NoviaFunds[[#This Row],[ISIN]],'Novia Web Query'!$A:$E,3,FALSE)</f>
        <v>UT Targeted Absolute Return</v>
      </c>
      <c r="D1033" s="139">
        <f>VLOOKUP(NoviaFunds[[#This Row],[ISIN]],'Novia Web Query'!$A:$E,4,FALSE)/100</f>
        <v>1.6299999999999999E-2</v>
      </c>
      <c r="E1033" s="3" t="str">
        <f>VLOOKUP(NoviaFunds[[#This Row],[ISIN]],'Novia Web Query'!$A:$E,5,FALSE)</f>
        <v>21/12/2021</v>
      </c>
      <c r="F1033" t="str">
        <f>VLOOKUP(NoviaFunds[[#This Row],[Sector]],Sectors[],2,FALSE)</f>
        <v>Absolute Return</v>
      </c>
    </row>
    <row r="1034" spans="1:6" x14ac:dyDescent="0.2">
      <c r="A1034" t="str">
        <f>'Novia Web Query'!A1034</f>
        <v>GB00B1GJ9L14</v>
      </c>
      <c r="B1034" t="str">
        <f>VLOOKUP(NoviaFunds[[#This Row],[ISIN]],'Novia Web Query'!$A:$E,2,FALSE)</f>
        <v>BNY Mellon Multi-Asset Diversified Return Sterling Inc TR in GB</v>
      </c>
      <c r="C1034" t="str">
        <f>VLOOKUP(NoviaFunds[[#This Row],[ISIN]],'Novia Web Query'!$A:$E,3,FALSE)</f>
        <v>UT Targeted Absolute Return</v>
      </c>
      <c r="D1034" s="139">
        <f>VLOOKUP(NoviaFunds[[#This Row],[ISIN]],'Novia Web Query'!$A:$E,4,FALSE)/100</f>
        <v>1.6299999999999999E-2</v>
      </c>
      <c r="E1034" s="3" t="str">
        <f>VLOOKUP(NoviaFunds[[#This Row],[ISIN]],'Novia Web Query'!$A:$E,5,FALSE)</f>
        <v>21/12/2021</v>
      </c>
      <c r="F1034" t="str">
        <f>VLOOKUP(NoviaFunds[[#This Row],[Sector]],Sectors[],2,FALSE)</f>
        <v>Absolute Return</v>
      </c>
    </row>
    <row r="1035" spans="1:6" x14ac:dyDescent="0.2">
      <c r="A1035" t="str">
        <f>'Novia Web Query'!A1035</f>
        <v>GB00BD8YW204</v>
      </c>
      <c r="B1035" t="str">
        <f>VLOOKUP(NoviaFunds[[#This Row],[ISIN]],'Novia Web Query'!$A:$E,2,FALSE)</f>
        <v>BNY Mellon Multi-Asset Global Balanced Inst W Acc in GB**</v>
      </c>
      <c r="C1035" t="str">
        <f>VLOOKUP(NoviaFunds[[#This Row],[ISIN]],'Novia Web Query'!$A:$E,3,FALSE)</f>
        <v>UT Mixed Investment 40-85% Shares</v>
      </c>
      <c r="D1035" s="139">
        <f>VLOOKUP(NoviaFunds[[#This Row],[ISIN]],'Novia Web Query'!$A:$E,4,FALSE)/100</f>
        <v>6.7000000000000002E-3</v>
      </c>
      <c r="E1035" s="3" t="str">
        <f>VLOOKUP(NoviaFunds[[#This Row],[ISIN]],'Novia Web Query'!$A:$E,5,FALSE)</f>
        <v>21/12/2021</v>
      </c>
      <c r="F1035" t="str">
        <f>VLOOKUP(NoviaFunds[[#This Row],[Sector]],Sectors[],2,FALSE)</f>
        <v>Mixed 40%-85%</v>
      </c>
    </row>
    <row r="1036" spans="1:6" x14ac:dyDescent="0.2">
      <c r="A1036" t="str">
        <f>'Novia Web Query'!A1036</f>
        <v>GB00BD8YW196</v>
      </c>
      <c r="B1036" t="str">
        <f>VLOOKUP(NoviaFunds[[#This Row],[ISIN]],'Novia Web Query'!$A:$E,2,FALSE)</f>
        <v>BNY Mellon Multi-Asset Global Balanced Inst W Inc TR in GB**</v>
      </c>
      <c r="C1036" t="str">
        <f>VLOOKUP(NoviaFunds[[#This Row],[ISIN]],'Novia Web Query'!$A:$E,3,FALSE)</f>
        <v>UT Mixed Investment 40-85% Shares</v>
      </c>
      <c r="D1036" s="139">
        <f>VLOOKUP(NoviaFunds[[#This Row],[ISIN]],'Novia Web Query'!$A:$E,4,FALSE)/100</f>
        <v>6.7000000000000002E-3</v>
      </c>
      <c r="E1036" s="3" t="str">
        <f>VLOOKUP(NoviaFunds[[#This Row],[ISIN]],'Novia Web Query'!$A:$E,5,FALSE)</f>
        <v>21/12/2021</v>
      </c>
      <c r="F1036" t="str">
        <f>VLOOKUP(NoviaFunds[[#This Row],[Sector]],Sectors[],2,FALSE)</f>
        <v>Mixed 40%-85%</v>
      </c>
    </row>
    <row r="1037" spans="1:6" x14ac:dyDescent="0.2">
      <c r="A1037" t="str">
        <f>'Novia Web Query'!A1037</f>
        <v>GB00B83BJW04</v>
      </c>
      <c r="B1037" t="str">
        <f>VLOOKUP(NoviaFunds[[#This Row],[ISIN]],'Novia Web Query'!$A:$E,2,FALSE)</f>
        <v>BNY Mellon Multi-Asset Growth B Inc TR in GB**</v>
      </c>
      <c r="C1037" t="str">
        <f>VLOOKUP(NoviaFunds[[#This Row],[ISIN]],'Novia Web Query'!$A:$E,3,FALSE)</f>
        <v>UT Flexible Investment</v>
      </c>
      <c r="D1037" s="139">
        <f>VLOOKUP(NoviaFunds[[#This Row],[ISIN]],'Novia Web Query'!$A:$E,4,FALSE)/100</f>
        <v>8.5000000000000006E-3</v>
      </c>
      <c r="E1037" s="3" t="str">
        <f>VLOOKUP(NoviaFunds[[#This Row],[ISIN]],'Novia Web Query'!$A:$E,5,FALSE)</f>
        <v>21/12/2021</v>
      </c>
      <c r="F1037" t="str">
        <f>VLOOKUP(NoviaFunds[[#This Row],[Sector]],Sectors[],2,FALSE)</f>
        <v>Flexible</v>
      </c>
    </row>
    <row r="1038" spans="1:6" x14ac:dyDescent="0.2">
      <c r="A1038" t="str">
        <f>'Novia Web Query'!A1038</f>
        <v>GB00B8454P92</v>
      </c>
      <c r="B1038" t="str">
        <f>VLOOKUP(NoviaFunds[[#This Row],[ISIN]],'Novia Web Query'!$A:$E,2,FALSE)</f>
        <v>BNY Mellon Multi-Asset Growth Inst W Acc TR in GB</v>
      </c>
      <c r="C1038" t="str">
        <f>VLOOKUP(NoviaFunds[[#This Row],[ISIN]],'Novia Web Query'!$A:$E,3,FALSE)</f>
        <v>UT Flexible Investment</v>
      </c>
      <c r="D1038" s="139">
        <f>VLOOKUP(NoviaFunds[[#This Row],[ISIN]],'Novia Web Query'!$A:$E,4,FALSE)/100</f>
        <v>6.7000000000000002E-3</v>
      </c>
      <c r="E1038" s="3" t="str">
        <f>VLOOKUP(NoviaFunds[[#This Row],[ISIN]],'Novia Web Query'!$A:$E,5,FALSE)</f>
        <v>21/12/2021</v>
      </c>
      <c r="F1038" t="str">
        <f>VLOOKUP(NoviaFunds[[#This Row],[Sector]],Sectors[],2,FALSE)</f>
        <v>Flexible</v>
      </c>
    </row>
    <row r="1039" spans="1:6" x14ac:dyDescent="0.2">
      <c r="A1039" t="str">
        <f>'Novia Web Query'!A1039</f>
        <v>GB00B87BSD02</v>
      </c>
      <c r="B1039" t="str">
        <f>VLOOKUP(NoviaFunds[[#This Row],[ISIN]],'Novia Web Query'!$A:$E,2,FALSE)</f>
        <v>BNY Mellon Multi-Asset Growth Inst W Inc TR in GB</v>
      </c>
      <c r="C1039" t="str">
        <f>VLOOKUP(NoviaFunds[[#This Row],[ISIN]],'Novia Web Query'!$A:$E,3,FALSE)</f>
        <v>UT Flexible Investment</v>
      </c>
      <c r="D1039" s="139">
        <f>VLOOKUP(NoviaFunds[[#This Row],[ISIN]],'Novia Web Query'!$A:$E,4,FALSE)/100</f>
        <v>6.7000000000000002E-3</v>
      </c>
      <c r="E1039" s="3" t="str">
        <f>VLOOKUP(NoviaFunds[[#This Row],[ISIN]],'Novia Web Query'!$A:$E,5,FALSE)</f>
        <v>21/12/2021</v>
      </c>
      <c r="F1039" t="str">
        <f>VLOOKUP(NoviaFunds[[#This Row],[Sector]],Sectors[],2,FALSE)</f>
        <v>Flexible</v>
      </c>
    </row>
    <row r="1040" spans="1:6" x14ac:dyDescent="0.2">
      <c r="A1040" t="str">
        <f>'Novia Web Query'!A1040</f>
        <v>GB0006780984</v>
      </c>
      <c r="B1040" t="str">
        <f>VLOOKUP(NoviaFunds[[#This Row],[ISIN]],'Novia Web Query'!$A:$E,2,FALSE)</f>
        <v>BNY Mellon Multi-Asset Growth Sterling Inc TR in GB</v>
      </c>
      <c r="C1040" t="str">
        <f>VLOOKUP(NoviaFunds[[#This Row],[ISIN]],'Novia Web Query'!$A:$E,3,FALSE)</f>
        <v>UT Flexible Investment</v>
      </c>
      <c r="D1040" s="139">
        <f>VLOOKUP(NoviaFunds[[#This Row],[ISIN]],'Novia Web Query'!$A:$E,4,FALSE)/100</f>
        <v>1.6200000000000003E-2</v>
      </c>
      <c r="E1040" s="3" t="str">
        <f>VLOOKUP(NoviaFunds[[#This Row],[ISIN]],'Novia Web Query'!$A:$E,5,FALSE)</f>
        <v>21/12/2021</v>
      </c>
      <c r="F1040" t="str">
        <f>VLOOKUP(NoviaFunds[[#This Row],[Sector]],Sectors[],2,FALSE)</f>
        <v>Flexible</v>
      </c>
    </row>
    <row r="1041" spans="1:6" x14ac:dyDescent="0.2">
      <c r="A1041" t="str">
        <f>'Novia Web Query'!A1041</f>
        <v>GB00BP851Q49</v>
      </c>
      <c r="B1041" t="str">
        <f>VLOOKUP(NoviaFunds[[#This Row],[ISIN]],'Novia Web Query'!$A:$E,2,FALSE)</f>
        <v>BNY Mellon Multi-Asset Income Inst W Acc in GB</v>
      </c>
      <c r="C1041" t="str">
        <f>VLOOKUP(NoviaFunds[[#This Row],[ISIN]],'Novia Web Query'!$A:$E,3,FALSE)</f>
        <v>UT Flexible Investment</v>
      </c>
      <c r="D1041" s="139">
        <f>VLOOKUP(NoviaFunds[[#This Row],[ISIN]],'Novia Web Query'!$A:$E,4,FALSE)/100</f>
        <v>6.9999999999999993E-3</v>
      </c>
      <c r="E1041" s="3" t="str">
        <f>VLOOKUP(NoviaFunds[[#This Row],[ISIN]],'Novia Web Query'!$A:$E,5,FALSE)</f>
        <v>21/12/2021</v>
      </c>
      <c r="F1041" t="str">
        <f>VLOOKUP(NoviaFunds[[#This Row],[Sector]],Sectors[],2,FALSE)</f>
        <v>Flexible</v>
      </c>
    </row>
    <row r="1042" spans="1:6" x14ac:dyDescent="0.2">
      <c r="A1042" t="str">
        <f>'Novia Web Query'!A1042</f>
        <v>GB00BP851R55</v>
      </c>
      <c r="B1042" t="str">
        <f>VLOOKUP(NoviaFunds[[#This Row],[ISIN]],'Novia Web Query'!$A:$E,2,FALSE)</f>
        <v>BNY Mellon Multi-Asset Income Inst W Inc TR in GB</v>
      </c>
      <c r="C1042" t="str">
        <f>VLOOKUP(NoviaFunds[[#This Row],[ISIN]],'Novia Web Query'!$A:$E,3,FALSE)</f>
        <v>UT Flexible Investment</v>
      </c>
      <c r="D1042" s="139">
        <f>VLOOKUP(NoviaFunds[[#This Row],[ISIN]],'Novia Web Query'!$A:$E,4,FALSE)/100</f>
        <v>6.9999999999999993E-3</v>
      </c>
      <c r="E1042" s="3" t="str">
        <f>VLOOKUP(NoviaFunds[[#This Row],[ISIN]],'Novia Web Query'!$A:$E,5,FALSE)</f>
        <v>21/12/2021</v>
      </c>
      <c r="F1042" t="str">
        <f>VLOOKUP(NoviaFunds[[#This Row],[Sector]],Sectors[],2,FALSE)</f>
        <v>Flexible</v>
      </c>
    </row>
    <row r="1043" spans="1:6" x14ac:dyDescent="0.2">
      <c r="A1043" t="str">
        <f>'Novia Web Query'!A1043</f>
        <v>GB00B0703363</v>
      </c>
      <c r="B1043" t="str">
        <f>VLOOKUP(NoviaFunds[[#This Row],[ISIN]],'Novia Web Query'!$A:$E,2,FALSE)</f>
        <v>BNY Mellon Oriental Inst Acc GBP in GB</v>
      </c>
      <c r="C1043" t="str">
        <f>VLOOKUP(NoviaFunds[[#This Row],[ISIN]],'Novia Web Query'!$A:$E,3,FALSE)</f>
        <v>UT Asia Pacific Excluding Japan</v>
      </c>
      <c r="D1043" s="139">
        <f>VLOOKUP(NoviaFunds[[#This Row],[ISIN]],'Novia Web Query'!$A:$E,4,FALSE)/100</f>
        <v>1.15E-2</v>
      </c>
      <c r="E1043" s="3" t="str">
        <f>VLOOKUP(NoviaFunds[[#This Row],[ISIN]],'Novia Web Query'!$A:$E,5,FALSE)</f>
        <v>21/12/2021</v>
      </c>
      <c r="F1043" t="str">
        <f>VLOOKUP(NoviaFunds[[#This Row],[Sector]],Sectors[],2,FALSE)</f>
        <v>Asia Pacific</v>
      </c>
    </row>
    <row r="1044" spans="1:6" x14ac:dyDescent="0.2">
      <c r="A1044" t="str">
        <f>'Novia Web Query'!A1044</f>
        <v>GB00B8GJF672</v>
      </c>
      <c r="B1044" t="str">
        <f>VLOOKUP(NoviaFunds[[#This Row],[ISIN]],'Novia Web Query'!$A:$E,2,FALSE)</f>
        <v>BNY Mellon Oriental Inst W Acc GBP TR in GB</v>
      </c>
      <c r="C1044" t="str">
        <f>VLOOKUP(NoviaFunds[[#This Row],[ISIN]],'Novia Web Query'!$A:$E,3,FALSE)</f>
        <v>UT Asia Pacific Excluding Japan</v>
      </c>
      <c r="D1044" s="139">
        <f>VLOOKUP(NoviaFunds[[#This Row],[ISIN]],'Novia Web Query'!$A:$E,4,FALSE)/100</f>
        <v>9.0000000000000011E-3</v>
      </c>
      <c r="E1044" s="3" t="str">
        <f>VLOOKUP(NoviaFunds[[#This Row],[ISIN]],'Novia Web Query'!$A:$E,5,FALSE)</f>
        <v>21/12/2021</v>
      </c>
      <c r="F1044" t="str">
        <f>VLOOKUP(NoviaFunds[[#This Row],[Sector]],Sectors[],2,FALSE)</f>
        <v>Asia Pacific</v>
      </c>
    </row>
    <row r="1045" spans="1:6" x14ac:dyDescent="0.2">
      <c r="A1045" t="str">
        <f>'Novia Web Query'!A1045</f>
        <v>GB00B8GBZY18</v>
      </c>
      <c r="B1045" t="str">
        <f>VLOOKUP(NoviaFunds[[#This Row],[ISIN]],'Novia Web Query'!$A:$E,2,FALSE)</f>
        <v>BNY Mellon Oriental Inst W Inc GBP TR in GB</v>
      </c>
      <c r="C1045" t="str">
        <f>VLOOKUP(NoviaFunds[[#This Row],[ISIN]],'Novia Web Query'!$A:$E,3,FALSE)</f>
        <v>UT Asia Pacific Excluding Japan</v>
      </c>
      <c r="D1045" s="139">
        <f>VLOOKUP(NoviaFunds[[#This Row],[ISIN]],'Novia Web Query'!$A:$E,4,FALSE)/100</f>
        <v>9.0000000000000011E-3</v>
      </c>
      <c r="E1045" s="3" t="str">
        <f>VLOOKUP(NoviaFunds[[#This Row],[ISIN]],'Novia Web Query'!$A:$E,5,FALSE)</f>
        <v>21/12/2021</v>
      </c>
      <c r="F1045" t="str">
        <f>VLOOKUP(NoviaFunds[[#This Row],[Sector]],Sectors[],2,FALSE)</f>
        <v>Asia Pacific</v>
      </c>
    </row>
    <row r="1046" spans="1:6" x14ac:dyDescent="0.2">
      <c r="A1046" t="str">
        <f>'Novia Web Query'!A1046</f>
        <v>GB0006781289</v>
      </c>
      <c r="B1046" t="str">
        <f>VLOOKUP(NoviaFunds[[#This Row],[ISIN]],'Novia Web Query'!$A:$E,2,FALSE)</f>
        <v>BNY Mellon Oriental Sterling Inc GBP TR in GB</v>
      </c>
      <c r="C1046" t="str">
        <f>VLOOKUP(NoviaFunds[[#This Row],[ISIN]],'Novia Web Query'!$A:$E,3,FALSE)</f>
        <v>UT Asia Pacific Excluding Japan</v>
      </c>
      <c r="D1046" s="139">
        <f>VLOOKUP(NoviaFunds[[#This Row],[ISIN]],'Novia Web Query'!$A:$E,4,FALSE)/100</f>
        <v>1.72E-2</v>
      </c>
      <c r="E1046" s="3" t="str">
        <f>VLOOKUP(NoviaFunds[[#This Row],[ISIN]],'Novia Web Query'!$A:$E,5,FALSE)</f>
        <v>21/12/2021</v>
      </c>
      <c r="F1046" t="str">
        <f>VLOOKUP(NoviaFunds[[#This Row],[Sector]],Sectors[],2,FALSE)</f>
        <v>Asia Pacific</v>
      </c>
    </row>
    <row r="1047" spans="1:6" x14ac:dyDescent="0.2">
      <c r="A1047" t="str">
        <f>'Novia Web Query'!A1047</f>
        <v>GB00B0702P16</v>
      </c>
      <c r="B1047" t="str">
        <f>VLOOKUP(NoviaFunds[[#This Row],[ISIN]],'Novia Web Query'!$A:$E,2,FALSE)</f>
        <v>BNY Mellon Real Return Inst Acc in GB</v>
      </c>
      <c r="C1047" t="str">
        <f>VLOOKUP(NoviaFunds[[#This Row],[ISIN]],'Novia Web Query'!$A:$E,3,FALSE)</f>
        <v>UT Targeted Absolute Return</v>
      </c>
      <c r="D1047" s="139">
        <f>VLOOKUP(NoviaFunds[[#This Row],[ISIN]],'Novia Web Query'!$A:$E,4,FALSE)/100</f>
        <v>1.0500000000000001E-2</v>
      </c>
      <c r="E1047" s="3" t="str">
        <f>VLOOKUP(NoviaFunds[[#This Row],[ISIN]],'Novia Web Query'!$A:$E,5,FALSE)</f>
        <v>21/12/2021</v>
      </c>
      <c r="F1047" t="str">
        <f>VLOOKUP(NoviaFunds[[#This Row],[Sector]],Sectors[],2,FALSE)</f>
        <v>Absolute Return</v>
      </c>
    </row>
    <row r="1048" spans="1:6" x14ac:dyDescent="0.2">
      <c r="A1048" t="str">
        <f>'Novia Web Query'!A1048</f>
        <v>GB00B8GG4B61</v>
      </c>
      <c r="B1048" t="str">
        <f>VLOOKUP(NoviaFunds[[#This Row],[ISIN]],'Novia Web Query'!$A:$E,2,FALSE)</f>
        <v>BNY Mellon Real Return Inst W Acc TR in GB</v>
      </c>
      <c r="C1048" t="str">
        <f>VLOOKUP(NoviaFunds[[#This Row],[ISIN]],'Novia Web Query'!$A:$E,3,FALSE)</f>
        <v>UT Targeted Absolute Return</v>
      </c>
      <c r="D1048" s="139">
        <f>VLOOKUP(NoviaFunds[[#This Row],[ISIN]],'Novia Web Query'!$A:$E,4,FALSE)/100</f>
        <v>8.0000000000000002E-3</v>
      </c>
      <c r="E1048" s="3" t="str">
        <f>VLOOKUP(NoviaFunds[[#This Row],[ISIN]],'Novia Web Query'!$A:$E,5,FALSE)</f>
        <v>21/12/2021</v>
      </c>
      <c r="F1048" t="str">
        <f>VLOOKUP(NoviaFunds[[#This Row],[Sector]],Sectors[],2,FALSE)</f>
        <v>Absolute Return</v>
      </c>
    </row>
    <row r="1049" spans="1:6" x14ac:dyDescent="0.2">
      <c r="A1049" t="str">
        <f>'Novia Web Query'!A1049</f>
        <v>GB00B7W36529</v>
      </c>
      <c r="B1049" t="str">
        <f>VLOOKUP(NoviaFunds[[#This Row],[ISIN]],'Novia Web Query'!$A:$E,2,FALSE)</f>
        <v>BNY Mellon Real Return Inst W Inc TR in GB</v>
      </c>
      <c r="C1049" t="str">
        <f>VLOOKUP(NoviaFunds[[#This Row],[ISIN]],'Novia Web Query'!$A:$E,3,FALSE)</f>
        <v>UT Targeted Absolute Return</v>
      </c>
      <c r="D1049" s="139">
        <f>VLOOKUP(NoviaFunds[[#This Row],[ISIN]],'Novia Web Query'!$A:$E,4,FALSE)/100</f>
        <v>8.0000000000000002E-3</v>
      </c>
      <c r="E1049" s="3" t="str">
        <f>VLOOKUP(NoviaFunds[[#This Row],[ISIN]],'Novia Web Query'!$A:$E,5,FALSE)</f>
        <v>21/12/2021</v>
      </c>
      <c r="F1049" t="str">
        <f>VLOOKUP(NoviaFunds[[#This Row],[Sector]],Sectors[],2,FALSE)</f>
        <v>Absolute Return</v>
      </c>
    </row>
    <row r="1050" spans="1:6" x14ac:dyDescent="0.2">
      <c r="A1050" t="str">
        <f>'Novia Web Query'!A1050</f>
        <v>GB0001642635</v>
      </c>
      <c r="B1050" t="str">
        <f>VLOOKUP(NoviaFunds[[#This Row],[ISIN]],'Novia Web Query'!$A:$E,2,FALSE)</f>
        <v>BNY Mellon Real Return Sterling A TR in GB</v>
      </c>
      <c r="C1050" t="str">
        <f>VLOOKUP(NoviaFunds[[#This Row],[ISIN]],'Novia Web Query'!$A:$E,3,FALSE)</f>
        <v>UT Targeted Absolute Return</v>
      </c>
      <c r="D1050" s="139">
        <f>VLOOKUP(NoviaFunds[[#This Row],[ISIN]],'Novia Web Query'!$A:$E,4,FALSE)/100</f>
        <v>1.6200000000000003E-2</v>
      </c>
      <c r="E1050" s="3" t="str">
        <f>VLOOKUP(NoviaFunds[[#This Row],[ISIN]],'Novia Web Query'!$A:$E,5,FALSE)</f>
        <v>21/12/2021</v>
      </c>
      <c r="F1050" t="str">
        <f>VLOOKUP(NoviaFunds[[#This Row],[Sector]],Sectors[],2,FALSE)</f>
        <v>Absolute Return</v>
      </c>
    </row>
    <row r="1051" spans="1:6" x14ac:dyDescent="0.2">
      <c r="A1051" t="str">
        <f>'Novia Web Query'!A1051</f>
        <v>GB00B8KDLX41</v>
      </c>
      <c r="B1051" t="str">
        <f>VLOOKUP(NoviaFunds[[#This Row],[ISIN]],'Novia Web Query'!$A:$E,2,FALSE)</f>
        <v>BNY Mellon Responsible Horizons UK Corporate Bond Inst W Acc GBP TR in GB</v>
      </c>
      <c r="C1051" t="str">
        <f>VLOOKUP(NoviaFunds[[#This Row],[ISIN]],'Novia Web Query'!$A:$E,3,FALSE)</f>
        <v>UT Sterling Corporate Bond</v>
      </c>
      <c r="D1051" s="139">
        <f>VLOOKUP(NoviaFunds[[#This Row],[ISIN]],'Novia Web Query'!$A:$E,4,FALSE)/100</f>
        <v>4.0000000000000001E-3</v>
      </c>
      <c r="E1051" s="3" t="str">
        <f>VLOOKUP(NoviaFunds[[#This Row],[ISIN]],'Novia Web Query'!$A:$E,5,FALSE)</f>
        <v>21/12/2021</v>
      </c>
      <c r="F1051" t="str">
        <f>VLOOKUP(NoviaFunds[[#This Row],[Sector]],Sectors[],2,FALSE)</f>
        <v>Sterling Corporate Bonds</v>
      </c>
    </row>
    <row r="1052" spans="1:6" x14ac:dyDescent="0.2">
      <c r="A1052" t="str">
        <f>'Novia Web Query'!A1052</f>
        <v>GB00B8KCZN97</v>
      </c>
      <c r="B1052" t="str">
        <f>VLOOKUP(NoviaFunds[[#This Row],[ISIN]],'Novia Web Query'!$A:$E,2,FALSE)</f>
        <v>BNY Mellon Responsible Horizons UK Corporate Bond Inst W Inc GBP TR in GB</v>
      </c>
      <c r="C1052" t="str">
        <f>VLOOKUP(NoviaFunds[[#This Row],[ISIN]],'Novia Web Query'!$A:$E,3,FALSE)</f>
        <v>UT Sterling Corporate Bond</v>
      </c>
      <c r="D1052" s="139">
        <f>VLOOKUP(NoviaFunds[[#This Row],[ISIN]],'Novia Web Query'!$A:$E,4,FALSE)/100</f>
        <v>4.0000000000000001E-3</v>
      </c>
      <c r="E1052" s="3" t="str">
        <f>VLOOKUP(NoviaFunds[[#This Row],[ISIN]],'Novia Web Query'!$A:$E,5,FALSE)</f>
        <v>21/12/2021</v>
      </c>
      <c r="F1052" t="str">
        <f>VLOOKUP(NoviaFunds[[#This Row],[Sector]],Sectors[],2,FALSE)</f>
        <v>Sterling Corporate Bonds</v>
      </c>
    </row>
    <row r="1053" spans="1:6" x14ac:dyDescent="0.2">
      <c r="A1053" t="str">
        <f>'Novia Web Query'!A1053</f>
        <v>GB0006779101</v>
      </c>
      <c r="B1053" t="str">
        <f>VLOOKUP(NoviaFunds[[#This Row],[ISIN]],'Novia Web Query'!$A:$E,2,FALSE)</f>
        <v>BNY Mellon Responsible Horizons UK Corporate Bond Sterling TR in GB</v>
      </c>
      <c r="C1053" t="str">
        <f>VLOOKUP(NoviaFunds[[#This Row],[ISIN]],'Novia Web Query'!$A:$E,3,FALSE)</f>
        <v>UT Sterling Corporate Bond</v>
      </c>
      <c r="D1053" s="139">
        <f>VLOOKUP(NoviaFunds[[#This Row],[ISIN]],'Novia Web Query'!$A:$E,4,FALSE)/100</f>
        <v>8.199999999999999E-3</v>
      </c>
      <c r="E1053" s="3" t="str">
        <f>VLOOKUP(NoviaFunds[[#This Row],[ISIN]],'Novia Web Query'!$A:$E,5,FALSE)</f>
        <v>21/12/2021</v>
      </c>
      <c r="F1053" t="str">
        <f>VLOOKUP(NoviaFunds[[#This Row],[Sector]],Sectors[],2,FALSE)</f>
        <v>Sterling Corporate Bonds</v>
      </c>
    </row>
    <row r="1054" spans="1:6" x14ac:dyDescent="0.2">
      <c r="A1054" t="str">
        <f>'Novia Web Query'!A1054</f>
        <v>GB00B4Q5KM81</v>
      </c>
      <c r="B1054" t="str">
        <f>VLOOKUP(NoviaFunds[[#This Row],[ISIN]],'Novia Web Query'!$A:$E,2,FALSE)</f>
        <v>BNY Mellon Sustainable European Opportunities Inst W Acc GBP TR in GB</v>
      </c>
      <c r="C1054" t="str">
        <f>VLOOKUP(NoviaFunds[[#This Row],[ISIN]],'Novia Web Query'!$A:$E,3,FALSE)</f>
        <v>UT Europe Excluding UK</v>
      </c>
      <c r="D1054" s="139">
        <f>VLOOKUP(NoviaFunds[[#This Row],[ISIN]],'Novia Web Query'!$A:$E,4,FALSE)/100</f>
        <v>8.3000000000000001E-3</v>
      </c>
      <c r="E1054" s="3" t="str">
        <f>VLOOKUP(NoviaFunds[[#This Row],[ISIN]],'Novia Web Query'!$A:$E,5,FALSE)</f>
        <v>21/12/2021</v>
      </c>
      <c r="F1054" t="str">
        <f>VLOOKUP(NoviaFunds[[#This Row],[Sector]],Sectors[],2,FALSE)</f>
        <v>European Equities</v>
      </c>
    </row>
    <row r="1055" spans="1:6" x14ac:dyDescent="0.2">
      <c r="A1055" t="str">
        <f>'Novia Web Query'!A1055</f>
        <v>GB00B881HQ54</v>
      </c>
      <c r="B1055" t="str">
        <f>VLOOKUP(NoviaFunds[[#This Row],[ISIN]],'Novia Web Query'!$A:$E,2,FALSE)</f>
        <v>BNY Mellon Sustainable European Opportunities Inst W Inc GBP TR in GB</v>
      </c>
      <c r="C1055" t="str">
        <f>VLOOKUP(NoviaFunds[[#This Row],[ISIN]],'Novia Web Query'!$A:$E,3,FALSE)</f>
        <v>UT Europe Excluding UK</v>
      </c>
      <c r="D1055" s="139">
        <f>VLOOKUP(NoviaFunds[[#This Row],[ISIN]],'Novia Web Query'!$A:$E,4,FALSE)/100</f>
        <v>8.3000000000000001E-3</v>
      </c>
      <c r="E1055" s="3" t="str">
        <f>VLOOKUP(NoviaFunds[[#This Row],[ISIN]],'Novia Web Query'!$A:$E,5,FALSE)</f>
        <v>21/12/2021</v>
      </c>
      <c r="F1055" t="str">
        <f>VLOOKUP(NoviaFunds[[#This Row],[Sector]],Sectors[],2,FALSE)</f>
        <v>European Equities</v>
      </c>
    </row>
    <row r="1056" spans="1:6" x14ac:dyDescent="0.2">
      <c r="A1056" t="str">
        <f>'Novia Web Query'!A1056</f>
        <v>GB0006778681</v>
      </c>
      <c r="B1056" t="str">
        <f>VLOOKUP(NoviaFunds[[#This Row],[ISIN]],'Novia Web Query'!$A:$E,2,FALSE)</f>
        <v>BNY Mellon Sustainable European Opportunities Sterling GBP TR in GB</v>
      </c>
      <c r="C1056" t="str">
        <f>VLOOKUP(NoviaFunds[[#This Row],[ISIN]],'Novia Web Query'!$A:$E,3,FALSE)</f>
        <v>UT Europe Excluding UK</v>
      </c>
      <c r="D1056" s="139">
        <f>VLOOKUP(NoviaFunds[[#This Row],[ISIN]],'Novia Web Query'!$A:$E,4,FALSE)/100</f>
        <v>1.6500000000000001E-2</v>
      </c>
      <c r="E1056" s="3" t="str">
        <f>VLOOKUP(NoviaFunds[[#This Row],[ISIN]],'Novia Web Query'!$A:$E,5,FALSE)</f>
        <v>21/12/2021</v>
      </c>
      <c r="F1056" t="str">
        <f>VLOOKUP(NoviaFunds[[#This Row],[Sector]],Sectors[],2,FALSE)</f>
        <v>European Equities</v>
      </c>
    </row>
    <row r="1057" spans="1:6" x14ac:dyDescent="0.2">
      <c r="A1057" t="str">
        <f>'Novia Web Query'!A1057</f>
        <v>GB00BKV28H79</v>
      </c>
      <c r="B1057" t="str">
        <f>VLOOKUP(NoviaFunds[[#This Row],[ISIN]],'Novia Web Query'!$A:$E,2,FALSE)</f>
        <v>BNY Mellon Sustainable Global Dynamic Bond Newton Inst 3 Inc TR in GB</v>
      </c>
      <c r="C1057" t="str">
        <f>VLOOKUP(NoviaFunds[[#This Row],[ISIN]],'Novia Web Query'!$A:$E,3,FALSE)</f>
        <v>UT Targeted Absolute Return</v>
      </c>
      <c r="D1057" s="139">
        <f>VLOOKUP(NoviaFunds[[#This Row],[ISIN]],'Novia Web Query'!$A:$E,4,FALSE)/100</f>
        <v>4.5000000000000005E-3</v>
      </c>
      <c r="E1057" s="3" t="str">
        <f>VLOOKUP(NoviaFunds[[#This Row],[ISIN]],'Novia Web Query'!$A:$E,5,FALSE)</f>
        <v>12/02/2021</v>
      </c>
      <c r="F1057" t="str">
        <f>VLOOKUP(NoviaFunds[[#This Row],[Sector]],Sectors[],2,FALSE)</f>
        <v>Absolute Return</v>
      </c>
    </row>
    <row r="1058" spans="1:6" x14ac:dyDescent="0.2">
      <c r="A1058" t="str">
        <f>'Novia Web Query'!A1058</f>
        <v>GB00BJ066Y68</v>
      </c>
      <c r="B1058" t="str">
        <f>VLOOKUP(NoviaFunds[[#This Row],[ISIN]],'Novia Web Query'!$A:$E,2,FALSE)</f>
        <v>BNY Mellon Sustainable Global Equity Income F Acc in GB</v>
      </c>
      <c r="C1058" t="str">
        <f>VLOOKUP(NoviaFunds[[#This Row],[ISIN]],'Novia Web Query'!$A:$E,3,FALSE)</f>
        <v>UT Global Equity Income</v>
      </c>
      <c r="D1058" s="139">
        <f>VLOOKUP(NoviaFunds[[#This Row],[ISIN]],'Novia Web Query'!$A:$E,4,FALSE)/100</f>
        <v>6.3E-3</v>
      </c>
      <c r="E1058" s="3" t="str">
        <f>VLOOKUP(NoviaFunds[[#This Row],[ISIN]],'Novia Web Query'!$A:$E,5,FALSE)</f>
        <v>21/12/2021</v>
      </c>
      <c r="F1058" t="str">
        <f>VLOOKUP(NoviaFunds[[#This Row],[Sector]],Sectors[],2,FALSE)</f>
        <v>Other Equities</v>
      </c>
    </row>
    <row r="1059" spans="1:6" x14ac:dyDescent="0.2">
      <c r="A1059" t="str">
        <f>'Novia Web Query'!A1059</f>
        <v>GB00BJ066Z75</v>
      </c>
      <c r="B1059" t="str">
        <f>VLOOKUP(NoviaFunds[[#This Row],[ISIN]],'Novia Web Query'!$A:$E,2,FALSE)</f>
        <v>BNY Mellon Sustainable Global Equity Income Inst W Acc in GB</v>
      </c>
      <c r="C1059" t="str">
        <f>VLOOKUP(NoviaFunds[[#This Row],[ISIN]],'Novia Web Query'!$A:$E,3,FALSE)</f>
        <v>UT Global Equity Income</v>
      </c>
      <c r="D1059" s="139">
        <f>VLOOKUP(NoviaFunds[[#This Row],[ISIN]],'Novia Web Query'!$A:$E,4,FALSE)/100</f>
        <v>8.8000000000000005E-3</v>
      </c>
      <c r="E1059" s="3" t="str">
        <f>VLOOKUP(NoviaFunds[[#This Row],[ISIN]],'Novia Web Query'!$A:$E,5,FALSE)</f>
        <v>21/12/2021</v>
      </c>
      <c r="F1059" t="str">
        <f>VLOOKUP(NoviaFunds[[#This Row],[Sector]],Sectors[],2,FALSE)</f>
        <v>Other Equities</v>
      </c>
    </row>
    <row r="1060" spans="1:6" x14ac:dyDescent="0.2">
      <c r="A1060" t="str">
        <f>'Novia Web Query'!A1060</f>
        <v>GB00BJ067095</v>
      </c>
      <c r="B1060" t="str">
        <f>VLOOKUP(NoviaFunds[[#This Row],[ISIN]],'Novia Web Query'!$A:$E,2,FALSE)</f>
        <v>BNY Mellon Sustainable Global Equity Income Inst W Inc TR in GB</v>
      </c>
      <c r="C1060" t="str">
        <f>VLOOKUP(NoviaFunds[[#This Row],[ISIN]],'Novia Web Query'!$A:$E,3,FALSE)</f>
        <v>UT Global Equity Income</v>
      </c>
      <c r="D1060" s="139">
        <f>VLOOKUP(NoviaFunds[[#This Row],[ISIN]],'Novia Web Query'!$A:$E,4,FALSE)/100</f>
        <v>8.8000000000000005E-3</v>
      </c>
      <c r="E1060" s="3" t="str">
        <f>VLOOKUP(NoviaFunds[[#This Row],[ISIN]],'Novia Web Query'!$A:$E,5,FALSE)</f>
        <v>21/12/2021</v>
      </c>
      <c r="F1060" t="str">
        <f>VLOOKUP(NoviaFunds[[#This Row],[Sector]],Sectors[],2,FALSE)</f>
        <v>Other Equities</v>
      </c>
    </row>
    <row r="1061" spans="1:6" x14ac:dyDescent="0.2">
      <c r="A1061" t="str">
        <f>'Novia Web Query'!A1061</f>
        <v>GB00BF0WBJ63</v>
      </c>
      <c r="B1061" t="str">
        <f>VLOOKUP(NoviaFunds[[#This Row],[ISIN]],'Novia Web Query'!$A:$E,2,FALSE)</f>
        <v>BNY Mellon Sustainable Global Equity Inst W in GB</v>
      </c>
      <c r="C1061" t="str">
        <f>VLOOKUP(NoviaFunds[[#This Row],[ISIN]],'Novia Web Query'!$A:$E,3,FALSE)</f>
        <v>UT Global</v>
      </c>
      <c r="D1061" s="139">
        <f>VLOOKUP(NoviaFunds[[#This Row],[ISIN]],'Novia Web Query'!$A:$E,4,FALSE)/100</f>
        <v>8.199999999999999E-3</v>
      </c>
      <c r="E1061" s="3" t="str">
        <f>VLOOKUP(NoviaFunds[[#This Row],[ISIN]],'Novia Web Query'!$A:$E,5,FALSE)</f>
        <v>21/12/2021</v>
      </c>
      <c r="F1061" t="str">
        <f>VLOOKUP(NoviaFunds[[#This Row],[Sector]],Sectors[],2,FALSE)</f>
        <v>Other Equities</v>
      </c>
    </row>
    <row r="1062" spans="1:6" x14ac:dyDescent="0.2">
      <c r="A1062" t="str">
        <f>'Novia Web Query'!A1062</f>
        <v>GB00BD6DRD55</v>
      </c>
      <c r="B1062" t="str">
        <f>VLOOKUP(NoviaFunds[[#This Row],[ISIN]],'Novia Web Query'!$A:$E,2,FALSE)</f>
        <v>BNY Mellon Sustainable Real Return Inst W Acc in GB</v>
      </c>
      <c r="C1062" t="str">
        <f>VLOOKUP(NoviaFunds[[#This Row],[ISIN]],'Novia Web Query'!$A:$E,3,FALSE)</f>
        <v>UT Targeted Absolute Return</v>
      </c>
      <c r="D1062" s="139">
        <f>VLOOKUP(NoviaFunds[[#This Row],[ISIN]],'Novia Web Query'!$A:$E,4,FALSE)/100</f>
        <v>8.3000000000000001E-3</v>
      </c>
      <c r="E1062" s="3" t="str">
        <f>VLOOKUP(NoviaFunds[[#This Row],[ISIN]],'Novia Web Query'!$A:$E,5,FALSE)</f>
        <v>21/12/2021</v>
      </c>
      <c r="F1062" t="str">
        <f>VLOOKUP(NoviaFunds[[#This Row],[Sector]],Sectors[],2,FALSE)</f>
        <v>Absolute Return</v>
      </c>
    </row>
    <row r="1063" spans="1:6" x14ac:dyDescent="0.2">
      <c r="A1063" t="str">
        <f>'Novia Web Query'!A1063</f>
        <v>GB00BD6DRF79</v>
      </c>
      <c r="B1063" t="str">
        <f>VLOOKUP(NoviaFunds[[#This Row],[ISIN]],'Novia Web Query'!$A:$E,2,FALSE)</f>
        <v>BNY Mellon Sustainable Real Return Inst W Inc TR in GB</v>
      </c>
      <c r="C1063" t="str">
        <f>VLOOKUP(NoviaFunds[[#This Row],[ISIN]],'Novia Web Query'!$A:$E,3,FALSE)</f>
        <v>UT Targeted Absolute Return</v>
      </c>
      <c r="D1063" s="139">
        <f>VLOOKUP(NoviaFunds[[#This Row],[ISIN]],'Novia Web Query'!$A:$E,4,FALSE)/100</f>
        <v>8.3000000000000001E-3</v>
      </c>
      <c r="E1063" s="3" t="str">
        <f>VLOOKUP(NoviaFunds[[#This Row],[ISIN]],'Novia Web Query'!$A:$E,5,FALSE)</f>
        <v>21/12/2021</v>
      </c>
      <c r="F1063" t="str">
        <f>VLOOKUP(NoviaFunds[[#This Row],[Sector]],Sectors[],2,FALSE)</f>
        <v>Absolute Return</v>
      </c>
    </row>
    <row r="1064" spans="1:6" x14ac:dyDescent="0.2">
      <c r="A1064" t="str">
        <f>'Novia Web Query'!A1064</f>
        <v>GB00B8HQWK01</v>
      </c>
      <c r="B1064" t="str">
        <f>VLOOKUP(NoviaFunds[[#This Row],[ISIN]],'Novia Web Query'!$A:$E,2,FALSE)</f>
        <v>BNY Mellon Sustainable UK Opportunities Inst W Acc TR in GB</v>
      </c>
      <c r="C1064" t="str">
        <f>VLOOKUP(NoviaFunds[[#This Row],[ISIN]],'Novia Web Query'!$A:$E,3,FALSE)</f>
        <v>UT UK All Companies</v>
      </c>
      <c r="D1064" s="139">
        <f>VLOOKUP(NoviaFunds[[#This Row],[ISIN]],'Novia Web Query'!$A:$E,4,FALSE)/100</f>
        <v>8.0000000000000002E-3</v>
      </c>
      <c r="E1064" s="3" t="str">
        <f>VLOOKUP(NoviaFunds[[#This Row],[ISIN]],'Novia Web Query'!$A:$E,5,FALSE)</f>
        <v>21/12/2021</v>
      </c>
      <c r="F1064" t="str">
        <f>VLOOKUP(NoviaFunds[[#This Row],[Sector]],Sectors[],2,FALSE)</f>
        <v>UK Equities</v>
      </c>
    </row>
    <row r="1065" spans="1:6" x14ac:dyDescent="0.2">
      <c r="A1065" t="str">
        <f>'Novia Web Query'!A1065</f>
        <v>GB00B7RLX837</v>
      </c>
      <c r="B1065" t="str">
        <f>VLOOKUP(NoviaFunds[[#This Row],[ISIN]],'Novia Web Query'!$A:$E,2,FALSE)</f>
        <v>BNY Mellon Sustainable UK Opportunities Inst W Inc TR in GB</v>
      </c>
      <c r="C1065" t="str">
        <f>VLOOKUP(NoviaFunds[[#This Row],[ISIN]],'Novia Web Query'!$A:$E,3,FALSE)</f>
        <v>UT UK All Companies</v>
      </c>
      <c r="D1065" s="139">
        <f>VLOOKUP(NoviaFunds[[#This Row],[ISIN]],'Novia Web Query'!$A:$E,4,FALSE)/100</f>
        <v>8.0000000000000002E-3</v>
      </c>
      <c r="E1065" s="3" t="str">
        <f>VLOOKUP(NoviaFunds[[#This Row],[ISIN]],'Novia Web Query'!$A:$E,5,FALSE)</f>
        <v>21/12/2021</v>
      </c>
      <c r="F1065" t="str">
        <f>VLOOKUP(NoviaFunds[[#This Row],[Sector]],Sectors[],2,FALSE)</f>
        <v>UK Equities</v>
      </c>
    </row>
    <row r="1066" spans="1:6" x14ac:dyDescent="0.2">
      <c r="A1066" t="str">
        <f>'Novia Web Query'!A1066</f>
        <v>GB0031189888</v>
      </c>
      <c r="B1066" t="str">
        <f>VLOOKUP(NoviaFunds[[#This Row],[ISIN]],'Novia Web Query'!$A:$E,2,FALSE)</f>
        <v>BNY Mellon Sustainable UK Opportunities Sterling Inc TR in GB</v>
      </c>
      <c r="C1066" t="str">
        <f>VLOOKUP(NoviaFunds[[#This Row],[ISIN]],'Novia Web Query'!$A:$E,3,FALSE)</f>
        <v>UT UK All Companies</v>
      </c>
      <c r="D1066" s="139">
        <f>VLOOKUP(NoviaFunds[[#This Row],[ISIN]],'Novia Web Query'!$A:$E,4,FALSE)/100</f>
        <v>1.6200000000000003E-2</v>
      </c>
      <c r="E1066" s="3" t="str">
        <f>VLOOKUP(NoviaFunds[[#This Row],[ISIN]],'Novia Web Query'!$A:$E,5,FALSE)</f>
        <v>21/12/2021</v>
      </c>
      <c r="F1066" t="str">
        <f>VLOOKUP(NoviaFunds[[#This Row],[Sector]],Sectors[],2,FALSE)</f>
        <v>UK Equities</v>
      </c>
    </row>
    <row r="1067" spans="1:6" x14ac:dyDescent="0.2">
      <c r="A1067" t="str">
        <f>'Novia Web Query'!A1067</f>
        <v>GB00B6X4W596</v>
      </c>
      <c r="B1067" t="str">
        <f>VLOOKUP(NoviaFunds[[#This Row],[ISIN]],'Novia Web Query'!$A:$E,2,FALSE)</f>
        <v>BNY Mellon UK Equity Inst W Acc TR in GB</v>
      </c>
      <c r="C1067" t="str">
        <f>VLOOKUP(NoviaFunds[[#This Row],[ISIN]],'Novia Web Query'!$A:$E,3,FALSE)</f>
        <v>UT UK All Companies</v>
      </c>
      <c r="D1067" s="139">
        <f>VLOOKUP(NoviaFunds[[#This Row],[ISIN]],'Novia Web Query'!$A:$E,4,FALSE)/100</f>
        <v>7.9000000000000008E-3</v>
      </c>
      <c r="E1067" s="3" t="str">
        <f>VLOOKUP(NoviaFunds[[#This Row],[ISIN]],'Novia Web Query'!$A:$E,5,FALSE)</f>
        <v>21/12/2021</v>
      </c>
      <c r="F1067" t="str">
        <f>VLOOKUP(NoviaFunds[[#This Row],[Sector]],Sectors[],2,FALSE)</f>
        <v>UK Equities</v>
      </c>
    </row>
    <row r="1068" spans="1:6" x14ac:dyDescent="0.2">
      <c r="A1068" t="str">
        <f>'Novia Web Query'!A1068</f>
        <v>GB00B8GHL294</v>
      </c>
      <c r="B1068" t="str">
        <f>VLOOKUP(NoviaFunds[[#This Row],[ISIN]],'Novia Web Query'!$A:$E,2,FALSE)</f>
        <v>BNY Mellon UK Equity Inst W Inc TR in GB</v>
      </c>
      <c r="C1068" t="str">
        <f>VLOOKUP(NoviaFunds[[#This Row],[ISIN]],'Novia Web Query'!$A:$E,3,FALSE)</f>
        <v>UT UK All Companies</v>
      </c>
      <c r="D1068" s="139">
        <f>VLOOKUP(NoviaFunds[[#This Row],[ISIN]],'Novia Web Query'!$A:$E,4,FALSE)/100</f>
        <v>7.9000000000000008E-3</v>
      </c>
      <c r="E1068" s="3" t="str">
        <f>VLOOKUP(NoviaFunds[[#This Row],[ISIN]],'Novia Web Query'!$A:$E,5,FALSE)</f>
        <v>21/12/2021</v>
      </c>
      <c r="F1068" t="str">
        <f>VLOOKUP(NoviaFunds[[#This Row],[Sector]],Sectors[],2,FALSE)</f>
        <v>UK Equities</v>
      </c>
    </row>
    <row r="1069" spans="1:6" x14ac:dyDescent="0.2">
      <c r="A1069" t="str">
        <f>'Novia Web Query'!A1069</f>
        <v>GB0006779549</v>
      </c>
      <c r="B1069" t="str">
        <f>VLOOKUP(NoviaFunds[[#This Row],[ISIN]],'Novia Web Query'!$A:$E,2,FALSE)</f>
        <v>BNY Mellon UK Equity Sterling Inc TR in GB</v>
      </c>
      <c r="C1069" t="str">
        <f>VLOOKUP(NoviaFunds[[#This Row],[ISIN]],'Novia Web Query'!$A:$E,3,FALSE)</f>
        <v>UT UK All Companies</v>
      </c>
      <c r="D1069" s="139">
        <f>VLOOKUP(NoviaFunds[[#This Row],[ISIN]],'Novia Web Query'!$A:$E,4,FALSE)/100</f>
        <v>1.61E-2</v>
      </c>
      <c r="E1069" s="3" t="str">
        <f>VLOOKUP(NoviaFunds[[#This Row],[ISIN]],'Novia Web Query'!$A:$E,5,FALSE)</f>
        <v>21/12/2021</v>
      </c>
      <c r="F1069" t="str">
        <f>VLOOKUP(NoviaFunds[[#This Row],[Sector]],Sectors[],2,FALSE)</f>
        <v>UK Equities</v>
      </c>
    </row>
    <row r="1070" spans="1:6" x14ac:dyDescent="0.2">
      <c r="A1070" t="str">
        <f>'Novia Web Query'!A1070</f>
        <v>GB00B0702V75</v>
      </c>
      <c r="B1070" t="str">
        <f>VLOOKUP(NoviaFunds[[#This Row],[ISIN]],'Novia Web Query'!$A:$E,2,FALSE)</f>
        <v>BNY Mellon UK Income Inst Acc in GB</v>
      </c>
      <c r="C1070" t="str">
        <f>VLOOKUP(NoviaFunds[[#This Row],[ISIN]],'Novia Web Query'!$A:$E,3,FALSE)</f>
        <v>UT UK Equity Income</v>
      </c>
      <c r="D1070" s="139">
        <f>VLOOKUP(NoviaFunds[[#This Row],[ISIN]],'Novia Web Query'!$A:$E,4,FALSE)/100</f>
        <v>1.04E-2</v>
      </c>
      <c r="E1070" s="3" t="str">
        <f>VLOOKUP(NoviaFunds[[#This Row],[ISIN]],'Novia Web Query'!$A:$E,5,FALSE)</f>
        <v>21/12/2021</v>
      </c>
      <c r="F1070" t="str">
        <f>VLOOKUP(NoviaFunds[[#This Row],[Sector]],Sectors[],2,FALSE)</f>
        <v>UK Equities</v>
      </c>
    </row>
    <row r="1071" spans="1:6" x14ac:dyDescent="0.2">
      <c r="A1071" t="str">
        <f>'Novia Web Query'!A1071</f>
        <v>GB00B7M90R07</v>
      </c>
      <c r="B1071" t="str">
        <f>VLOOKUP(NoviaFunds[[#This Row],[ISIN]],'Novia Web Query'!$A:$E,2,FALSE)</f>
        <v>BNY Mellon UK Income Inst W Acc TR in GB</v>
      </c>
      <c r="C1071" t="str">
        <f>VLOOKUP(NoviaFunds[[#This Row],[ISIN]],'Novia Web Query'!$A:$E,3,FALSE)</f>
        <v>UT UK Equity Income</v>
      </c>
      <c r="D1071" s="139">
        <f>VLOOKUP(NoviaFunds[[#This Row],[ISIN]],'Novia Web Query'!$A:$E,4,FALSE)/100</f>
        <v>7.9000000000000008E-3</v>
      </c>
      <c r="E1071" s="3" t="str">
        <f>VLOOKUP(NoviaFunds[[#This Row],[ISIN]],'Novia Web Query'!$A:$E,5,FALSE)</f>
        <v>21/12/2021</v>
      </c>
      <c r="F1071" t="str">
        <f>VLOOKUP(NoviaFunds[[#This Row],[Sector]],Sectors[],2,FALSE)</f>
        <v>UK Equities</v>
      </c>
    </row>
    <row r="1072" spans="1:6" x14ac:dyDescent="0.2">
      <c r="A1072" t="str">
        <f>'Novia Web Query'!A1072</f>
        <v>GB00B7W2G379</v>
      </c>
      <c r="B1072" t="str">
        <f>VLOOKUP(NoviaFunds[[#This Row],[ISIN]],'Novia Web Query'!$A:$E,2,FALSE)</f>
        <v>BNY Mellon UK Income Inst W Inc TR in GB</v>
      </c>
      <c r="C1072" t="str">
        <f>VLOOKUP(NoviaFunds[[#This Row],[ISIN]],'Novia Web Query'!$A:$E,3,FALSE)</f>
        <v>UT UK Equity Income</v>
      </c>
      <c r="D1072" s="139">
        <f>VLOOKUP(NoviaFunds[[#This Row],[ISIN]],'Novia Web Query'!$A:$E,4,FALSE)/100</f>
        <v>7.9000000000000008E-3</v>
      </c>
      <c r="E1072" s="3" t="str">
        <f>VLOOKUP(NoviaFunds[[#This Row],[ISIN]],'Novia Web Query'!$A:$E,5,FALSE)</f>
        <v>21/12/2021</v>
      </c>
      <c r="F1072" t="str">
        <f>VLOOKUP(NoviaFunds[[#This Row],[Sector]],Sectors[],2,FALSE)</f>
        <v>UK Equities</v>
      </c>
    </row>
    <row r="1073" spans="1:6" x14ac:dyDescent="0.2">
      <c r="A1073" t="str">
        <f>'Novia Web Query'!A1073</f>
        <v>GB0006779218</v>
      </c>
      <c r="B1073" t="str">
        <f>VLOOKUP(NoviaFunds[[#This Row],[ISIN]],'Novia Web Query'!$A:$E,2,FALSE)</f>
        <v>BNY Mellon UK Income Sterling TR in GB</v>
      </c>
      <c r="C1073" t="str">
        <f>VLOOKUP(NoviaFunds[[#This Row],[ISIN]],'Novia Web Query'!$A:$E,3,FALSE)</f>
        <v>UT UK Equity Income</v>
      </c>
      <c r="D1073" s="139">
        <f>VLOOKUP(NoviaFunds[[#This Row],[ISIN]],'Novia Web Query'!$A:$E,4,FALSE)/100</f>
        <v>1.61E-2</v>
      </c>
      <c r="E1073" s="3" t="str">
        <f>VLOOKUP(NoviaFunds[[#This Row],[ISIN]],'Novia Web Query'!$A:$E,5,FALSE)</f>
        <v>21/12/2021</v>
      </c>
      <c r="F1073" t="str">
        <f>VLOOKUP(NoviaFunds[[#This Row],[Sector]],Sectors[],2,FALSE)</f>
        <v>UK Equities</v>
      </c>
    </row>
    <row r="1074" spans="1:6" x14ac:dyDescent="0.2">
      <c r="A1074" t="str">
        <f>'Novia Web Query'!A1074</f>
        <v>GB00B8L14S33</v>
      </c>
      <c r="B1074" t="str">
        <f>VLOOKUP(NoviaFunds[[#This Row],[ISIN]],'Novia Web Query'!$A:$E,2,FALSE)</f>
        <v>BNY Mellon US Opportunities Inst W Acc GBP TR in GB</v>
      </c>
      <c r="C1074" t="str">
        <f>VLOOKUP(NoviaFunds[[#This Row],[ISIN]],'Novia Web Query'!$A:$E,3,FALSE)</f>
        <v>UT North America</v>
      </c>
      <c r="D1074" s="139">
        <f>VLOOKUP(NoviaFunds[[#This Row],[ISIN]],'Novia Web Query'!$A:$E,4,FALSE)/100</f>
        <v>8.6E-3</v>
      </c>
      <c r="E1074" s="3" t="str">
        <f>VLOOKUP(NoviaFunds[[#This Row],[ISIN]],'Novia Web Query'!$A:$E,5,FALSE)</f>
        <v>21/12/2021</v>
      </c>
      <c r="F1074" t="str">
        <f>VLOOKUP(NoviaFunds[[#This Row],[Sector]],Sectors[],2,FALSE)</f>
        <v>USA Equities</v>
      </c>
    </row>
    <row r="1075" spans="1:6" x14ac:dyDescent="0.2">
      <c r="A1075" t="str">
        <f>'Novia Web Query'!A1075</f>
        <v>GB00B8L1Q109</v>
      </c>
      <c r="B1075" t="str">
        <f>VLOOKUP(NoviaFunds[[#This Row],[ISIN]],'Novia Web Query'!$A:$E,2,FALSE)</f>
        <v>BNY Mellon US Opportunities Inst W Inc GBP TR in GB</v>
      </c>
      <c r="C1075" t="str">
        <f>VLOOKUP(NoviaFunds[[#This Row],[ISIN]],'Novia Web Query'!$A:$E,3,FALSE)</f>
        <v>UT North America</v>
      </c>
      <c r="D1075" s="139">
        <f>VLOOKUP(NoviaFunds[[#This Row],[ISIN]],'Novia Web Query'!$A:$E,4,FALSE)/100</f>
        <v>8.6E-3</v>
      </c>
      <c r="E1075" s="3" t="str">
        <f>VLOOKUP(NoviaFunds[[#This Row],[ISIN]],'Novia Web Query'!$A:$E,5,FALSE)</f>
        <v>21/12/2021</v>
      </c>
      <c r="F1075" t="str">
        <f>VLOOKUP(NoviaFunds[[#This Row],[Sector]],Sectors[],2,FALSE)</f>
        <v>USA Equities</v>
      </c>
    </row>
    <row r="1076" spans="1:6" x14ac:dyDescent="0.2">
      <c r="A1076" t="str">
        <f>'Novia Web Query'!A1076</f>
        <v>GB0006778350</v>
      </c>
      <c r="B1076" t="str">
        <f>VLOOKUP(NoviaFunds[[#This Row],[ISIN]],'Novia Web Query'!$A:$E,2,FALSE)</f>
        <v>BNY Mellon US Opportunities Sterling GBP TR in GB</v>
      </c>
      <c r="C1076" t="str">
        <f>VLOOKUP(NoviaFunds[[#This Row],[ISIN]],'Novia Web Query'!$A:$E,3,FALSE)</f>
        <v>UT North America</v>
      </c>
      <c r="D1076" s="139">
        <f>VLOOKUP(NoviaFunds[[#This Row],[ISIN]],'Novia Web Query'!$A:$E,4,FALSE)/100</f>
        <v>1.6799999999999999E-2</v>
      </c>
      <c r="E1076" s="3" t="str">
        <f>VLOOKUP(NoviaFunds[[#This Row],[ISIN]],'Novia Web Query'!$A:$E,5,FALSE)</f>
        <v>21/12/2021</v>
      </c>
      <c r="F1076" t="str">
        <f>VLOOKUP(NoviaFunds[[#This Row],[Sector]],Sectors[],2,FALSE)</f>
        <v>USA Equities</v>
      </c>
    </row>
    <row r="1077" spans="1:6" x14ac:dyDescent="0.2">
      <c r="A1077" t="str">
        <f>'Novia Web Query'!A1077</f>
        <v>GB00BP4VN261</v>
      </c>
      <c r="B1077" t="str">
        <f>VLOOKUP(NoviaFunds[[#This Row],[ISIN]],'Novia Web Query'!$A:$E,2,FALSE)</f>
        <v>Brown SVS Brown Shipley Balanced I Acc in GB</v>
      </c>
      <c r="C1077" t="str">
        <f>VLOOKUP(NoviaFunds[[#This Row],[ISIN]],'Novia Web Query'!$A:$E,3,FALSE)</f>
        <v>UT Mixed Investment 40-85% Shares</v>
      </c>
      <c r="D1077" s="139">
        <f>VLOOKUP(NoviaFunds[[#This Row],[ISIN]],'Novia Web Query'!$A:$E,4,FALSE)/100</f>
        <v>1.2500000000000001E-2</v>
      </c>
      <c r="E1077" s="3" t="str">
        <f>VLOOKUP(NoviaFunds[[#This Row],[ISIN]],'Novia Web Query'!$A:$E,5,FALSE)</f>
        <v>03/02/2021</v>
      </c>
      <c r="F1077" t="str">
        <f>VLOOKUP(NoviaFunds[[#This Row],[Sector]],Sectors[],2,FALSE)</f>
        <v>Mixed 40%-85%</v>
      </c>
    </row>
    <row r="1078" spans="1:6" x14ac:dyDescent="0.2">
      <c r="A1078" t="str">
        <f>'Novia Web Query'!A1078</f>
        <v>GB00BP4VN378</v>
      </c>
      <c r="B1078" t="str">
        <f>VLOOKUP(NoviaFunds[[#This Row],[ISIN]],'Novia Web Query'!$A:$E,2,FALSE)</f>
        <v>Brown SVS Brown Shipley Balanced I Inc TR in GB</v>
      </c>
      <c r="C1078" t="str">
        <f>VLOOKUP(NoviaFunds[[#This Row],[ISIN]],'Novia Web Query'!$A:$E,3,FALSE)</f>
        <v>UT Mixed Investment 40-85% Shares</v>
      </c>
      <c r="D1078" s="139">
        <f>VLOOKUP(NoviaFunds[[#This Row],[ISIN]],'Novia Web Query'!$A:$E,4,FALSE)/100</f>
        <v>1.2500000000000001E-2</v>
      </c>
      <c r="E1078" s="3" t="str">
        <f>VLOOKUP(NoviaFunds[[#This Row],[ISIN]],'Novia Web Query'!$A:$E,5,FALSE)</f>
        <v>03/02/2021</v>
      </c>
      <c r="F1078" t="str">
        <f>VLOOKUP(NoviaFunds[[#This Row],[Sector]],Sectors[],2,FALSE)</f>
        <v>Mixed 40%-85%</v>
      </c>
    </row>
    <row r="1079" spans="1:6" x14ac:dyDescent="0.2">
      <c r="A1079" t="str">
        <f>'Novia Web Query'!A1079</f>
        <v>GB00BP4VN600</v>
      </c>
      <c r="B1079" t="str">
        <f>VLOOKUP(NoviaFunds[[#This Row],[ISIN]],'Novia Web Query'!$A:$E,2,FALSE)</f>
        <v>Brown SVS Brown Shipley Cautious I Acc in GB</v>
      </c>
      <c r="C1079" t="str">
        <f>VLOOKUP(NoviaFunds[[#This Row],[ISIN]],'Novia Web Query'!$A:$E,3,FALSE)</f>
        <v>UT Mixed Investment 0-35% Shares</v>
      </c>
      <c r="D1079" s="139">
        <f>VLOOKUP(NoviaFunds[[#This Row],[ISIN]],'Novia Web Query'!$A:$E,4,FALSE)/100</f>
        <v>1.38E-2</v>
      </c>
      <c r="E1079" s="3" t="str">
        <f>VLOOKUP(NoviaFunds[[#This Row],[ISIN]],'Novia Web Query'!$A:$E,5,FALSE)</f>
        <v>03/02/2021</v>
      </c>
      <c r="F1079" t="str">
        <f>VLOOKUP(NoviaFunds[[#This Row],[Sector]],Sectors[],2,FALSE)</f>
        <v>Mixed 0%-35%</v>
      </c>
    </row>
    <row r="1080" spans="1:6" x14ac:dyDescent="0.2">
      <c r="A1080" t="str">
        <f>'Novia Web Query'!A1080</f>
        <v>GB00BP4VN717</v>
      </c>
      <c r="B1080" t="str">
        <f>VLOOKUP(NoviaFunds[[#This Row],[ISIN]],'Novia Web Query'!$A:$E,2,FALSE)</f>
        <v>Brown SVS Brown Shipley Cautious I Inc TR in GB</v>
      </c>
      <c r="C1080" t="str">
        <f>VLOOKUP(NoviaFunds[[#This Row],[ISIN]],'Novia Web Query'!$A:$E,3,FALSE)</f>
        <v>UT Mixed Investment 0-35% Shares</v>
      </c>
      <c r="D1080" s="139">
        <f>VLOOKUP(NoviaFunds[[#This Row],[ISIN]],'Novia Web Query'!$A:$E,4,FALSE)/100</f>
        <v>1.38E-2</v>
      </c>
      <c r="E1080" s="3" t="str">
        <f>VLOOKUP(NoviaFunds[[#This Row],[ISIN]],'Novia Web Query'!$A:$E,5,FALSE)</f>
        <v>03/02/2021</v>
      </c>
      <c r="F1080" t="str">
        <f>VLOOKUP(NoviaFunds[[#This Row],[Sector]],Sectors[],2,FALSE)</f>
        <v>Mixed 0%-35%</v>
      </c>
    </row>
    <row r="1081" spans="1:6" x14ac:dyDescent="0.2">
      <c r="A1081" t="str">
        <f>'Novia Web Query'!A1081</f>
        <v>GB00B3K4J724</v>
      </c>
      <c r="B1081" t="str">
        <f>VLOOKUP(NoviaFunds[[#This Row],[ISIN]],'Novia Web Query'!$A:$E,2,FALSE)</f>
        <v>Brown SVS Brown Shipley Dynamic I Acc in GB**</v>
      </c>
      <c r="C1081" t="str">
        <f>VLOOKUP(NoviaFunds[[#This Row],[ISIN]],'Novia Web Query'!$A:$E,3,FALSE)</f>
        <v>UT Flexible Investment</v>
      </c>
      <c r="D1081" s="139">
        <f>VLOOKUP(NoviaFunds[[#This Row],[ISIN]],'Novia Web Query'!$A:$E,4,FALSE)/100</f>
        <v>1.34E-2</v>
      </c>
      <c r="E1081" s="3" t="str">
        <f>VLOOKUP(NoviaFunds[[#This Row],[ISIN]],'Novia Web Query'!$A:$E,5,FALSE)</f>
        <v>03/02/2021</v>
      </c>
      <c r="F1081" t="str">
        <f>VLOOKUP(NoviaFunds[[#This Row],[Sector]],Sectors[],2,FALSE)</f>
        <v>Flexible</v>
      </c>
    </row>
    <row r="1082" spans="1:6" x14ac:dyDescent="0.2">
      <c r="A1082" t="str">
        <f>'Novia Web Query'!A1082</f>
        <v>GB00B3K4MR31</v>
      </c>
      <c r="B1082" t="str">
        <f>VLOOKUP(NoviaFunds[[#This Row],[ISIN]],'Novia Web Query'!$A:$E,2,FALSE)</f>
        <v>Brown SVS Brown Shipley Dynamic I Inc TR in GB**</v>
      </c>
      <c r="C1082" t="str">
        <f>VLOOKUP(NoviaFunds[[#This Row],[ISIN]],'Novia Web Query'!$A:$E,3,FALSE)</f>
        <v>UT Flexible Investment</v>
      </c>
      <c r="D1082" s="139">
        <f>VLOOKUP(NoviaFunds[[#This Row],[ISIN]],'Novia Web Query'!$A:$E,4,FALSE)/100</f>
        <v>1.34E-2</v>
      </c>
      <c r="E1082" s="3" t="str">
        <f>VLOOKUP(NoviaFunds[[#This Row],[ISIN]],'Novia Web Query'!$A:$E,5,FALSE)</f>
        <v>03/02/2021</v>
      </c>
      <c r="F1082" t="str">
        <f>VLOOKUP(NoviaFunds[[#This Row],[Sector]],Sectors[],2,FALSE)</f>
        <v>Flexible</v>
      </c>
    </row>
    <row r="1083" spans="1:6" x14ac:dyDescent="0.2">
      <c r="A1083" t="str">
        <f>'Novia Web Query'!A1083</f>
        <v>GB0032503418</v>
      </c>
      <c r="B1083" t="str">
        <f>VLOOKUP(NoviaFunds[[#This Row],[ISIN]],'Novia Web Query'!$A:$E,2,FALSE)</f>
        <v>Brown SVS Brown Shipley Growth A Acc in GB</v>
      </c>
      <c r="C1083" t="str">
        <f>VLOOKUP(NoviaFunds[[#This Row],[ISIN]],'Novia Web Query'!$A:$E,3,FALSE)</f>
        <v>UT Mixed Investment 40-85% Shares</v>
      </c>
      <c r="D1083" s="139">
        <f>VLOOKUP(NoviaFunds[[#This Row],[ISIN]],'Novia Web Query'!$A:$E,4,FALSE)/100</f>
        <v>1.5300000000000001E-2</v>
      </c>
      <c r="E1083" s="3" t="str">
        <f>VLOOKUP(NoviaFunds[[#This Row],[ISIN]],'Novia Web Query'!$A:$E,5,FALSE)</f>
        <v>03/02/2021</v>
      </c>
      <c r="F1083" t="str">
        <f>VLOOKUP(NoviaFunds[[#This Row],[Sector]],Sectors[],2,FALSE)</f>
        <v>Mixed 40%-85%</v>
      </c>
    </row>
    <row r="1084" spans="1:6" x14ac:dyDescent="0.2">
      <c r="A1084" t="str">
        <f>'Novia Web Query'!A1084</f>
        <v>GB0032503301</v>
      </c>
      <c r="B1084" t="str">
        <f>VLOOKUP(NoviaFunds[[#This Row],[ISIN]],'Novia Web Query'!$A:$E,2,FALSE)</f>
        <v>Brown SVS Brown Shipley Growth A Inc TR in GB</v>
      </c>
      <c r="C1084" t="str">
        <f>VLOOKUP(NoviaFunds[[#This Row],[ISIN]],'Novia Web Query'!$A:$E,3,FALSE)</f>
        <v>UT Mixed Investment 40-85% Shares</v>
      </c>
      <c r="D1084" s="139">
        <f>VLOOKUP(NoviaFunds[[#This Row],[ISIN]],'Novia Web Query'!$A:$E,4,FALSE)/100</f>
        <v>1.5300000000000001E-2</v>
      </c>
      <c r="E1084" s="3" t="str">
        <f>VLOOKUP(NoviaFunds[[#This Row],[ISIN]],'Novia Web Query'!$A:$E,5,FALSE)</f>
        <v>03/02/2021</v>
      </c>
      <c r="F1084" t="str">
        <f>VLOOKUP(NoviaFunds[[#This Row],[Sector]],Sectors[],2,FALSE)</f>
        <v>Mixed 40%-85%</v>
      </c>
    </row>
    <row r="1085" spans="1:6" x14ac:dyDescent="0.2">
      <c r="A1085" t="str">
        <f>'Novia Web Query'!A1085</f>
        <v>GB00B3NNSP77</v>
      </c>
      <c r="B1085" t="str">
        <f>VLOOKUP(NoviaFunds[[#This Row],[ISIN]],'Novia Web Query'!$A:$E,2,FALSE)</f>
        <v>Brown SVS Brown Shipley Growth I Acc in GB**</v>
      </c>
      <c r="C1085" t="str">
        <f>VLOOKUP(NoviaFunds[[#This Row],[ISIN]],'Novia Web Query'!$A:$E,3,FALSE)</f>
        <v>UT Mixed Investment 40-85% Shares</v>
      </c>
      <c r="D1085" s="139">
        <f>VLOOKUP(NoviaFunds[[#This Row],[ISIN]],'Novia Web Query'!$A:$E,4,FALSE)/100</f>
        <v>1.2800000000000001E-2</v>
      </c>
      <c r="E1085" s="3" t="str">
        <f>VLOOKUP(NoviaFunds[[#This Row],[ISIN]],'Novia Web Query'!$A:$E,5,FALSE)</f>
        <v>03/02/2021</v>
      </c>
      <c r="F1085" t="str">
        <f>VLOOKUP(NoviaFunds[[#This Row],[Sector]],Sectors[],2,FALSE)</f>
        <v>Mixed 40%-85%</v>
      </c>
    </row>
    <row r="1086" spans="1:6" x14ac:dyDescent="0.2">
      <c r="A1086" t="str">
        <f>'Novia Web Query'!A1086</f>
        <v>GB00B3NGWQ53</v>
      </c>
      <c r="B1086" t="str">
        <f>VLOOKUP(NoviaFunds[[#This Row],[ISIN]],'Novia Web Query'!$A:$E,2,FALSE)</f>
        <v>Brown SVS Brown Shipley Growth I Inc TR in GB**</v>
      </c>
      <c r="C1086" t="str">
        <f>VLOOKUP(NoviaFunds[[#This Row],[ISIN]],'Novia Web Query'!$A:$E,3,FALSE)</f>
        <v>UT Mixed Investment 40-85% Shares</v>
      </c>
      <c r="D1086" s="139">
        <f>VLOOKUP(NoviaFunds[[#This Row],[ISIN]],'Novia Web Query'!$A:$E,4,FALSE)/100</f>
        <v>1.2800000000000001E-2</v>
      </c>
      <c r="E1086" s="3" t="str">
        <f>VLOOKUP(NoviaFunds[[#This Row],[ISIN]],'Novia Web Query'!$A:$E,5,FALSE)</f>
        <v>03/02/2021</v>
      </c>
      <c r="F1086" t="str">
        <f>VLOOKUP(NoviaFunds[[#This Row],[Sector]],Sectors[],2,FALSE)</f>
        <v>Mixed 40%-85%</v>
      </c>
    </row>
    <row r="1087" spans="1:6" x14ac:dyDescent="0.2">
      <c r="A1087" t="str">
        <f>'Novia Web Query'!A1087</f>
        <v>GB0032503749</v>
      </c>
      <c r="B1087" t="str">
        <f>VLOOKUP(NoviaFunds[[#This Row],[ISIN]],'Novia Web Query'!$A:$E,2,FALSE)</f>
        <v>Brown SVS Brown Shipley Income A Acc in GB</v>
      </c>
      <c r="C1087" t="str">
        <f>VLOOKUP(NoviaFunds[[#This Row],[ISIN]],'Novia Web Query'!$A:$E,3,FALSE)</f>
        <v>UT Mixed Investment 20-60% Shares</v>
      </c>
      <c r="D1087" s="139">
        <f>VLOOKUP(NoviaFunds[[#This Row],[ISIN]],'Novia Web Query'!$A:$E,4,FALSE)/100</f>
        <v>1.4999999999999999E-2</v>
      </c>
      <c r="E1087" s="3" t="str">
        <f>VLOOKUP(NoviaFunds[[#This Row],[ISIN]],'Novia Web Query'!$A:$E,5,FALSE)</f>
        <v>03/02/2021</v>
      </c>
      <c r="F1087" t="str">
        <f>VLOOKUP(NoviaFunds[[#This Row],[Sector]],Sectors[],2,FALSE)</f>
        <v>Mixed 20%-60%</v>
      </c>
    </row>
    <row r="1088" spans="1:6" x14ac:dyDescent="0.2">
      <c r="A1088" t="str">
        <f>'Novia Web Query'!A1088</f>
        <v>GB0032503962</v>
      </c>
      <c r="B1088" t="str">
        <f>VLOOKUP(NoviaFunds[[#This Row],[ISIN]],'Novia Web Query'!$A:$E,2,FALSE)</f>
        <v>Brown SVS Brown Shipley Income A Inc TR in GB</v>
      </c>
      <c r="C1088" t="str">
        <f>VLOOKUP(NoviaFunds[[#This Row],[ISIN]],'Novia Web Query'!$A:$E,3,FALSE)</f>
        <v>UT Mixed Investment 20-60% Shares</v>
      </c>
      <c r="D1088" s="139">
        <f>VLOOKUP(NoviaFunds[[#This Row],[ISIN]],'Novia Web Query'!$A:$E,4,FALSE)/100</f>
        <v>1.4999999999999999E-2</v>
      </c>
      <c r="E1088" s="3" t="str">
        <f>VLOOKUP(NoviaFunds[[#This Row],[ISIN]],'Novia Web Query'!$A:$E,5,FALSE)</f>
        <v>03/02/2021</v>
      </c>
      <c r="F1088" t="str">
        <f>VLOOKUP(NoviaFunds[[#This Row],[Sector]],Sectors[],2,FALSE)</f>
        <v>Mixed 20%-60%</v>
      </c>
    </row>
    <row r="1089" spans="1:6" x14ac:dyDescent="0.2">
      <c r="A1089" t="str">
        <f>'Novia Web Query'!A1089</f>
        <v>GB00B3QCN457</v>
      </c>
      <c r="B1089" t="str">
        <f>VLOOKUP(NoviaFunds[[#This Row],[ISIN]],'Novia Web Query'!$A:$E,2,FALSE)</f>
        <v>Brown SVS Brown Shipley Income I Acc in GB**</v>
      </c>
      <c r="C1089" t="str">
        <f>VLOOKUP(NoviaFunds[[#This Row],[ISIN]],'Novia Web Query'!$A:$E,3,FALSE)</f>
        <v>UT Mixed Investment 20-60% Shares</v>
      </c>
      <c r="D1089" s="139">
        <f>VLOOKUP(NoviaFunds[[#This Row],[ISIN]],'Novia Web Query'!$A:$E,4,FALSE)/100</f>
        <v>1.2500000000000001E-2</v>
      </c>
      <c r="E1089" s="3" t="str">
        <f>VLOOKUP(NoviaFunds[[#This Row],[ISIN]],'Novia Web Query'!$A:$E,5,FALSE)</f>
        <v>03/02/2021</v>
      </c>
      <c r="F1089" t="str">
        <f>VLOOKUP(NoviaFunds[[#This Row],[Sector]],Sectors[],2,FALSE)</f>
        <v>Mixed 20%-60%</v>
      </c>
    </row>
    <row r="1090" spans="1:6" x14ac:dyDescent="0.2">
      <c r="A1090" t="str">
        <f>'Novia Web Query'!A1090</f>
        <v>GB00B3QCN234</v>
      </c>
      <c r="B1090" t="str">
        <f>VLOOKUP(NoviaFunds[[#This Row],[ISIN]],'Novia Web Query'!$A:$E,2,FALSE)</f>
        <v>Brown SVS Brown Shipley Income I Inc TR in GB**</v>
      </c>
      <c r="C1090" t="str">
        <f>VLOOKUP(NoviaFunds[[#This Row],[ISIN]],'Novia Web Query'!$A:$E,3,FALSE)</f>
        <v>UT Mixed Investment 20-60% Shares</v>
      </c>
      <c r="D1090" s="139">
        <f>VLOOKUP(NoviaFunds[[#This Row],[ISIN]],'Novia Web Query'!$A:$E,4,FALSE)/100</f>
        <v>1.2500000000000001E-2</v>
      </c>
      <c r="E1090" s="3" t="str">
        <f>VLOOKUP(NoviaFunds[[#This Row],[ISIN]],'Novia Web Query'!$A:$E,5,FALSE)</f>
        <v>03/02/2021</v>
      </c>
      <c r="F1090" t="str">
        <f>VLOOKUP(NoviaFunds[[#This Row],[Sector]],Sectors[],2,FALSE)</f>
        <v>Mixed 20%-60%</v>
      </c>
    </row>
    <row r="1091" spans="1:6" x14ac:dyDescent="0.2">
      <c r="A1091" t="str">
        <f>'Novia Web Query'!A1091</f>
        <v>GB00BYYQC271</v>
      </c>
      <c r="B1091" t="str">
        <f>VLOOKUP(NoviaFunds[[#This Row],[ISIN]],'Novia Web Query'!$A:$E,2,FALSE)</f>
        <v>CFP SDL Free Spirit Acc GBP in GB</v>
      </c>
      <c r="C1091" t="str">
        <f>VLOOKUP(NoviaFunds[[#This Row],[ISIN]],'Novia Web Query'!$A:$E,3,FALSE)</f>
        <v>UT UK All Companies</v>
      </c>
      <c r="D1091" s="139">
        <f>VLOOKUP(NoviaFunds[[#This Row],[ISIN]],'Novia Web Query'!$A:$E,4,FALSE)/100</f>
        <v>1.1299999999999999E-2</v>
      </c>
      <c r="E1091" s="3" t="str">
        <f>VLOOKUP(NoviaFunds[[#This Row],[ISIN]],'Novia Web Query'!$A:$E,5,FALSE)</f>
        <v>31/08/2021</v>
      </c>
      <c r="F1091" t="str">
        <f>VLOOKUP(NoviaFunds[[#This Row],[Sector]],Sectors[],2,FALSE)</f>
        <v>UK Equities</v>
      </c>
    </row>
    <row r="1092" spans="1:6" x14ac:dyDescent="0.2">
      <c r="A1092" t="str">
        <f>'Novia Web Query'!A1092</f>
        <v>GB00BYYQC495</v>
      </c>
      <c r="B1092" t="str">
        <f>VLOOKUP(NoviaFunds[[#This Row],[ISIN]],'Novia Web Query'!$A:$E,2,FALSE)</f>
        <v>CFP SDL Free Spirit Inc GBP TR in GB</v>
      </c>
      <c r="C1092" t="str">
        <f>VLOOKUP(NoviaFunds[[#This Row],[ISIN]],'Novia Web Query'!$A:$E,3,FALSE)</f>
        <v>UT UK All Companies</v>
      </c>
      <c r="D1092" s="139">
        <f>VLOOKUP(NoviaFunds[[#This Row],[ISIN]],'Novia Web Query'!$A:$E,4,FALSE)/100</f>
        <v>1.1299999999999999E-2</v>
      </c>
      <c r="E1092" s="3" t="str">
        <f>VLOOKUP(NoviaFunds[[#This Row],[ISIN]],'Novia Web Query'!$A:$E,5,FALSE)</f>
        <v>31/08/2021</v>
      </c>
      <c r="F1092" t="str">
        <f>VLOOKUP(NoviaFunds[[#This Row],[Sector]],Sectors[],2,FALSE)</f>
        <v>UK Equities</v>
      </c>
    </row>
    <row r="1093" spans="1:6" x14ac:dyDescent="0.2">
      <c r="A1093" t="str">
        <f>'Novia Web Query'!A1093</f>
        <v>GB00BF0LDZ31</v>
      </c>
      <c r="B1093" t="str">
        <f>VLOOKUP(NoviaFunds[[#This Row],[ISIN]],'Novia Web Query'!$A:$E,2,FALSE)</f>
        <v>CFP SDL UK Buffettology General Acc TR in GB**</v>
      </c>
      <c r="C1093" t="str">
        <f>VLOOKUP(NoviaFunds[[#This Row],[ISIN]],'Novia Web Query'!$A:$E,3,FALSE)</f>
        <v>UT UK All Companies</v>
      </c>
      <c r="D1093" s="139">
        <f>VLOOKUP(NoviaFunds[[#This Row],[ISIN]],'Novia Web Query'!$A:$E,4,FALSE)/100</f>
        <v>1.1299999999999999E-2</v>
      </c>
      <c r="E1093" s="3" t="str">
        <f>VLOOKUP(NoviaFunds[[#This Row],[ISIN]],'Novia Web Query'!$A:$E,5,FALSE)</f>
        <v>31/08/2021</v>
      </c>
      <c r="F1093" t="str">
        <f>VLOOKUP(NoviaFunds[[#This Row],[Sector]],Sectors[],2,FALSE)</f>
        <v>UK Equities</v>
      </c>
    </row>
    <row r="1094" spans="1:6" x14ac:dyDescent="0.2">
      <c r="A1094" t="str">
        <f>'Novia Web Query'!A1094</f>
        <v>GB00BKJ9C676</v>
      </c>
      <c r="B1094" t="str">
        <f>VLOOKUP(NoviaFunds[[#This Row],[ISIN]],'Novia Web Query'!$A:$E,2,FALSE)</f>
        <v>CFP SDL UK Buffettology General Inc TR in GB</v>
      </c>
      <c r="C1094" t="str">
        <f>VLOOKUP(NoviaFunds[[#This Row],[ISIN]],'Novia Web Query'!$A:$E,3,FALSE)</f>
        <v>UT UK All Companies</v>
      </c>
      <c r="D1094" s="139">
        <f>VLOOKUP(NoviaFunds[[#This Row],[ISIN]],'Novia Web Query'!$A:$E,4,FALSE)/100</f>
        <v>1.1299999999999999E-2</v>
      </c>
      <c r="E1094" s="3" t="str">
        <f>VLOOKUP(NoviaFunds[[#This Row],[ISIN]],'Novia Web Query'!$A:$E,5,FALSE)</f>
        <v>31/08/2021</v>
      </c>
      <c r="F1094" t="str">
        <f>VLOOKUP(NoviaFunds[[#This Row],[Sector]],Sectors[],2,FALSE)</f>
        <v>UK Equities</v>
      </c>
    </row>
    <row r="1095" spans="1:6" x14ac:dyDescent="0.2">
      <c r="A1095" t="str">
        <f>'Novia Web Query'!A1095</f>
        <v>GB00BF4VR355</v>
      </c>
      <c r="B1095" t="str">
        <f>VLOOKUP(NoviaFunds[[#This Row],[ISIN]],'Novia Web Query'!$A:$E,2,FALSE)</f>
        <v>CFP Castlefield B.E.S.T Sustainable European General Inc TR in GB</v>
      </c>
      <c r="C1095" t="str">
        <f>VLOOKUP(NoviaFunds[[#This Row],[ISIN]],'Novia Web Query'!$A:$E,3,FALSE)</f>
        <v>UT Europe Excluding UK</v>
      </c>
      <c r="D1095" s="139">
        <f>VLOOKUP(NoviaFunds[[#This Row],[ISIN]],'Novia Web Query'!$A:$E,4,FALSE)/100</f>
        <v>1.11E-2</v>
      </c>
      <c r="E1095" s="3" t="str">
        <f>VLOOKUP(NoviaFunds[[#This Row],[ISIN]],'Novia Web Query'!$A:$E,5,FALSE)</f>
        <v>31/08/2021</v>
      </c>
      <c r="F1095" t="str">
        <f>VLOOKUP(NoviaFunds[[#This Row],[Sector]],Sectors[],2,FALSE)</f>
        <v>European Equities</v>
      </c>
    </row>
    <row r="1096" spans="1:6" x14ac:dyDescent="0.2">
      <c r="A1096" t="str">
        <f>'Novia Web Query'!A1096</f>
        <v>GB00B13NPH48</v>
      </c>
      <c r="B1096" t="str">
        <f>VLOOKUP(NoviaFunds[[#This Row],[ISIN]],'Novia Web Query'!$A:$E,2,FALSE)</f>
        <v>CFP Castlefield B.E.S.T Sustainable Income General Inc TR in GB</v>
      </c>
      <c r="C1096" t="str">
        <f>VLOOKUP(NoviaFunds[[#This Row],[ISIN]],'Novia Web Query'!$A:$E,3,FALSE)</f>
        <v>UT UK Equity Income</v>
      </c>
      <c r="D1096" s="139">
        <f>VLOOKUP(NoviaFunds[[#This Row],[ISIN]],'Novia Web Query'!$A:$E,4,FALSE)/100</f>
        <v>1.23E-2</v>
      </c>
      <c r="E1096" s="3" t="str">
        <f>VLOOKUP(NoviaFunds[[#This Row],[ISIN]],'Novia Web Query'!$A:$E,5,FALSE)</f>
        <v>31/08/2021</v>
      </c>
      <c r="F1096" t="str">
        <f>VLOOKUP(NoviaFunds[[#This Row],[Sector]],Sectors[],2,FALSE)</f>
        <v>UK Equities</v>
      </c>
    </row>
    <row r="1097" spans="1:6" x14ac:dyDescent="0.2">
      <c r="A1097" t="str">
        <f>'Novia Web Query'!A1097</f>
        <v>GB00BYXG3H04</v>
      </c>
      <c r="B1097" t="str">
        <f>VLOOKUP(NoviaFunds[[#This Row],[ISIN]],'Novia Web Query'!$A:$E,2,FALSE)</f>
        <v>CFP Castlefield B.E.S.T Sustainable Portfolio Growth General Inc TR in GB</v>
      </c>
      <c r="C1097" t="str">
        <f>VLOOKUP(NoviaFunds[[#This Row],[ISIN]],'Novia Web Query'!$A:$E,3,FALSE)</f>
        <v>UT Mixed Investment 40-85% Shares</v>
      </c>
      <c r="D1097" s="139">
        <f>VLOOKUP(NoviaFunds[[#This Row],[ISIN]],'Novia Web Query'!$A:$E,4,FALSE)/100</f>
        <v>1.2800000000000001E-2</v>
      </c>
      <c r="E1097" s="3" t="str">
        <f>VLOOKUP(NoviaFunds[[#This Row],[ISIN]],'Novia Web Query'!$A:$E,5,FALSE)</f>
        <v>31/12/2020</v>
      </c>
      <c r="F1097" t="str">
        <f>VLOOKUP(NoviaFunds[[#This Row],[Sector]],Sectors[],2,FALSE)</f>
        <v>Mixed 40%-85%</v>
      </c>
    </row>
    <row r="1098" spans="1:6" x14ac:dyDescent="0.2">
      <c r="A1098" t="str">
        <f>'Novia Web Query'!A1098</f>
        <v>GB00BM97MN27</v>
      </c>
      <c r="B1098" t="str">
        <f>VLOOKUP(NoviaFunds[[#This Row],[ISIN]],'Novia Web Query'!$A:$E,2,FALSE)</f>
        <v>CFP Castlefield B.E.S.T Sustainable Portfolio Income General Inc TR in GB</v>
      </c>
      <c r="C1098" t="str">
        <f>VLOOKUP(NoviaFunds[[#This Row],[ISIN]],'Novia Web Query'!$A:$E,3,FALSE)</f>
        <v>UT Mixed Investment 20-60% Shares</v>
      </c>
      <c r="D1098" s="139">
        <f>VLOOKUP(NoviaFunds[[#This Row],[ISIN]],'Novia Web Query'!$A:$E,4,FALSE)/100</f>
        <v>1.44E-2</v>
      </c>
      <c r="E1098" s="3" t="str">
        <f>VLOOKUP(NoviaFunds[[#This Row],[ISIN]],'Novia Web Query'!$A:$E,5,FALSE)</f>
        <v>06/07/2020</v>
      </c>
      <c r="F1098" t="str">
        <f>VLOOKUP(NoviaFunds[[#This Row],[Sector]],Sectors[],2,FALSE)</f>
        <v>Mixed 20%-60%</v>
      </c>
    </row>
    <row r="1099" spans="1:6" x14ac:dyDescent="0.2">
      <c r="A1099" t="str">
        <f>'Novia Web Query'!A1099</f>
        <v>GB00B8J7Y492</v>
      </c>
      <c r="B1099" t="str">
        <f>VLOOKUP(NoviaFunds[[#This Row],[ISIN]],'Novia Web Query'!$A:$E,2,FALSE)</f>
        <v>CFP Castlefield B.E.S.T Sustainable UK Opportunities General Inc TR in GB</v>
      </c>
      <c r="C1099" t="str">
        <f>VLOOKUP(NoviaFunds[[#This Row],[ISIN]],'Novia Web Query'!$A:$E,3,FALSE)</f>
        <v>UT UK All Companies</v>
      </c>
      <c r="D1099" s="139">
        <f>VLOOKUP(NoviaFunds[[#This Row],[ISIN]],'Novia Web Query'!$A:$E,4,FALSE)/100</f>
        <v>1.0800000000000001E-2</v>
      </c>
      <c r="E1099" s="3" t="str">
        <f>VLOOKUP(NoviaFunds[[#This Row],[ISIN]],'Novia Web Query'!$A:$E,5,FALSE)</f>
        <v>31/08/2021</v>
      </c>
      <c r="F1099" t="str">
        <f>VLOOKUP(NoviaFunds[[#This Row],[Sector]],Sectors[],2,FALSE)</f>
        <v>UK Equities</v>
      </c>
    </row>
    <row r="1100" spans="1:6" x14ac:dyDescent="0.2">
      <c r="A1100" t="str">
        <f>'Novia Web Query'!A1100</f>
        <v>GB00B1XQNH95</v>
      </c>
      <c r="B1100" t="str">
        <f>VLOOKUP(NoviaFunds[[#This Row],[ISIN]],'Novia Web Query'!$A:$E,2,FALSE)</f>
        <v>CFP Castlefield B.E.S.T Sustainable UK Smaller Companies General Inc TR in GB</v>
      </c>
      <c r="C1100" t="str">
        <f>VLOOKUP(NoviaFunds[[#This Row],[ISIN]],'Novia Web Query'!$A:$E,3,FALSE)</f>
        <v>UT UK Smaller Companies</v>
      </c>
      <c r="D1100" s="139">
        <f>VLOOKUP(NoviaFunds[[#This Row],[ISIN]],'Novia Web Query'!$A:$E,4,FALSE)/100</f>
        <v>1.1399999999999999E-2</v>
      </c>
      <c r="E1100" s="3" t="str">
        <f>VLOOKUP(NoviaFunds[[#This Row],[ISIN]],'Novia Web Query'!$A:$E,5,FALSE)</f>
        <v>31/08/2021</v>
      </c>
      <c r="F1100" t="str">
        <f>VLOOKUP(NoviaFunds[[#This Row],[Sector]],Sectors[],2,FALSE)</f>
        <v>UK Equities</v>
      </c>
    </row>
    <row r="1101" spans="1:6" x14ac:dyDescent="0.2">
      <c r="A1101" t="str">
        <f>'Novia Web Query'!A1101</f>
        <v>GB00B12V1482</v>
      </c>
      <c r="B1101" t="str">
        <f>VLOOKUP(NoviaFunds[[#This Row],[ISIN]],'Novia Web Query'!$A:$E,2,FALSE)</f>
        <v>CFP Castlefield Real Return General Inc TR in GB</v>
      </c>
      <c r="C1101" t="str">
        <f>VLOOKUP(NoviaFunds[[#This Row],[ISIN]],'Novia Web Query'!$A:$E,3,FALSE)</f>
        <v>UT Targeted Absolute Return</v>
      </c>
      <c r="D1101" s="139">
        <f>VLOOKUP(NoviaFunds[[#This Row],[ISIN]],'Novia Web Query'!$A:$E,4,FALSE)/100</f>
        <v>1.5300000000000001E-2</v>
      </c>
      <c r="E1101" s="3" t="str">
        <f>VLOOKUP(NoviaFunds[[#This Row],[ISIN]],'Novia Web Query'!$A:$E,5,FALSE)</f>
        <v>31/08/2021</v>
      </c>
      <c r="F1101" t="str">
        <f>VLOOKUP(NoviaFunds[[#This Row],[Sector]],Sectors[],2,FALSE)</f>
        <v>Absolute Return</v>
      </c>
    </row>
    <row r="1102" spans="1:6" x14ac:dyDescent="0.2">
      <c r="A1102" t="str">
        <f>'Novia Web Query'!A1102</f>
        <v>GB00B4YW1S49</v>
      </c>
      <c r="B1102" t="str">
        <f>VLOOKUP(NoviaFunds[[#This Row],[ISIN]],'Novia Web Query'!$A:$E,2,FALSE)</f>
        <v>Close Balanced Portfolio A Acc in GB</v>
      </c>
      <c r="C1102" t="str">
        <f>VLOOKUP(NoviaFunds[[#This Row],[ISIN]],'Novia Web Query'!$A:$E,3,FALSE)</f>
        <v>UT Mixed Investment 40-85% Shares</v>
      </c>
      <c r="D1102" s="139">
        <f>VLOOKUP(NoviaFunds[[#This Row],[ISIN]],'Novia Web Query'!$A:$E,4,FALSE)/100</f>
        <v>1.6299999999999999E-2</v>
      </c>
      <c r="E1102" s="3" t="str">
        <f>VLOOKUP(NoviaFunds[[#This Row],[ISIN]],'Novia Web Query'!$A:$E,5,FALSE)</f>
        <v>31/03/2021</v>
      </c>
      <c r="F1102" t="str">
        <f>VLOOKUP(NoviaFunds[[#This Row],[Sector]],Sectors[],2,FALSE)</f>
        <v>Mixed 40%-85%</v>
      </c>
    </row>
    <row r="1103" spans="1:6" x14ac:dyDescent="0.2">
      <c r="A1103" t="str">
        <f>'Novia Web Query'!A1103</f>
        <v>GB00B7KDKJ66</v>
      </c>
      <c r="B1103" t="str">
        <f>VLOOKUP(NoviaFunds[[#This Row],[ISIN]],'Novia Web Query'!$A:$E,2,FALSE)</f>
        <v>Close Balanced Portfolio X Acc in GB</v>
      </c>
      <c r="C1103" t="str">
        <f>VLOOKUP(NoviaFunds[[#This Row],[ISIN]],'Novia Web Query'!$A:$E,3,FALSE)</f>
        <v>UT Mixed Investment 40-85% Shares</v>
      </c>
      <c r="D1103" s="139">
        <f>VLOOKUP(NoviaFunds[[#This Row],[ISIN]],'Novia Web Query'!$A:$E,4,FALSE)/100</f>
        <v>8.8999999999999999E-3</v>
      </c>
      <c r="E1103" s="3" t="str">
        <f>VLOOKUP(NoviaFunds[[#This Row],[ISIN]],'Novia Web Query'!$A:$E,5,FALSE)</f>
        <v>31/03/2021</v>
      </c>
      <c r="F1103" t="str">
        <f>VLOOKUP(NoviaFunds[[#This Row],[Sector]],Sectors[],2,FALSE)</f>
        <v>Mixed 40%-85%</v>
      </c>
    </row>
    <row r="1104" spans="1:6" x14ac:dyDescent="0.2">
      <c r="A1104" t="str">
        <f>'Novia Web Query'!A1104</f>
        <v>GB00B4RL6Q19</v>
      </c>
      <c r="B1104" t="str">
        <f>VLOOKUP(NoviaFunds[[#This Row],[ISIN]],'Novia Web Query'!$A:$E,2,FALSE)</f>
        <v>Close Conservative Portfolio A Acc in GB</v>
      </c>
      <c r="C1104" t="str">
        <f>VLOOKUP(NoviaFunds[[#This Row],[ISIN]],'Novia Web Query'!$A:$E,3,FALSE)</f>
        <v>UT Mixed Investment 20-60% Shares</v>
      </c>
      <c r="D1104" s="139">
        <f>VLOOKUP(NoviaFunds[[#This Row],[ISIN]],'Novia Web Query'!$A:$E,4,FALSE)/100</f>
        <v>1.61E-2</v>
      </c>
      <c r="E1104" s="3" t="str">
        <f>VLOOKUP(NoviaFunds[[#This Row],[ISIN]],'Novia Web Query'!$A:$E,5,FALSE)</f>
        <v>31/03/2021</v>
      </c>
      <c r="F1104" t="str">
        <f>VLOOKUP(NoviaFunds[[#This Row],[Sector]],Sectors[],2,FALSE)</f>
        <v>Mixed 20%-60%</v>
      </c>
    </row>
    <row r="1105" spans="1:6" x14ac:dyDescent="0.2">
      <c r="A1105" t="str">
        <f>'Novia Web Query'!A1105</f>
        <v>GB00B5152B32</v>
      </c>
      <c r="B1105" t="str">
        <f>VLOOKUP(NoviaFunds[[#This Row],[ISIN]],'Novia Web Query'!$A:$E,2,FALSE)</f>
        <v>Close Conservative Portfolio A Inc TR in GB</v>
      </c>
      <c r="C1105" t="str">
        <f>VLOOKUP(NoviaFunds[[#This Row],[ISIN]],'Novia Web Query'!$A:$E,3,FALSE)</f>
        <v>UT Mixed Investment 20-60% Shares</v>
      </c>
      <c r="D1105" s="139">
        <f>VLOOKUP(NoviaFunds[[#This Row],[ISIN]],'Novia Web Query'!$A:$E,4,FALSE)/100</f>
        <v>1.61E-2</v>
      </c>
      <c r="E1105" s="3" t="str">
        <f>VLOOKUP(NoviaFunds[[#This Row],[ISIN]],'Novia Web Query'!$A:$E,5,FALSE)</f>
        <v>31/03/2021</v>
      </c>
      <c r="F1105" t="str">
        <f>VLOOKUP(NoviaFunds[[#This Row],[Sector]],Sectors[],2,FALSE)</f>
        <v>Mixed 20%-60%</v>
      </c>
    </row>
    <row r="1106" spans="1:6" x14ac:dyDescent="0.2">
      <c r="A1106" t="str">
        <f>'Novia Web Query'!A1106</f>
        <v>GB00B8B9ZS46</v>
      </c>
      <c r="B1106" t="str">
        <f>VLOOKUP(NoviaFunds[[#This Row],[ISIN]],'Novia Web Query'!$A:$E,2,FALSE)</f>
        <v>Close Conservative Portfolio X Acc in GB</v>
      </c>
      <c r="C1106" t="str">
        <f>VLOOKUP(NoviaFunds[[#This Row],[ISIN]],'Novia Web Query'!$A:$E,3,FALSE)</f>
        <v>UT Mixed Investment 20-60% Shares</v>
      </c>
      <c r="D1106" s="139">
        <f>VLOOKUP(NoviaFunds[[#This Row],[ISIN]],'Novia Web Query'!$A:$E,4,FALSE)/100</f>
        <v>8.8999999999999999E-3</v>
      </c>
      <c r="E1106" s="3" t="str">
        <f>VLOOKUP(NoviaFunds[[#This Row],[ISIN]],'Novia Web Query'!$A:$E,5,FALSE)</f>
        <v>31/03/2021</v>
      </c>
      <c r="F1106" t="str">
        <f>VLOOKUP(NoviaFunds[[#This Row],[Sector]],Sectors[],2,FALSE)</f>
        <v>Mixed 20%-60%</v>
      </c>
    </row>
    <row r="1107" spans="1:6" x14ac:dyDescent="0.2">
      <c r="A1107" t="str">
        <f>'Novia Web Query'!A1107</f>
        <v>GB00B82P0081</v>
      </c>
      <c r="B1107" t="str">
        <f>VLOOKUP(NoviaFunds[[#This Row],[ISIN]],'Novia Web Query'!$A:$E,2,FALSE)</f>
        <v>Close Conservative Portfolio X Inc TR in GB</v>
      </c>
      <c r="C1107" t="str">
        <f>VLOOKUP(NoviaFunds[[#This Row],[ISIN]],'Novia Web Query'!$A:$E,3,FALSE)</f>
        <v>UT Mixed Investment 20-60% Shares</v>
      </c>
      <c r="D1107" s="139">
        <f>VLOOKUP(NoviaFunds[[#This Row],[ISIN]],'Novia Web Query'!$A:$E,4,FALSE)/100</f>
        <v>9.1999999999999998E-3</v>
      </c>
      <c r="E1107" s="3" t="str">
        <f>VLOOKUP(NoviaFunds[[#This Row],[ISIN]],'Novia Web Query'!$A:$E,5,FALSE)</f>
        <v>31/03/2021</v>
      </c>
      <c r="F1107" t="str">
        <f>VLOOKUP(NoviaFunds[[#This Row],[Sector]],Sectors[],2,FALSE)</f>
        <v>Mixed 20%-60%</v>
      </c>
    </row>
    <row r="1108" spans="1:6" x14ac:dyDescent="0.2">
      <c r="A1108" t="str">
        <f>'Novia Web Query'!A1108</f>
        <v>GB00B4X21294</v>
      </c>
      <c r="B1108" t="str">
        <f>VLOOKUP(NoviaFunds[[#This Row],[ISIN]],'Novia Web Query'!$A:$E,2,FALSE)</f>
        <v>Close Diversified Income Portfolio A Acc in GB</v>
      </c>
      <c r="C1108" t="str">
        <f>VLOOKUP(NoviaFunds[[#This Row],[ISIN]],'Novia Web Query'!$A:$E,3,FALSE)</f>
        <v>UT Mixed Investment 20-60% Shares</v>
      </c>
      <c r="D1108" s="139">
        <f>VLOOKUP(NoviaFunds[[#This Row],[ISIN]],'Novia Web Query'!$A:$E,4,FALSE)/100</f>
        <v>1.66E-2</v>
      </c>
      <c r="E1108" s="3" t="str">
        <f>VLOOKUP(NoviaFunds[[#This Row],[ISIN]],'Novia Web Query'!$A:$E,5,FALSE)</f>
        <v>31/03/2021</v>
      </c>
      <c r="F1108" t="str">
        <f>VLOOKUP(NoviaFunds[[#This Row],[Sector]],Sectors[],2,FALSE)</f>
        <v>Mixed 20%-60%</v>
      </c>
    </row>
    <row r="1109" spans="1:6" x14ac:dyDescent="0.2">
      <c r="A1109" t="str">
        <f>'Novia Web Query'!A1109</f>
        <v>GB00B589Q946</v>
      </c>
      <c r="B1109" t="str">
        <f>VLOOKUP(NoviaFunds[[#This Row],[ISIN]],'Novia Web Query'!$A:$E,2,FALSE)</f>
        <v>Close Diversified Income Portfolio A Inc TR in GB</v>
      </c>
      <c r="C1109" t="str">
        <f>VLOOKUP(NoviaFunds[[#This Row],[ISIN]],'Novia Web Query'!$A:$E,3,FALSE)</f>
        <v>UT Mixed Investment 20-60% Shares</v>
      </c>
      <c r="D1109" s="139">
        <f>VLOOKUP(NoviaFunds[[#This Row],[ISIN]],'Novia Web Query'!$A:$E,4,FALSE)/100</f>
        <v>1.66E-2</v>
      </c>
      <c r="E1109" s="3" t="str">
        <f>VLOOKUP(NoviaFunds[[#This Row],[ISIN]],'Novia Web Query'!$A:$E,5,FALSE)</f>
        <v>31/03/2021</v>
      </c>
      <c r="F1109" t="str">
        <f>VLOOKUP(NoviaFunds[[#This Row],[Sector]],Sectors[],2,FALSE)</f>
        <v>Mixed 20%-60%</v>
      </c>
    </row>
    <row r="1110" spans="1:6" x14ac:dyDescent="0.2">
      <c r="A1110" t="str">
        <f>'Novia Web Query'!A1110</f>
        <v>GB00B708TJ43</v>
      </c>
      <c r="B1110" t="str">
        <f>VLOOKUP(NoviaFunds[[#This Row],[ISIN]],'Novia Web Query'!$A:$E,2,FALSE)</f>
        <v>Close Diversified Income Portfolio X Acc in GB</v>
      </c>
      <c r="C1110" t="str">
        <f>VLOOKUP(NoviaFunds[[#This Row],[ISIN]],'Novia Web Query'!$A:$E,3,FALSE)</f>
        <v>UT Mixed Investment 20-60% Shares</v>
      </c>
      <c r="D1110" s="139">
        <f>VLOOKUP(NoviaFunds[[#This Row],[ISIN]],'Novia Web Query'!$A:$E,4,FALSE)/100</f>
        <v>1.0500000000000001E-2</v>
      </c>
      <c r="E1110" s="3" t="str">
        <f>VLOOKUP(NoviaFunds[[#This Row],[ISIN]],'Novia Web Query'!$A:$E,5,FALSE)</f>
        <v>31/03/2021</v>
      </c>
      <c r="F1110" t="str">
        <f>VLOOKUP(NoviaFunds[[#This Row],[Sector]],Sectors[],2,FALSE)</f>
        <v>Mixed 20%-60%</v>
      </c>
    </row>
    <row r="1111" spans="1:6" x14ac:dyDescent="0.2">
      <c r="A1111" t="str">
        <f>'Novia Web Query'!A1111</f>
        <v>GB00B5N0YZ48</v>
      </c>
      <c r="B1111" t="str">
        <f>VLOOKUP(NoviaFunds[[#This Row],[ISIN]],'Novia Web Query'!$A:$E,2,FALSE)</f>
        <v>Close Diversified Income Portfolio X Inc TR in GB</v>
      </c>
      <c r="C1111" t="str">
        <f>VLOOKUP(NoviaFunds[[#This Row],[ISIN]],'Novia Web Query'!$A:$E,3,FALSE)</f>
        <v>UT Mixed Investment 20-60% Shares</v>
      </c>
      <c r="D1111" s="139">
        <f>VLOOKUP(NoviaFunds[[#This Row],[ISIN]],'Novia Web Query'!$A:$E,4,FALSE)/100</f>
        <v>1.06E-2</v>
      </c>
      <c r="E1111" s="3" t="str">
        <f>VLOOKUP(NoviaFunds[[#This Row],[ISIN]],'Novia Web Query'!$A:$E,5,FALSE)</f>
        <v>31/03/2021</v>
      </c>
      <c r="F1111" t="str">
        <f>VLOOKUP(NoviaFunds[[#This Row],[Sector]],Sectors[],2,FALSE)</f>
        <v>Mixed 20%-60%</v>
      </c>
    </row>
    <row r="1112" spans="1:6" x14ac:dyDescent="0.2">
      <c r="A1112" t="str">
        <f>'Novia Web Query'!A1112</f>
        <v>GB00B87JKQ15</v>
      </c>
      <c r="B1112" t="str">
        <f>VLOOKUP(NoviaFunds[[#This Row],[ISIN]],'Novia Web Query'!$A:$E,2,FALSE)</f>
        <v>Close FTSE techMARK X Acc in GB</v>
      </c>
      <c r="C1112" t="str">
        <f>VLOOKUP(NoviaFunds[[#This Row],[ISIN]],'Novia Web Query'!$A:$E,3,FALSE)</f>
        <v>UT Technology &amp; Telecommunications</v>
      </c>
      <c r="D1112" s="139">
        <f>VLOOKUP(NoviaFunds[[#This Row],[ISIN]],'Novia Web Query'!$A:$E,4,FALSE)/100</f>
        <v>6.7000000000000002E-3</v>
      </c>
      <c r="E1112" s="3" t="str">
        <f>VLOOKUP(NoviaFunds[[#This Row],[ISIN]],'Novia Web Query'!$A:$E,5,FALSE)</f>
        <v>31/03/2021</v>
      </c>
      <c r="F1112" t="e">
        <f>VLOOKUP(NoviaFunds[[#This Row],[Sector]],Sectors[],2,FALSE)</f>
        <v>#N/A</v>
      </c>
    </row>
    <row r="1113" spans="1:6" x14ac:dyDescent="0.2">
      <c r="A1113" t="str">
        <f>'Novia Web Query'!A1113</f>
        <v>GB00B4XWGV38</v>
      </c>
      <c r="B1113" t="str">
        <f>VLOOKUP(NoviaFunds[[#This Row],[ISIN]],'Novia Web Query'!$A:$E,2,FALSE)</f>
        <v>Close Growth Portfolio A Acc in GB</v>
      </c>
      <c r="C1113" t="str">
        <f>VLOOKUP(NoviaFunds[[#This Row],[ISIN]],'Novia Web Query'!$A:$E,3,FALSE)</f>
        <v>UT Flexible Investment</v>
      </c>
      <c r="D1113" s="139">
        <f>VLOOKUP(NoviaFunds[[#This Row],[ISIN]],'Novia Web Query'!$A:$E,4,FALSE)/100</f>
        <v>1.6399999999999998E-2</v>
      </c>
      <c r="E1113" s="3" t="str">
        <f>VLOOKUP(NoviaFunds[[#This Row],[ISIN]],'Novia Web Query'!$A:$E,5,FALSE)</f>
        <v>31/03/2021</v>
      </c>
      <c r="F1113" t="str">
        <f>VLOOKUP(NoviaFunds[[#This Row],[Sector]],Sectors[],2,FALSE)</f>
        <v>Flexible</v>
      </c>
    </row>
    <row r="1114" spans="1:6" x14ac:dyDescent="0.2">
      <c r="A1114" t="str">
        <f>'Novia Web Query'!A1114</f>
        <v>GB00B7F1W221</v>
      </c>
      <c r="B1114" t="str">
        <f>VLOOKUP(NoviaFunds[[#This Row],[ISIN]],'Novia Web Query'!$A:$E,2,FALSE)</f>
        <v>Close Growth Portfolio X Acc in GB</v>
      </c>
      <c r="C1114" t="str">
        <f>VLOOKUP(NoviaFunds[[#This Row],[ISIN]],'Novia Web Query'!$A:$E,3,FALSE)</f>
        <v>UT Flexible Investment</v>
      </c>
      <c r="D1114" s="139">
        <f>VLOOKUP(NoviaFunds[[#This Row],[ISIN]],'Novia Web Query'!$A:$E,4,FALSE)/100</f>
        <v>9.1999999999999998E-3</v>
      </c>
      <c r="E1114" s="3" t="str">
        <f>VLOOKUP(NoviaFunds[[#This Row],[ISIN]],'Novia Web Query'!$A:$E,5,FALSE)</f>
        <v>31/03/2021</v>
      </c>
      <c r="F1114" t="str">
        <f>VLOOKUP(NoviaFunds[[#This Row],[Sector]],Sectors[],2,FALSE)</f>
        <v>Flexible</v>
      </c>
    </row>
    <row r="1115" spans="1:6" x14ac:dyDescent="0.2">
      <c r="A1115" t="str">
        <f>'Novia Web Query'!A1115</f>
        <v>GB00B8H6TT84</v>
      </c>
      <c r="B1115" t="str">
        <f>VLOOKUP(NoviaFunds[[#This Row],[ISIN]],'Novia Web Query'!$A:$E,2,FALSE)</f>
        <v>Close Managed Balanced X Acc in GB</v>
      </c>
      <c r="C1115" t="str">
        <f>VLOOKUP(NoviaFunds[[#This Row],[ISIN]],'Novia Web Query'!$A:$E,3,FALSE)</f>
        <v>UT Mixed Investment 40-85% Shares</v>
      </c>
      <c r="D1115" s="139">
        <f>VLOOKUP(NoviaFunds[[#This Row],[ISIN]],'Novia Web Query'!$A:$E,4,FALSE)/100</f>
        <v>1.1200000000000002E-2</v>
      </c>
      <c r="E1115" s="3" t="str">
        <f>VLOOKUP(NoviaFunds[[#This Row],[ISIN]],'Novia Web Query'!$A:$E,5,FALSE)</f>
        <v>31/03/2021</v>
      </c>
      <c r="F1115" t="str">
        <f>VLOOKUP(NoviaFunds[[#This Row],[Sector]],Sectors[],2,FALSE)</f>
        <v>Mixed 40%-85%</v>
      </c>
    </row>
    <row r="1116" spans="1:6" x14ac:dyDescent="0.2">
      <c r="A1116" t="str">
        <f>'Novia Web Query'!A1116</f>
        <v>GB00B45DZX99</v>
      </c>
      <c r="B1116" t="str">
        <f>VLOOKUP(NoviaFunds[[#This Row],[ISIN]],'Novia Web Query'!$A:$E,2,FALSE)</f>
        <v>Close Managed Conservative X Acc in GB</v>
      </c>
      <c r="C1116" t="str">
        <f>VLOOKUP(NoviaFunds[[#This Row],[ISIN]],'Novia Web Query'!$A:$E,3,FALSE)</f>
        <v>UT Mixed Investment 20-60% Shares</v>
      </c>
      <c r="D1116" s="139">
        <f>VLOOKUP(NoviaFunds[[#This Row],[ISIN]],'Novia Web Query'!$A:$E,4,FALSE)/100</f>
        <v>1.1399999999999999E-2</v>
      </c>
      <c r="E1116" s="3" t="str">
        <f>VLOOKUP(NoviaFunds[[#This Row],[ISIN]],'Novia Web Query'!$A:$E,5,FALSE)</f>
        <v>31/03/2021</v>
      </c>
      <c r="F1116" t="str">
        <f>VLOOKUP(NoviaFunds[[#This Row],[Sector]],Sectors[],2,FALSE)</f>
        <v>Mixed 20%-60%</v>
      </c>
    </row>
    <row r="1117" spans="1:6" x14ac:dyDescent="0.2">
      <c r="A1117" t="str">
        <f>'Novia Web Query'!A1117</f>
        <v>GB00B7XQSH60</v>
      </c>
      <c r="B1117" t="str">
        <f>VLOOKUP(NoviaFunds[[#This Row],[ISIN]],'Novia Web Query'!$A:$E,2,FALSE)</f>
        <v>Close Managed Conservative X Inc TR in GB</v>
      </c>
      <c r="C1117" t="str">
        <f>VLOOKUP(NoviaFunds[[#This Row],[ISIN]],'Novia Web Query'!$A:$E,3,FALSE)</f>
        <v>UT Mixed Investment 20-60% Shares</v>
      </c>
      <c r="D1117" s="139">
        <f>VLOOKUP(NoviaFunds[[#This Row],[ISIN]],'Novia Web Query'!$A:$E,4,FALSE)/100</f>
        <v>1.1399999999999999E-2</v>
      </c>
      <c r="E1117" s="3" t="str">
        <f>VLOOKUP(NoviaFunds[[#This Row],[ISIN]],'Novia Web Query'!$A:$E,5,FALSE)</f>
        <v>31/03/2021</v>
      </c>
      <c r="F1117" t="str">
        <f>VLOOKUP(NoviaFunds[[#This Row],[Sector]],Sectors[],2,FALSE)</f>
        <v>Mixed 20%-60%</v>
      </c>
    </row>
    <row r="1118" spans="1:6" x14ac:dyDescent="0.2">
      <c r="A1118" t="str">
        <f>'Novia Web Query'!A1118</f>
        <v>GB00B815Z375</v>
      </c>
      <c r="B1118" t="str">
        <f>VLOOKUP(NoviaFunds[[#This Row],[ISIN]],'Novia Web Query'!$A:$E,2,FALSE)</f>
        <v>Close Managed Growth X Acc in GB</v>
      </c>
      <c r="C1118" t="str">
        <f>VLOOKUP(NoviaFunds[[#This Row],[ISIN]],'Novia Web Query'!$A:$E,3,FALSE)</f>
        <v>UT Flexible Investment</v>
      </c>
      <c r="D1118" s="139">
        <f>VLOOKUP(NoviaFunds[[#This Row],[ISIN]],'Novia Web Query'!$A:$E,4,FALSE)/100</f>
        <v>1.0800000000000001E-2</v>
      </c>
      <c r="E1118" s="3" t="str">
        <f>VLOOKUP(NoviaFunds[[#This Row],[ISIN]],'Novia Web Query'!$A:$E,5,FALSE)</f>
        <v>31/03/2021</v>
      </c>
      <c r="F1118" t="str">
        <f>VLOOKUP(NoviaFunds[[#This Row],[Sector]],Sectors[],2,FALSE)</f>
        <v>Flexible</v>
      </c>
    </row>
    <row r="1119" spans="1:6" x14ac:dyDescent="0.2">
      <c r="A1119" t="str">
        <f>'Novia Web Query'!A1119</f>
        <v>GB00B80PQP76</v>
      </c>
      <c r="B1119" t="str">
        <f>VLOOKUP(NoviaFunds[[#This Row],[ISIN]],'Novia Web Query'!$A:$E,2,FALSE)</f>
        <v>Close Managed Income X Acc in GB</v>
      </c>
      <c r="C1119" t="str">
        <f>VLOOKUP(NoviaFunds[[#This Row],[ISIN]],'Novia Web Query'!$A:$E,3,FALSE)</f>
        <v>UT Mixed Investment 20-60% Shares</v>
      </c>
      <c r="D1119" s="139">
        <f>VLOOKUP(NoviaFunds[[#This Row],[ISIN]],'Novia Web Query'!$A:$E,4,FALSE)/100</f>
        <v>1.1599999999999999E-2</v>
      </c>
      <c r="E1119" s="3" t="str">
        <f>VLOOKUP(NoviaFunds[[#This Row],[ISIN]],'Novia Web Query'!$A:$E,5,FALSE)</f>
        <v>31/03/2021</v>
      </c>
      <c r="F1119" t="str">
        <f>VLOOKUP(NoviaFunds[[#This Row],[Sector]],Sectors[],2,FALSE)</f>
        <v>Mixed 20%-60%</v>
      </c>
    </row>
    <row r="1120" spans="1:6" x14ac:dyDescent="0.2">
      <c r="A1120" t="str">
        <f>'Novia Web Query'!A1120</f>
        <v>GB00B8HFR798</v>
      </c>
      <c r="B1120" t="str">
        <f>VLOOKUP(NoviaFunds[[#This Row],[ISIN]],'Novia Web Query'!$A:$E,2,FALSE)</f>
        <v>Close Managed Income X Inc TR in GB</v>
      </c>
      <c r="C1120" t="str">
        <f>VLOOKUP(NoviaFunds[[#This Row],[ISIN]],'Novia Web Query'!$A:$E,3,FALSE)</f>
        <v>UT Mixed Investment 20-60% Shares</v>
      </c>
      <c r="D1120" s="139">
        <f>VLOOKUP(NoviaFunds[[#This Row],[ISIN]],'Novia Web Query'!$A:$E,4,FALSE)/100</f>
        <v>1.1699999999999999E-2</v>
      </c>
      <c r="E1120" s="3" t="str">
        <f>VLOOKUP(NoviaFunds[[#This Row],[ISIN]],'Novia Web Query'!$A:$E,5,FALSE)</f>
        <v>31/03/2021</v>
      </c>
      <c r="F1120" t="str">
        <f>VLOOKUP(NoviaFunds[[#This Row],[Sector]],Sectors[],2,FALSE)</f>
        <v>Mixed 20%-60%</v>
      </c>
    </row>
    <row r="1121" spans="1:6" x14ac:dyDescent="0.2">
      <c r="A1121" t="str">
        <f>'Novia Web Query'!A1121</f>
        <v>GB00BD6R7Y87</v>
      </c>
      <c r="B1121" t="str">
        <f>VLOOKUP(NoviaFunds[[#This Row],[ISIN]],'Novia Web Query'!$A:$E,2,FALSE)</f>
        <v>Close Select Fixed Income X Inc TR in GB</v>
      </c>
      <c r="C1121" t="str">
        <f>VLOOKUP(NoviaFunds[[#This Row],[ISIN]],'Novia Web Query'!$A:$E,3,FALSE)</f>
        <v>UT Sterling Strategic Bond</v>
      </c>
      <c r="D1121" s="139">
        <f>VLOOKUP(NoviaFunds[[#This Row],[ISIN]],'Novia Web Query'!$A:$E,4,FALSE)/100</f>
        <v>4.7999999999999996E-3</v>
      </c>
      <c r="E1121" s="3" t="str">
        <f>VLOOKUP(NoviaFunds[[#This Row],[ISIN]],'Novia Web Query'!$A:$E,5,FALSE)</f>
        <v>31/03/2021</v>
      </c>
      <c r="F1121" t="str">
        <f>VLOOKUP(NoviaFunds[[#This Row],[Sector]],Sectors[],2,FALSE)</f>
        <v>Other Bonds</v>
      </c>
    </row>
    <row r="1122" spans="1:6" x14ac:dyDescent="0.2">
      <c r="A1122" t="str">
        <f>'Novia Web Query'!A1122</f>
        <v>GB00B7MTYH88</v>
      </c>
      <c r="B1122" t="str">
        <f>VLOOKUP(NoviaFunds[[#This Row],[ISIN]],'Novia Web Query'!$A:$E,2,FALSE)</f>
        <v>Close Strategic Alpha X Acc in GB</v>
      </c>
      <c r="C1122" t="str">
        <f>VLOOKUP(NoviaFunds[[#This Row],[ISIN]],'Novia Web Query'!$A:$E,3,FALSE)</f>
        <v>UT Flexible Investment</v>
      </c>
      <c r="D1122" s="139">
        <f>VLOOKUP(NoviaFunds[[#This Row],[ISIN]],'Novia Web Query'!$A:$E,4,FALSE)/100</f>
        <v>1.29E-2</v>
      </c>
      <c r="E1122" s="3" t="str">
        <f>VLOOKUP(NoviaFunds[[#This Row],[ISIN]],'Novia Web Query'!$A:$E,5,FALSE)</f>
        <v>31/03/2021</v>
      </c>
      <c r="F1122" t="str">
        <f>VLOOKUP(NoviaFunds[[#This Row],[Sector]],Sectors[],2,FALSE)</f>
        <v>Flexible</v>
      </c>
    </row>
    <row r="1123" spans="1:6" x14ac:dyDescent="0.2">
      <c r="A1123" t="str">
        <f>'Novia Web Query'!A1123</f>
        <v>GB00BLPK3Z72</v>
      </c>
      <c r="B1123" t="str">
        <f>VLOOKUP(NoviaFunds[[#This Row],[ISIN]],'Novia Web Query'!$A:$E,2,FALSE)</f>
        <v>Close Sustainable Balanced Portfolio X Acc GBP in GB</v>
      </c>
      <c r="C1123" t="str">
        <f>VLOOKUP(NoviaFunds[[#This Row],[ISIN]],'Novia Web Query'!$A:$E,3,FALSE)</f>
        <v>UT Mixed Investment 40-85% Shares</v>
      </c>
      <c r="D1123" s="139">
        <f>VLOOKUP(NoviaFunds[[#This Row],[ISIN]],'Novia Web Query'!$A:$E,4,FALSE)/100</f>
        <v>9.1000000000000004E-3</v>
      </c>
      <c r="E1123" s="3" t="str">
        <f>VLOOKUP(NoviaFunds[[#This Row],[ISIN]],'Novia Web Query'!$A:$E,5,FALSE)</f>
        <v>31/03/2021</v>
      </c>
      <c r="F1123" t="str">
        <f>VLOOKUP(NoviaFunds[[#This Row],[Sector]],Sectors[],2,FALSE)</f>
        <v>Mixed 40%-85%</v>
      </c>
    </row>
    <row r="1124" spans="1:6" x14ac:dyDescent="0.2">
      <c r="A1124" t="str">
        <f>'Novia Web Query'!A1124</f>
        <v>GB00B7V89J33</v>
      </c>
      <c r="B1124" t="str">
        <f>VLOOKUP(NoviaFunds[[#This Row],[ISIN]],'Novia Web Query'!$A:$E,2,FALSE)</f>
        <v>Close Sustainable Bond Portfolio X Acc TR in GB</v>
      </c>
      <c r="C1124" t="str">
        <f>VLOOKUP(NoviaFunds[[#This Row],[ISIN]],'Novia Web Query'!$A:$E,3,FALSE)</f>
        <v>UT Sterling Corporate Bond</v>
      </c>
      <c r="D1124" s="139">
        <f>VLOOKUP(NoviaFunds[[#This Row],[ISIN]],'Novia Web Query'!$A:$E,4,FALSE)/100</f>
        <v>4.7999999999999996E-3</v>
      </c>
      <c r="E1124" s="3" t="str">
        <f>VLOOKUP(NoviaFunds[[#This Row],[ISIN]],'Novia Web Query'!$A:$E,5,FALSE)</f>
        <v>31/03/2021</v>
      </c>
      <c r="F1124" t="str">
        <f>VLOOKUP(NoviaFunds[[#This Row],[Sector]],Sectors[],2,FALSE)</f>
        <v>Sterling Corporate Bonds</v>
      </c>
    </row>
    <row r="1125" spans="1:6" x14ac:dyDescent="0.2">
      <c r="A1125" t="str">
        <f>'Novia Web Query'!A1125</f>
        <v>GB00B7SK9B40</v>
      </c>
      <c r="B1125" t="str">
        <f>VLOOKUP(NoviaFunds[[#This Row],[ISIN]],'Novia Web Query'!$A:$E,2,FALSE)</f>
        <v>Close Sustainable Bond Portfolio X Inc TR in GB</v>
      </c>
      <c r="C1125" t="str">
        <f>VLOOKUP(NoviaFunds[[#This Row],[ISIN]],'Novia Web Query'!$A:$E,3,FALSE)</f>
        <v>UT Sterling Corporate Bond</v>
      </c>
      <c r="D1125" s="139">
        <f>VLOOKUP(NoviaFunds[[#This Row],[ISIN]],'Novia Web Query'!$A:$E,4,FALSE)/100</f>
        <v>4.5000000000000005E-3</v>
      </c>
      <c r="E1125" s="3" t="str">
        <f>VLOOKUP(NoviaFunds[[#This Row],[ISIN]],'Novia Web Query'!$A:$E,5,FALSE)</f>
        <v>31/03/2021</v>
      </c>
      <c r="F1125" t="str">
        <f>VLOOKUP(NoviaFunds[[#This Row],[Sector]],Sectors[],2,FALSE)</f>
        <v>Sterling Corporate Bonds</v>
      </c>
    </row>
    <row r="1126" spans="1:6" x14ac:dyDescent="0.2">
      <c r="A1126" t="str">
        <f>'Novia Web Query'!A1126</f>
        <v>GB00B8HS8W08</v>
      </c>
      <c r="B1126" t="str">
        <f>VLOOKUP(NoviaFunds[[#This Row],[ISIN]],'Novia Web Query'!$A:$E,2,FALSE)</f>
        <v>Close Tactical Select Passive Balanced X Acc in GB</v>
      </c>
      <c r="C1126" t="str">
        <f>VLOOKUP(NoviaFunds[[#This Row],[ISIN]],'Novia Web Query'!$A:$E,3,FALSE)</f>
        <v>UT Mixed Investment 40-85% Shares</v>
      </c>
      <c r="D1126" s="139">
        <f>VLOOKUP(NoviaFunds[[#This Row],[ISIN]],'Novia Web Query'!$A:$E,4,FALSE)/100</f>
        <v>5.1000000000000004E-3</v>
      </c>
      <c r="E1126" s="3" t="str">
        <f>VLOOKUP(NoviaFunds[[#This Row],[ISIN]],'Novia Web Query'!$A:$E,5,FALSE)</f>
        <v>31/03/2021</v>
      </c>
      <c r="F1126" t="str">
        <f>VLOOKUP(NoviaFunds[[#This Row],[Sector]],Sectors[],2,FALSE)</f>
        <v>Mixed 40%-85%</v>
      </c>
    </row>
    <row r="1127" spans="1:6" x14ac:dyDescent="0.2">
      <c r="A1127" t="str">
        <f>'Novia Web Query'!A1127</f>
        <v>GB00B88TGW85</v>
      </c>
      <c r="B1127" t="str">
        <f>VLOOKUP(NoviaFunds[[#This Row],[ISIN]],'Novia Web Query'!$A:$E,2,FALSE)</f>
        <v>Close Tactical Select Passive Conservative X Acc in GB</v>
      </c>
      <c r="C1127" t="str">
        <f>VLOOKUP(NoviaFunds[[#This Row],[ISIN]],'Novia Web Query'!$A:$E,3,FALSE)</f>
        <v>UT Mixed Investment 20-60% Shares</v>
      </c>
      <c r="D1127" s="139">
        <f>VLOOKUP(NoviaFunds[[#This Row],[ISIN]],'Novia Web Query'!$A:$E,4,FALSE)/100</f>
        <v>4.7999999999999996E-3</v>
      </c>
      <c r="E1127" s="3" t="str">
        <f>VLOOKUP(NoviaFunds[[#This Row],[ISIN]],'Novia Web Query'!$A:$E,5,FALSE)</f>
        <v>31/03/2021</v>
      </c>
      <c r="F1127" t="str">
        <f>VLOOKUP(NoviaFunds[[#This Row],[Sector]],Sectors[],2,FALSE)</f>
        <v>Mixed 20%-60%</v>
      </c>
    </row>
    <row r="1128" spans="1:6" x14ac:dyDescent="0.2">
      <c r="A1128" t="str">
        <f>'Novia Web Query'!A1128</f>
        <v>GB00B7FHXB62</v>
      </c>
      <c r="B1128" t="str">
        <f>VLOOKUP(NoviaFunds[[#This Row],[ISIN]],'Novia Web Query'!$A:$E,2,FALSE)</f>
        <v>Close Tactical Select Passive Conservative X Inc TR in GB</v>
      </c>
      <c r="C1128" t="str">
        <f>VLOOKUP(NoviaFunds[[#This Row],[ISIN]],'Novia Web Query'!$A:$E,3,FALSE)</f>
        <v>UT Mixed Investment 20-60% Shares</v>
      </c>
      <c r="D1128" s="139">
        <f>VLOOKUP(NoviaFunds[[#This Row],[ISIN]],'Novia Web Query'!$A:$E,4,FALSE)/100</f>
        <v>4.7999999999999996E-3</v>
      </c>
      <c r="E1128" s="3" t="str">
        <f>VLOOKUP(NoviaFunds[[#This Row],[ISIN]],'Novia Web Query'!$A:$E,5,FALSE)</f>
        <v>31/03/2021</v>
      </c>
      <c r="F1128" t="str">
        <f>VLOOKUP(NoviaFunds[[#This Row],[Sector]],Sectors[],2,FALSE)</f>
        <v>Mixed 20%-60%</v>
      </c>
    </row>
    <row r="1129" spans="1:6" x14ac:dyDescent="0.2">
      <c r="A1129" t="str">
        <f>'Novia Web Query'!A1129</f>
        <v>GB00B7SG1Y98</v>
      </c>
      <c r="B1129" t="str">
        <f>VLOOKUP(NoviaFunds[[#This Row],[ISIN]],'Novia Web Query'!$A:$E,2,FALSE)</f>
        <v>Close Tactical Select Passive Growth X Acc in GB</v>
      </c>
      <c r="C1129" t="str">
        <f>VLOOKUP(NoviaFunds[[#This Row],[ISIN]],'Novia Web Query'!$A:$E,3,FALSE)</f>
        <v>UT Flexible Investment</v>
      </c>
      <c r="D1129" s="139">
        <f>VLOOKUP(NoviaFunds[[#This Row],[ISIN]],'Novia Web Query'!$A:$E,4,FALSE)/100</f>
        <v>5.0000000000000001E-3</v>
      </c>
      <c r="E1129" s="3" t="str">
        <f>VLOOKUP(NoviaFunds[[#This Row],[ISIN]],'Novia Web Query'!$A:$E,5,FALSE)</f>
        <v>31/03/2021</v>
      </c>
      <c r="F1129" t="str">
        <f>VLOOKUP(NoviaFunds[[#This Row],[Sector]],Sectors[],2,FALSE)</f>
        <v>Flexible</v>
      </c>
    </row>
    <row r="1130" spans="1:6" x14ac:dyDescent="0.2">
      <c r="A1130" t="str">
        <f>'Novia Web Query'!A1130</f>
        <v>GB0002177581</v>
      </c>
      <c r="B1130" t="str">
        <f>VLOOKUP(NoviaFunds[[#This Row],[ISIN]],'Novia Web Query'!$A:$E,2,FALSE)</f>
        <v>Consistent Opportunities Unit Trust Acc in GB</v>
      </c>
      <c r="C1130" t="str">
        <f>VLOOKUP(NoviaFunds[[#This Row],[ISIN]],'Novia Web Query'!$A:$E,3,FALSE)</f>
        <v>UT UK All Companies</v>
      </c>
      <c r="D1130" s="139">
        <f>VLOOKUP(NoviaFunds[[#This Row],[ISIN]],'Novia Web Query'!$A:$E,4,FALSE)/100</f>
        <v>1.15E-2</v>
      </c>
      <c r="E1130" s="3" t="str">
        <f>VLOOKUP(NoviaFunds[[#This Row],[ISIN]],'Novia Web Query'!$A:$E,5,FALSE)</f>
        <v>28/03/2016</v>
      </c>
      <c r="F1130" t="str">
        <f>VLOOKUP(NoviaFunds[[#This Row],[Sector]],Sectors[],2,FALSE)</f>
        <v>UK Equities</v>
      </c>
    </row>
    <row r="1131" spans="1:6" x14ac:dyDescent="0.2">
      <c r="A1131" t="str">
        <f>'Novia Web Query'!A1131</f>
        <v>GB0002164092</v>
      </c>
      <c r="B1131" t="str">
        <f>VLOOKUP(NoviaFunds[[#This Row],[ISIN]],'Novia Web Query'!$A:$E,2,FALSE)</f>
        <v>Consistent Opportunities Unit Trust Inc TR in GB</v>
      </c>
      <c r="C1131" t="str">
        <f>VLOOKUP(NoviaFunds[[#This Row],[ISIN]],'Novia Web Query'!$A:$E,3,FALSE)</f>
        <v>UT UK All Companies</v>
      </c>
      <c r="D1131" s="139">
        <f>VLOOKUP(NoviaFunds[[#This Row],[ISIN]],'Novia Web Query'!$A:$E,4,FALSE)/100</f>
        <v>1.15E-2</v>
      </c>
      <c r="E1131" s="3" t="str">
        <f>VLOOKUP(NoviaFunds[[#This Row],[ISIN]],'Novia Web Query'!$A:$E,5,FALSE)</f>
        <v>28/03/2016</v>
      </c>
      <c r="F1131" t="str">
        <f>VLOOKUP(NoviaFunds[[#This Row],[Sector]],Sectors[],2,FALSE)</f>
        <v>UK Equities</v>
      </c>
    </row>
    <row r="1132" spans="1:6" x14ac:dyDescent="0.2">
      <c r="A1132" t="str">
        <f>'Novia Web Query'!A1132</f>
        <v>GB0006982671</v>
      </c>
      <c r="B1132" t="str">
        <f>VLOOKUP(NoviaFunds[[#This Row],[ISIN]],'Novia Web Query'!$A:$E,2,FALSE)</f>
        <v>Consistent Practical Investment Acc in GB</v>
      </c>
      <c r="C1132" t="str">
        <f>VLOOKUP(NoviaFunds[[#This Row],[ISIN]],'Novia Web Query'!$A:$E,3,FALSE)</f>
        <v>UT Flexible Investment</v>
      </c>
      <c r="D1132" s="139">
        <f>VLOOKUP(NoviaFunds[[#This Row],[ISIN]],'Novia Web Query'!$A:$E,4,FALSE)/100</f>
        <v>1.1299999999999999E-2</v>
      </c>
      <c r="E1132" s="3" t="str">
        <f>VLOOKUP(NoviaFunds[[#This Row],[ISIN]],'Novia Web Query'!$A:$E,5,FALSE)</f>
        <v>15/09/2018</v>
      </c>
      <c r="F1132" t="str">
        <f>VLOOKUP(NoviaFunds[[#This Row],[Sector]],Sectors[],2,FALSE)</f>
        <v>Flexible</v>
      </c>
    </row>
    <row r="1133" spans="1:6" x14ac:dyDescent="0.2">
      <c r="A1133" t="str">
        <f>'Novia Web Query'!A1133</f>
        <v>GB0006982457</v>
      </c>
      <c r="B1133" t="str">
        <f>VLOOKUP(NoviaFunds[[#This Row],[ISIN]],'Novia Web Query'!$A:$E,2,FALSE)</f>
        <v>Consistent Practical Investment Inc TR in GB</v>
      </c>
      <c r="C1133" t="str">
        <f>VLOOKUP(NoviaFunds[[#This Row],[ISIN]],'Novia Web Query'!$A:$E,3,FALSE)</f>
        <v>UT Flexible Investment</v>
      </c>
      <c r="D1133" s="139">
        <f>VLOOKUP(NoviaFunds[[#This Row],[ISIN]],'Novia Web Query'!$A:$E,4,FALSE)/100</f>
        <v>1.1299999999999999E-2</v>
      </c>
      <c r="E1133" s="3" t="str">
        <f>VLOOKUP(NoviaFunds[[#This Row],[ISIN]],'Novia Web Query'!$A:$E,5,FALSE)</f>
        <v>15/09/2018</v>
      </c>
      <c r="F1133" t="str">
        <f>VLOOKUP(NoviaFunds[[#This Row],[Sector]],Sectors[],2,FALSE)</f>
        <v>Flexible</v>
      </c>
    </row>
    <row r="1134" spans="1:6" x14ac:dyDescent="0.2">
      <c r="A1134" t="str">
        <f>'Novia Web Query'!A1134</f>
        <v>GB00B3WCDF03</v>
      </c>
      <c r="B1134" t="str">
        <f>VLOOKUP(NoviaFunds[[#This Row],[ISIN]],'Novia Web Query'!$A:$E,2,FALSE)</f>
        <v>Cornelian Asset Managers SVS Cornelian Cautious D Acc in GB</v>
      </c>
      <c r="C1134" t="str">
        <f>VLOOKUP(NoviaFunds[[#This Row],[ISIN]],'Novia Web Query'!$A:$E,3,FALSE)</f>
        <v>UT Volatility Managed</v>
      </c>
      <c r="D1134" s="139">
        <f>VLOOKUP(NoviaFunds[[#This Row],[ISIN]],'Novia Web Query'!$A:$E,4,FALSE)/100</f>
        <v>1.24E-2</v>
      </c>
      <c r="E1134" s="3" t="str">
        <f>VLOOKUP(NoviaFunds[[#This Row],[ISIN]],'Novia Web Query'!$A:$E,5,FALSE)</f>
        <v>15/04/2021</v>
      </c>
      <c r="F1134" t="e">
        <f>VLOOKUP(NoviaFunds[[#This Row],[Sector]],Sectors[],2,FALSE)</f>
        <v>#N/A</v>
      </c>
    </row>
    <row r="1135" spans="1:6" x14ac:dyDescent="0.2">
      <c r="A1135" t="str">
        <f>'Novia Web Query'!A1135</f>
        <v>GB00B3XLXY53</v>
      </c>
      <c r="B1135" t="str">
        <f>VLOOKUP(NoviaFunds[[#This Row],[ISIN]],'Novia Web Query'!$A:$E,2,FALSE)</f>
        <v>Cornelian Asset Managers SVS Cornelian Cautious D Inc TR in GB</v>
      </c>
      <c r="C1135" t="str">
        <f>VLOOKUP(NoviaFunds[[#This Row],[ISIN]],'Novia Web Query'!$A:$E,3,FALSE)</f>
        <v>UT Volatility Managed</v>
      </c>
      <c r="D1135" s="139">
        <f>VLOOKUP(NoviaFunds[[#This Row],[ISIN]],'Novia Web Query'!$A:$E,4,FALSE)/100</f>
        <v>1.1899999999999999E-2</v>
      </c>
      <c r="E1135" s="3" t="str">
        <f>VLOOKUP(NoviaFunds[[#This Row],[ISIN]],'Novia Web Query'!$A:$E,5,FALSE)</f>
        <v>15/04/2019</v>
      </c>
      <c r="F1135" t="e">
        <f>VLOOKUP(NoviaFunds[[#This Row],[Sector]],Sectors[],2,FALSE)</f>
        <v>#N/A</v>
      </c>
    </row>
    <row r="1136" spans="1:6" x14ac:dyDescent="0.2">
      <c r="A1136" t="str">
        <f>'Novia Web Query'!A1136</f>
        <v>GB00BD730136</v>
      </c>
      <c r="B1136" t="str">
        <f>VLOOKUP(NoviaFunds[[#This Row],[ISIN]],'Novia Web Query'!$A:$E,2,FALSE)</f>
        <v>Cornelian Asset Managers SVS Cornelian Cautious RMP G Acc in GB</v>
      </c>
      <c r="C1136" t="str">
        <f>VLOOKUP(NoviaFunds[[#This Row],[ISIN]],'Novia Web Query'!$A:$E,3,FALSE)</f>
        <v>UT Volatility Managed</v>
      </c>
      <c r="D1136" s="139">
        <f>VLOOKUP(NoviaFunds[[#This Row],[ISIN]],'Novia Web Query'!$A:$E,4,FALSE)/100</f>
        <v>5.4000000000000003E-3</v>
      </c>
      <c r="E1136" s="3" t="str">
        <f>VLOOKUP(NoviaFunds[[#This Row],[ISIN]],'Novia Web Query'!$A:$E,5,FALSE)</f>
        <v>15/04/2019</v>
      </c>
      <c r="F1136" t="e">
        <f>VLOOKUP(NoviaFunds[[#This Row],[Sector]],Sectors[],2,FALSE)</f>
        <v>#N/A</v>
      </c>
    </row>
    <row r="1137" spans="1:6" x14ac:dyDescent="0.2">
      <c r="A1137" t="str">
        <f>'Novia Web Query'!A1137</f>
        <v>GB00BD6FSN84</v>
      </c>
      <c r="B1137" t="str">
        <f>VLOOKUP(NoviaFunds[[#This Row],[ISIN]],'Novia Web Query'!$A:$E,2,FALSE)</f>
        <v>Cornelian Asset Managers SVS Cornelian Cautious RMP G Inc TR in GB</v>
      </c>
      <c r="C1137" t="str">
        <f>VLOOKUP(NoviaFunds[[#This Row],[ISIN]],'Novia Web Query'!$A:$E,3,FALSE)</f>
        <v>UT Volatility Managed</v>
      </c>
      <c r="D1137" s="139">
        <f>VLOOKUP(NoviaFunds[[#This Row],[ISIN]],'Novia Web Query'!$A:$E,4,FALSE)/100</f>
        <v>5.4000000000000003E-3</v>
      </c>
      <c r="E1137" s="3" t="str">
        <f>VLOOKUP(NoviaFunds[[#This Row],[ISIN]],'Novia Web Query'!$A:$E,5,FALSE)</f>
        <v>15/04/2019</v>
      </c>
      <c r="F1137" t="e">
        <f>VLOOKUP(NoviaFunds[[#This Row],[Sector]],Sectors[],2,FALSE)</f>
        <v>#N/A</v>
      </c>
    </row>
    <row r="1138" spans="1:6" x14ac:dyDescent="0.2">
      <c r="A1138" t="str">
        <f>'Novia Web Query'!A1138</f>
        <v>GB00B5MV2N21</v>
      </c>
      <c r="B1138" t="str">
        <f>VLOOKUP(NoviaFunds[[#This Row],[ISIN]],'Novia Web Query'!$A:$E,2,FALSE)</f>
        <v>Cornelian Asset Managers SVS Cornelian Defensive B Acc in GB</v>
      </c>
      <c r="C1138" t="str">
        <f>VLOOKUP(NoviaFunds[[#This Row],[ISIN]],'Novia Web Query'!$A:$E,3,FALSE)</f>
        <v>UT Volatility Managed</v>
      </c>
      <c r="D1138" s="139">
        <f>VLOOKUP(NoviaFunds[[#This Row],[ISIN]],'Novia Web Query'!$A:$E,4,FALSE)/100</f>
        <v>1.43E-2</v>
      </c>
      <c r="E1138" s="3" t="str">
        <f>VLOOKUP(NoviaFunds[[#This Row],[ISIN]],'Novia Web Query'!$A:$E,5,FALSE)</f>
        <v>15/04/2019</v>
      </c>
      <c r="F1138" t="e">
        <f>VLOOKUP(NoviaFunds[[#This Row],[Sector]],Sectors[],2,FALSE)</f>
        <v>#N/A</v>
      </c>
    </row>
    <row r="1139" spans="1:6" x14ac:dyDescent="0.2">
      <c r="A1139" t="str">
        <f>'Novia Web Query'!A1139</f>
        <v>GB00B5N17T22</v>
      </c>
      <c r="B1139" t="str">
        <f>VLOOKUP(NoviaFunds[[#This Row],[ISIN]],'Novia Web Query'!$A:$E,2,FALSE)</f>
        <v>Cornelian Asset Managers SVS Cornelian Defensive D Acc in GB</v>
      </c>
      <c r="C1139" t="str">
        <f>VLOOKUP(NoviaFunds[[#This Row],[ISIN]],'Novia Web Query'!$A:$E,3,FALSE)</f>
        <v>UT Volatility Managed</v>
      </c>
      <c r="D1139" s="139">
        <f>VLOOKUP(NoviaFunds[[#This Row],[ISIN]],'Novia Web Query'!$A:$E,4,FALSE)/100</f>
        <v>1.23E-2</v>
      </c>
      <c r="E1139" s="3" t="str">
        <f>VLOOKUP(NoviaFunds[[#This Row],[ISIN]],'Novia Web Query'!$A:$E,5,FALSE)</f>
        <v>15/04/2021</v>
      </c>
      <c r="F1139" t="e">
        <f>VLOOKUP(NoviaFunds[[#This Row],[Sector]],Sectors[],2,FALSE)</f>
        <v>#N/A</v>
      </c>
    </row>
    <row r="1140" spans="1:6" x14ac:dyDescent="0.2">
      <c r="A1140" t="str">
        <f>'Novia Web Query'!A1140</f>
        <v>GB00B5L3SC02</v>
      </c>
      <c r="B1140" t="str">
        <f>VLOOKUP(NoviaFunds[[#This Row],[ISIN]],'Novia Web Query'!$A:$E,2,FALSE)</f>
        <v>Cornelian Asset Managers SVS Cornelian Defensive D Inc TR in GB</v>
      </c>
      <c r="C1140" t="str">
        <f>VLOOKUP(NoviaFunds[[#This Row],[ISIN]],'Novia Web Query'!$A:$E,3,FALSE)</f>
        <v>UT Volatility Managed</v>
      </c>
      <c r="D1140" s="139">
        <f>VLOOKUP(NoviaFunds[[#This Row],[ISIN]],'Novia Web Query'!$A:$E,4,FALSE)/100</f>
        <v>1.23E-2</v>
      </c>
      <c r="E1140" s="3" t="str">
        <f>VLOOKUP(NoviaFunds[[#This Row],[ISIN]],'Novia Web Query'!$A:$E,5,FALSE)</f>
        <v>15/04/2021</v>
      </c>
      <c r="F1140" t="e">
        <f>VLOOKUP(NoviaFunds[[#This Row],[Sector]],Sectors[],2,FALSE)</f>
        <v>#N/A</v>
      </c>
    </row>
    <row r="1141" spans="1:6" x14ac:dyDescent="0.2">
      <c r="A1141" t="str">
        <f>'Novia Web Query'!A1141</f>
        <v>GB00BD72ZR10</v>
      </c>
      <c r="B1141" t="str">
        <f>VLOOKUP(NoviaFunds[[#This Row],[ISIN]],'Novia Web Query'!$A:$E,2,FALSE)</f>
        <v>Cornelian Asset Managers SVS Cornelian Defensive RMP G Acc in GB</v>
      </c>
      <c r="C1141" t="str">
        <f>VLOOKUP(NoviaFunds[[#This Row],[ISIN]],'Novia Web Query'!$A:$E,3,FALSE)</f>
        <v>UT Volatility Managed</v>
      </c>
      <c r="D1141" s="139">
        <f>VLOOKUP(NoviaFunds[[#This Row],[ISIN]],'Novia Web Query'!$A:$E,4,FALSE)/100</f>
        <v>5.5000000000000005E-3</v>
      </c>
      <c r="E1141" s="3" t="str">
        <f>VLOOKUP(NoviaFunds[[#This Row],[ISIN]],'Novia Web Query'!$A:$E,5,FALSE)</f>
        <v>15/04/2019</v>
      </c>
      <c r="F1141" t="e">
        <f>VLOOKUP(NoviaFunds[[#This Row],[Sector]],Sectors[],2,FALSE)</f>
        <v>#N/A</v>
      </c>
    </row>
    <row r="1142" spans="1:6" x14ac:dyDescent="0.2">
      <c r="A1142" t="str">
        <f>'Novia Web Query'!A1142</f>
        <v>GB00BD6FSJ49</v>
      </c>
      <c r="B1142" t="str">
        <f>VLOOKUP(NoviaFunds[[#This Row],[ISIN]],'Novia Web Query'!$A:$E,2,FALSE)</f>
        <v>Cornelian Asset Managers SVS Cornelian Defensive RMP G Inc TR in GB</v>
      </c>
      <c r="C1142" t="str">
        <f>VLOOKUP(NoviaFunds[[#This Row],[ISIN]],'Novia Web Query'!$A:$E,3,FALSE)</f>
        <v>UT Volatility Managed</v>
      </c>
      <c r="D1142" s="139">
        <f>VLOOKUP(NoviaFunds[[#This Row],[ISIN]],'Novia Web Query'!$A:$E,4,FALSE)/100</f>
        <v>5.5000000000000005E-3</v>
      </c>
      <c r="E1142" s="3" t="str">
        <f>VLOOKUP(NoviaFunds[[#This Row],[ISIN]],'Novia Web Query'!$A:$E,5,FALSE)</f>
        <v>15/04/2019</v>
      </c>
      <c r="F1142" t="e">
        <f>VLOOKUP(NoviaFunds[[#This Row],[Sector]],Sectors[],2,FALSE)</f>
        <v>#N/A</v>
      </c>
    </row>
    <row r="1143" spans="1:6" x14ac:dyDescent="0.2">
      <c r="A1143" t="str">
        <f>'Novia Web Query'!A1143</f>
        <v>GB00B3RMNL16</v>
      </c>
      <c r="B1143" t="str">
        <f>VLOOKUP(NoviaFunds[[#This Row],[ISIN]],'Novia Web Query'!$A:$E,2,FALSE)</f>
        <v>Cornelian Asset Managers SVS Cornelian Growth D Acc in GB</v>
      </c>
      <c r="C1143" t="str">
        <f>VLOOKUP(NoviaFunds[[#This Row],[ISIN]],'Novia Web Query'!$A:$E,3,FALSE)</f>
        <v>UT Volatility Managed</v>
      </c>
      <c r="D1143" s="139">
        <f>VLOOKUP(NoviaFunds[[#This Row],[ISIN]],'Novia Web Query'!$A:$E,4,FALSE)/100</f>
        <v>1.23E-2</v>
      </c>
      <c r="E1143" s="3" t="str">
        <f>VLOOKUP(NoviaFunds[[#This Row],[ISIN]],'Novia Web Query'!$A:$E,5,FALSE)</f>
        <v>15/04/2021</v>
      </c>
      <c r="F1143" t="e">
        <f>VLOOKUP(NoviaFunds[[#This Row],[Sector]],Sectors[],2,FALSE)</f>
        <v>#N/A</v>
      </c>
    </row>
    <row r="1144" spans="1:6" x14ac:dyDescent="0.2">
      <c r="A1144" t="str">
        <f>'Novia Web Query'!A2</f>
        <v>Cash</v>
      </c>
      <c r="B1144" t="str">
        <f>VLOOKUP(NoviaFunds[[#This Row],[ISIN]],'Novia Web Query'!$A:$E,2,FALSE)</f>
        <v>Cash</v>
      </c>
      <c r="C1144" t="str">
        <f>VLOOKUP(NoviaFunds[[#This Row],[ISIN]],'Novia Web Query'!$A:$E,3,FALSE)</f>
        <v>Cash</v>
      </c>
      <c r="D1144" s="139">
        <f>VLOOKUP(NoviaFunds[[#This Row],[ISIN]],'Novia Web Query'!$A:$E,4,FALSE)/100</f>
        <v>0</v>
      </c>
      <c r="E1144" s="3">
        <f>VLOOKUP(NoviaFunds[[#This Row],[ISIN]],'Novia Web Query'!$A:$E,5,FALSE)</f>
        <v>44286</v>
      </c>
      <c r="F1144" t="str">
        <f>VLOOKUP(NoviaFunds[[#This Row],[Sector]],Sectors[],2,FALSE)</f>
        <v>Cash</v>
      </c>
    </row>
    <row r="1145" spans="1:6" x14ac:dyDescent="0.2">
      <c r="A1145" t="str">
        <f>'Novia Web Query'!A1144</f>
        <v>GB00B68Y9S62</v>
      </c>
      <c r="B1145" t="str">
        <f>VLOOKUP(NoviaFunds[[#This Row],[ISIN]],'Novia Web Query'!$A:$E,2,FALSE)</f>
        <v>Cornelian Asset Managers SVS Cornelian Growth D Inc TR in GB</v>
      </c>
      <c r="C1145" t="str">
        <f>VLOOKUP(NoviaFunds[[#This Row],[ISIN]],'Novia Web Query'!$A:$E,3,FALSE)</f>
        <v>UT Volatility Managed</v>
      </c>
      <c r="D1145" s="139">
        <f>VLOOKUP(NoviaFunds[[#This Row],[ISIN]],'Novia Web Query'!$A:$E,4,FALSE)/100</f>
        <v>1.23E-2</v>
      </c>
      <c r="E1145" s="3" t="str">
        <f>VLOOKUP(NoviaFunds[[#This Row],[ISIN]],'Novia Web Query'!$A:$E,5,FALSE)</f>
        <v>15/04/2021</v>
      </c>
      <c r="F1145" t="e">
        <f>VLOOKUP(NoviaFunds[[#This Row],[Sector]],Sectors[],2,FALSE)</f>
        <v>#N/A</v>
      </c>
    </row>
    <row r="1146" spans="1:6" x14ac:dyDescent="0.2">
      <c r="A1146" t="str">
        <f>'Novia Web Query'!A1145</f>
        <v>GB00BD730466</v>
      </c>
      <c r="B1146" t="str">
        <f>VLOOKUP(NoviaFunds[[#This Row],[ISIN]],'Novia Web Query'!$A:$E,2,FALSE)</f>
        <v>Cornelian Asset Managers SVS Cornelian Growth RMP G Acc in GB</v>
      </c>
      <c r="C1146" t="str">
        <f>VLOOKUP(NoviaFunds[[#This Row],[ISIN]],'Novia Web Query'!$A:$E,3,FALSE)</f>
        <v>UT Volatility Managed</v>
      </c>
      <c r="D1146" s="139">
        <f>VLOOKUP(NoviaFunds[[#This Row],[ISIN]],'Novia Web Query'!$A:$E,4,FALSE)/100</f>
        <v>5.3E-3</v>
      </c>
      <c r="E1146" s="3" t="str">
        <f>VLOOKUP(NoviaFunds[[#This Row],[ISIN]],'Novia Web Query'!$A:$E,5,FALSE)</f>
        <v>15/04/2019</v>
      </c>
      <c r="F1146" t="e">
        <f>VLOOKUP(NoviaFunds[[#This Row],[Sector]],Sectors[],2,FALSE)</f>
        <v>#N/A</v>
      </c>
    </row>
    <row r="1147" spans="1:6" x14ac:dyDescent="0.2">
      <c r="A1147" t="str">
        <f>'Novia Web Query'!A1146</f>
        <v>GB00BD6FSP09</v>
      </c>
      <c r="B1147" t="str">
        <f>VLOOKUP(NoviaFunds[[#This Row],[ISIN]],'Novia Web Query'!$A:$E,2,FALSE)</f>
        <v>Cornelian Asset Managers SVS Cornelian Growth RMP G Inc TR in GB</v>
      </c>
      <c r="C1147" t="str">
        <f>VLOOKUP(NoviaFunds[[#This Row],[ISIN]],'Novia Web Query'!$A:$E,3,FALSE)</f>
        <v>UT Volatility Managed</v>
      </c>
      <c r="D1147" s="139">
        <f>VLOOKUP(NoviaFunds[[#This Row],[ISIN]],'Novia Web Query'!$A:$E,4,FALSE)/100</f>
        <v>5.3E-3</v>
      </c>
      <c r="E1147" s="3" t="str">
        <f>VLOOKUP(NoviaFunds[[#This Row],[ISIN]],'Novia Web Query'!$A:$E,5,FALSE)</f>
        <v>15/04/2019</v>
      </c>
      <c r="F1147" t="e">
        <f>VLOOKUP(NoviaFunds[[#This Row],[Sector]],Sectors[],2,FALSE)</f>
        <v>#N/A</v>
      </c>
    </row>
    <row r="1148" spans="1:6" x14ac:dyDescent="0.2">
      <c r="A1148" t="str">
        <f>'Novia Web Query'!A1147</f>
        <v>GB00B3KXCP84</v>
      </c>
      <c r="B1148" t="str">
        <f>VLOOKUP(NoviaFunds[[#This Row],[ISIN]],'Novia Web Query'!$A:$E,2,FALSE)</f>
        <v>Cornelian Asset Managers SVS Cornelian Managed Growth D Acc in GB</v>
      </c>
      <c r="C1148" t="str">
        <f>VLOOKUP(NoviaFunds[[#This Row],[ISIN]],'Novia Web Query'!$A:$E,3,FALSE)</f>
        <v>UT Volatility Managed</v>
      </c>
      <c r="D1148" s="139">
        <f>VLOOKUP(NoviaFunds[[#This Row],[ISIN]],'Novia Web Query'!$A:$E,4,FALSE)/100</f>
        <v>1.2500000000000001E-2</v>
      </c>
      <c r="E1148" s="3" t="str">
        <f>VLOOKUP(NoviaFunds[[#This Row],[ISIN]],'Novia Web Query'!$A:$E,5,FALSE)</f>
        <v>15/04/2021</v>
      </c>
      <c r="F1148" t="e">
        <f>VLOOKUP(NoviaFunds[[#This Row],[Sector]],Sectors[],2,FALSE)</f>
        <v>#N/A</v>
      </c>
    </row>
    <row r="1149" spans="1:6" x14ac:dyDescent="0.2">
      <c r="A1149" t="str">
        <f>'Novia Web Query'!A1148</f>
        <v>GB00B3N13674</v>
      </c>
      <c r="B1149" t="str">
        <f>VLOOKUP(NoviaFunds[[#This Row],[ISIN]],'Novia Web Query'!$A:$E,2,FALSE)</f>
        <v>Cornelian Asset Managers SVS Cornelian Managed Growth D Inc TR in GB</v>
      </c>
      <c r="C1149" t="str">
        <f>VLOOKUP(NoviaFunds[[#This Row],[ISIN]],'Novia Web Query'!$A:$E,3,FALSE)</f>
        <v>UT Volatility Managed</v>
      </c>
      <c r="D1149" s="139">
        <f>VLOOKUP(NoviaFunds[[#This Row],[ISIN]],'Novia Web Query'!$A:$E,4,FALSE)/100</f>
        <v>1.23E-2</v>
      </c>
      <c r="E1149" s="3" t="str">
        <f>VLOOKUP(NoviaFunds[[#This Row],[ISIN]],'Novia Web Query'!$A:$E,5,FALSE)</f>
        <v>15/04/2019</v>
      </c>
      <c r="F1149" t="e">
        <f>VLOOKUP(NoviaFunds[[#This Row],[Sector]],Sectors[],2,FALSE)</f>
        <v>#N/A</v>
      </c>
    </row>
    <row r="1150" spans="1:6" x14ac:dyDescent="0.2">
      <c r="A1150" t="str">
        <f>'Novia Web Query'!A1149</f>
        <v>GB00BD72ZY86</v>
      </c>
      <c r="B1150" t="str">
        <f>VLOOKUP(NoviaFunds[[#This Row],[ISIN]],'Novia Web Query'!$A:$E,2,FALSE)</f>
        <v>Cornelian Asset Managers SVS Cornelian Managed Growth RMP G Acc in GB</v>
      </c>
      <c r="C1150" t="str">
        <f>VLOOKUP(NoviaFunds[[#This Row],[ISIN]],'Novia Web Query'!$A:$E,3,FALSE)</f>
        <v>UT Volatility Managed</v>
      </c>
      <c r="D1150" s="139">
        <f>VLOOKUP(NoviaFunds[[#This Row],[ISIN]],'Novia Web Query'!$A:$E,4,FALSE)/100</f>
        <v>5.3E-3</v>
      </c>
      <c r="E1150" s="3" t="str">
        <f>VLOOKUP(NoviaFunds[[#This Row],[ISIN]],'Novia Web Query'!$A:$E,5,FALSE)</f>
        <v>15/04/2019</v>
      </c>
      <c r="F1150" t="e">
        <f>VLOOKUP(NoviaFunds[[#This Row],[Sector]],Sectors[],2,FALSE)</f>
        <v>#N/A</v>
      </c>
    </row>
    <row r="1151" spans="1:6" x14ac:dyDescent="0.2">
      <c r="A1151" t="str">
        <f>'Novia Web Query'!A1150</f>
        <v>GB00BD6FSM77</v>
      </c>
      <c r="B1151" t="str">
        <f>VLOOKUP(NoviaFunds[[#This Row],[ISIN]],'Novia Web Query'!$A:$E,2,FALSE)</f>
        <v>Cornelian Asset Managers SVS Cornelian Managed Growth RMP G Inc TR in GB</v>
      </c>
      <c r="C1151" t="str">
        <f>VLOOKUP(NoviaFunds[[#This Row],[ISIN]],'Novia Web Query'!$A:$E,3,FALSE)</f>
        <v>UT Volatility Managed</v>
      </c>
      <c r="D1151" s="139">
        <f>VLOOKUP(NoviaFunds[[#This Row],[ISIN]],'Novia Web Query'!$A:$E,4,FALSE)/100</f>
        <v>5.3E-3</v>
      </c>
      <c r="E1151" s="3" t="str">
        <f>VLOOKUP(NoviaFunds[[#This Row],[ISIN]],'Novia Web Query'!$A:$E,5,FALSE)</f>
        <v>15/04/2019</v>
      </c>
      <c r="F1151" t="e">
        <f>VLOOKUP(NoviaFunds[[#This Row],[Sector]],Sectors[],2,FALSE)</f>
        <v>#N/A</v>
      </c>
    </row>
    <row r="1152" spans="1:6" x14ac:dyDescent="0.2">
      <c r="A1152" t="str">
        <f>'Novia Web Query'!A1151</f>
        <v>GB00BVL87L96</v>
      </c>
      <c r="B1152" t="str">
        <f>VLOOKUP(NoviaFunds[[#This Row],[ISIN]],'Novia Web Query'!$A:$E,2,FALSE)</f>
        <v>Cornelian Asset Managers SVS Cornelian Managed Income D Acc in GB</v>
      </c>
      <c r="C1152" t="str">
        <f>VLOOKUP(NoviaFunds[[#This Row],[ISIN]],'Novia Web Query'!$A:$E,3,FALSE)</f>
        <v>UT Volatility Managed</v>
      </c>
      <c r="D1152" s="139">
        <f>VLOOKUP(NoviaFunds[[#This Row],[ISIN]],'Novia Web Query'!$A:$E,4,FALSE)/100</f>
        <v>1.23E-2</v>
      </c>
      <c r="E1152" s="3" t="str">
        <f>VLOOKUP(NoviaFunds[[#This Row],[ISIN]],'Novia Web Query'!$A:$E,5,FALSE)</f>
        <v>15/04/2019</v>
      </c>
      <c r="F1152" t="e">
        <f>VLOOKUP(NoviaFunds[[#This Row],[Sector]],Sectors[],2,FALSE)</f>
        <v>#N/A</v>
      </c>
    </row>
    <row r="1153" spans="1:6" x14ac:dyDescent="0.2">
      <c r="A1153" t="str">
        <f>'Novia Web Query'!A1152</f>
        <v>GB00BV9GGB80</v>
      </c>
      <c r="B1153" t="str">
        <f>VLOOKUP(NoviaFunds[[#This Row],[ISIN]],'Novia Web Query'!$A:$E,2,FALSE)</f>
        <v>Cornelian Asset Managers SVS Cornelian Managed Income D Inc TR in GB</v>
      </c>
      <c r="C1153" t="str">
        <f>VLOOKUP(NoviaFunds[[#This Row],[ISIN]],'Novia Web Query'!$A:$E,3,FALSE)</f>
        <v>UT Volatility Managed</v>
      </c>
      <c r="D1153" s="139">
        <f>VLOOKUP(NoviaFunds[[#This Row],[ISIN]],'Novia Web Query'!$A:$E,4,FALSE)/100</f>
        <v>1.23E-2</v>
      </c>
      <c r="E1153" s="3" t="str">
        <f>VLOOKUP(NoviaFunds[[#This Row],[ISIN]],'Novia Web Query'!$A:$E,5,FALSE)</f>
        <v>15/04/2019</v>
      </c>
      <c r="F1153" t="e">
        <f>VLOOKUP(NoviaFunds[[#This Row],[Sector]],Sectors[],2,FALSE)</f>
        <v>#N/A</v>
      </c>
    </row>
    <row r="1154" spans="1:6" x14ac:dyDescent="0.2">
      <c r="A1154" t="str">
        <f>'Novia Web Query'!A1153</f>
        <v>GB00B5LY2097</v>
      </c>
      <c r="B1154" t="str">
        <f>VLOOKUP(NoviaFunds[[#This Row],[ISIN]],'Novia Web Query'!$A:$E,2,FALSE)</f>
        <v>Cornelian Asset Managers SVS Cornelian Progressive D Acc in GB</v>
      </c>
      <c r="C1154" t="str">
        <f>VLOOKUP(NoviaFunds[[#This Row],[ISIN]],'Novia Web Query'!$A:$E,3,FALSE)</f>
        <v>UT Volatility Managed</v>
      </c>
      <c r="D1154" s="139">
        <f>VLOOKUP(NoviaFunds[[#This Row],[ISIN]],'Novia Web Query'!$A:$E,4,FALSE)/100</f>
        <v>1.26E-2</v>
      </c>
      <c r="E1154" s="3" t="str">
        <f>VLOOKUP(NoviaFunds[[#This Row],[ISIN]],'Novia Web Query'!$A:$E,5,FALSE)</f>
        <v>15/04/2021</v>
      </c>
      <c r="F1154" t="e">
        <f>VLOOKUP(NoviaFunds[[#This Row],[Sector]],Sectors[],2,FALSE)</f>
        <v>#N/A</v>
      </c>
    </row>
    <row r="1155" spans="1:6" x14ac:dyDescent="0.2">
      <c r="A1155" t="str">
        <f>'Novia Web Query'!A1154</f>
        <v>GB00B5Q8N588</v>
      </c>
      <c r="B1155" t="str">
        <f>VLOOKUP(NoviaFunds[[#This Row],[ISIN]],'Novia Web Query'!$A:$E,2,FALSE)</f>
        <v>Cornelian Asset Managers SVS Cornelian Progressive D Inc TR in GB</v>
      </c>
      <c r="C1155" t="str">
        <f>VLOOKUP(NoviaFunds[[#This Row],[ISIN]],'Novia Web Query'!$A:$E,3,FALSE)</f>
        <v>UT Volatility Managed</v>
      </c>
      <c r="D1155" s="139">
        <f>VLOOKUP(NoviaFunds[[#This Row],[ISIN]],'Novia Web Query'!$A:$E,4,FALSE)/100</f>
        <v>1.26E-2</v>
      </c>
      <c r="E1155" s="3" t="str">
        <f>VLOOKUP(NoviaFunds[[#This Row],[ISIN]],'Novia Web Query'!$A:$E,5,FALSE)</f>
        <v>15/04/2019</v>
      </c>
      <c r="F1155" t="e">
        <f>VLOOKUP(NoviaFunds[[#This Row],[Sector]],Sectors[],2,FALSE)</f>
        <v>#N/A</v>
      </c>
    </row>
    <row r="1156" spans="1:6" x14ac:dyDescent="0.2">
      <c r="A1156" t="str">
        <f>'Novia Web Query'!A1155</f>
        <v>GB00BD72ZV55</v>
      </c>
      <c r="B1156" t="str">
        <f>VLOOKUP(NoviaFunds[[#This Row],[ISIN]],'Novia Web Query'!$A:$E,2,FALSE)</f>
        <v>Cornelian Asset Managers SVS Cornelian Progressive RMP G Acc in GB</v>
      </c>
      <c r="C1156" t="str">
        <f>VLOOKUP(NoviaFunds[[#This Row],[ISIN]],'Novia Web Query'!$A:$E,3,FALSE)</f>
        <v>UT Volatility Managed</v>
      </c>
      <c r="D1156" s="139">
        <f>VLOOKUP(NoviaFunds[[#This Row],[ISIN]],'Novia Web Query'!$A:$E,4,FALSE)/100</f>
        <v>5.3E-3</v>
      </c>
      <c r="E1156" s="3" t="str">
        <f>VLOOKUP(NoviaFunds[[#This Row],[ISIN]],'Novia Web Query'!$A:$E,5,FALSE)</f>
        <v>15/04/2019</v>
      </c>
      <c r="F1156" t="e">
        <f>VLOOKUP(NoviaFunds[[#This Row],[Sector]],Sectors[],2,FALSE)</f>
        <v>#N/A</v>
      </c>
    </row>
    <row r="1157" spans="1:6" x14ac:dyDescent="0.2">
      <c r="A1157" t="str">
        <f>'Novia Web Query'!A1156</f>
        <v>GB00BD6FSK53</v>
      </c>
      <c r="B1157" t="str">
        <f>VLOOKUP(NoviaFunds[[#This Row],[ISIN]],'Novia Web Query'!$A:$E,2,FALSE)</f>
        <v>Cornelian Asset Managers SVS Cornelian Progressive RMP G Inc TR in GB</v>
      </c>
      <c r="C1157" t="str">
        <f>VLOOKUP(NoviaFunds[[#This Row],[ISIN]],'Novia Web Query'!$A:$E,3,FALSE)</f>
        <v>UT Volatility Managed</v>
      </c>
      <c r="D1157" s="139">
        <f>VLOOKUP(NoviaFunds[[#This Row],[ISIN]],'Novia Web Query'!$A:$E,4,FALSE)/100</f>
        <v>5.3E-3</v>
      </c>
      <c r="E1157" s="3" t="str">
        <f>VLOOKUP(NoviaFunds[[#This Row],[ISIN]],'Novia Web Query'!$A:$E,5,FALSE)</f>
        <v>15/04/2019</v>
      </c>
      <c r="F1157" t="e">
        <f>VLOOKUP(NoviaFunds[[#This Row],[Sector]],Sectors[],2,FALSE)</f>
        <v>#N/A</v>
      </c>
    </row>
    <row r="1158" spans="1:6" x14ac:dyDescent="0.2">
      <c r="A1158" t="str">
        <f>'Novia Web Query'!A1157</f>
        <v>GB0033772624</v>
      </c>
      <c r="B1158" t="str">
        <f>VLOOKUP(NoviaFunds[[#This Row],[ISIN]],'Novia Web Query'!$A:$E,2,FALSE)</f>
        <v>Dimensional Emerging Markets Core Equity Acc in GB</v>
      </c>
      <c r="C1158" t="str">
        <f>VLOOKUP(NoviaFunds[[#This Row],[ISIN]],'Novia Web Query'!$A:$E,3,FALSE)</f>
        <v>UT Global Emerging Markets</v>
      </c>
      <c r="D1158" s="139">
        <f>VLOOKUP(NoviaFunds[[#This Row],[ISIN]],'Novia Web Query'!$A:$E,4,FALSE)/100</f>
        <v>4.6999999999999993E-3</v>
      </c>
      <c r="E1158" s="3" t="str">
        <f>VLOOKUP(NoviaFunds[[#This Row],[ISIN]],'Novia Web Query'!$A:$E,5,FALSE)</f>
        <v>04/05/2021</v>
      </c>
      <c r="F1158" t="str">
        <f>VLOOKUP(NoviaFunds[[#This Row],[Sector]],Sectors[],2,FALSE)</f>
        <v>Emerging Markets</v>
      </c>
    </row>
    <row r="1159" spans="1:6" x14ac:dyDescent="0.2">
      <c r="A1159" t="str">
        <f>'Novia Web Query'!A1158</f>
        <v>GB0033772517</v>
      </c>
      <c r="B1159" t="str">
        <f>VLOOKUP(NoviaFunds[[#This Row],[ISIN]],'Novia Web Query'!$A:$E,2,FALSE)</f>
        <v>Dimensional Emerging Markets Core Equity Inc TR in GB</v>
      </c>
      <c r="C1159" t="str">
        <f>VLOOKUP(NoviaFunds[[#This Row],[ISIN]],'Novia Web Query'!$A:$E,3,FALSE)</f>
        <v>UT Global Emerging Markets</v>
      </c>
      <c r="D1159" s="139">
        <f>VLOOKUP(NoviaFunds[[#This Row],[ISIN]],'Novia Web Query'!$A:$E,4,FALSE)/100</f>
        <v>4.6999999999999993E-3</v>
      </c>
      <c r="E1159" s="3" t="str">
        <f>VLOOKUP(NoviaFunds[[#This Row],[ISIN]],'Novia Web Query'!$A:$E,5,FALSE)</f>
        <v>04/05/2021</v>
      </c>
      <c r="F1159" t="str">
        <f>VLOOKUP(NoviaFunds[[#This Row],[Sector]],Sectors[],2,FALSE)</f>
        <v>Emerging Markets</v>
      </c>
    </row>
    <row r="1160" spans="1:6" x14ac:dyDescent="0.2">
      <c r="A1160" t="str">
        <f>'Novia Web Query'!A1159</f>
        <v>GB0033772848</v>
      </c>
      <c r="B1160" t="str">
        <f>VLOOKUP(NoviaFunds[[#This Row],[ISIN]],'Novia Web Query'!$A:$E,2,FALSE)</f>
        <v>Dimensional Global Short Dated Bond Acc in GB</v>
      </c>
      <c r="C1160" t="str">
        <f>VLOOKUP(NoviaFunds[[#This Row],[ISIN]],'Novia Web Query'!$A:$E,3,FALSE)</f>
        <v>UT Global Bonds</v>
      </c>
      <c r="D1160" s="139">
        <f>VLOOKUP(NoviaFunds[[#This Row],[ISIN]],'Novia Web Query'!$A:$E,4,FALSE)/100</f>
        <v>2.5000000000000001E-3</v>
      </c>
      <c r="E1160" s="3" t="str">
        <f>VLOOKUP(NoviaFunds[[#This Row],[ISIN]],'Novia Web Query'!$A:$E,5,FALSE)</f>
        <v>04/05/2021</v>
      </c>
      <c r="F1160" t="str">
        <f>VLOOKUP(NoviaFunds[[#This Row],[Sector]],Sectors[],2,FALSE)</f>
        <v>Global Investment Grade</v>
      </c>
    </row>
    <row r="1161" spans="1:6" x14ac:dyDescent="0.2">
      <c r="A1161" t="str">
        <f>'Novia Web Query'!A1160</f>
        <v>GB00B735N017</v>
      </c>
      <c r="B1161" t="str">
        <f>VLOOKUP(NoviaFunds[[#This Row],[ISIN]],'Novia Web Query'!$A:$E,2,FALSE)</f>
        <v>Dimensional Global Short Dated Bond Gr Acc GBP in GB**</v>
      </c>
      <c r="C1161" t="str">
        <f>VLOOKUP(NoviaFunds[[#This Row],[ISIN]],'Novia Web Query'!$A:$E,3,FALSE)</f>
        <v>UT Global Bonds</v>
      </c>
      <c r="D1161" s="139">
        <f>VLOOKUP(NoviaFunds[[#This Row],[ISIN]],'Novia Web Query'!$A:$E,4,FALSE)/100</f>
        <v>2.5000000000000001E-3</v>
      </c>
      <c r="E1161" s="3" t="str">
        <f>VLOOKUP(NoviaFunds[[#This Row],[ISIN]],'Novia Web Query'!$A:$E,5,FALSE)</f>
        <v>04/05/2021</v>
      </c>
      <c r="F1161" t="str">
        <f>VLOOKUP(NoviaFunds[[#This Row],[Sector]],Sectors[],2,FALSE)</f>
        <v>Global Investment Grade</v>
      </c>
    </row>
    <row r="1162" spans="1:6" x14ac:dyDescent="0.2">
      <c r="A1162" t="str">
        <f>'Novia Web Query'!A1161</f>
        <v>GB00B732BR50</v>
      </c>
      <c r="B1162" t="str">
        <f>VLOOKUP(NoviaFunds[[#This Row],[ISIN]],'Novia Web Query'!$A:$E,2,FALSE)</f>
        <v>Dimensional Global Short Dated Bond Gr Inc GBP TR in GB**</v>
      </c>
      <c r="C1162" t="str">
        <f>VLOOKUP(NoviaFunds[[#This Row],[ISIN]],'Novia Web Query'!$A:$E,3,FALSE)</f>
        <v>UT Global Bonds</v>
      </c>
      <c r="D1162" s="139">
        <f>VLOOKUP(NoviaFunds[[#This Row],[ISIN]],'Novia Web Query'!$A:$E,4,FALSE)/100</f>
        <v>2.5000000000000001E-3</v>
      </c>
      <c r="E1162" s="3" t="str">
        <f>VLOOKUP(NoviaFunds[[#This Row],[ISIN]],'Novia Web Query'!$A:$E,5,FALSE)</f>
        <v>04/05/2021</v>
      </c>
      <c r="F1162" t="str">
        <f>VLOOKUP(NoviaFunds[[#This Row],[Sector]],Sectors[],2,FALSE)</f>
        <v>Global Investment Grade</v>
      </c>
    </row>
    <row r="1163" spans="1:6" x14ac:dyDescent="0.2">
      <c r="A1163" t="str">
        <f>'Novia Web Query'!A1162</f>
        <v>GB0033772731</v>
      </c>
      <c r="B1163" t="str">
        <f>VLOOKUP(NoviaFunds[[#This Row],[ISIN]],'Novia Web Query'!$A:$E,2,FALSE)</f>
        <v>Dimensional Global Short Dated Bond Inc TR in GB</v>
      </c>
      <c r="C1163" t="str">
        <f>VLOOKUP(NoviaFunds[[#This Row],[ISIN]],'Novia Web Query'!$A:$E,3,FALSE)</f>
        <v>UT Global Bonds</v>
      </c>
      <c r="D1163" s="139">
        <f>VLOOKUP(NoviaFunds[[#This Row],[ISIN]],'Novia Web Query'!$A:$E,4,FALSE)/100</f>
        <v>2.5000000000000001E-3</v>
      </c>
      <c r="E1163" s="3" t="str">
        <f>VLOOKUP(NoviaFunds[[#This Row],[ISIN]],'Novia Web Query'!$A:$E,5,FALSE)</f>
        <v>04/05/2021</v>
      </c>
      <c r="F1163" t="str">
        <f>VLOOKUP(NoviaFunds[[#This Row],[Sector]],Sectors[],2,FALSE)</f>
        <v>Global Investment Grade</v>
      </c>
    </row>
    <row r="1164" spans="1:6" x14ac:dyDescent="0.2">
      <c r="A1164" t="str">
        <f>'Novia Web Query'!A1163</f>
        <v>GB00B23YLH62</v>
      </c>
      <c r="B1164" t="str">
        <f>VLOOKUP(NoviaFunds[[#This Row],[ISIN]],'Novia Web Query'!$A:$E,2,FALSE)</f>
        <v>Dimensional International Core Equity Acc in GB</v>
      </c>
      <c r="C1164" t="str">
        <f>VLOOKUP(NoviaFunds[[#This Row],[ISIN]],'Novia Web Query'!$A:$E,3,FALSE)</f>
        <v>UT Global</v>
      </c>
      <c r="D1164" s="139">
        <f>VLOOKUP(NoviaFunds[[#This Row],[ISIN]],'Novia Web Query'!$A:$E,4,FALSE)/100</f>
        <v>2.8000000000000004E-3</v>
      </c>
      <c r="E1164" s="3" t="str">
        <f>VLOOKUP(NoviaFunds[[#This Row],[ISIN]],'Novia Web Query'!$A:$E,5,FALSE)</f>
        <v>04/05/2021</v>
      </c>
      <c r="F1164" t="str">
        <f>VLOOKUP(NoviaFunds[[#This Row],[Sector]],Sectors[],2,FALSE)</f>
        <v>Other Equities</v>
      </c>
    </row>
    <row r="1165" spans="1:6" x14ac:dyDescent="0.2">
      <c r="A1165" t="str">
        <f>'Novia Web Query'!A1164</f>
        <v>GB00B23YLF49</v>
      </c>
      <c r="B1165" t="str">
        <f>VLOOKUP(NoviaFunds[[#This Row],[ISIN]],'Novia Web Query'!$A:$E,2,FALSE)</f>
        <v>Dimensional International Core Equity Inc TR in GB</v>
      </c>
      <c r="C1165" t="str">
        <f>VLOOKUP(NoviaFunds[[#This Row],[ISIN]],'Novia Web Query'!$A:$E,3,FALSE)</f>
        <v>UT Global</v>
      </c>
      <c r="D1165" s="139">
        <f>VLOOKUP(NoviaFunds[[#This Row],[ISIN]],'Novia Web Query'!$A:$E,4,FALSE)/100</f>
        <v>2.8000000000000004E-3</v>
      </c>
      <c r="E1165" s="3" t="str">
        <f>VLOOKUP(NoviaFunds[[#This Row],[ISIN]],'Novia Web Query'!$A:$E,5,FALSE)</f>
        <v>04/05/2021</v>
      </c>
      <c r="F1165" t="str">
        <f>VLOOKUP(NoviaFunds[[#This Row],[Sector]],Sectors[],2,FALSE)</f>
        <v>Other Equities</v>
      </c>
    </row>
    <row r="1166" spans="1:6" x14ac:dyDescent="0.2">
      <c r="A1166" t="str">
        <f>'Novia Web Query'!A1165</f>
        <v>GB0033772285</v>
      </c>
      <c r="B1166" t="str">
        <f>VLOOKUP(NoviaFunds[[#This Row],[ISIN]],'Novia Web Query'!$A:$E,2,FALSE)</f>
        <v>Dimensional International Value Acc in GB</v>
      </c>
      <c r="C1166" t="str">
        <f>VLOOKUP(NoviaFunds[[#This Row],[ISIN]],'Novia Web Query'!$A:$E,3,FALSE)</f>
        <v>UT Global</v>
      </c>
      <c r="D1166" s="139">
        <f>VLOOKUP(NoviaFunds[[#This Row],[ISIN]],'Novia Web Query'!$A:$E,4,FALSE)/100</f>
        <v>3.5999999999999999E-3</v>
      </c>
      <c r="E1166" s="3" t="str">
        <f>VLOOKUP(NoviaFunds[[#This Row],[ISIN]],'Novia Web Query'!$A:$E,5,FALSE)</f>
        <v>04/05/2021</v>
      </c>
      <c r="F1166" t="str">
        <f>VLOOKUP(NoviaFunds[[#This Row],[Sector]],Sectors[],2,FALSE)</f>
        <v>Other Equities</v>
      </c>
    </row>
    <row r="1167" spans="1:6" x14ac:dyDescent="0.2">
      <c r="A1167" t="str">
        <f>'Novia Web Query'!A1166</f>
        <v>GB0033772178</v>
      </c>
      <c r="B1167" t="str">
        <f>VLOOKUP(NoviaFunds[[#This Row],[ISIN]],'Novia Web Query'!$A:$E,2,FALSE)</f>
        <v>Dimensional International Value Inc TR in GB</v>
      </c>
      <c r="C1167" t="str">
        <f>VLOOKUP(NoviaFunds[[#This Row],[ISIN]],'Novia Web Query'!$A:$E,3,FALSE)</f>
        <v>UT Global</v>
      </c>
      <c r="D1167" s="139">
        <f>VLOOKUP(NoviaFunds[[#This Row],[ISIN]],'Novia Web Query'!$A:$E,4,FALSE)/100</f>
        <v>3.5999999999999999E-3</v>
      </c>
      <c r="E1167" s="3" t="str">
        <f>VLOOKUP(NoviaFunds[[#This Row],[ISIN]],'Novia Web Query'!$A:$E,5,FALSE)</f>
        <v>04/05/2021</v>
      </c>
      <c r="F1167" t="str">
        <f>VLOOKUP(NoviaFunds[[#This Row],[Sector]],Sectors[],2,FALSE)</f>
        <v>Other Equities</v>
      </c>
    </row>
    <row r="1168" spans="1:6" x14ac:dyDescent="0.2">
      <c r="A1168" t="str">
        <f>'Novia Web Query'!A1167</f>
        <v>GB00B15JMH94</v>
      </c>
      <c r="B1168" t="str">
        <f>VLOOKUP(NoviaFunds[[#This Row],[ISIN]],'Novia Web Query'!$A:$E,2,FALSE)</f>
        <v>Dimensional UK Core Equity Acc in GB</v>
      </c>
      <c r="C1168" t="str">
        <f>VLOOKUP(NoviaFunds[[#This Row],[ISIN]],'Novia Web Query'!$A:$E,3,FALSE)</f>
        <v>UT UK All Companies</v>
      </c>
      <c r="D1168" s="139">
        <f>VLOOKUP(NoviaFunds[[#This Row],[ISIN]],'Novia Web Query'!$A:$E,4,FALSE)/100</f>
        <v>2.0999999999999999E-3</v>
      </c>
      <c r="E1168" s="3" t="str">
        <f>VLOOKUP(NoviaFunds[[#This Row],[ISIN]],'Novia Web Query'!$A:$E,5,FALSE)</f>
        <v>04/05/2021</v>
      </c>
      <c r="F1168" t="str">
        <f>VLOOKUP(NoviaFunds[[#This Row],[Sector]],Sectors[],2,FALSE)</f>
        <v>UK Equities</v>
      </c>
    </row>
    <row r="1169" spans="1:6" x14ac:dyDescent="0.2">
      <c r="A1169" t="str">
        <f>'Novia Web Query'!A1168</f>
        <v>GB00B15JMG87</v>
      </c>
      <c r="B1169" t="str">
        <f>VLOOKUP(NoviaFunds[[#This Row],[ISIN]],'Novia Web Query'!$A:$E,2,FALSE)</f>
        <v>Dimensional UK Core Equity Inc TR in GB</v>
      </c>
      <c r="C1169" t="str">
        <f>VLOOKUP(NoviaFunds[[#This Row],[ISIN]],'Novia Web Query'!$A:$E,3,FALSE)</f>
        <v>UT UK All Companies</v>
      </c>
      <c r="D1169" s="139">
        <f>VLOOKUP(NoviaFunds[[#This Row],[ISIN]],'Novia Web Query'!$A:$E,4,FALSE)/100</f>
        <v>2.0999999999999999E-3</v>
      </c>
      <c r="E1169" s="3" t="str">
        <f>VLOOKUP(NoviaFunds[[#This Row],[ISIN]],'Novia Web Query'!$A:$E,5,FALSE)</f>
        <v>04/05/2021</v>
      </c>
      <c r="F1169" t="str">
        <f>VLOOKUP(NoviaFunds[[#This Row],[Sector]],Sectors[],2,FALSE)</f>
        <v>UK Equities</v>
      </c>
    </row>
    <row r="1170" spans="1:6" x14ac:dyDescent="0.2">
      <c r="A1170" t="str">
        <f>'Novia Web Query'!A1169</f>
        <v>GB0033771980</v>
      </c>
      <c r="B1170" t="str">
        <f>VLOOKUP(NoviaFunds[[#This Row],[ISIN]],'Novia Web Query'!$A:$E,2,FALSE)</f>
        <v>Dimensional UK Small Companies Acc in GB</v>
      </c>
      <c r="C1170" t="str">
        <f>VLOOKUP(NoviaFunds[[#This Row],[ISIN]],'Novia Web Query'!$A:$E,3,FALSE)</f>
        <v>UT UK Smaller Companies</v>
      </c>
      <c r="D1170" s="139">
        <f>VLOOKUP(NoviaFunds[[#This Row],[ISIN]],'Novia Web Query'!$A:$E,4,FALSE)/100</f>
        <v>5.1000000000000004E-3</v>
      </c>
      <c r="E1170" s="3" t="str">
        <f>VLOOKUP(NoviaFunds[[#This Row],[ISIN]],'Novia Web Query'!$A:$E,5,FALSE)</f>
        <v>04/05/2021</v>
      </c>
      <c r="F1170" t="str">
        <f>VLOOKUP(NoviaFunds[[#This Row],[Sector]],Sectors[],2,FALSE)</f>
        <v>UK Equities</v>
      </c>
    </row>
    <row r="1171" spans="1:6" x14ac:dyDescent="0.2">
      <c r="A1171" t="str">
        <f>'Novia Web Query'!A1170</f>
        <v>GB0033772061</v>
      </c>
      <c r="B1171" t="str">
        <f>VLOOKUP(NoviaFunds[[#This Row],[ISIN]],'Novia Web Query'!$A:$E,2,FALSE)</f>
        <v>Dimensional UK Small Companies Inc TR in GB</v>
      </c>
      <c r="C1171" t="str">
        <f>VLOOKUP(NoviaFunds[[#This Row],[ISIN]],'Novia Web Query'!$A:$E,3,FALSE)</f>
        <v>UT UK Smaller Companies</v>
      </c>
      <c r="D1171" s="139">
        <f>VLOOKUP(NoviaFunds[[#This Row],[ISIN]],'Novia Web Query'!$A:$E,4,FALSE)/100</f>
        <v>5.1000000000000004E-3</v>
      </c>
      <c r="E1171" s="3" t="str">
        <f>VLOOKUP(NoviaFunds[[#This Row],[ISIN]],'Novia Web Query'!$A:$E,5,FALSE)</f>
        <v>04/05/2021</v>
      </c>
      <c r="F1171" t="str">
        <f>VLOOKUP(NoviaFunds[[#This Row],[Sector]],Sectors[],2,FALSE)</f>
        <v>UK Equities</v>
      </c>
    </row>
    <row r="1172" spans="1:6" x14ac:dyDescent="0.2">
      <c r="A1172" t="str">
        <f>'Novia Web Query'!A1171</f>
        <v>GB0033771766</v>
      </c>
      <c r="B1172" t="str">
        <f>VLOOKUP(NoviaFunds[[#This Row],[ISIN]],'Novia Web Query'!$A:$E,2,FALSE)</f>
        <v>Dimensional UK Value Acc in GB</v>
      </c>
      <c r="C1172" t="str">
        <f>VLOOKUP(NoviaFunds[[#This Row],[ISIN]],'Novia Web Query'!$A:$E,3,FALSE)</f>
        <v>UT UK All Companies</v>
      </c>
      <c r="D1172" s="139">
        <f>VLOOKUP(NoviaFunds[[#This Row],[ISIN]],'Novia Web Query'!$A:$E,4,FALSE)/100</f>
        <v>3.5999999999999999E-3</v>
      </c>
      <c r="E1172" s="3" t="str">
        <f>VLOOKUP(NoviaFunds[[#This Row],[ISIN]],'Novia Web Query'!$A:$E,5,FALSE)</f>
        <v>04/05/2021</v>
      </c>
      <c r="F1172" t="str">
        <f>VLOOKUP(NoviaFunds[[#This Row],[Sector]],Sectors[],2,FALSE)</f>
        <v>UK Equities</v>
      </c>
    </row>
    <row r="1173" spans="1:6" x14ac:dyDescent="0.2">
      <c r="A1173" t="str">
        <f>'Novia Web Query'!A1172</f>
        <v>GB0033771659</v>
      </c>
      <c r="B1173" t="str">
        <f>VLOOKUP(NoviaFunds[[#This Row],[ISIN]],'Novia Web Query'!$A:$E,2,FALSE)</f>
        <v>Dimensional UK Value Inc TR in GB</v>
      </c>
      <c r="C1173" t="str">
        <f>VLOOKUP(NoviaFunds[[#This Row],[ISIN]],'Novia Web Query'!$A:$E,3,FALSE)</f>
        <v>UT UK All Companies</v>
      </c>
      <c r="D1173" s="139">
        <f>VLOOKUP(NoviaFunds[[#This Row],[ISIN]],'Novia Web Query'!$A:$E,4,FALSE)/100</f>
        <v>3.5999999999999999E-3</v>
      </c>
      <c r="E1173" s="3" t="str">
        <f>VLOOKUP(NoviaFunds[[#This Row],[ISIN]],'Novia Web Query'!$A:$E,5,FALSE)</f>
        <v>04/05/2021</v>
      </c>
      <c r="F1173" t="str">
        <f>VLOOKUP(NoviaFunds[[#This Row],[Sector]],Sectors[],2,FALSE)</f>
        <v>UK Equities</v>
      </c>
    </row>
    <row r="1174" spans="1:6" x14ac:dyDescent="0.2">
      <c r="A1174" t="str">
        <f>'Novia Web Query'!A1173</f>
        <v>GB00B99R1781</v>
      </c>
      <c r="B1174" t="str">
        <f>VLOOKUP(NoviaFunds[[#This Row],[ISIN]],'Novia Web Query'!$A:$E,2,FALSE)</f>
        <v>DMS Stirling House Balanced Ret in GB</v>
      </c>
      <c r="C1174" t="str">
        <f>VLOOKUP(NoviaFunds[[#This Row],[ISIN]],'Novia Web Query'!$A:$E,3,FALSE)</f>
        <v>UT Mixed Investment 20-60% Shares</v>
      </c>
      <c r="D1174" s="139">
        <f>VLOOKUP(NoviaFunds[[#This Row],[ISIN]],'Novia Web Query'!$A:$E,4,FALSE)/100</f>
        <v>1.37E-2</v>
      </c>
      <c r="E1174" s="3" t="str">
        <f>VLOOKUP(NoviaFunds[[#This Row],[ISIN]],'Novia Web Query'!$A:$E,5,FALSE)</f>
        <v>15/09/2020</v>
      </c>
      <c r="F1174" t="str">
        <f>VLOOKUP(NoviaFunds[[#This Row],[Sector]],Sectors[],2,FALSE)</f>
        <v>Mixed 20%-60%</v>
      </c>
    </row>
    <row r="1175" spans="1:6" x14ac:dyDescent="0.2">
      <c r="A1175" t="str">
        <f>'Novia Web Query'!A1174</f>
        <v>GB00B99R1674</v>
      </c>
      <c r="B1175" t="str">
        <f>VLOOKUP(NoviaFunds[[#This Row],[ISIN]],'Novia Web Query'!$A:$E,2,FALSE)</f>
        <v>DMS Stirling House Balanced Ret Acc in GB</v>
      </c>
      <c r="C1175" t="str">
        <f>VLOOKUP(NoviaFunds[[#This Row],[ISIN]],'Novia Web Query'!$A:$E,3,FALSE)</f>
        <v>UT Mixed Investment 20-60% Shares</v>
      </c>
      <c r="D1175" s="139">
        <f>VLOOKUP(NoviaFunds[[#This Row],[ISIN]],'Novia Web Query'!$A:$E,4,FALSE)/100</f>
        <v>1.3600000000000001E-2</v>
      </c>
      <c r="E1175" s="3" t="str">
        <f>VLOOKUP(NoviaFunds[[#This Row],[ISIN]],'Novia Web Query'!$A:$E,5,FALSE)</f>
        <v>15/09/2020</v>
      </c>
      <c r="F1175" t="str">
        <f>VLOOKUP(NoviaFunds[[#This Row],[Sector]],Sectors[],2,FALSE)</f>
        <v>Mixed 20%-60%</v>
      </c>
    </row>
    <row r="1176" spans="1:6" x14ac:dyDescent="0.2">
      <c r="A1176" t="str">
        <f>'Novia Web Query'!A1175</f>
        <v>GB00B99R1898</v>
      </c>
      <c r="B1176" t="str">
        <f>VLOOKUP(NoviaFunds[[#This Row],[ISIN]],'Novia Web Query'!$A:$E,2,FALSE)</f>
        <v>DMS Stirling House Dynamic Ret Acc in GB</v>
      </c>
      <c r="C1176" t="str">
        <f>VLOOKUP(NoviaFunds[[#This Row],[ISIN]],'Novia Web Query'!$A:$E,3,FALSE)</f>
        <v>UT Flexible Investment</v>
      </c>
      <c r="D1176" s="139">
        <f>VLOOKUP(NoviaFunds[[#This Row],[ISIN]],'Novia Web Query'!$A:$E,4,FALSE)/100</f>
        <v>1.46E-2</v>
      </c>
      <c r="E1176" s="3" t="str">
        <f>VLOOKUP(NoviaFunds[[#This Row],[ISIN]],'Novia Web Query'!$A:$E,5,FALSE)</f>
        <v>15/09/2020</v>
      </c>
      <c r="F1176" t="str">
        <f>VLOOKUP(NoviaFunds[[#This Row],[Sector]],Sectors[],2,FALSE)</f>
        <v>Flexible</v>
      </c>
    </row>
    <row r="1177" spans="1:6" x14ac:dyDescent="0.2">
      <c r="A1177" t="str">
        <f>'Novia Web Query'!A1176</f>
        <v>GB00B99R1567</v>
      </c>
      <c r="B1177" t="str">
        <f>VLOOKUP(NoviaFunds[[#This Row],[ISIN]],'Novia Web Query'!$A:$E,2,FALSE)</f>
        <v>DMS Stirling House Growth Ret in GB</v>
      </c>
      <c r="C1177" t="str">
        <f>VLOOKUP(NoviaFunds[[#This Row],[ISIN]],'Novia Web Query'!$A:$E,3,FALSE)</f>
        <v>UT Mixed Investment 40-85% Shares</v>
      </c>
      <c r="D1177" s="139">
        <f>VLOOKUP(NoviaFunds[[#This Row],[ISIN]],'Novia Web Query'!$A:$E,4,FALSE)/100</f>
        <v>1.37E-2</v>
      </c>
      <c r="E1177" s="3" t="str">
        <f>VLOOKUP(NoviaFunds[[#This Row],[ISIN]],'Novia Web Query'!$A:$E,5,FALSE)</f>
        <v>15/09/2020</v>
      </c>
      <c r="F1177" t="str">
        <f>VLOOKUP(NoviaFunds[[#This Row],[Sector]],Sectors[],2,FALSE)</f>
        <v>Mixed 40%-85%</v>
      </c>
    </row>
    <row r="1178" spans="1:6" x14ac:dyDescent="0.2">
      <c r="A1178" t="str">
        <f>'Novia Web Query'!A1177</f>
        <v>GB00B99R1450</v>
      </c>
      <c r="B1178" t="str">
        <f>VLOOKUP(NoviaFunds[[#This Row],[ISIN]],'Novia Web Query'!$A:$E,2,FALSE)</f>
        <v>DMS Stirling House Growth Ret Acc in GB</v>
      </c>
      <c r="C1178" t="str">
        <f>VLOOKUP(NoviaFunds[[#This Row],[ISIN]],'Novia Web Query'!$A:$E,3,FALSE)</f>
        <v>UT Mixed Investment 40-85% Shares</v>
      </c>
      <c r="D1178" s="139">
        <f>VLOOKUP(NoviaFunds[[#This Row],[ISIN]],'Novia Web Query'!$A:$E,4,FALSE)/100</f>
        <v>1.37E-2</v>
      </c>
      <c r="E1178" s="3" t="str">
        <f>VLOOKUP(NoviaFunds[[#This Row],[ISIN]],'Novia Web Query'!$A:$E,5,FALSE)</f>
        <v>15/09/2020</v>
      </c>
      <c r="F1178" t="str">
        <f>VLOOKUP(NoviaFunds[[#This Row],[Sector]],Sectors[],2,FALSE)</f>
        <v>Mixed 40%-85%</v>
      </c>
    </row>
    <row r="1179" spans="1:6" x14ac:dyDescent="0.2">
      <c r="A1179" t="str">
        <f>'Novia Web Query'!A1178</f>
        <v>GB00B99R1237</v>
      </c>
      <c r="B1179" t="str">
        <f>VLOOKUP(NoviaFunds[[#This Row],[ISIN]],'Novia Web Query'!$A:$E,2,FALSE)</f>
        <v>DMS Stirling House Monthly Income Ret Acc TR in GB</v>
      </c>
      <c r="C1179" t="str">
        <f>VLOOKUP(NoviaFunds[[#This Row],[ISIN]],'Novia Web Query'!$A:$E,3,FALSE)</f>
        <v>UT Mixed Investment 0-35% Shares</v>
      </c>
      <c r="D1179" s="139">
        <f>VLOOKUP(NoviaFunds[[#This Row],[ISIN]],'Novia Web Query'!$A:$E,4,FALSE)/100</f>
        <v>1.3500000000000002E-2</v>
      </c>
      <c r="E1179" s="3" t="str">
        <f>VLOOKUP(NoviaFunds[[#This Row],[ISIN]],'Novia Web Query'!$A:$E,5,FALSE)</f>
        <v>15/09/2020</v>
      </c>
      <c r="F1179" t="str">
        <f>VLOOKUP(NoviaFunds[[#This Row],[Sector]],Sectors[],2,FALSE)</f>
        <v>Mixed 0%-35%</v>
      </c>
    </row>
    <row r="1180" spans="1:6" x14ac:dyDescent="0.2">
      <c r="A1180" t="str">
        <f>'Novia Web Query'!A1179</f>
        <v>GB00B99R1344</v>
      </c>
      <c r="B1180" t="str">
        <f>VLOOKUP(NoviaFunds[[#This Row],[ISIN]],'Novia Web Query'!$A:$E,2,FALSE)</f>
        <v>DMS Stirling House Monthly Income Ret Inc TR in GB</v>
      </c>
      <c r="C1180" t="str">
        <f>VLOOKUP(NoviaFunds[[#This Row],[ISIN]],'Novia Web Query'!$A:$E,3,FALSE)</f>
        <v>UT Mixed Investment 0-35% Shares</v>
      </c>
      <c r="D1180" s="139">
        <f>VLOOKUP(NoviaFunds[[#This Row],[ISIN]],'Novia Web Query'!$A:$E,4,FALSE)/100</f>
        <v>1.3500000000000002E-2</v>
      </c>
      <c r="E1180" s="3" t="str">
        <f>VLOOKUP(NoviaFunds[[#This Row],[ISIN]],'Novia Web Query'!$A:$E,5,FALSE)</f>
        <v>15/09/2020</v>
      </c>
      <c r="F1180" t="str">
        <f>VLOOKUP(NoviaFunds[[#This Row],[Sector]],Sectors[],2,FALSE)</f>
        <v>Mixed 0%-35%</v>
      </c>
    </row>
    <row r="1181" spans="1:6" x14ac:dyDescent="0.2">
      <c r="A1181" t="str">
        <f>'Novia Web Query'!A1180</f>
        <v>GB0009449827</v>
      </c>
      <c r="B1181" t="str">
        <f>VLOOKUP(NoviaFunds[[#This Row],[ISIN]],'Novia Web Query'!$A:$E,2,FALSE)</f>
        <v>EdenTree Responsible &amp; Sustainable Managed Income A TR in GB</v>
      </c>
      <c r="C1181" t="str">
        <f>VLOOKUP(NoviaFunds[[#This Row],[ISIN]],'Novia Web Query'!$A:$E,3,FALSE)</f>
        <v>UT Mixed Investment 40-85% Shares</v>
      </c>
      <c r="D1181" s="139">
        <f>VLOOKUP(NoviaFunds[[#This Row],[ISIN]],'Novia Web Query'!$A:$E,4,FALSE)/100</f>
        <v>1.3100000000000001E-2</v>
      </c>
      <c r="E1181" s="3" t="str">
        <f>VLOOKUP(NoviaFunds[[#This Row],[ISIN]],'Novia Web Query'!$A:$E,5,FALSE)</f>
        <v>30/06/2021</v>
      </c>
      <c r="F1181" t="str">
        <f>VLOOKUP(NoviaFunds[[#This Row],[Sector]],Sectors[],2,FALSE)</f>
        <v>Mixed 40%-85%</v>
      </c>
    </row>
    <row r="1182" spans="1:6" x14ac:dyDescent="0.2">
      <c r="A1182" t="str">
        <f>'Novia Web Query'!A1181</f>
        <v>GB0009449710</v>
      </c>
      <c r="B1182" t="str">
        <f>VLOOKUP(NoviaFunds[[#This Row],[ISIN]],'Novia Web Query'!$A:$E,2,FALSE)</f>
        <v>EdenTree Responsible &amp; Sustainable Managed Income B TR in GB</v>
      </c>
      <c r="C1182" t="str">
        <f>VLOOKUP(NoviaFunds[[#This Row],[ISIN]],'Novia Web Query'!$A:$E,3,FALSE)</f>
        <v>UT Mixed Investment 40-85% Shares</v>
      </c>
      <c r="D1182" s="139">
        <f>VLOOKUP(NoviaFunds[[#This Row],[ISIN]],'Novia Web Query'!$A:$E,4,FALSE)/100</f>
        <v>7.8000000000000005E-3</v>
      </c>
      <c r="E1182" s="3" t="str">
        <f>VLOOKUP(NoviaFunds[[#This Row],[ISIN]],'Novia Web Query'!$A:$E,5,FALSE)</f>
        <v>30/06/2021</v>
      </c>
      <c r="F1182" t="str">
        <f>VLOOKUP(NoviaFunds[[#This Row],[Sector]],Sectors[],2,FALSE)</f>
        <v>Mixed 40%-85%</v>
      </c>
    </row>
    <row r="1183" spans="1:6" x14ac:dyDescent="0.2">
      <c r="A1183" t="str">
        <f>'Novia Web Query'!A1182</f>
        <v>GB0008446626</v>
      </c>
      <c r="B1183" t="str">
        <f>VLOOKUP(NoviaFunds[[#This Row],[ISIN]],'Novia Web Query'!$A:$E,2,FALSE)</f>
        <v>EdenTree Responsible and Sustainable European Equity A TR in GB</v>
      </c>
      <c r="C1183" t="str">
        <f>VLOOKUP(NoviaFunds[[#This Row],[ISIN]],'Novia Web Query'!$A:$E,3,FALSE)</f>
        <v>UT Europe Excluding UK</v>
      </c>
      <c r="D1183" s="139">
        <f>VLOOKUP(NoviaFunds[[#This Row],[ISIN]],'Novia Web Query'!$A:$E,4,FALSE)/100</f>
        <v>1.37E-2</v>
      </c>
      <c r="E1183" s="3" t="str">
        <f>VLOOKUP(NoviaFunds[[#This Row],[ISIN]],'Novia Web Query'!$A:$E,5,FALSE)</f>
        <v>30/06/2021</v>
      </c>
      <c r="F1183" t="str">
        <f>VLOOKUP(NoviaFunds[[#This Row],[Sector]],Sectors[],2,FALSE)</f>
        <v>European Equities</v>
      </c>
    </row>
    <row r="1184" spans="1:6" x14ac:dyDescent="0.2">
      <c r="A1184" t="str">
        <f>'Novia Web Query'!A1183</f>
        <v>GB0008448333</v>
      </c>
      <c r="B1184" t="str">
        <f>VLOOKUP(NoviaFunds[[#This Row],[ISIN]],'Novia Web Query'!$A:$E,2,FALSE)</f>
        <v>EdenTree Responsible and Sustainable European Equity B TR in GB</v>
      </c>
      <c r="C1184" t="str">
        <f>VLOOKUP(NoviaFunds[[#This Row],[ISIN]],'Novia Web Query'!$A:$E,3,FALSE)</f>
        <v>UT Europe Excluding UK</v>
      </c>
      <c r="D1184" s="139">
        <f>VLOOKUP(NoviaFunds[[#This Row],[ISIN]],'Novia Web Query'!$A:$E,4,FALSE)/100</f>
        <v>8.1000000000000013E-3</v>
      </c>
      <c r="E1184" s="3" t="str">
        <f>VLOOKUP(NoviaFunds[[#This Row],[ISIN]],'Novia Web Query'!$A:$E,5,FALSE)</f>
        <v>30/06/2021</v>
      </c>
      <c r="F1184" t="str">
        <f>VLOOKUP(NoviaFunds[[#This Row],[Sector]],Sectors[],2,FALSE)</f>
        <v>European Equities</v>
      </c>
    </row>
    <row r="1185" spans="1:6" x14ac:dyDescent="0.2">
      <c r="A1185" t="str">
        <f>'Novia Web Query'!A1184</f>
        <v>GB0008448663</v>
      </c>
      <c r="B1185" t="str">
        <f>VLOOKUP(NoviaFunds[[#This Row],[ISIN]],'Novia Web Query'!$A:$E,2,FALSE)</f>
        <v>EdenTree Responsible and Sustainable Global Equity A TR in GB</v>
      </c>
      <c r="C1185" t="str">
        <f>VLOOKUP(NoviaFunds[[#This Row],[ISIN]],'Novia Web Query'!$A:$E,3,FALSE)</f>
        <v>UT Global</v>
      </c>
      <c r="D1185" s="139">
        <f>VLOOKUP(NoviaFunds[[#This Row],[ISIN]],'Novia Web Query'!$A:$E,4,FALSE)/100</f>
        <v>1.32E-2</v>
      </c>
      <c r="E1185" s="3" t="str">
        <f>VLOOKUP(NoviaFunds[[#This Row],[ISIN]],'Novia Web Query'!$A:$E,5,FALSE)</f>
        <v>30/06/2021</v>
      </c>
      <c r="F1185" t="str">
        <f>VLOOKUP(NoviaFunds[[#This Row],[Sector]],Sectors[],2,FALSE)</f>
        <v>Other Equities</v>
      </c>
    </row>
    <row r="1186" spans="1:6" x14ac:dyDescent="0.2">
      <c r="A1186" t="str">
        <f>'Novia Web Query'!A1185</f>
        <v>GB0008449075</v>
      </c>
      <c r="B1186" t="str">
        <f>VLOOKUP(NoviaFunds[[#This Row],[ISIN]],'Novia Web Query'!$A:$E,2,FALSE)</f>
        <v>EdenTree Responsible and Sustainable Global Equity B TR in GB</v>
      </c>
      <c r="C1186" t="str">
        <f>VLOOKUP(NoviaFunds[[#This Row],[ISIN]],'Novia Web Query'!$A:$E,3,FALSE)</f>
        <v>UT Global</v>
      </c>
      <c r="D1186" s="139">
        <f>VLOOKUP(NoviaFunds[[#This Row],[ISIN]],'Novia Web Query'!$A:$E,4,FALSE)/100</f>
        <v>8.1000000000000013E-3</v>
      </c>
      <c r="E1186" s="3" t="str">
        <f>VLOOKUP(NoviaFunds[[#This Row],[ISIN]],'Novia Web Query'!$A:$E,5,FALSE)</f>
        <v>30/06/2021</v>
      </c>
      <c r="F1186" t="str">
        <f>VLOOKUP(NoviaFunds[[#This Row],[Sector]],Sectors[],2,FALSE)</f>
        <v>Other Equities</v>
      </c>
    </row>
    <row r="1187" spans="1:6" x14ac:dyDescent="0.2">
      <c r="A1187" t="str">
        <f>'Novia Web Query'!A1186</f>
        <v>GB00BZ012J01</v>
      </c>
      <c r="B1187" t="str">
        <f>VLOOKUP(NoviaFunds[[#This Row],[ISIN]],'Novia Web Query'!$A:$E,2,FALSE)</f>
        <v>EdenTree Responsible and Sustainable Short Dated Bond B TR in GB</v>
      </c>
      <c r="C1187" t="str">
        <f>VLOOKUP(NoviaFunds[[#This Row],[ISIN]],'Novia Web Query'!$A:$E,3,FALSE)</f>
        <v>UT Sterling Corporate Bond</v>
      </c>
      <c r="D1187" s="139">
        <f>VLOOKUP(NoviaFunds[[#This Row],[ISIN]],'Novia Web Query'!$A:$E,4,FALSE)/100</f>
        <v>3.9000000000000003E-3</v>
      </c>
      <c r="E1187" s="3" t="str">
        <f>VLOOKUP(NoviaFunds[[#This Row],[ISIN]],'Novia Web Query'!$A:$E,5,FALSE)</f>
        <v>30/06/2021</v>
      </c>
      <c r="F1187" t="str">
        <f>VLOOKUP(NoviaFunds[[#This Row],[Sector]],Sectors[],2,FALSE)</f>
        <v>Sterling Corporate Bonds</v>
      </c>
    </row>
    <row r="1188" spans="1:6" x14ac:dyDescent="0.2">
      <c r="A1188" t="str">
        <f>'Novia Web Query'!A1187</f>
        <v>GB00B2PF8B06</v>
      </c>
      <c r="B1188" t="str">
        <f>VLOOKUP(NoviaFunds[[#This Row],[ISIN]],'Novia Web Query'!$A:$E,2,FALSE)</f>
        <v>EdenTree Responsible and Sustainable Sterling Bond A TR in GB</v>
      </c>
      <c r="C1188" t="str">
        <f>VLOOKUP(NoviaFunds[[#This Row],[ISIN]],'Novia Web Query'!$A:$E,3,FALSE)</f>
        <v>UT Sterling Strategic Bond</v>
      </c>
      <c r="D1188" s="139">
        <f>VLOOKUP(NoviaFunds[[#This Row],[ISIN]],'Novia Web Query'!$A:$E,4,FALSE)/100</f>
        <v>1.1899999999999999E-2</v>
      </c>
      <c r="E1188" s="3" t="str">
        <f>VLOOKUP(NoviaFunds[[#This Row],[ISIN]],'Novia Web Query'!$A:$E,5,FALSE)</f>
        <v>30/06/2021</v>
      </c>
      <c r="F1188" t="str">
        <f>VLOOKUP(NoviaFunds[[#This Row],[Sector]],Sectors[],2,FALSE)</f>
        <v>Other Bonds</v>
      </c>
    </row>
    <row r="1189" spans="1:6" x14ac:dyDescent="0.2">
      <c r="A1189" t="str">
        <f>'Novia Web Query'!A1188</f>
        <v>GB00B2PF8D20</v>
      </c>
      <c r="B1189" t="str">
        <f>VLOOKUP(NoviaFunds[[#This Row],[ISIN]],'Novia Web Query'!$A:$E,2,FALSE)</f>
        <v>EdenTree Responsible and Sustainable Sterling Bond B TR in GB</v>
      </c>
      <c r="C1189" t="str">
        <f>VLOOKUP(NoviaFunds[[#This Row],[ISIN]],'Novia Web Query'!$A:$E,3,FALSE)</f>
        <v>UT Sterling Strategic Bond</v>
      </c>
      <c r="D1189" s="139">
        <f>VLOOKUP(NoviaFunds[[#This Row],[ISIN]],'Novia Web Query'!$A:$E,4,FALSE)/100</f>
        <v>5.8999999999999999E-3</v>
      </c>
      <c r="E1189" s="3" t="str">
        <f>VLOOKUP(NoviaFunds[[#This Row],[ISIN]],'Novia Web Query'!$A:$E,5,FALSE)</f>
        <v>30/06/2021</v>
      </c>
      <c r="F1189" t="str">
        <f>VLOOKUP(NoviaFunds[[#This Row],[Sector]],Sectors[],2,FALSE)</f>
        <v>Other Bonds</v>
      </c>
    </row>
    <row r="1190" spans="1:6" x14ac:dyDescent="0.2">
      <c r="A1190" t="str">
        <f>'Novia Web Query'!A1189</f>
        <v>GB0009371310</v>
      </c>
      <c r="B1190" t="str">
        <f>VLOOKUP(NoviaFunds[[#This Row],[ISIN]],'Novia Web Query'!$A:$E,2,FALSE)</f>
        <v>EdenTree Responsible and Sustainable UK Equity A TR in GB</v>
      </c>
      <c r="C1190" t="str">
        <f>VLOOKUP(NoviaFunds[[#This Row],[ISIN]],'Novia Web Query'!$A:$E,3,FALSE)</f>
        <v>UT UK All Companies</v>
      </c>
      <c r="D1190" s="139">
        <f>VLOOKUP(NoviaFunds[[#This Row],[ISIN]],'Novia Web Query'!$A:$E,4,FALSE)/100</f>
        <v>1.34E-2</v>
      </c>
      <c r="E1190" s="3" t="str">
        <f>VLOOKUP(NoviaFunds[[#This Row],[ISIN]],'Novia Web Query'!$A:$E,5,FALSE)</f>
        <v>30/06/2021</v>
      </c>
      <c r="F1190" t="str">
        <f>VLOOKUP(NoviaFunds[[#This Row],[Sector]],Sectors[],2,FALSE)</f>
        <v>UK Equities</v>
      </c>
    </row>
    <row r="1191" spans="1:6" x14ac:dyDescent="0.2">
      <c r="A1191" t="str">
        <f>'Novia Web Query'!A1190</f>
        <v>GB0009371757</v>
      </c>
      <c r="B1191" t="str">
        <f>VLOOKUP(NoviaFunds[[#This Row],[ISIN]],'Novia Web Query'!$A:$E,2,FALSE)</f>
        <v>EdenTree Responsible and Sustainable UK Equity B TR in GB</v>
      </c>
      <c r="C1191" t="str">
        <f>VLOOKUP(NoviaFunds[[#This Row],[ISIN]],'Novia Web Query'!$A:$E,3,FALSE)</f>
        <v>UT UK All Companies</v>
      </c>
      <c r="D1191" s="139">
        <f>VLOOKUP(NoviaFunds[[#This Row],[ISIN]],'Novia Web Query'!$A:$E,4,FALSE)/100</f>
        <v>7.9000000000000008E-3</v>
      </c>
      <c r="E1191" s="3" t="str">
        <f>VLOOKUP(NoviaFunds[[#This Row],[ISIN]],'Novia Web Query'!$A:$E,5,FALSE)</f>
        <v>30/06/2021</v>
      </c>
      <c r="F1191" t="str">
        <f>VLOOKUP(NoviaFunds[[#This Row],[Sector]],Sectors[],2,FALSE)</f>
        <v>UK Equities</v>
      </c>
    </row>
    <row r="1192" spans="1:6" x14ac:dyDescent="0.2">
      <c r="A1192" t="str">
        <f>'Novia Web Query'!A1191</f>
        <v>GB0008445982</v>
      </c>
      <c r="B1192" t="str">
        <f>VLOOKUP(NoviaFunds[[#This Row],[ISIN]],'Novia Web Query'!$A:$E,2,FALSE)</f>
        <v>EdenTree Responsible and Sustainable UK Equity Opportunities A TR in GB</v>
      </c>
      <c r="C1192" t="str">
        <f>VLOOKUP(NoviaFunds[[#This Row],[ISIN]],'Novia Web Query'!$A:$E,3,FALSE)</f>
        <v>UT UK All Companies</v>
      </c>
      <c r="D1192" s="139">
        <f>VLOOKUP(NoviaFunds[[#This Row],[ISIN]],'Novia Web Query'!$A:$E,4,FALSE)/100</f>
        <v>1.3100000000000001E-2</v>
      </c>
      <c r="E1192" s="3" t="str">
        <f>VLOOKUP(NoviaFunds[[#This Row],[ISIN]],'Novia Web Query'!$A:$E,5,FALSE)</f>
        <v>30/06/2021</v>
      </c>
      <c r="F1192" t="str">
        <f>VLOOKUP(NoviaFunds[[#This Row],[Sector]],Sectors[],2,FALSE)</f>
        <v>UK Equities</v>
      </c>
    </row>
    <row r="1193" spans="1:6" x14ac:dyDescent="0.2">
      <c r="A1193" t="str">
        <f>'Novia Web Query'!A1192</f>
        <v>GB0008446063</v>
      </c>
      <c r="B1193" t="str">
        <f>VLOOKUP(NoviaFunds[[#This Row],[ISIN]],'Novia Web Query'!$A:$E,2,FALSE)</f>
        <v>EdenTree Responsible and Sustainable UK Equity Opportunities B TR in GB</v>
      </c>
      <c r="C1193" t="str">
        <f>VLOOKUP(NoviaFunds[[#This Row],[ISIN]],'Novia Web Query'!$A:$E,3,FALSE)</f>
        <v>UT UK All Companies</v>
      </c>
      <c r="D1193" s="139">
        <f>VLOOKUP(NoviaFunds[[#This Row],[ISIN]],'Novia Web Query'!$A:$E,4,FALSE)/100</f>
        <v>7.9000000000000008E-3</v>
      </c>
      <c r="E1193" s="3" t="str">
        <f>VLOOKUP(NoviaFunds[[#This Row],[ISIN]],'Novia Web Query'!$A:$E,5,FALSE)</f>
        <v>30/06/2021</v>
      </c>
      <c r="F1193" t="str">
        <f>VLOOKUP(NoviaFunds[[#This Row],[Sector]],Sectors[],2,FALSE)</f>
        <v>UK Equities</v>
      </c>
    </row>
    <row r="1194" spans="1:6" x14ac:dyDescent="0.2">
      <c r="A1194" t="str">
        <f>'Novia Web Query'!A1193</f>
        <v>GB00B9L57F01</v>
      </c>
      <c r="B1194" t="str">
        <f>VLOOKUP(NoviaFunds[[#This Row],[ISIN]],'Novia Web Query'!$A:$E,2,FALSE)</f>
        <v>EF 8AM Balanced A TR in GB</v>
      </c>
      <c r="C1194" t="str">
        <f>VLOOKUP(NoviaFunds[[#This Row],[ISIN]],'Novia Web Query'!$A:$E,3,FALSE)</f>
        <v>UT Mixed Investment 40-85% Shares</v>
      </c>
      <c r="D1194" s="139">
        <f>VLOOKUP(NoviaFunds[[#This Row],[ISIN]],'Novia Web Query'!$A:$E,4,FALSE)/100</f>
        <v>1.5700000000000002E-2</v>
      </c>
      <c r="E1194" s="3" t="str">
        <f>VLOOKUP(NoviaFunds[[#This Row],[ISIN]],'Novia Web Query'!$A:$E,5,FALSE)</f>
        <v>30/06/2021</v>
      </c>
      <c r="F1194" t="str">
        <f>VLOOKUP(NoviaFunds[[#This Row],[Sector]],Sectors[],2,FALSE)</f>
        <v>Mixed 40%-85%</v>
      </c>
    </row>
    <row r="1195" spans="1:6" x14ac:dyDescent="0.2">
      <c r="A1195" t="str">
        <f>'Novia Web Query'!A1194</f>
        <v>GB00BN6Q7563</v>
      </c>
      <c r="B1195" t="str">
        <f>VLOOKUP(NoviaFunds[[#This Row],[ISIN]],'Novia Web Query'!$A:$E,2,FALSE)</f>
        <v>EF 8AM Balanced B Inc TR in GB</v>
      </c>
      <c r="C1195" t="str">
        <f>VLOOKUP(NoviaFunds[[#This Row],[ISIN]],'Novia Web Query'!$A:$E,3,FALSE)</f>
        <v>UT Mixed Investment 40-85% Shares</v>
      </c>
      <c r="D1195" s="139">
        <f>VLOOKUP(NoviaFunds[[#This Row],[ISIN]],'Novia Web Query'!$A:$E,4,FALSE)/100</f>
        <v>8.199999999999999E-3</v>
      </c>
      <c r="E1195" s="3" t="str">
        <f>VLOOKUP(NoviaFunds[[#This Row],[ISIN]],'Novia Web Query'!$A:$E,5,FALSE)</f>
        <v>30/06/2021</v>
      </c>
      <c r="F1195" t="str">
        <f>VLOOKUP(NoviaFunds[[#This Row],[Sector]],Sectors[],2,FALSE)</f>
        <v>Mixed 40%-85%</v>
      </c>
    </row>
    <row r="1196" spans="1:6" x14ac:dyDescent="0.2">
      <c r="A1196" t="str">
        <f>'Novia Web Query'!A1195</f>
        <v>GB00B9J92G01</v>
      </c>
      <c r="B1196" t="str">
        <f>VLOOKUP(NoviaFunds[[#This Row],[ISIN]],'Novia Web Query'!$A:$E,2,FALSE)</f>
        <v>EF 8AM Cautious A TR in GB</v>
      </c>
      <c r="C1196" t="str">
        <f>VLOOKUP(NoviaFunds[[#This Row],[ISIN]],'Novia Web Query'!$A:$E,3,FALSE)</f>
        <v>UT Mixed Investment 20-60% Shares</v>
      </c>
      <c r="D1196" s="139">
        <f>VLOOKUP(NoviaFunds[[#This Row],[ISIN]],'Novia Web Query'!$A:$E,4,FALSE)/100</f>
        <v>1.61E-2</v>
      </c>
      <c r="E1196" s="3" t="str">
        <f>VLOOKUP(NoviaFunds[[#This Row],[ISIN]],'Novia Web Query'!$A:$E,5,FALSE)</f>
        <v>30/06/2021</v>
      </c>
      <c r="F1196" t="str">
        <f>VLOOKUP(NoviaFunds[[#This Row],[Sector]],Sectors[],2,FALSE)</f>
        <v>Mixed 20%-60%</v>
      </c>
    </row>
    <row r="1197" spans="1:6" x14ac:dyDescent="0.2">
      <c r="A1197" t="str">
        <f>'Novia Web Query'!A1196</f>
        <v>GB00BN6Q7456</v>
      </c>
      <c r="B1197" t="str">
        <f>VLOOKUP(NoviaFunds[[#This Row],[ISIN]],'Novia Web Query'!$A:$E,2,FALSE)</f>
        <v>EF 8AM Cautious B Inc TR in GB</v>
      </c>
      <c r="C1197" t="str">
        <f>VLOOKUP(NoviaFunds[[#This Row],[ISIN]],'Novia Web Query'!$A:$E,3,FALSE)</f>
        <v>UT Mixed Investment 20-60% Shares</v>
      </c>
      <c r="D1197" s="139">
        <f>VLOOKUP(NoviaFunds[[#This Row],[ISIN]],'Novia Web Query'!$A:$E,4,FALSE)/100</f>
        <v>8.6E-3</v>
      </c>
      <c r="E1197" s="3" t="str">
        <f>VLOOKUP(NoviaFunds[[#This Row],[ISIN]],'Novia Web Query'!$A:$E,5,FALSE)</f>
        <v>30/06/2021</v>
      </c>
      <c r="F1197" t="str">
        <f>VLOOKUP(NoviaFunds[[#This Row],[Sector]],Sectors[],2,FALSE)</f>
        <v>Mixed 20%-60%</v>
      </c>
    </row>
    <row r="1198" spans="1:6" x14ac:dyDescent="0.2">
      <c r="A1198" t="str">
        <f>'Novia Web Query'!A1197</f>
        <v>GB00B9L4T627</v>
      </c>
      <c r="B1198" t="str">
        <f>VLOOKUP(NoviaFunds[[#This Row],[ISIN]],'Novia Web Query'!$A:$E,2,FALSE)</f>
        <v>EF 8AM Focussed A in GB</v>
      </c>
      <c r="C1198" t="str">
        <f>VLOOKUP(NoviaFunds[[#This Row],[ISIN]],'Novia Web Query'!$A:$E,3,FALSE)</f>
        <v>UT Flexible Investment</v>
      </c>
      <c r="D1198" s="139">
        <f>VLOOKUP(NoviaFunds[[#This Row],[ISIN]],'Novia Web Query'!$A:$E,4,FALSE)/100</f>
        <v>1.5900000000000001E-2</v>
      </c>
      <c r="E1198" s="3" t="str">
        <f>VLOOKUP(NoviaFunds[[#This Row],[ISIN]],'Novia Web Query'!$A:$E,5,FALSE)</f>
        <v>30/06/2021</v>
      </c>
      <c r="F1198" t="str">
        <f>VLOOKUP(NoviaFunds[[#This Row],[Sector]],Sectors[],2,FALSE)</f>
        <v>Flexible</v>
      </c>
    </row>
    <row r="1199" spans="1:6" x14ac:dyDescent="0.2">
      <c r="A1199" t="str">
        <f>'Novia Web Query'!A1198</f>
        <v>GB00B9MCC993</v>
      </c>
      <c r="B1199" t="str">
        <f>VLOOKUP(NoviaFunds[[#This Row],[ISIN]],'Novia Web Query'!$A:$E,2,FALSE)</f>
        <v>EF 8AM Focussed B in GB</v>
      </c>
      <c r="C1199" t="str">
        <f>VLOOKUP(NoviaFunds[[#This Row],[ISIN]],'Novia Web Query'!$A:$E,3,FALSE)</f>
        <v>UT Flexible Investment</v>
      </c>
      <c r="D1199" s="139">
        <f>VLOOKUP(NoviaFunds[[#This Row],[ISIN]],'Novia Web Query'!$A:$E,4,FALSE)/100</f>
        <v>1.5900000000000001E-2</v>
      </c>
      <c r="E1199" s="3" t="str">
        <f>VLOOKUP(NoviaFunds[[#This Row],[ISIN]],'Novia Web Query'!$A:$E,5,FALSE)</f>
        <v>30/06/2021</v>
      </c>
      <c r="F1199" t="str">
        <f>VLOOKUP(NoviaFunds[[#This Row],[Sector]],Sectors[],2,FALSE)</f>
        <v>Flexible</v>
      </c>
    </row>
    <row r="1200" spans="1:6" x14ac:dyDescent="0.2">
      <c r="A1200" t="str">
        <f>'Novia Web Query'!A1199</f>
        <v>GB00B9L5BC50</v>
      </c>
      <c r="B1200" t="str">
        <f>VLOOKUP(NoviaFunds[[#This Row],[ISIN]],'Novia Web Query'!$A:$E,2,FALSE)</f>
        <v>EF 8AM Growth A TR in GB</v>
      </c>
      <c r="C1200" t="str">
        <f>VLOOKUP(NoviaFunds[[#This Row],[ISIN]],'Novia Web Query'!$A:$E,3,FALSE)</f>
        <v>UT Mixed Investment 40-85% Shares</v>
      </c>
      <c r="D1200" s="139">
        <f>VLOOKUP(NoviaFunds[[#This Row],[ISIN]],'Novia Web Query'!$A:$E,4,FALSE)/100</f>
        <v>1.8100000000000002E-2</v>
      </c>
      <c r="E1200" s="3" t="str">
        <f>VLOOKUP(NoviaFunds[[#This Row],[ISIN]],'Novia Web Query'!$A:$E,5,FALSE)</f>
        <v>30/06/2021</v>
      </c>
      <c r="F1200" t="str">
        <f>VLOOKUP(NoviaFunds[[#This Row],[Sector]],Sectors[],2,FALSE)</f>
        <v>Mixed 40%-85%</v>
      </c>
    </row>
    <row r="1201" spans="1:6" x14ac:dyDescent="0.2">
      <c r="A1201" t="str">
        <f>'Novia Web Query'!A1200</f>
        <v>GB00BN6Q7670</v>
      </c>
      <c r="B1201" t="str">
        <f>VLOOKUP(NoviaFunds[[#This Row],[ISIN]],'Novia Web Query'!$A:$E,2,FALSE)</f>
        <v>EF 8AM Growth B Inc TR in GB</v>
      </c>
      <c r="C1201" t="str">
        <f>VLOOKUP(NoviaFunds[[#This Row],[ISIN]],'Novia Web Query'!$A:$E,3,FALSE)</f>
        <v>UT Mixed Investment 40-85% Shares</v>
      </c>
      <c r="D1201" s="139">
        <f>VLOOKUP(NoviaFunds[[#This Row],[ISIN]],'Novia Web Query'!$A:$E,4,FALSE)/100</f>
        <v>1.11E-2</v>
      </c>
      <c r="E1201" s="3" t="str">
        <f>VLOOKUP(NoviaFunds[[#This Row],[ISIN]],'Novia Web Query'!$A:$E,5,FALSE)</f>
        <v>30/06/2021</v>
      </c>
      <c r="F1201" t="str">
        <f>VLOOKUP(NoviaFunds[[#This Row],[Sector]],Sectors[],2,FALSE)</f>
        <v>Mixed 40%-85%</v>
      </c>
    </row>
    <row r="1202" spans="1:6" x14ac:dyDescent="0.2">
      <c r="A1202" t="str">
        <f>'Novia Web Query'!A1201</f>
        <v>GB00B9C65S15</v>
      </c>
      <c r="B1202" t="str">
        <f>VLOOKUP(NoviaFunds[[#This Row],[ISIN]],'Novia Web Query'!$A:$E,2,FALSE)</f>
        <v>EF 8AM Tactical Growth Portfolio A Inc TR in GB</v>
      </c>
      <c r="C1202" t="str">
        <f>VLOOKUP(NoviaFunds[[#This Row],[ISIN]],'Novia Web Query'!$A:$E,3,FALSE)</f>
        <v>UT Flexible Investment</v>
      </c>
      <c r="D1202" s="139">
        <f>VLOOKUP(NoviaFunds[[#This Row],[ISIN]],'Novia Web Query'!$A:$E,4,FALSE)/100</f>
        <v>1.5900000000000001E-2</v>
      </c>
      <c r="E1202" s="3" t="str">
        <f>VLOOKUP(NoviaFunds[[#This Row],[ISIN]],'Novia Web Query'!$A:$E,5,FALSE)</f>
        <v>30/06/2021</v>
      </c>
      <c r="F1202" t="str">
        <f>VLOOKUP(NoviaFunds[[#This Row],[Sector]],Sectors[],2,FALSE)</f>
        <v>Flexible</v>
      </c>
    </row>
    <row r="1203" spans="1:6" x14ac:dyDescent="0.2">
      <c r="A1203" t="str">
        <f>'Novia Web Query'!A1202</f>
        <v>GB00B3KQYZ10</v>
      </c>
      <c r="B1203" t="str">
        <f>VLOOKUP(NoviaFunds[[#This Row],[ISIN]],'Novia Web Query'!$A:$E,2,FALSE)</f>
        <v>EF 8AM Tactical Growth Portfolio Inst Inc TR in GB</v>
      </c>
      <c r="C1203" t="str">
        <f>VLOOKUP(NoviaFunds[[#This Row],[ISIN]],'Novia Web Query'!$A:$E,3,FALSE)</f>
        <v>UT Flexible Investment</v>
      </c>
      <c r="D1203" s="139">
        <f>VLOOKUP(NoviaFunds[[#This Row],[ISIN]],'Novia Web Query'!$A:$E,4,FALSE)/100</f>
        <v>1.84E-2</v>
      </c>
      <c r="E1203" s="3" t="str">
        <f>VLOOKUP(NoviaFunds[[#This Row],[ISIN]],'Novia Web Query'!$A:$E,5,FALSE)</f>
        <v>30/06/2021</v>
      </c>
      <c r="F1203" t="str">
        <f>VLOOKUP(NoviaFunds[[#This Row],[Sector]],Sectors[],2,FALSE)</f>
        <v>Flexible</v>
      </c>
    </row>
    <row r="1204" spans="1:6" x14ac:dyDescent="0.2">
      <c r="A1204" t="str">
        <f>'Novia Web Query'!A1203</f>
        <v>GB00B3KQYX95</v>
      </c>
      <c r="B1204" t="str">
        <f>VLOOKUP(NoviaFunds[[#This Row],[ISIN]],'Novia Web Query'!$A:$E,2,FALSE)</f>
        <v>EF 8AM Tactical Growth Portfolio Ret Inc TR in GB</v>
      </c>
      <c r="C1204" t="str">
        <f>VLOOKUP(NoviaFunds[[#This Row],[ISIN]],'Novia Web Query'!$A:$E,3,FALSE)</f>
        <v>UT Flexible Investment</v>
      </c>
      <c r="D1204" s="139">
        <f>VLOOKUP(NoviaFunds[[#This Row],[ISIN]],'Novia Web Query'!$A:$E,4,FALSE)/100</f>
        <v>2.3399999999999997E-2</v>
      </c>
      <c r="E1204" s="3" t="str">
        <f>VLOOKUP(NoviaFunds[[#This Row],[ISIN]],'Novia Web Query'!$A:$E,5,FALSE)</f>
        <v>30/06/2021</v>
      </c>
      <c r="F1204" t="str">
        <f>VLOOKUP(NoviaFunds[[#This Row],[Sector]],Sectors[],2,FALSE)</f>
        <v>Flexible</v>
      </c>
    </row>
    <row r="1205" spans="1:6" x14ac:dyDescent="0.2">
      <c r="A1205" t="str">
        <f>'Novia Web Query'!A1204</f>
        <v>GB00B16ZKG13</v>
      </c>
      <c r="B1205" t="str">
        <f>VLOOKUP(NoviaFunds[[#This Row],[ISIN]],'Novia Web Query'!$A:$E,2,FALSE)</f>
        <v>EF Brunswick Diversified Portfolio B Acc in GB</v>
      </c>
      <c r="C1205" t="str">
        <f>VLOOKUP(NoviaFunds[[#This Row],[ISIN]],'Novia Web Query'!$A:$E,3,FALSE)</f>
        <v>UT Mixed Investment 20-60% Shares</v>
      </c>
      <c r="D1205" s="139">
        <f>VLOOKUP(NoviaFunds[[#This Row],[ISIN]],'Novia Web Query'!$A:$E,4,FALSE)/100</f>
        <v>1.6E-2</v>
      </c>
      <c r="E1205" s="3" t="str">
        <f>VLOOKUP(NoviaFunds[[#This Row],[ISIN]],'Novia Web Query'!$A:$E,5,FALSE)</f>
        <v>30/04/2021</v>
      </c>
      <c r="F1205" t="str">
        <f>VLOOKUP(NoviaFunds[[#This Row],[Sector]],Sectors[],2,FALSE)</f>
        <v>Mixed 20%-60%</v>
      </c>
    </row>
    <row r="1206" spans="1:6" x14ac:dyDescent="0.2">
      <c r="A1206" t="str">
        <f>'Novia Web Query'!A1205</f>
        <v>GB00B3MFZ081</v>
      </c>
      <c r="B1206" t="str">
        <f>VLOOKUP(NoviaFunds[[#This Row],[ISIN]],'Novia Web Query'!$A:$E,2,FALSE)</f>
        <v>EF Brunswick Growth Portfolio B Acc in GB</v>
      </c>
      <c r="C1206" t="str">
        <f>VLOOKUP(NoviaFunds[[#This Row],[ISIN]],'Novia Web Query'!$A:$E,3,FALSE)</f>
        <v>UT Flexible Investment</v>
      </c>
      <c r="D1206" s="139">
        <f>VLOOKUP(NoviaFunds[[#This Row],[ISIN]],'Novia Web Query'!$A:$E,4,FALSE)/100</f>
        <v>1.9099999999999999E-2</v>
      </c>
      <c r="E1206" s="3" t="str">
        <f>VLOOKUP(NoviaFunds[[#This Row],[ISIN]],'Novia Web Query'!$A:$E,5,FALSE)</f>
        <v>30/04/2021</v>
      </c>
      <c r="F1206" t="str">
        <f>VLOOKUP(NoviaFunds[[#This Row],[Sector]],Sectors[],2,FALSE)</f>
        <v>Flexible</v>
      </c>
    </row>
    <row r="1207" spans="1:6" x14ac:dyDescent="0.2">
      <c r="A1207" t="str">
        <f>'Novia Web Query'!A1206</f>
        <v>GB00BV0LRZ32</v>
      </c>
      <c r="B1207" t="str">
        <f>VLOOKUP(NoviaFunds[[#This Row],[ISIN]],'Novia Web Query'!$A:$E,2,FALSE)</f>
        <v>EF WM Global Corporate Autonomies I Acc in GB</v>
      </c>
      <c r="C1207" t="str">
        <f>VLOOKUP(NoviaFunds[[#This Row],[ISIN]],'Novia Web Query'!$A:$E,3,FALSE)</f>
        <v>UT Global</v>
      </c>
      <c r="D1207" s="139">
        <f>VLOOKUP(NoviaFunds[[#This Row],[ISIN]],'Novia Web Query'!$A:$E,4,FALSE)/100</f>
        <v>1.0200000000000001E-2</v>
      </c>
      <c r="E1207" s="3" t="str">
        <f>VLOOKUP(NoviaFunds[[#This Row],[ISIN]],'Novia Web Query'!$A:$E,5,FALSE)</f>
        <v>30/06/2021</v>
      </c>
      <c r="F1207" t="str">
        <f>VLOOKUP(NoviaFunds[[#This Row],[Sector]],Sectors[],2,FALSE)</f>
        <v>Other Equities</v>
      </c>
    </row>
    <row r="1208" spans="1:6" x14ac:dyDescent="0.2">
      <c r="A1208" t="str">
        <f>'Novia Web Query'!A1207</f>
        <v>GB00BV0LRY25</v>
      </c>
      <c r="B1208" t="str">
        <f>VLOOKUP(NoviaFunds[[#This Row],[ISIN]],'Novia Web Query'!$A:$E,2,FALSE)</f>
        <v>EF WM Global Corporate Autonomies I Inc TR in GB</v>
      </c>
      <c r="C1208" t="str">
        <f>VLOOKUP(NoviaFunds[[#This Row],[ISIN]],'Novia Web Query'!$A:$E,3,FALSE)</f>
        <v>UT Global</v>
      </c>
      <c r="D1208" s="139">
        <f>VLOOKUP(NoviaFunds[[#This Row],[ISIN]],'Novia Web Query'!$A:$E,4,FALSE)/100</f>
        <v>1.0200000000000001E-2</v>
      </c>
      <c r="E1208" s="3" t="str">
        <f>VLOOKUP(NoviaFunds[[#This Row],[ISIN]],'Novia Web Query'!$A:$E,5,FALSE)</f>
        <v>30/06/2021</v>
      </c>
      <c r="F1208" t="str">
        <f>VLOOKUP(NoviaFunds[[#This Row],[Sector]],Sectors[],2,FALSE)</f>
        <v>Other Equities</v>
      </c>
    </row>
    <row r="1209" spans="1:6" x14ac:dyDescent="0.2">
      <c r="A1209" t="str">
        <f>'Novia Web Query'!A1208</f>
        <v>GB00B5B7DY91</v>
      </c>
      <c r="B1209" t="str">
        <f>VLOOKUP(NoviaFunds[[#This Row],[ISIN]],'Novia Web Query'!$A:$E,2,FALSE)</f>
        <v>EF WM Global Trend B Acc in GB</v>
      </c>
      <c r="C1209" t="str">
        <f>VLOOKUP(NoviaFunds[[#This Row],[ISIN]],'Novia Web Query'!$A:$E,3,FALSE)</f>
        <v>UT Specialist</v>
      </c>
      <c r="D1209" s="139">
        <f>VLOOKUP(NoviaFunds[[#This Row],[ISIN]],'Novia Web Query'!$A:$E,4,FALSE)/100</f>
        <v>1.54E-2</v>
      </c>
      <c r="E1209" s="3" t="str">
        <f>VLOOKUP(NoviaFunds[[#This Row],[ISIN]],'Novia Web Query'!$A:$E,5,FALSE)</f>
        <v>31/05/2021</v>
      </c>
      <c r="F1209" t="str">
        <f>VLOOKUP(NoviaFunds[[#This Row],[Sector]],Sectors[],2,FALSE)</f>
        <v>Specialist</v>
      </c>
    </row>
    <row r="1210" spans="1:6" x14ac:dyDescent="0.2">
      <c r="A1210" t="str">
        <f>'Novia Web Query'!A1209</f>
        <v>GB00B4Q67424</v>
      </c>
      <c r="B1210" t="str">
        <f>VLOOKUP(NoviaFunds[[#This Row],[ISIN]],'Novia Web Query'!$A:$E,2,FALSE)</f>
        <v>EF WM Global Trend B Inc TR in GB</v>
      </c>
      <c r="C1210" t="str">
        <f>VLOOKUP(NoviaFunds[[#This Row],[ISIN]],'Novia Web Query'!$A:$E,3,FALSE)</f>
        <v>UT Specialist</v>
      </c>
      <c r="D1210" s="139">
        <f>VLOOKUP(NoviaFunds[[#This Row],[ISIN]],'Novia Web Query'!$A:$E,4,FALSE)/100</f>
        <v>1.54E-2</v>
      </c>
      <c r="E1210" s="3" t="str">
        <f>VLOOKUP(NoviaFunds[[#This Row],[ISIN]],'Novia Web Query'!$A:$E,5,FALSE)</f>
        <v>31/05/2021</v>
      </c>
      <c r="F1210" t="str">
        <f>VLOOKUP(NoviaFunds[[#This Row],[Sector]],Sectors[],2,FALSE)</f>
        <v>Specialist</v>
      </c>
    </row>
    <row r="1211" spans="1:6" x14ac:dyDescent="0.2">
      <c r="A1211" t="str">
        <f>'Novia Web Query'!A1210</f>
        <v>GB00BCZYGC41</v>
      </c>
      <c r="B1211" t="str">
        <f>VLOOKUP(NoviaFunds[[#This Row],[ISIN]],'Novia Web Query'!$A:$E,2,FALSE)</f>
        <v>Elite Verus Sustainable Balanced B Acc in GB**</v>
      </c>
      <c r="C1211" t="str">
        <f>VLOOKUP(NoviaFunds[[#This Row],[ISIN]],'Novia Web Query'!$A:$E,3,FALSE)</f>
        <v>UT Mixed Investment 40-85% Shares</v>
      </c>
      <c r="D1211" s="139">
        <f>VLOOKUP(NoviaFunds[[#This Row],[ISIN]],'Novia Web Query'!$A:$E,4,FALSE)/100</f>
        <v>1.1000000000000001E-2</v>
      </c>
      <c r="E1211" s="3" t="str">
        <f>VLOOKUP(NoviaFunds[[#This Row],[ISIN]],'Novia Web Query'!$A:$E,5,FALSE)</f>
        <v>30/09/2021</v>
      </c>
      <c r="F1211" t="str">
        <f>VLOOKUP(NoviaFunds[[#This Row],[Sector]],Sectors[],2,FALSE)</f>
        <v>Mixed 40%-85%</v>
      </c>
    </row>
    <row r="1212" spans="1:6" x14ac:dyDescent="0.2">
      <c r="A1212" t="str">
        <f>'Novia Web Query'!A1211</f>
        <v>GB00BCW3LB80</v>
      </c>
      <c r="B1212" t="str">
        <f>VLOOKUP(NoviaFunds[[#This Row],[ISIN]],'Novia Web Query'!$A:$E,2,FALSE)</f>
        <v>Elite Verus Sustainable Balanced B Inc TR in GB</v>
      </c>
      <c r="C1212" t="str">
        <f>VLOOKUP(NoviaFunds[[#This Row],[ISIN]],'Novia Web Query'!$A:$E,3,FALSE)</f>
        <v>UT Mixed Investment 40-85% Shares</v>
      </c>
      <c r="D1212" s="139">
        <f>VLOOKUP(NoviaFunds[[#This Row],[ISIN]],'Novia Web Query'!$A:$E,4,FALSE)/100</f>
        <v>1.1000000000000001E-2</v>
      </c>
      <c r="E1212" s="3" t="str">
        <f>VLOOKUP(NoviaFunds[[#This Row],[ISIN]],'Novia Web Query'!$A:$E,5,FALSE)</f>
        <v>30/09/2021</v>
      </c>
      <c r="F1212" t="str">
        <f>VLOOKUP(NoviaFunds[[#This Row],[Sector]],Sectors[],2,FALSE)</f>
        <v>Mixed 40%-85%</v>
      </c>
    </row>
    <row r="1213" spans="1:6" x14ac:dyDescent="0.2">
      <c r="A1213" t="str">
        <f>'Novia Web Query'!A1212</f>
        <v>GB00BDD1KW29</v>
      </c>
      <c r="B1213" t="str">
        <f>VLOOKUP(NoviaFunds[[#This Row],[ISIN]],'Novia Web Query'!$A:$E,2,FALSE)</f>
        <v>Equitile Resilience Feeder A Acc GBP in GB</v>
      </c>
      <c r="C1213" t="str">
        <f>VLOOKUP(NoviaFunds[[#This Row],[ISIN]],'Novia Web Query'!$A:$E,3,FALSE)</f>
        <v>UT Global</v>
      </c>
      <c r="D1213" s="139">
        <f>VLOOKUP(NoviaFunds[[#This Row],[ISIN]],'Novia Web Query'!$A:$E,4,FALSE)/100</f>
        <v>9.8999999999999991E-3</v>
      </c>
      <c r="E1213" s="3" t="str">
        <f>VLOOKUP(NoviaFunds[[#This Row],[ISIN]],'Novia Web Query'!$A:$E,5,FALSE)</f>
        <v>31/12/2020</v>
      </c>
      <c r="F1213" t="str">
        <f>VLOOKUP(NoviaFunds[[#This Row],[Sector]],Sectors[],2,FALSE)</f>
        <v>Other Equities</v>
      </c>
    </row>
    <row r="1214" spans="1:6" x14ac:dyDescent="0.2">
      <c r="A1214" t="str">
        <f>'Novia Web Query'!A1213</f>
        <v>GB00BJMHLL91</v>
      </c>
      <c r="B1214" t="str">
        <f>VLOOKUP(NoviaFunds[[#This Row],[ISIN]],'Novia Web Query'!$A:$E,2,FALSE)</f>
        <v>ES AllianceBernstein Europe (ex UK) Equity F Inc GBP TR in GB</v>
      </c>
      <c r="C1214" t="str">
        <f>VLOOKUP(NoviaFunds[[#This Row],[ISIN]],'Novia Web Query'!$A:$E,3,FALSE)</f>
        <v>UT Europe Excluding UK</v>
      </c>
      <c r="D1214" s="139">
        <f>VLOOKUP(NoviaFunds[[#This Row],[ISIN]],'Novia Web Query'!$A:$E,4,FALSE)/100</f>
        <v>4.5000000000000005E-3</v>
      </c>
      <c r="E1214" s="3" t="str">
        <f>VLOOKUP(NoviaFunds[[#This Row],[ISIN]],'Novia Web Query'!$A:$E,5,FALSE)</f>
        <v>07/06/2021</v>
      </c>
      <c r="F1214" t="str">
        <f>VLOOKUP(NoviaFunds[[#This Row],[Sector]],Sectors[],2,FALSE)</f>
        <v>European Equities</v>
      </c>
    </row>
    <row r="1215" spans="1:6" x14ac:dyDescent="0.2">
      <c r="A1215" t="str">
        <f>'Novia Web Query'!A1214</f>
        <v>GB00BJMHLH55</v>
      </c>
      <c r="B1215" t="str">
        <f>VLOOKUP(NoviaFunds[[#This Row],[ISIN]],'Novia Web Query'!$A:$E,2,FALSE)</f>
        <v>ES AllianceBernstein Europe (ex UK) Equity I Inc GBP TR in GB</v>
      </c>
      <c r="C1215" t="str">
        <f>VLOOKUP(NoviaFunds[[#This Row],[ISIN]],'Novia Web Query'!$A:$E,3,FALSE)</f>
        <v>UT Europe Excluding UK</v>
      </c>
      <c r="D1215" s="139">
        <f>VLOOKUP(NoviaFunds[[#This Row],[ISIN]],'Novia Web Query'!$A:$E,4,FALSE)/100</f>
        <v>8.0000000000000002E-3</v>
      </c>
      <c r="E1215" s="3" t="str">
        <f>VLOOKUP(NoviaFunds[[#This Row],[ISIN]],'Novia Web Query'!$A:$E,5,FALSE)</f>
        <v>07/06/2021</v>
      </c>
      <c r="F1215" t="str">
        <f>VLOOKUP(NoviaFunds[[#This Row],[Sector]],Sectors[],2,FALSE)</f>
        <v>European Equities</v>
      </c>
    </row>
    <row r="1216" spans="1:6" x14ac:dyDescent="0.2">
      <c r="A1216" t="str">
        <f>'Novia Web Query'!A1215</f>
        <v>GB00BL641B08</v>
      </c>
      <c r="B1216" t="str">
        <f>VLOOKUP(NoviaFunds[[#This Row],[ISIN]],'Novia Web Query'!$A:$E,2,FALSE)</f>
        <v>ES AllianceBernstein Sustainable US Equity E Acc in GB**</v>
      </c>
      <c r="C1216" t="str">
        <f>VLOOKUP(NoviaFunds[[#This Row],[ISIN]],'Novia Web Query'!$A:$E,3,FALSE)</f>
        <v>UT North America</v>
      </c>
      <c r="D1216" s="139">
        <f>VLOOKUP(NoviaFunds[[#This Row],[ISIN]],'Novia Web Query'!$A:$E,4,FALSE)/100</f>
        <v>5.5000000000000005E-3</v>
      </c>
      <c r="E1216" s="3" t="str">
        <f>VLOOKUP(NoviaFunds[[#This Row],[ISIN]],'Novia Web Query'!$A:$E,5,FALSE)</f>
        <v>07/06/2021</v>
      </c>
      <c r="F1216" t="str">
        <f>VLOOKUP(NoviaFunds[[#This Row],[Sector]],Sectors[],2,FALSE)</f>
        <v>USA Equities</v>
      </c>
    </row>
    <row r="1217" spans="1:6" x14ac:dyDescent="0.2">
      <c r="A1217" t="str">
        <f>'Novia Web Query'!A1216</f>
        <v>GB00BL641986</v>
      </c>
      <c r="B1217" t="str">
        <f>VLOOKUP(NoviaFunds[[#This Row],[ISIN]],'Novia Web Query'!$A:$E,2,FALSE)</f>
        <v>ES AllianceBernstein Sustainable US Equity E Inc in GB**</v>
      </c>
      <c r="C1217" t="str">
        <f>VLOOKUP(NoviaFunds[[#This Row],[ISIN]],'Novia Web Query'!$A:$E,3,FALSE)</f>
        <v>UT North America</v>
      </c>
      <c r="D1217" s="139">
        <f>VLOOKUP(NoviaFunds[[#This Row],[ISIN]],'Novia Web Query'!$A:$E,4,FALSE)/100</f>
        <v>5.5000000000000005E-3</v>
      </c>
      <c r="E1217" s="3" t="str">
        <f>VLOOKUP(NoviaFunds[[#This Row],[ISIN]],'Novia Web Query'!$A:$E,5,FALSE)</f>
        <v>07/06/2021</v>
      </c>
      <c r="F1217" t="str">
        <f>VLOOKUP(NoviaFunds[[#This Row],[Sector]],Sectors[],2,FALSE)</f>
        <v>USA Equities</v>
      </c>
    </row>
    <row r="1218" spans="1:6" x14ac:dyDescent="0.2">
      <c r="A1218" t="str">
        <f>'Novia Web Query'!A1217</f>
        <v>GB00BL4SFB26</v>
      </c>
      <c r="B1218" t="str">
        <f>VLOOKUP(NoviaFunds[[#This Row],[ISIN]],'Novia Web Query'!$A:$E,2,FALSE)</f>
        <v>ES AllianceBernstein Sustainable US Equity I Acc in GB</v>
      </c>
      <c r="C1218" t="str">
        <f>VLOOKUP(NoviaFunds[[#This Row],[ISIN]],'Novia Web Query'!$A:$E,3,FALSE)</f>
        <v>UT North America</v>
      </c>
      <c r="D1218" s="139">
        <f>VLOOKUP(NoviaFunds[[#This Row],[ISIN]],'Novia Web Query'!$A:$E,4,FALSE)/100</f>
        <v>8.0000000000000002E-3</v>
      </c>
      <c r="E1218" s="3" t="str">
        <f>VLOOKUP(NoviaFunds[[#This Row],[ISIN]],'Novia Web Query'!$A:$E,5,FALSE)</f>
        <v>05/03/2020</v>
      </c>
      <c r="F1218" t="str">
        <f>VLOOKUP(NoviaFunds[[#This Row],[Sector]],Sectors[],2,FALSE)</f>
        <v>USA Equities</v>
      </c>
    </row>
    <row r="1219" spans="1:6" x14ac:dyDescent="0.2">
      <c r="A1219" t="str">
        <f>'Novia Web Query'!A1218</f>
        <v>GB00BNGMZG14</v>
      </c>
      <c r="B1219" t="str">
        <f>VLOOKUP(NoviaFunds[[#This Row],[ISIN]],'Novia Web Query'!$A:$E,2,FALSE)</f>
        <v>ES Baker Steel Gold &amp; Precious Metals B in GB**</v>
      </c>
      <c r="C1219" t="str">
        <f>VLOOKUP(NoviaFunds[[#This Row],[ISIN]],'Novia Web Query'!$A:$E,3,FALSE)</f>
        <v>UT Specialist</v>
      </c>
      <c r="D1219" s="139">
        <f>VLOOKUP(NoviaFunds[[#This Row],[ISIN]],'Novia Web Query'!$A:$E,4,FALSE)/100</f>
        <v>3.1200000000000002E-2</v>
      </c>
      <c r="E1219" s="3" t="str">
        <f>VLOOKUP(NoviaFunds[[#This Row],[ISIN]],'Novia Web Query'!$A:$E,5,FALSE)</f>
        <v>16/02/2021</v>
      </c>
      <c r="F1219" t="str">
        <f>VLOOKUP(NoviaFunds[[#This Row],[Sector]],Sectors[],2,FALSE)</f>
        <v>Specialist</v>
      </c>
    </row>
    <row r="1220" spans="1:6" x14ac:dyDescent="0.2">
      <c r="A1220" t="str">
        <f>'Novia Web Query'!A1219</f>
        <v>GB00BLZH7L20</v>
      </c>
      <c r="B1220" t="str">
        <f>VLOOKUP(NoviaFunds[[#This Row],[ISIN]],'Novia Web Query'!$A:$E,2,FALSE)</f>
        <v>ES R&amp;M Dynamic Asset Allocation B Acc in GB</v>
      </c>
      <c r="C1220" t="str">
        <f>VLOOKUP(NoviaFunds[[#This Row],[ISIN]],'Novia Web Query'!$A:$E,3,FALSE)</f>
        <v>UT Flexible Investment</v>
      </c>
      <c r="D1220" s="139">
        <f>VLOOKUP(NoviaFunds[[#This Row],[ISIN]],'Novia Web Query'!$A:$E,4,FALSE)/100</f>
        <v>7.1999999999999998E-3</v>
      </c>
      <c r="E1220" s="3" t="str">
        <f>VLOOKUP(NoviaFunds[[#This Row],[ISIN]],'Novia Web Query'!$A:$E,5,FALSE)</f>
        <v>12/07/2021</v>
      </c>
      <c r="F1220" t="str">
        <f>VLOOKUP(NoviaFunds[[#This Row],[Sector]],Sectors[],2,FALSE)</f>
        <v>Flexible</v>
      </c>
    </row>
    <row r="1221" spans="1:6" x14ac:dyDescent="0.2">
      <c r="A1221" t="str">
        <f>'Novia Web Query'!A1220</f>
        <v>GB00B9428D30</v>
      </c>
      <c r="B1221" t="str">
        <f>VLOOKUP(NoviaFunds[[#This Row],[ISIN]],'Novia Web Query'!$A:$E,2,FALSE)</f>
        <v>ES R&amp;M Global Recovery B Inc TR in GB</v>
      </c>
      <c r="C1221" t="str">
        <f>VLOOKUP(NoviaFunds[[#This Row],[ISIN]],'Novia Web Query'!$A:$E,3,FALSE)</f>
        <v>UT Global</v>
      </c>
      <c r="D1221" s="139">
        <f>VLOOKUP(NoviaFunds[[#This Row],[ISIN]],'Novia Web Query'!$A:$E,4,FALSE)/100</f>
        <v>1.1899999999999999E-2</v>
      </c>
      <c r="E1221" s="3" t="str">
        <f>VLOOKUP(NoviaFunds[[#This Row],[ISIN]],'Novia Web Query'!$A:$E,5,FALSE)</f>
        <v>12/07/2021</v>
      </c>
      <c r="F1221" t="str">
        <f>VLOOKUP(NoviaFunds[[#This Row],[Sector]],Sectors[],2,FALSE)</f>
        <v>Other Equities</v>
      </c>
    </row>
    <row r="1222" spans="1:6" x14ac:dyDescent="0.2">
      <c r="A1222" t="str">
        <f>'Novia Web Query'!A1221</f>
        <v>GB00BG21HL25</v>
      </c>
      <c r="B1222" t="str">
        <f>VLOOKUP(NoviaFunds[[#This Row],[ISIN]],'Novia Web Query'!$A:$E,2,FALSE)</f>
        <v>ES R&amp;M Global Recovery S Inc TR in GB**</v>
      </c>
      <c r="C1222" t="str">
        <f>VLOOKUP(NoviaFunds[[#This Row],[ISIN]],'Novia Web Query'!$A:$E,3,FALSE)</f>
        <v>UT Global</v>
      </c>
      <c r="D1222" s="139">
        <f>VLOOKUP(NoviaFunds[[#This Row],[ISIN]],'Novia Web Query'!$A:$E,4,FALSE)/100</f>
        <v>9.3999999999999986E-3</v>
      </c>
      <c r="E1222" s="3" t="str">
        <f>VLOOKUP(NoviaFunds[[#This Row],[ISIN]],'Novia Web Query'!$A:$E,5,FALSE)</f>
        <v>12/07/2021</v>
      </c>
      <c r="F1222" t="str">
        <f>VLOOKUP(NoviaFunds[[#This Row],[Sector]],Sectors[],2,FALSE)</f>
        <v>Other Equities</v>
      </c>
    </row>
    <row r="1223" spans="1:6" x14ac:dyDescent="0.2">
      <c r="A1223" t="str">
        <f>'Novia Web Query'!A1222</f>
        <v>GB00B1NG8296</v>
      </c>
      <c r="B1223" t="str">
        <f>VLOOKUP(NoviaFunds[[#This Row],[ISIN]],'Novia Web Query'!$A:$E,2,FALSE)</f>
        <v>ES R&amp;M UK Dynamic Equity A Inc TR in GB</v>
      </c>
      <c r="C1223" t="str">
        <f>VLOOKUP(NoviaFunds[[#This Row],[ISIN]],'Novia Web Query'!$A:$E,3,FALSE)</f>
        <v>UT UK All Companies</v>
      </c>
      <c r="D1223" s="139">
        <f>VLOOKUP(NoviaFunds[[#This Row],[ISIN]],'Novia Web Query'!$A:$E,4,FALSE)/100</f>
        <v>1.6799999999999999E-2</v>
      </c>
      <c r="E1223" s="3" t="str">
        <f>VLOOKUP(NoviaFunds[[#This Row],[ISIN]],'Novia Web Query'!$A:$E,5,FALSE)</f>
        <v>12/07/2021</v>
      </c>
      <c r="F1223" t="str">
        <f>VLOOKUP(NoviaFunds[[#This Row],[Sector]],Sectors[],2,FALSE)</f>
        <v>UK Equities</v>
      </c>
    </row>
    <row r="1224" spans="1:6" x14ac:dyDescent="0.2">
      <c r="A1224" t="str">
        <f>'Novia Web Query'!A1223</f>
        <v>GB00B7H1R583</v>
      </c>
      <c r="B1224" t="str">
        <f>VLOOKUP(NoviaFunds[[#This Row],[ISIN]],'Novia Web Query'!$A:$E,2,FALSE)</f>
        <v>ES R&amp;M UK Dynamic Equity B Acc TR in GB</v>
      </c>
      <c r="C1224" t="str">
        <f>VLOOKUP(NoviaFunds[[#This Row],[ISIN]],'Novia Web Query'!$A:$E,3,FALSE)</f>
        <v>UT UK All Companies</v>
      </c>
      <c r="D1224" s="139">
        <f>VLOOKUP(NoviaFunds[[#This Row],[ISIN]],'Novia Web Query'!$A:$E,4,FALSE)/100</f>
        <v>9.300000000000001E-3</v>
      </c>
      <c r="E1224" s="3" t="str">
        <f>VLOOKUP(NoviaFunds[[#This Row],[ISIN]],'Novia Web Query'!$A:$E,5,FALSE)</f>
        <v>12/07/2021</v>
      </c>
      <c r="F1224" t="str">
        <f>VLOOKUP(NoviaFunds[[#This Row],[Sector]],Sectors[],2,FALSE)</f>
        <v>UK Equities</v>
      </c>
    </row>
    <row r="1225" spans="1:6" x14ac:dyDescent="0.2">
      <c r="A1225" t="str">
        <f>'Novia Web Query'!A1224</f>
        <v>GB00B1DSZM47</v>
      </c>
      <c r="B1225" t="str">
        <f>VLOOKUP(NoviaFunds[[#This Row],[ISIN]],'Novia Web Query'!$A:$E,2,FALSE)</f>
        <v>ES R&amp;M UK Equity High Alpha A Inc TR in GB</v>
      </c>
      <c r="C1225" t="str">
        <f>VLOOKUP(NoviaFunds[[#This Row],[ISIN]],'Novia Web Query'!$A:$E,3,FALSE)</f>
        <v>UT UK All Companies</v>
      </c>
      <c r="D1225" s="139">
        <f>VLOOKUP(NoviaFunds[[#This Row],[ISIN]],'Novia Web Query'!$A:$E,4,FALSE)/100</f>
        <v>1.6500000000000001E-2</v>
      </c>
      <c r="E1225" s="3" t="str">
        <f>VLOOKUP(NoviaFunds[[#This Row],[ISIN]],'Novia Web Query'!$A:$E,5,FALSE)</f>
        <v>12/07/2021</v>
      </c>
      <c r="F1225" t="str">
        <f>VLOOKUP(NoviaFunds[[#This Row],[Sector]],Sectors[],2,FALSE)</f>
        <v>UK Equities</v>
      </c>
    </row>
    <row r="1226" spans="1:6" x14ac:dyDescent="0.2">
      <c r="A1226" t="str">
        <f>'Novia Web Query'!A1225</f>
        <v>GB00B3D79W34</v>
      </c>
      <c r="B1226" t="str">
        <f>VLOOKUP(NoviaFunds[[#This Row],[ISIN]],'Novia Web Query'!$A:$E,2,FALSE)</f>
        <v>ES R&amp;M UK Equity High Alpha B Acc TR in GB</v>
      </c>
      <c r="C1226" t="str">
        <f>VLOOKUP(NoviaFunds[[#This Row],[ISIN]],'Novia Web Query'!$A:$E,3,FALSE)</f>
        <v>UT UK All Companies</v>
      </c>
      <c r="D1226" s="139">
        <f>VLOOKUP(NoviaFunds[[#This Row],[ISIN]],'Novia Web Query'!$A:$E,4,FALSE)/100</f>
        <v>9.0000000000000011E-3</v>
      </c>
      <c r="E1226" s="3" t="str">
        <f>VLOOKUP(NoviaFunds[[#This Row],[ISIN]],'Novia Web Query'!$A:$E,5,FALSE)</f>
        <v>12/07/2021</v>
      </c>
      <c r="F1226" t="str">
        <f>VLOOKUP(NoviaFunds[[#This Row],[Sector]],Sectors[],2,FALSE)</f>
        <v>UK Equities</v>
      </c>
    </row>
    <row r="1227" spans="1:6" x14ac:dyDescent="0.2">
      <c r="A1227" t="str">
        <f>'Novia Web Query'!A1226</f>
        <v>GB00B3KQG447</v>
      </c>
      <c r="B1227" t="str">
        <f>VLOOKUP(NoviaFunds[[#This Row],[ISIN]],'Novia Web Query'!$A:$E,2,FALSE)</f>
        <v>ES R&amp;M UK Equity Income B Inc TR in GB</v>
      </c>
      <c r="C1227" t="str">
        <f>VLOOKUP(NoviaFunds[[#This Row],[ISIN]],'Novia Web Query'!$A:$E,3,FALSE)</f>
        <v>UT UK Equity Income</v>
      </c>
      <c r="D1227" s="139">
        <f>VLOOKUP(NoviaFunds[[#This Row],[ISIN]],'Novia Web Query'!$A:$E,4,FALSE)/100</f>
        <v>9.3999999999999986E-3</v>
      </c>
      <c r="E1227" s="3" t="str">
        <f>VLOOKUP(NoviaFunds[[#This Row],[ISIN]],'Novia Web Query'!$A:$E,5,FALSE)</f>
        <v>12/07/2021</v>
      </c>
      <c r="F1227" t="str">
        <f>VLOOKUP(NoviaFunds[[#This Row],[Sector]],Sectors[],2,FALSE)</f>
        <v>UK Equities</v>
      </c>
    </row>
    <row r="1228" spans="1:6" x14ac:dyDescent="0.2">
      <c r="A1228" t="str">
        <f>'Novia Web Query'!A1227</f>
        <v>GB00B1DSZS09</v>
      </c>
      <c r="B1228" t="str">
        <f>VLOOKUP(NoviaFunds[[#This Row],[ISIN]],'Novia Web Query'!$A:$E,2,FALSE)</f>
        <v>ES R&amp;M UK Equity Smaller Companies B Acc in GB</v>
      </c>
      <c r="C1228" t="str">
        <f>VLOOKUP(NoviaFunds[[#This Row],[ISIN]],'Novia Web Query'!$A:$E,3,FALSE)</f>
        <v>UT UK Smaller Companies</v>
      </c>
      <c r="D1228" s="139">
        <f>VLOOKUP(NoviaFunds[[#This Row],[ISIN]],'Novia Web Query'!$A:$E,4,FALSE)/100</f>
        <v>8.8999999999999999E-3</v>
      </c>
      <c r="E1228" s="3" t="str">
        <f>VLOOKUP(NoviaFunds[[#This Row],[ISIN]],'Novia Web Query'!$A:$E,5,FALSE)</f>
        <v>12/07/2021</v>
      </c>
      <c r="F1228" t="str">
        <f>VLOOKUP(NoviaFunds[[#This Row],[Sector]],Sectors[],2,FALSE)</f>
        <v>UK Equities</v>
      </c>
    </row>
    <row r="1229" spans="1:6" x14ac:dyDescent="0.2">
      <c r="A1229" t="str">
        <f>'Novia Web Query'!A1228</f>
        <v>GB00BC4DSV56</v>
      </c>
      <c r="B1229" t="str">
        <f>VLOOKUP(NoviaFunds[[#This Row],[ISIN]],'Novia Web Query'!$A:$E,2,FALSE)</f>
        <v>ES R&amp;M UK Equity Smaller Companies B Inc TR in GB</v>
      </c>
      <c r="C1229" t="str">
        <f>VLOOKUP(NoviaFunds[[#This Row],[ISIN]],'Novia Web Query'!$A:$E,3,FALSE)</f>
        <v>UT UK Smaller Companies</v>
      </c>
      <c r="D1229" s="139">
        <f>VLOOKUP(NoviaFunds[[#This Row],[ISIN]],'Novia Web Query'!$A:$E,4,FALSE)/100</f>
        <v>8.8999999999999999E-3</v>
      </c>
      <c r="E1229" s="3" t="str">
        <f>VLOOKUP(NoviaFunds[[#This Row],[ISIN]],'Novia Web Query'!$A:$E,5,FALSE)</f>
        <v>12/07/2021</v>
      </c>
      <c r="F1229" t="str">
        <f>VLOOKUP(NoviaFunds[[#This Row],[Sector]],Sectors[],2,FALSE)</f>
        <v>UK Equities</v>
      </c>
    </row>
    <row r="1230" spans="1:6" x14ac:dyDescent="0.2">
      <c r="A1230" t="str">
        <f>'Novia Web Query'!A1229</f>
        <v>GB00B614J053</v>
      </c>
      <c r="B1230" t="str">
        <f>VLOOKUP(NoviaFunds[[#This Row],[ISIN]],'Novia Web Query'!$A:$E,2,FALSE)</f>
        <v>ES R&amp;M UK Recovery B Inc TR in GB</v>
      </c>
      <c r="C1230" t="str">
        <f>VLOOKUP(NoviaFunds[[#This Row],[ISIN]],'Novia Web Query'!$A:$E,3,FALSE)</f>
        <v>UT UK All Companies</v>
      </c>
      <c r="D1230" s="139">
        <f>VLOOKUP(NoviaFunds[[#This Row],[ISIN]],'Novia Web Query'!$A:$E,4,FALSE)/100</f>
        <v>1.1699999999999999E-2</v>
      </c>
      <c r="E1230" s="3" t="str">
        <f>VLOOKUP(NoviaFunds[[#This Row],[ISIN]],'Novia Web Query'!$A:$E,5,FALSE)</f>
        <v>12/07/2021</v>
      </c>
      <c r="F1230" t="str">
        <f>VLOOKUP(NoviaFunds[[#This Row],[Sector]],Sectors[],2,FALSE)</f>
        <v>UK Equities</v>
      </c>
    </row>
    <row r="1231" spans="1:6" x14ac:dyDescent="0.2">
      <c r="A1231" t="str">
        <f>'Novia Web Query'!A1230</f>
        <v>GB00B9777B62</v>
      </c>
      <c r="B1231" t="str">
        <f>VLOOKUP(NoviaFunds[[#This Row],[ISIN]],'Novia Web Query'!$A:$E,2,FALSE)</f>
        <v>Fidelity Allocator World W Acc in GB</v>
      </c>
      <c r="C1231" t="str">
        <f>VLOOKUP(NoviaFunds[[#This Row],[ISIN]],'Novia Web Query'!$A:$E,3,FALSE)</f>
        <v>UT Global</v>
      </c>
      <c r="D1231" s="139">
        <f>VLOOKUP(NoviaFunds[[#This Row],[ISIN]],'Novia Web Query'!$A:$E,4,FALSE)/100</f>
        <v>2E-3</v>
      </c>
      <c r="E1231" s="3" t="str">
        <f>VLOOKUP(NoviaFunds[[#This Row],[ISIN]],'Novia Web Query'!$A:$E,5,FALSE)</f>
        <v>11/01/2022</v>
      </c>
      <c r="F1231" t="str">
        <f>VLOOKUP(NoviaFunds[[#This Row],[Sector]],Sectors[],2,FALSE)</f>
        <v>Other Equities</v>
      </c>
    </row>
    <row r="1232" spans="1:6" x14ac:dyDescent="0.2">
      <c r="A1232" t="str">
        <f>'Novia Web Query'!A1231</f>
        <v>GB0003865176</v>
      </c>
      <c r="B1232" t="str">
        <f>VLOOKUP(NoviaFunds[[#This Row],[ISIN]],'Novia Web Query'!$A:$E,2,FALSE)</f>
        <v>Fidelity American Acc in GB</v>
      </c>
      <c r="C1232" t="str">
        <f>VLOOKUP(NoviaFunds[[#This Row],[ISIN]],'Novia Web Query'!$A:$E,3,FALSE)</f>
        <v>UT North America</v>
      </c>
      <c r="D1232" s="139">
        <f>VLOOKUP(NoviaFunds[[#This Row],[ISIN]],'Novia Web Query'!$A:$E,4,FALSE)/100</f>
        <v>1.55E-2</v>
      </c>
      <c r="E1232" s="3" t="str">
        <f>VLOOKUP(NoviaFunds[[#This Row],[ISIN]],'Novia Web Query'!$A:$E,5,FALSE)</f>
        <v>11/01/2022</v>
      </c>
      <c r="F1232" t="str">
        <f>VLOOKUP(NoviaFunds[[#This Row],[Sector]],Sectors[],2,FALSE)</f>
        <v>USA Equities</v>
      </c>
    </row>
    <row r="1233" spans="1:6" x14ac:dyDescent="0.2">
      <c r="A1233" t="str">
        <f>'Novia Web Query'!A1232</f>
        <v>GB0003865390</v>
      </c>
      <c r="B1233" t="str">
        <f>VLOOKUP(NoviaFunds[[#This Row],[ISIN]],'Novia Web Query'!$A:$E,2,FALSE)</f>
        <v>Fidelity American Special Situations Acc in GB</v>
      </c>
      <c r="C1233" t="str">
        <f>VLOOKUP(NoviaFunds[[#This Row],[ISIN]],'Novia Web Query'!$A:$E,3,FALSE)</f>
        <v>UT North America</v>
      </c>
      <c r="D1233" s="139">
        <f>VLOOKUP(NoviaFunds[[#This Row],[ISIN]],'Novia Web Query'!$A:$E,4,FALSE)/100</f>
        <v>1.61E-2</v>
      </c>
      <c r="E1233" s="3" t="str">
        <f>VLOOKUP(NoviaFunds[[#This Row],[ISIN]],'Novia Web Query'!$A:$E,5,FALSE)</f>
        <v>11/01/2022</v>
      </c>
      <c r="F1233" t="str">
        <f>VLOOKUP(NoviaFunds[[#This Row],[Sector]],Sectors[],2,FALSE)</f>
        <v>USA Equities</v>
      </c>
    </row>
    <row r="1234" spans="1:6" x14ac:dyDescent="0.2">
      <c r="A1234" t="str">
        <f>'Novia Web Query'!A1233</f>
        <v>GB00B89ST706</v>
      </c>
      <c r="B1234" t="str">
        <f>VLOOKUP(NoviaFunds[[#This Row],[ISIN]],'Novia Web Query'!$A:$E,2,FALSE)</f>
        <v>Fidelity American Special Situations W Acc in GB</v>
      </c>
      <c r="C1234" t="str">
        <f>VLOOKUP(NoviaFunds[[#This Row],[ISIN]],'Novia Web Query'!$A:$E,3,FALSE)</f>
        <v>UT North America</v>
      </c>
      <c r="D1234" s="139">
        <f>VLOOKUP(NoviaFunds[[#This Row],[ISIN]],'Novia Web Query'!$A:$E,4,FALSE)/100</f>
        <v>8.6E-3</v>
      </c>
      <c r="E1234" s="3" t="str">
        <f>VLOOKUP(NoviaFunds[[#This Row],[ISIN]],'Novia Web Query'!$A:$E,5,FALSE)</f>
        <v>11/01/2022</v>
      </c>
      <c r="F1234" t="str">
        <f>VLOOKUP(NoviaFunds[[#This Row],[Sector]],Sectors[],2,FALSE)</f>
        <v>USA Equities</v>
      </c>
    </row>
    <row r="1235" spans="1:6" x14ac:dyDescent="0.2">
      <c r="A1235" t="str">
        <f>'Novia Web Query'!A1234</f>
        <v>GB00B8GPC429</v>
      </c>
      <c r="B1235" t="str">
        <f>VLOOKUP(NoviaFunds[[#This Row],[ISIN]],'Novia Web Query'!$A:$E,2,FALSE)</f>
        <v>Fidelity American W Acc in GB</v>
      </c>
      <c r="C1235" t="str">
        <f>VLOOKUP(NoviaFunds[[#This Row],[ISIN]],'Novia Web Query'!$A:$E,3,FALSE)</f>
        <v>UT North America</v>
      </c>
      <c r="D1235" s="139">
        <f>VLOOKUP(NoviaFunds[[#This Row],[ISIN]],'Novia Web Query'!$A:$E,4,FALSE)/100</f>
        <v>8.0000000000000002E-3</v>
      </c>
      <c r="E1235" s="3" t="str">
        <f>VLOOKUP(NoviaFunds[[#This Row],[ISIN]],'Novia Web Query'!$A:$E,5,FALSE)</f>
        <v>11/01/2022</v>
      </c>
      <c r="F1235" t="str">
        <f>VLOOKUP(NoviaFunds[[#This Row],[Sector]],Sectors[],2,FALSE)</f>
        <v>USA Equities</v>
      </c>
    </row>
    <row r="1236" spans="1:6" x14ac:dyDescent="0.2">
      <c r="A1236" t="str">
        <f>'Novia Web Query'!A1235</f>
        <v>GB0003879185</v>
      </c>
      <c r="B1236" t="str">
        <f>VLOOKUP(NoviaFunds[[#This Row],[ISIN]],'Novia Web Query'!$A:$E,2,FALSE)</f>
        <v>Fidelity Asia Acc in GB</v>
      </c>
      <c r="C1236" t="str">
        <f>VLOOKUP(NoviaFunds[[#This Row],[ISIN]],'Novia Web Query'!$A:$E,3,FALSE)</f>
        <v>UT Asia Pacific Excluding Japan</v>
      </c>
      <c r="D1236" s="139">
        <f>VLOOKUP(NoviaFunds[[#This Row],[ISIN]],'Novia Web Query'!$A:$E,4,FALSE)/100</f>
        <v>1.6799999999999999E-2</v>
      </c>
      <c r="E1236" s="3" t="str">
        <f>VLOOKUP(NoviaFunds[[#This Row],[ISIN]],'Novia Web Query'!$A:$E,5,FALSE)</f>
        <v>11/01/2022</v>
      </c>
      <c r="F1236" t="str">
        <f>VLOOKUP(NoviaFunds[[#This Row],[Sector]],Sectors[],2,FALSE)</f>
        <v>Asia Pacific</v>
      </c>
    </row>
    <row r="1237" spans="1:6" x14ac:dyDescent="0.2">
      <c r="A1237" t="str">
        <f>'Novia Web Query'!A1236</f>
        <v>GB00BQ1SWL90</v>
      </c>
      <c r="B1237" t="str">
        <f>VLOOKUP(NoviaFunds[[#This Row],[ISIN]],'Novia Web Query'!$A:$E,2,FALSE)</f>
        <v>Fidelity Asia Pacific Opportunities W Acc in GB</v>
      </c>
      <c r="C1237" t="str">
        <f>VLOOKUP(NoviaFunds[[#This Row],[ISIN]],'Novia Web Query'!$A:$E,3,FALSE)</f>
        <v>UT Asia Pacific Excluding Japan</v>
      </c>
      <c r="D1237" s="139">
        <f>VLOOKUP(NoviaFunds[[#This Row],[ISIN]],'Novia Web Query'!$A:$E,4,FALSE)/100</f>
        <v>9.0000000000000011E-3</v>
      </c>
      <c r="E1237" s="3" t="str">
        <f>VLOOKUP(NoviaFunds[[#This Row],[ISIN]],'Novia Web Query'!$A:$E,5,FALSE)</f>
        <v>11/01/2022</v>
      </c>
      <c r="F1237" t="str">
        <f>VLOOKUP(NoviaFunds[[#This Row],[Sector]],Sectors[],2,FALSE)</f>
        <v>Asia Pacific</v>
      </c>
    </row>
    <row r="1238" spans="1:6" x14ac:dyDescent="0.2">
      <c r="A1238" t="str">
        <f>'Novia Web Query'!A1237</f>
        <v>GB00B6Y7NF43</v>
      </c>
      <c r="B1238" t="str">
        <f>VLOOKUP(NoviaFunds[[#This Row],[ISIN]],'Novia Web Query'!$A:$E,2,FALSE)</f>
        <v>Fidelity Asia W Acc in GB</v>
      </c>
      <c r="C1238" t="str">
        <f>VLOOKUP(NoviaFunds[[#This Row],[ISIN]],'Novia Web Query'!$A:$E,3,FALSE)</f>
        <v>UT Asia Pacific Excluding Japan</v>
      </c>
      <c r="D1238" s="139">
        <f>VLOOKUP(NoviaFunds[[#This Row],[ISIN]],'Novia Web Query'!$A:$E,4,FALSE)/100</f>
        <v>9.300000000000001E-3</v>
      </c>
      <c r="E1238" s="3" t="str">
        <f>VLOOKUP(NoviaFunds[[#This Row],[ISIN]],'Novia Web Query'!$A:$E,5,FALSE)</f>
        <v>11/01/2022</v>
      </c>
      <c r="F1238" t="str">
        <f>VLOOKUP(NoviaFunds[[#This Row],[Sector]],Sectors[],2,FALSE)</f>
        <v>Asia Pacific</v>
      </c>
    </row>
    <row r="1239" spans="1:6" x14ac:dyDescent="0.2">
      <c r="A1239" t="str">
        <f>'Novia Web Query'!A1238</f>
        <v>GB00B8W5LX86</v>
      </c>
      <c r="B1239" t="str">
        <f>VLOOKUP(NoviaFunds[[#This Row],[ISIN]],'Novia Web Query'!$A:$E,2,FALSE)</f>
        <v>Fidelity Asian Dividend W Acc in GB</v>
      </c>
      <c r="C1239" t="str">
        <f>VLOOKUP(NoviaFunds[[#This Row],[ISIN]],'Novia Web Query'!$A:$E,3,FALSE)</f>
        <v>UT Asia Pacific Excluding Japan</v>
      </c>
      <c r="D1239" s="139">
        <f>VLOOKUP(NoviaFunds[[#This Row],[ISIN]],'Novia Web Query'!$A:$E,4,FALSE)/100</f>
        <v>9.0000000000000011E-3</v>
      </c>
      <c r="E1239" s="3" t="str">
        <f>VLOOKUP(NoviaFunds[[#This Row],[ISIN]],'Novia Web Query'!$A:$E,5,FALSE)</f>
        <v>11/01/2022</v>
      </c>
      <c r="F1239" t="str">
        <f>VLOOKUP(NoviaFunds[[#This Row],[Sector]],Sectors[],2,FALSE)</f>
        <v>Asia Pacific</v>
      </c>
    </row>
    <row r="1240" spans="1:6" x14ac:dyDescent="0.2">
      <c r="A1240" t="str">
        <f>'Novia Web Query'!A1239</f>
        <v>GB00B8W5M023</v>
      </c>
      <c r="B1240" t="str">
        <f>VLOOKUP(NoviaFunds[[#This Row],[ISIN]],'Novia Web Query'!$A:$E,2,FALSE)</f>
        <v>Fidelity Asian Dividend W Inc TR in GB</v>
      </c>
      <c r="C1240" t="str">
        <f>VLOOKUP(NoviaFunds[[#This Row],[ISIN]],'Novia Web Query'!$A:$E,3,FALSE)</f>
        <v>UT Asia Pacific Excluding Japan</v>
      </c>
      <c r="D1240" s="139">
        <f>VLOOKUP(NoviaFunds[[#This Row],[ISIN]],'Novia Web Query'!$A:$E,4,FALSE)/100</f>
        <v>9.0000000000000011E-3</v>
      </c>
      <c r="E1240" s="3" t="str">
        <f>VLOOKUP(NoviaFunds[[#This Row],[ISIN]],'Novia Web Query'!$A:$E,5,FALSE)</f>
        <v>11/01/2022</v>
      </c>
      <c r="F1240" t="str">
        <f>VLOOKUP(NoviaFunds[[#This Row],[Sector]],Sectors[],2,FALSE)</f>
        <v>Asia Pacific</v>
      </c>
    </row>
    <row r="1241" spans="1:6" x14ac:dyDescent="0.2">
      <c r="A1241" t="str">
        <f>'Novia Web Query'!A1240</f>
        <v>GB00BD1RHT82</v>
      </c>
      <c r="B1241" t="str">
        <f>VLOOKUP(NoviaFunds[[#This Row],[ISIN]],'Novia Web Query'!$A:$E,2,FALSE)</f>
        <v>Fidelity Cash W Acc GBP in GB</v>
      </c>
      <c r="C1241" t="str">
        <f>VLOOKUP(NoviaFunds[[#This Row],[ISIN]],'Novia Web Query'!$A:$E,3,FALSE)</f>
        <v>UT Short Term Money Market</v>
      </c>
      <c r="D1241" s="139">
        <f>VLOOKUP(NoviaFunds[[#This Row],[ISIN]],'Novia Web Query'!$A:$E,4,FALSE)/100</f>
        <v>1.5E-3</v>
      </c>
      <c r="E1241" s="3" t="str">
        <f>VLOOKUP(NoviaFunds[[#This Row],[ISIN]],'Novia Web Query'!$A:$E,5,FALSE)</f>
        <v>11/01/2022</v>
      </c>
      <c r="F1241" t="str">
        <f>VLOOKUP(NoviaFunds[[#This Row],[Sector]],Sectors[],2,FALSE)</f>
        <v>Cash</v>
      </c>
    </row>
    <row r="1242" spans="1:6" x14ac:dyDescent="0.2">
      <c r="A1242" t="str">
        <f>'Novia Web Query'!A1241</f>
        <v>GB00BD1RHR68</v>
      </c>
      <c r="B1242" t="str">
        <f>VLOOKUP(NoviaFunds[[#This Row],[ISIN]],'Novia Web Query'!$A:$E,2,FALSE)</f>
        <v>Fidelity Cash W Inc GBP TR in GB**</v>
      </c>
      <c r="C1242" t="str">
        <f>VLOOKUP(NoviaFunds[[#This Row],[ISIN]],'Novia Web Query'!$A:$E,3,FALSE)</f>
        <v>UT Short Term Money Market</v>
      </c>
      <c r="D1242" s="139">
        <f>VLOOKUP(NoviaFunds[[#This Row],[ISIN]],'Novia Web Query'!$A:$E,4,FALSE)/100</f>
        <v>1.5E-3</v>
      </c>
      <c r="E1242" s="3" t="str">
        <f>VLOOKUP(NoviaFunds[[#This Row],[ISIN]],'Novia Web Query'!$A:$E,5,FALSE)</f>
        <v>11/01/2022</v>
      </c>
      <c r="F1242" t="str">
        <f>VLOOKUP(NoviaFunds[[#This Row],[Sector]],Sectors[],2,FALSE)</f>
        <v>Cash</v>
      </c>
    </row>
    <row r="1243" spans="1:6" x14ac:dyDescent="0.2">
      <c r="A1243" t="str">
        <f>'Novia Web Query'!A1242</f>
        <v>GB00B82ZSC67</v>
      </c>
      <c r="B1243" t="str">
        <f>VLOOKUP(NoviaFunds[[#This Row],[ISIN]],'Novia Web Query'!$A:$E,2,FALSE)</f>
        <v>Fidelity China Consumer W Acc in GB</v>
      </c>
      <c r="C1243" t="str">
        <f>VLOOKUP(NoviaFunds[[#This Row],[ISIN]],'Novia Web Query'!$A:$E,3,FALSE)</f>
        <v>UT China/Greater China</v>
      </c>
      <c r="D1243" s="139">
        <f>VLOOKUP(NoviaFunds[[#This Row],[ISIN]],'Novia Web Query'!$A:$E,4,FALSE)/100</f>
        <v>9.0000000000000011E-3</v>
      </c>
      <c r="E1243" s="3" t="str">
        <f>VLOOKUP(NoviaFunds[[#This Row],[ISIN]],'Novia Web Query'!$A:$E,5,FALSE)</f>
        <v>11/01/2022</v>
      </c>
      <c r="F1243" t="str">
        <f>VLOOKUP(NoviaFunds[[#This Row],[Sector]],Sectors[],2,FALSE)</f>
        <v>Asia Pacific</v>
      </c>
    </row>
    <row r="1244" spans="1:6" x14ac:dyDescent="0.2">
      <c r="A1244" t="str">
        <f>'Novia Web Query'!A1243</f>
        <v>GB00B29TR993</v>
      </c>
      <c r="B1244" t="str">
        <f>VLOOKUP(NoviaFunds[[#This Row],[ISIN]],'Novia Web Query'!$A:$E,2,FALSE)</f>
        <v>Fidelity Emerging Europe Middle East and Africa in GB</v>
      </c>
      <c r="C1244" t="str">
        <f>VLOOKUP(NoviaFunds[[#This Row],[ISIN]],'Novia Web Query'!$A:$E,3,FALSE)</f>
        <v>UT Specialist</v>
      </c>
      <c r="D1244" s="139">
        <f>VLOOKUP(NoviaFunds[[#This Row],[ISIN]],'Novia Web Query'!$A:$E,4,FALSE)/100</f>
        <v>1.7000000000000001E-2</v>
      </c>
      <c r="E1244" s="3" t="str">
        <f>VLOOKUP(NoviaFunds[[#This Row],[ISIN]],'Novia Web Query'!$A:$E,5,FALSE)</f>
        <v>11/01/2022</v>
      </c>
      <c r="F1244" t="str">
        <f>VLOOKUP(NoviaFunds[[#This Row],[Sector]],Sectors[],2,FALSE)</f>
        <v>Specialist</v>
      </c>
    </row>
    <row r="1245" spans="1:6" x14ac:dyDescent="0.2">
      <c r="A1245" t="str">
        <f>'Novia Web Query'!A1244</f>
        <v>GB00B87Z7808</v>
      </c>
      <c r="B1245" t="str">
        <f>VLOOKUP(NoviaFunds[[#This Row],[ISIN]],'Novia Web Query'!$A:$E,2,FALSE)</f>
        <v>Fidelity Emerging Europe Middle East and Africa W Acc in GB</v>
      </c>
      <c r="C1245" t="str">
        <f>VLOOKUP(NoviaFunds[[#This Row],[ISIN]],'Novia Web Query'!$A:$E,3,FALSE)</f>
        <v>UT Specialist</v>
      </c>
      <c r="D1245" s="139">
        <f>VLOOKUP(NoviaFunds[[#This Row],[ISIN]],'Novia Web Query'!$A:$E,4,FALSE)/100</f>
        <v>9.4999999999999998E-3</v>
      </c>
      <c r="E1245" s="3" t="str">
        <f>VLOOKUP(NoviaFunds[[#This Row],[ISIN]],'Novia Web Query'!$A:$E,5,FALSE)</f>
        <v>11/01/2022</v>
      </c>
      <c r="F1245" t="str">
        <f>VLOOKUP(NoviaFunds[[#This Row],[Sector]],Sectors[],2,FALSE)</f>
        <v>Specialist</v>
      </c>
    </row>
    <row r="1246" spans="1:6" x14ac:dyDescent="0.2">
      <c r="A1246" t="str">
        <f>'Novia Web Query'!A1245</f>
        <v>GB00B4NTG252</v>
      </c>
      <c r="B1246" t="str">
        <f>VLOOKUP(NoviaFunds[[#This Row],[ISIN]],'Novia Web Query'!$A:$E,2,FALSE)</f>
        <v>Fidelity Emerging Markets Retail Acc in GB</v>
      </c>
      <c r="C1246" t="str">
        <f>VLOOKUP(NoviaFunds[[#This Row],[ISIN]],'Novia Web Query'!$A:$E,3,FALSE)</f>
        <v>UT Global Emerging Markets</v>
      </c>
      <c r="D1246" s="139">
        <f>VLOOKUP(NoviaFunds[[#This Row],[ISIN]],'Novia Web Query'!$A:$E,4,FALSE)/100</f>
        <v>1.7000000000000001E-2</v>
      </c>
      <c r="E1246" s="3" t="str">
        <f>VLOOKUP(NoviaFunds[[#This Row],[ISIN]],'Novia Web Query'!$A:$E,5,FALSE)</f>
        <v>11/01/2022</v>
      </c>
      <c r="F1246" t="str">
        <f>VLOOKUP(NoviaFunds[[#This Row],[Sector]],Sectors[],2,FALSE)</f>
        <v>Emerging Markets</v>
      </c>
    </row>
    <row r="1247" spans="1:6" x14ac:dyDescent="0.2">
      <c r="A1247" t="str">
        <f>'Novia Web Query'!A1246</f>
        <v>GB00B9SMK778</v>
      </c>
      <c r="B1247" t="str">
        <f>VLOOKUP(NoviaFunds[[#This Row],[ISIN]],'Novia Web Query'!$A:$E,2,FALSE)</f>
        <v>Fidelity Emerging Markets W Acc in GB</v>
      </c>
      <c r="C1247" t="str">
        <f>VLOOKUP(NoviaFunds[[#This Row],[ISIN]],'Novia Web Query'!$A:$E,3,FALSE)</f>
        <v>UT Global Emerging Markets</v>
      </c>
      <c r="D1247" s="139">
        <f>VLOOKUP(NoviaFunds[[#This Row],[ISIN]],'Novia Web Query'!$A:$E,4,FALSE)/100</f>
        <v>9.4999999999999998E-3</v>
      </c>
      <c r="E1247" s="3" t="str">
        <f>VLOOKUP(NoviaFunds[[#This Row],[ISIN]],'Novia Web Query'!$A:$E,5,FALSE)</f>
        <v>11/01/2022</v>
      </c>
      <c r="F1247" t="str">
        <f>VLOOKUP(NoviaFunds[[#This Row],[Sector]],Sectors[],2,FALSE)</f>
        <v>Emerging Markets</v>
      </c>
    </row>
    <row r="1248" spans="1:6" x14ac:dyDescent="0.2">
      <c r="A1248" t="str">
        <f>'Novia Web Query'!A1247</f>
        <v>GB00B3KB7682</v>
      </c>
      <c r="B1248" t="str">
        <f>VLOOKUP(NoviaFunds[[#This Row],[ISIN]],'Novia Web Query'!$A:$E,2,FALSE)</f>
        <v>Fidelity Enhanced Income Dis TR in GB</v>
      </c>
      <c r="C1248" t="str">
        <f>VLOOKUP(NoviaFunds[[#This Row],[ISIN]],'Novia Web Query'!$A:$E,3,FALSE)</f>
        <v>UT UK Equity Income</v>
      </c>
      <c r="D1248" s="139">
        <f>VLOOKUP(NoviaFunds[[#This Row],[ISIN]],'Novia Web Query'!$A:$E,4,FALSE)/100</f>
        <v>1.6E-2</v>
      </c>
      <c r="E1248" s="3" t="str">
        <f>VLOOKUP(NoviaFunds[[#This Row],[ISIN]],'Novia Web Query'!$A:$E,5,FALSE)</f>
        <v>11/01/2022</v>
      </c>
      <c r="F1248" t="str">
        <f>VLOOKUP(NoviaFunds[[#This Row],[Sector]],Sectors[],2,FALSE)</f>
        <v>UK Equities</v>
      </c>
    </row>
    <row r="1249" spans="1:6" x14ac:dyDescent="0.2">
      <c r="A1249" t="str">
        <f>'Novia Web Query'!A1248</f>
        <v>GB00B7W94N47</v>
      </c>
      <c r="B1249" t="str">
        <f>VLOOKUP(NoviaFunds[[#This Row],[ISIN]],'Novia Web Query'!$A:$E,2,FALSE)</f>
        <v>Fidelity Enhanced Income W Acc in GB</v>
      </c>
      <c r="C1249" t="str">
        <f>VLOOKUP(NoviaFunds[[#This Row],[ISIN]],'Novia Web Query'!$A:$E,3,FALSE)</f>
        <v>UT UK Equity Income</v>
      </c>
      <c r="D1249" s="139">
        <f>VLOOKUP(NoviaFunds[[#This Row],[ISIN]],'Novia Web Query'!$A:$E,4,FALSE)/100</f>
        <v>8.5000000000000006E-3</v>
      </c>
      <c r="E1249" s="3" t="str">
        <f>VLOOKUP(NoviaFunds[[#This Row],[ISIN]],'Novia Web Query'!$A:$E,5,FALSE)</f>
        <v>11/01/2022</v>
      </c>
      <c r="F1249" t="str">
        <f>VLOOKUP(NoviaFunds[[#This Row],[Sector]],Sectors[],2,FALSE)</f>
        <v>UK Equities</v>
      </c>
    </row>
    <row r="1250" spans="1:6" x14ac:dyDescent="0.2">
      <c r="A1250" t="str">
        <f>'Novia Web Query'!A1249</f>
        <v>GB00B87HPZ94</v>
      </c>
      <c r="B1250" t="str">
        <f>VLOOKUP(NoviaFunds[[#This Row],[ISIN]],'Novia Web Query'!$A:$E,2,FALSE)</f>
        <v>Fidelity Enhanced Income W Inc TR in GB</v>
      </c>
      <c r="C1250" t="str">
        <f>VLOOKUP(NoviaFunds[[#This Row],[ISIN]],'Novia Web Query'!$A:$E,3,FALSE)</f>
        <v>UT UK Equity Income</v>
      </c>
      <c r="D1250" s="139">
        <f>VLOOKUP(NoviaFunds[[#This Row],[ISIN]],'Novia Web Query'!$A:$E,4,FALSE)/100</f>
        <v>8.5000000000000006E-3</v>
      </c>
      <c r="E1250" s="3" t="str">
        <f>VLOOKUP(NoviaFunds[[#This Row],[ISIN]],'Novia Web Query'!$A:$E,5,FALSE)</f>
        <v>11/01/2022</v>
      </c>
      <c r="F1250" t="str">
        <f>VLOOKUP(NoviaFunds[[#This Row],[Sector]],Sectors[],2,FALSE)</f>
        <v>UK Equities</v>
      </c>
    </row>
    <row r="1251" spans="1:6" x14ac:dyDescent="0.2">
      <c r="A1251" t="str">
        <f>'Novia Web Query'!A1250</f>
        <v>GB00BYSYZP12</v>
      </c>
      <c r="B1251" t="str">
        <f>VLOOKUP(NoviaFunds[[#This Row],[ISIN]],'Novia Web Query'!$A:$E,2,FALSE)</f>
        <v>Fidelity Enhanced Income W Monthly Inc TR in GB**</v>
      </c>
      <c r="C1251" t="str">
        <f>VLOOKUP(NoviaFunds[[#This Row],[ISIN]],'Novia Web Query'!$A:$E,3,FALSE)</f>
        <v>UT UK Equity Income</v>
      </c>
      <c r="D1251" s="139">
        <f>VLOOKUP(NoviaFunds[[#This Row],[ISIN]],'Novia Web Query'!$A:$E,4,FALSE)/100</f>
        <v>8.5000000000000006E-3</v>
      </c>
      <c r="E1251" s="3" t="str">
        <f>VLOOKUP(NoviaFunds[[#This Row],[ISIN]],'Novia Web Query'!$A:$E,5,FALSE)</f>
        <v>11/01/2022</v>
      </c>
      <c r="F1251" t="str">
        <f>VLOOKUP(NoviaFunds[[#This Row],[Sector]],Sectors[],2,FALSE)</f>
        <v>UK Equities</v>
      </c>
    </row>
    <row r="1252" spans="1:6" x14ac:dyDescent="0.2">
      <c r="A1252" t="str">
        <f>'Novia Web Query'!A1251</f>
        <v>GB0003874798</v>
      </c>
      <c r="B1252" t="str">
        <f>VLOOKUP(NoviaFunds[[#This Row],[ISIN]],'Novia Web Query'!$A:$E,2,FALSE)</f>
        <v>Fidelity European Acc in GB</v>
      </c>
      <c r="C1252" t="str">
        <f>VLOOKUP(NoviaFunds[[#This Row],[ISIN]],'Novia Web Query'!$A:$E,3,FALSE)</f>
        <v>UT Europe Excluding UK</v>
      </c>
      <c r="D1252" s="139">
        <f>VLOOKUP(NoviaFunds[[#This Row],[ISIN]],'Novia Web Query'!$A:$E,4,FALSE)/100</f>
        <v>1.66E-2</v>
      </c>
      <c r="E1252" s="3" t="str">
        <f>VLOOKUP(NoviaFunds[[#This Row],[ISIN]],'Novia Web Query'!$A:$E,5,FALSE)</f>
        <v>11/01/2022</v>
      </c>
      <c r="F1252" t="str">
        <f>VLOOKUP(NoviaFunds[[#This Row],[Sector]],Sectors[],2,FALSE)</f>
        <v>European Equities</v>
      </c>
    </row>
    <row r="1253" spans="1:6" x14ac:dyDescent="0.2">
      <c r="A1253" t="str">
        <f>'Novia Web Query'!A1252</f>
        <v>GB00BD7XZ185</v>
      </c>
      <c r="B1253" t="str">
        <f>VLOOKUP(NoviaFunds[[#This Row],[ISIN]],'Novia Web Query'!$A:$E,2,FALSE)</f>
        <v>Fidelity European I Inc TR in GB**</v>
      </c>
      <c r="C1253" t="str">
        <f>VLOOKUP(NoviaFunds[[#This Row],[ISIN]],'Novia Web Query'!$A:$E,3,FALSE)</f>
        <v>UT Europe Excluding UK</v>
      </c>
      <c r="D1253" s="139">
        <f>VLOOKUP(NoviaFunds[[#This Row],[ISIN]],'Novia Web Query'!$A:$E,4,FALSE)/100</f>
        <v>8.1000000000000013E-3</v>
      </c>
      <c r="E1253" s="3" t="str">
        <f>VLOOKUP(NoviaFunds[[#This Row],[ISIN]],'Novia Web Query'!$A:$E,5,FALSE)</f>
        <v>11/01/2022</v>
      </c>
      <c r="F1253" t="str">
        <f>VLOOKUP(NoviaFunds[[#This Row],[Sector]],Sectors[],2,FALSE)</f>
        <v>European Equities</v>
      </c>
    </row>
    <row r="1254" spans="1:6" x14ac:dyDescent="0.2">
      <c r="A1254" t="str">
        <f>'Novia Web Query'!A1253</f>
        <v>GB00BFRT3504</v>
      </c>
      <c r="B1254" t="str">
        <f>VLOOKUP(NoviaFunds[[#This Row],[ISIN]],'Novia Web Query'!$A:$E,2,FALSE)</f>
        <v>Fidelity European W Acc in GB</v>
      </c>
      <c r="C1254" t="str">
        <f>VLOOKUP(NoviaFunds[[#This Row],[ISIN]],'Novia Web Query'!$A:$E,3,FALSE)</f>
        <v>UT Europe Excluding UK</v>
      </c>
      <c r="D1254" s="139">
        <f>VLOOKUP(NoviaFunds[[#This Row],[ISIN]],'Novia Web Query'!$A:$E,4,FALSE)/100</f>
        <v>9.1000000000000004E-3</v>
      </c>
      <c r="E1254" s="3" t="str">
        <f>VLOOKUP(NoviaFunds[[#This Row],[ISIN]],'Novia Web Query'!$A:$E,5,FALSE)</f>
        <v>11/01/2022</v>
      </c>
      <c r="F1254" t="str">
        <f>VLOOKUP(NoviaFunds[[#This Row],[Sector]],Sectors[],2,FALSE)</f>
        <v>European Equities</v>
      </c>
    </row>
    <row r="1255" spans="1:6" x14ac:dyDescent="0.2">
      <c r="A1255" t="str">
        <f>'Novia Web Query'!A1254</f>
        <v>GB00B7VNK956</v>
      </c>
      <c r="B1255" t="str">
        <f>VLOOKUP(NoviaFunds[[#This Row],[ISIN]],'Novia Web Query'!$A:$E,2,FALSE)</f>
        <v>Fidelity European W Inc TR in GB</v>
      </c>
      <c r="C1255" t="str">
        <f>VLOOKUP(NoviaFunds[[#This Row],[ISIN]],'Novia Web Query'!$A:$E,3,FALSE)</f>
        <v>UT Europe Excluding UK</v>
      </c>
      <c r="D1255" s="139">
        <f>VLOOKUP(NoviaFunds[[#This Row],[ISIN]],'Novia Web Query'!$A:$E,4,FALSE)/100</f>
        <v>9.1000000000000004E-3</v>
      </c>
      <c r="E1255" s="3" t="str">
        <f>VLOOKUP(NoviaFunds[[#This Row],[ISIN]],'Novia Web Query'!$A:$E,5,FALSE)</f>
        <v>11/01/2022</v>
      </c>
      <c r="F1255" t="str">
        <f>VLOOKUP(NoviaFunds[[#This Row],[Sector]],Sectors[],2,FALSE)</f>
        <v>European Equities</v>
      </c>
    </row>
    <row r="1256" spans="1:6" x14ac:dyDescent="0.2">
      <c r="A1256" t="str">
        <f>'Novia Web Query'!A1255</f>
        <v>GB00B3B5MQ48</v>
      </c>
      <c r="B1256" t="str">
        <f>VLOOKUP(NoviaFunds[[#This Row],[ISIN]],'Novia Web Query'!$A:$E,2,FALSE)</f>
        <v>Fidelity Extra Income Acc in GB</v>
      </c>
      <c r="C1256" t="str">
        <f>VLOOKUP(NoviaFunds[[#This Row],[ISIN]],'Novia Web Query'!$A:$E,3,FALSE)</f>
        <v>UT Sterling Strategic Bond</v>
      </c>
      <c r="D1256" s="139">
        <f>VLOOKUP(NoviaFunds[[#This Row],[ISIN]],'Novia Web Query'!$A:$E,4,FALSE)/100</f>
        <v>1.2500000000000001E-2</v>
      </c>
      <c r="E1256" s="3" t="str">
        <f>VLOOKUP(NoviaFunds[[#This Row],[ISIN]],'Novia Web Query'!$A:$E,5,FALSE)</f>
        <v>11/01/2022</v>
      </c>
      <c r="F1256" t="str">
        <f>VLOOKUP(NoviaFunds[[#This Row],[Sector]],Sectors[],2,FALSE)</f>
        <v>Other Bonds</v>
      </c>
    </row>
    <row r="1257" spans="1:6" x14ac:dyDescent="0.2">
      <c r="A1257" t="str">
        <f>'Novia Web Query'!A1256</f>
        <v>GB0005314926</v>
      </c>
      <c r="B1257" t="str">
        <f>VLOOKUP(NoviaFunds[[#This Row],[ISIN]],'Novia Web Query'!$A:$E,2,FALSE)</f>
        <v>Fidelity Extra Income Dis TR in GB</v>
      </c>
      <c r="C1257" t="str">
        <f>VLOOKUP(NoviaFunds[[#This Row],[ISIN]],'Novia Web Query'!$A:$E,3,FALSE)</f>
        <v>UT Sterling Strategic Bond</v>
      </c>
      <c r="D1257" s="139">
        <f>VLOOKUP(NoviaFunds[[#This Row],[ISIN]],'Novia Web Query'!$A:$E,4,FALSE)/100</f>
        <v>1.2500000000000001E-2</v>
      </c>
      <c r="E1257" s="3" t="str">
        <f>VLOOKUP(NoviaFunds[[#This Row],[ISIN]],'Novia Web Query'!$A:$E,5,FALSE)</f>
        <v>11/01/2022</v>
      </c>
      <c r="F1257" t="str">
        <f>VLOOKUP(NoviaFunds[[#This Row],[Sector]],Sectors[],2,FALSE)</f>
        <v>Other Bonds</v>
      </c>
    </row>
    <row r="1258" spans="1:6" x14ac:dyDescent="0.2">
      <c r="A1258" t="str">
        <f>'Novia Web Query'!A1257</f>
        <v>GB00B469P257</v>
      </c>
      <c r="B1258" t="str">
        <f>VLOOKUP(NoviaFunds[[#This Row],[ISIN]],'Novia Web Query'!$A:$E,2,FALSE)</f>
        <v>Fidelity Extra Income W TR in GB</v>
      </c>
      <c r="C1258" t="str">
        <f>VLOOKUP(NoviaFunds[[#This Row],[ISIN]],'Novia Web Query'!$A:$E,3,FALSE)</f>
        <v>UT Sterling Strategic Bond</v>
      </c>
      <c r="D1258" s="139">
        <f>VLOOKUP(NoviaFunds[[#This Row],[ISIN]],'Novia Web Query'!$A:$E,4,FALSE)/100</f>
        <v>6.0000000000000001E-3</v>
      </c>
      <c r="E1258" s="3" t="str">
        <f>VLOOKUP(NoviaFunds[[#This Row],[ISIN]],'Novia Web Query'!$A:$E,5,FALSE)</f>
        <v>11/01/2022</v>
      </c>
      <c r="F1258" t="str">
        <f>VLOOKUP(NoviaFunds[[#This Row],[Sector]],Sectors[],2,FALSE)</f>
        <v>Other Bonds</v>
      </c>
    </row>
    <row r="1259" spans="1:6" x14ac:dyDescent="0.2">
      <c r="A1259" t="str">
        <f>'Novia Web Query'!A1258</f>
        <v>GB00BFRT3611</v>
      </c>
      <c r="B1259" t="str">
        <f>VLOOKUP(NoviaFunds[[#This Row],[ISIN]],'Novia Web Query'!$A:$E,2,FALSE)</f>
        <v>Fidelity Extra Income W Acc TR in GB</v>
      </c>
      <c r="C1259" t="str">
        <f>VLOOKUP(NoviaFunds[[#This Row],[ISIN]],'Novia Web Query'!$A:$E,3,FALSE)</f>
        <v>UT Sterling Strategic Bond</v>
      </c>
      <c r="D1259" s="139">
        <f>VLOOKUP(NoviaFunds[[#This Row],[ISIN]],'Novia Web Query'!$A:$E,4,FALSE)/100</f>
        <v>6.0000000000000001E-3</v>
      </c>
      <c r="E1259" s="3" t="str">
        <f>VLOOKUP(NoviaFunds[[#This Row],[ISIN]],'Novia Web Query'!$A:$E,5,FALSE)</f>
        <v>11/01/2022</v>
      </c>
      <c r="F1259" t="str">
        <f>VLOOKUP(NoviaFunds[[#This Row],[Sector]],Sectors[],2,FALSE)</f>
        <v>Other Bonds</v>
      </c>
    </row>
    <row r="1260" spans="1:6" x14ac:dyDescent="0.2">
      <c r="A1260" t="str">
        <f>'Novia Web Query'!A1259</f>
        <v>GB00B7FQHJ97</v>
      </c>
      <c r="B1260" t="str">
        <f>VLOOKUP(NoviaFunds[[#This Row],[ISIN]],'Novia Web Query'!$A:$E,2,FALSE)</f>
        <v>Fidelity Global Dividend A Acc GBP in GB</v>
      </c>
      <c r="C1260" t="str">
        <f>VLOOKUP(NoviaFunds[[#This Row],[ISIN]],'Novia Web Query'!$A:$E,3,FALSE)</f>
        <v>UT Global Equity Income</v>
      </c>
      <c r="D1260" s="139">
        <f>VLOOKUP(NoviaFunds[[#This Row],[ISIN]],'Novia Web Query'!$A:$E,4,FALSE)/100</f>
        <v>1.6799999999999999E-2</v>
      </c>
      <c r="E1260" s="3" t="str">
        <f>VLOOKUP(NoviaFunds[[#This Row],[ISIN]],'Novia Web Query'!$A:$E,5,FALSE)</f>
        <v>11/01/2022</v>
      </c>
      <c r="F1260" t="str">
        <f>VLOOKUP(NoviaFunds[[#This Row],[Sector]],Sectors[],2,FALSE)</f>
        <v>Other Equities</v>
      </c>
    </row>
    <row r="1261" spans="1:6" x14ac:dyDescent="0.2">
      <c r="A1261" t="str">
        <f>'Novia Web Query'!A1260</f>
        <v>GB00B7GJPN73</v>
      </c>
      <c r="B1261" t="str">
        <f>VLOOKUP(NoviaFunds[[#This Row],[ISIN]],'Novia Web Query'!$A:$E,2,FALSE)</f>
        <v>Fidelity Global Dividend W Acc in GB</v>
      </c>
      <c r="C1261" t="str">
        <f>VLOOKUP(NoviaFunds[[#This Row],[ISIN]],'Novia Web Query'!$A:$E,3,FALSE)</f>
        <v>UT Global Equity Income</v>
      </c>
      <c r="D1261" s="139">
        <f>VLOOKUP(NoviaFunds[[#This Row],[ISIN]],'Novia Web Query'!$A:$E,4,FALSE)/100</f>
        <v>9.300000000000001E-3</v>
      </c>
      <c r="E1261" s="3" t="str">
        <f>VLOOKUP(NoviaFunds[[#This Row],[ISIN]],'Novia Web Query'!$A:$E,5,FALSE)</f>
        <v>11/01/2022</v>
      </c>
      <c r="F1261" t="str">
        <f>VLOOKUP(NoviaFunds[[#This Row],[Sector]],Sectors[],2,FALSE)</f>
        <v>Other Equities</v>
      </c>
    </row>
    <row r="1262" spans="1:6" x14ac:dyDescent="0.2">
      <c r="A1262" t="str">
        <f>'Novia Web Query'!A1261</f>
        <v>GB00B7778087</v>
      </c>
      <c r="B1262" t="str">
        <f>VLOOKUP(NoviaFunds[[#This Row],[ISIN]],'Novia Web Query'!$A:$E,2,FALSE)</f>
        <v>Fidelity Global Dividend W Inc TR in GB</v>
      </c>
      <c r="C1262" t="str">
        <f>VLOOKUP(NoviaFunds[[#This Row],[ISIN]],'Novia Web Query'!$A:$E,3,FALSE)</f>
        <v>UT Global Equity Income</v>
      </c>
      <c r="D1262" s="139">
        <f>VLOOKUP(NoviaFunds[[#This Row],[ISIN]],'Novia Web Query'!$A:$E,4,FALSE)/100</f>
        <v>9.300000000000001E-3</v>
      </c>
      <c r="E1262" s="3" t="str">
        <f>VLOOKUP(NoviaFunds[[#This Row],[ISIN]],'Novia Web Query'!$A:$E,5,FALSE)</f>
        <v>11/01/2022</v>
      </c>
      <c r="F1262" t="str">
        <f>VLOOKUP(NoviaFunds[[#This Row],[Sector]],Sectors[],2,FALSE)</f>
        <v>Other Equities</v>
      </c>
    </row>
    <row r="1263" spans="1:6" x14ac:dyDescent="0.2">
      <c r="A1263" t="str">
        <f>'Novia Web Query'!A1262</f>
        <v>GB00BYSYZL73</v>
      </c>
      <c r="B1263" t="str">
        <f>VLOOKUP(NoviaFunds[[#This Row],[ISIN]],'Novia Web Query'!$A:$E,2,FALSE)</f>
        <v>Fidelity Global Dividend W Monthly Inc TR in GB**</v>
      </c>
      <c r="C1263" t="str">
        <f>VLOOKUP(NoviaFunds[[#This Row],[ISIN]],'Novia Web Query'!$A:$E,3,FALSE)</f>
        <v>UT Global Equity Income</v>
      </c>
      <c r="D1263" s="139">
        <f>VLOOKUP(NoviaFunds[[#This Row],[ISIN]],'Novia Web Query'!$A:$E,4,FALSE)/100</f>
        <v>9.300000000000001E-3</v>
      </c>
      <c r="E1263" s="3" t="str">
        <f>VLOOKUP(NoviaFunds[[#This Row],[ISIN]],'Novia Web Query'!$A:$E,5,FALSE)</f>
        <v>11/01/2022</v>
      </c>
      <c r="F1263" t="str">
        <f>VLOOKUP(NoviaFunds[[#This Row],[Sector]],Sectors[],2,FALSE)</f>
        <v>Other Equities</v>
      </c>
    </row>
    <row r="1264" spans="1:6" x14ac:dyDescent="0.2">
      <c r="A1264" t="str">
        <f>'Novia Web Query'!A1263</f>
        <v>GB00BD1NLL62</v>
      </c>
      <c r="B1264" t="str">
        <f>VLOOKUP(NoviaFunds[[#This Row],[ISIN]],'Novia Web Query'!$A:$E,2,FALSE)</f>
        <v>Fidelity Global Enhanced Income W Acc in GB</v>
      </c>
      <c r="C1264" t="str">
        <f>VLOOKUP(NoviaFunds[[#This Row],[ISIN]],'Novia Web Query'!$A:$E,3,FALSE)</f>
        <v>UT Global Equity Income</v>
      </c>
      <c r="D1264" s="139">
        <f>VLOOKUP(NoviaFunds[[#This Row],[ISIN]],'Novia Web Query'!$A:$E,4,FALSE)/100</f>
        <v>9.3999999999999986E-3</v>
      </c>
      <c r="E1264" s="3" t="str">
        <f>VLOOKUP(NoviaFunds[[#This Row],[ISIN]],'Novia Web Query'!$A:$E,5,FALSE)</f>
        <v>11/01/2022</v>
      </c>
      <c r="F1264" t="str">
        <f>VLOOKUP(NoviaFunds[[#This Row],[Sector]],Sectors[],2,FALSE)</f>
        <v>Other Equities</v>
      </c>
    </row>
    <row r="1265" spans="1:6" x14ac:dyDescent="0.2">
      <c r="A1265" t="str">
        <f>'Novia Web Query'!A1264</f>
        <v>GB00BD1NLJ41</v>
      </c>
      <c r="B1265" t="str">
        <f>VLOOKUP(NoviaFunds[[#This Row],[ISIN]],'Novia Web Query'!$A:$E,2,FALSE)</f>
        <v>Fidelity Global Enhanced Income W Inc TR in GB</v>
      </c>
      <c r="C1265" t="str">
        <f>VLOOKUP(NoviaFunds[[#This Row],[ISIN]],'Novia Web Query'!$A:$E,3,FALSE)</f>
        <v>UT Global Equity Income</v>
      </c>
      <c r="D1265" s="139">
        <f>VLOOKUP(NoviaFunds[[#This Row],[ISIN]],'Novia Web Query'!$A:$E,4,FALSE)/100</f>
        <v>9.3999999999999986E-3</v>
      </c>
      <c r="E1265" s="3" t="str">
        <f>VLOOKUP(NoviaFunds[[#This Row],[ISIN]],'Novia Web Query'!$A:$E,5,FALSE)</f>
        <v>11/01/2022</v>
      </c>
      <c r="F1265" t="str">
        <f>VLOOKUP(NoviaFunds[[#This Row],[Sector]],Sectors[],2,FALSE)</f>
        <v>Other Equities</v>
      </c>
    </row>
    <row r="1266" spans="1:6" x14ac:dyDescent="0.2">
      <c r="A1266" t="str">
        <f>'Novia Web Query'!A1265</f>
        <v>GB00BYSYZN97</v>
      </c>
      <c r="B1266" t="str">
        <f>VLOOKUP(NoviaFunds[[#This Row],[ISIN]],'Novia Web Query'!$A:$E,2,FALSE)</f>
        <v>Fidelity Global Enhanced Income W Monthly Inc TR in GB**</v>
      </c>
      <c r="C1266" t="str">
        <f>VLOOKUP(NoviaFunds[[#This Row],[ISIN]],'Novia Web Query'!$A:$E,3,FALSE)</f>
        <v>UT Global Equity Income</v>
      </c>
      <c r="D1266" s="139">
        <f>VLOOKUP(NoviaFunds[[#This Row],[ISIN]],'Novia Web Query'!$A:$E,4,FALSE)/100</f>
        <v>9.3999999999999986E-3</v>
      </c>
      <c r="E1266" s="3" t="str">
        <f>VLOOKUP(NoviaFunds[[#This Row],[ISIN]],'Novia Web Query'!$A:$E,5,FALSE)</f>
        <v>11/01/2022</v>
      </c>
      <c r="F1266" t="str">
        <f>VLOOKUP(NoviaFunds[[#This Row],[Sector]],Sectors[],2,FALSE)</f>
        <v>Other Equities</v>
      </c>
    </row>
    <row r="1267" spans="1:6" x14ac:dyDescent="0.2">
      <c r="A1267" t="str">
        <f>'Novia Web Query'!A1266</f>
        <v>GB0003860789</v>
      </c>
      <c r="B1267" t="str">
        <f>VLOOKUP(NoviaFunds[[#This Row],[ISIN]],'Novia Web Query'!$A:$E,2,FALSE)</f>
        <v>Fidelity Global Focus Acc in GB</v>
      </c>
      <c r="C1267" t="str">
        <f>VLOOKUP(NoviaFunds[[#This Row],[ISIN]],'Novia Web Query'!$A:$E,3,FALSE)</f>
        <v>UT Global</v>
      </c>
      <c r="D1267" s="139">
        <f>VLOOKUP(NoviaFunds[[#This Row],[ISIN]],'Novia Web Query'!$A:$E,4,FALSE)/100</f>
        <v>1.6E-2</v>
      </c>
      <c r="E1267" s="3" t="str">
        <f>VLOOKUP(NoviaFunds[[#This Row],[ISIN]],'Novia Web Query'!$A:$E,5,FALSE)</f>
        <v>11/01/2022</v>
      </c>
      <c r="F1267" t="str">
        <f>VLOOKUP(NoviaFunds[[#This Row],[Sector]],Sectors[],2,FALSE)</f>
        <v>Other Equities</v>
      </c>
    </row>
    <row r="1268" spans="1:6" x14ac:dyDescent="0.2">
      <c r="A1268" t="str">
        <f>'Novia Web Query'!A1267</f>
        <v>GB00B3RDH349</v>
      </c>
      <c r="B1268" t="str">
        <f>VLOOKUP(NoviaFunds[[#This Row],[ISIN]],'Novia Web Query'!$A:$E,2,FALSE)</f>
        <v>Fidelity Global Focus W Acc in GB</v>
      </c>
      <c r="C1268" t="str">
        <f>VLOOKUP(NoviaFunds[[#This Row],[ISIN]],'Novia Web Query'!$A:$E,3,FALSE)</f>
        <v>UT Global</v>
      </c>
      <c r="D1268" s="139">
        <f>VLOOKUP(NoviaFunds[[#This Row],[ISIN]],'Novia Web Query'!$A:$E,4,FALSE)/100</f>
        <v>8.5000000000000006E-3</v>
      </c>
      <c r="E1268" s="3" t="str">
        <f>VLOOKUP(NoviaFunds[[#This Row],[ISIN]],'Novia Web Query'!$A:$E,5,FALSE)</f>
        <v>11/01/2022</v>
      </c>
      <c r="F1268" t="str">
        <f>VLOOKUP(NoviaFunds[[#This Row],[Sector]],Sectors[],2,FALSE)</f>
        <v>Other Equities</v>
      </c>
    </row>
    <row r="1269" spans="1:6" x14ac:dyDescent="0.2">
      <c r="A1269" t="str">
        <f>'Novia Web Query'!A1268</f>
        <v>GB00B7K7SQ18</v>
      </c>
      <c r="B1269" t="str">
        <f>VLOOKUP(NoviaFunds[[#This Row],[ISIN]],'Novia Web Query'!$A:$E,2,FALSE)</f>
        <v>Fidelity Global High Yield W Acc in GB</v>
      </c>
      <c r="C1269" t="str">
        <f>VLOOKUP(NoviaFunds[[#This Row],[ISIN]],'Novia Web Query'!$A:$E,3,FALSE)</f>
        <v>UT Sterling High Yield</v>
      </c>
      <c r="D1269" s="139">
        <f>VLOOKUP(NoviaFunds[[#This Row],[ISIN]],'Novia Web Query'!$A:$E,4,FALSE)/100</f>
        <v>6.9999999999999993E-3</v>
      </c>
      <c r="E1269" s="3" t="str">
        <f>VLOOKUP(NoviaFunds[[#This Row],[ISIN]],'Novia Web Query'!$A:$E,5,FALSE)</f>
        <v>11/01/2022</v>
      </c>
      <c r="F1269" t="str">
        <f>VLOOKUP(NoviaFunds[[#This Row],[Sector]],Sectors[],2,FALSE)</f>
        <v>High Yield</v>
      </c>
    </row>
    <row r="1270" spans="1:6" x14ac:dyDescent="0.2">
      <c r="A1270" t="str">
        <f>'Novia Web Query'!A1269</f>
        <v>GB00B7KK0195</v>
      </c>
      <c r="B1270" t="str">
        <f>VLOOKUP(NoviaFunds[[#This Row],[ISIN]],'Novia Web Query'!$A:$E,2,FALSE)</f>
        <v>Fidelity Global High Yield W Inc TR in GB</v>
      </c>
      <c r="C1270" t="str">
        <f>VLOOKUP(NoviaFunds[[#This Row],[ISIN]],'Novia Web Query'!$A:$E,3,FALSE)</f>
        <v>UT Sterling High Yield</v>
      </c>
      <c r="D1270" s="139">
        <f>VLOOKUP(NoviaFunds[[#This Row],[ISIN]],'Novia Web Query'!$A:$E,4,FALSE)/100</f>
        <v>6.9999999999999993E-3</v>
      </c>
      <c r="E1270" s="3" t="str">
        <f>VLOOKUP(NoviaFunds[[#This Row],[ISIN]],'Novia Web Query'!$A:$E,5,FALSE)</f>
        <v>11/01/2022</v>
      </c>
      <c r="F1270" t="str">
        <f>VLOOKUP(NoviaFunds[[#This Row],[Sector]],Sectors[],2,FALSE)</f>
        <v>High Yield</v>
      </c>
    </row>
    <row r="1271" spans="1:6" x14ac:dyDescent="0.2">
      <c r="A1271" t="str">
        <f>'Novia Web Query'!A1270</f>
        <v>GB00B1BXCS68</v>
      </c>
      <c r="B1271" t="str">
        <f>VLOOKUP(NoviaFunds[[#This Row],[ISIN]],'Novia Web Query'!$A:$E,2,FALSE)</f>
        <v>Fidelity Global Property Acc in GB</v>
      </c>
      <c r="C1271" t="str">
        <f>VLOOKUP(NoviaFunds[[#This Row],[ISIN]],'Novia Web Query'!$A:$E,3,FALSE)</f>
        <v>UT Property Other</v>
      </c>
      <c r="D1271" s="139">
        <f>VLOOKUP(NoviaFunds[[#This Row],[ISIN]],'Novia Web Query'!$A:$E,4,FALSE)/100</f>
        <v>1.6799999999999999E-2</v>
      </c>
      <c r="E1271" s="3" t="str">
        <f>VLOOKUP(NoviaFunds[[#This Row],[ISIN]],'Novia Web Query'!$A:$E,5,FALSE)</f>
        <v>11/01/2022</v>
      </c>
      <c r="F1271" t="e">
        <f>VLOOKUP(NoviaFunds[[#This Row],[Sector]],Sectors[],2,FALSE)</f>
        <v>#N/A</v>
      </c>
    </row>
    <row r="1272" spans="1:6" x14ac:dyDescent="0.2">
      <c r="A1272" t="str">
        <f>'Novia Web Query'!A1271</f>
        <v>GB00B7K2NZ09</v>
      </c>
      <c r="B1272" t="str">
        <f>VLOOKUP(NoviaFunds[[#This Row],[ISIN]],'Novia Web Query'!$A:$E,2,FALSE)</f>
        <v>Fidelity Global Property W Acc in GB</v>
      </c>
      <c r="C1272" t="str">
        <f>VLOOKUP(NoviaFunds[[#This Row],[ISIN]],'Novia Web Query'!$A:$E,3,FALSE)</f>
        <v>UT Property Other</v>
      </c>
      <c r="D1272" s="139">
        <f>VLOOKUP(NoviaFunds[[#This Row],[ISIN]],'Novia Web Query'!$A:$E,4,FALSE)/100</f>
        <v>9.300000000000001E-3</v>
      </c>
      <c r="E1272" s="3" t="str">
        <f>VLOOKUP(NoviaFunds[[#This Row],[ISIN]],'Novia Web Query'!$A:$E,5,FALSE)</f>
        <v>11/01/2022</v>
      </c>
      <c r="F1272" t="e">
        <f>VLOOKUP(NoviaFunds[[#This Row],[Sector]],Sectors[],2,FALSE)</f>
        <v>#N/A</v>
      </c>
    </row>
    <row r="1273" spans="1:6" x14ac:dyDescent="0.2">
      <c r="A1273" t="str">
        <f>'Novia Web Query'!A1272</f>
        <v>GB00BJ629381</v>
      </c>
      <c r="B1273" t="str">
        <f>VLOOKUP(NoviaFunds[[#This Row],[ISIN]],'Novia Web Query'!$A:$E,2,FALSE)</f>
        <v>Fidelity Global Property W Inc TR in GB**</v>
      </c>
      <c r="C1273" t="str">
        <f>VLOOKUP(NoviaFunds[[#This Row],[ISIN]],'Novia Web Query'!$A:$E,3,FALSE)</f>
        <v>UT Property Other</v>
      </c>
      <c r="D1273" s="139">
        <f>VLOOKUP(NoviaFunds[[#This Row],[ISIN]],'Novia Web Query'!$A:$E,4,FALSE)/100</f>
        <v>9.300000000000001E-3</v>
      </c>
      <c r="E1273" s="3" t="str">
        <f>VLOOKUP(NoviaFunds[[#This Row],[ISIN]],'Novia Web Query'!$A:$E,5,FALSE)</f>
        <v>11/01/2022</v>
      </c>
      <c r="F1273" t="e">
        <f>VLOOKUP(NoviaFunds[[#This Row],[Sector]],Sectors[],2,FALSE)</f>
        <v>#N/A</v>
      </c>
    </row>
    <row r="1274" spans="1:6" x14ac:dyDescent="0.2">
      <c r="A1274" t="str">
        <f>'Novia Web Query'!A1273</f>
        <v>GB00B196XG23</v>
      </c>
      <c r="B1274" t="str">
        <f>VLOOKUP(NoviaFunds[[#This Row],[ISIN]],'Novia Web Query'!$A:$E,2,FALSE)</f>
        <v>Fidelity Global Special Situations Acc in GB</v>
      </c>
      <c r="C1274" t="str">
        <f>VLOOKUP(NoviaFunds[[#This Row],[ISIN]],'Novia Web Query'!$A:$E,3,FALSE)</f>
        <v>UT Global</v>
      </c>
      <c r="D1274" s="139">
        <f>VLOOKUP(NoviaFunds[[#This Row],[ISIN]],'Novia Web Query'!$A:$E,4,FALSE)/100</f>
        <v>1.66E-2</v>
      </c>
      <c r="E1274" s="3" t="str">
        <f>VLOOKUP(NoviaFunds[[#This Row],[ISIN]],'Novia Web Query'!$A:$E,5,FALSE)</f>
        <v>11/01/2022</v>
      </c>
      <c r="F1274" t="str">
        <f>VLOOKUP(NoviaFunds[[#This Row],[Sector]],Sectors[],2,FALSE)</f>
        <v>Other Equities</v>
      </c>
    </row>
    <row r="1275" spans="1:6" x14ac:dyDescent="0.2">
      <c r="A1275" t="str">
        <f>'Novia Web Query'!A1274</f>
        <v>GB00B8HT7153</v>
      </c>
      <c r="B1275" t="str">
        <f>VLOOKUP(NoviaFunds[[#This Row],[ISIN]],'Novia Web Query'!$A:$E,2,FALSE)</f>
        <v>Fidelity Global Special Situations W Acc in GB</v>
      </c>
      <c r="C1275" t="str">
        <f>VLOOKUP(NoviaFunds[[#This Row],[ISIN]],'Novia Web Query'!$A:$E,3,FALSE)</f>
        <v>UT Global</v>
      </c>
      <c r="D1275" s="139">
        <f>VLOOKUP(NoviaFunds[[#This Row],[ISIN]],'Novia Web Query'!$A:$E,4,FALSE)/100</f>
        <v>9.1000000000000004E-3</v>
      </c>
      <c r="E1275" s="3" t="str">
        <f>VLOOKUP(NoviaFunds[[#This Row],[ISIN]],'Novia Web Query'!$A:$E,5,FALSE)</f>
        <v>11/01/2022</v>
      </c>
      <c r="F1275" t="str">
        <f>VLOOKUP(NoviaFunds[[#This Row],[Sector]],Sectors[],2,FALSE)</f>
        <v>Other Equities</v>
      </c>
    </row>
    <row r="1276" spans="1:6" x14ac:dyDescent="0.2">
      <c r="A1276" t="str">
        <f>'Novia Web Query'!A1275</f>
        <v>GB00BHZK8D21</v>
      </c>
      <c r="B1276" t="str">
        <f>VLOOKUP(NoviaFunds[[#This Row],[ISIN]],'Novia Web Query'!$A:$E,2,FALSE)</f>
        <v>Fidelity Index Emerging Markets P Acc in GB</v>
      </c>
      <c r="C1276" t="str">
        <f>VLOOKUP(NoviaFunds[[#This Row],[ISIN]],'Novia Web Query'!$A:$E,3,FALSE)</f>
        <v>UT Global Emerging Markets</v>
      </c>
      <c r="D1276" s="139">
        <f>VLOOKUP(NoviaFunds[[#This Row],[ISIN]],'Novia Web Query'!$A:$E,4,FALSE)/100</f>
        <v>2E-3</v>
      </c>
      <c r="E1276" s="3" t="str">
        <f>VLOOKUP(NoviaFunds[[#This Row],[ISIN]],'Novia Web Query'!$A:$E,5,FALSE)</f>
        <v>11/01/2022</v>
      </c>
      <c r="F1276" t="str">
        <f>VLOOKUP(NoviaFunds[[#This Row],[Sector]],Sectors[],2,FALSE)</f>
        <v>Emerging Markets</v>
      </c>
    </row>
    <row r="1277" spans="1:6" x14ac:dyDescent="0.2">
      <c r="A1277" t="str">
        <f>'Novia Web Query'!A1276</f>
        <v>GB00BP8RYT47</v>
      </c>
      <c r="B1277" t="str">
        <f>VLOOKUP(NoviaFunds[[#This Row],[ISIN]],'Novia Web Query'!$A:$E,2,FALSE)</f>
        <v>Fidelity Index Emerging Markets P Inc TR in GB**</v>
      </c>
      <c r="C1277" t="str">
        <f>VLOOKUP(NoviaFunds[[#This Row],[ISIN]],'Novia Web Query'!$A:$E,3,FALSE)</f>
        <v>UT Global Emerging Markets</v>
      </c>
      <c r="D1277" s="139">
        <f>VLOOKUP(NoviaFunds[[#This Row],[ISIN]],'Novia Web Query'!$A:$E,4,FALSE)/100</f>
        <v>2E-3</v>
      </c>
      <c r="E1277" s="3" t="str">
        <f>VLOOKUP(NoviaFunds[[#This Row],[ISIN]],'Novia Web Query'!$A:$E,5,FALSE)</f>
        <v>11/01/2022</v>
      </c>
      <c r="F1277" t="str">
        <f>VLOOKUP(NoviaFunds[[#This Row],[Sector]],Sectors[],2,FALSE)</f>
        <v>Emerging Markets</v>
      </c>
    </row>
    <row r="1278" spans="1:6" x14ac:dyDescent="0.2">
      <c r="A1278" t="str">
        <f>'Novia Web Query'!A1277</f>
        <v>GB00BHZK8B07</v>
      </c>
      <c r="B1278" t="str">
        <f>VLOOKUP(NoviaFunds[[#This Row],[ISIN]],'Novia Web Query'!$A:$E,2,FALSE)</f>
        <v>Fidelity Index Europe ex UK P Acc in GB</v>
      </c>
      <c r="C1278" t="str">
        <f>VLOOKUP(NoviaFunds[[#This Row],[ISIN]],'Novia Web Query'!$A:$E,3,FALSE)</f>
        <v>UT Europe Excluding UK</v>
      </c>
      <c r="D1278" s="139">
        <f>VLOOKUP(NoviaFunds[[#This Row],[ISIN]],'Novia Web Query'!$A:$E,4,FALSE)/100</f>
        <v>1E-3</v>
      </c>
      <c r="E1278" s="3" t="str">
        <f>VLOOKUP(NoviaFunds[[#This Row],[ISIN]],'Novia Web Query'!$A:$E,5,FALSE)</f>
        <v>11/01/2022</v>
      </c>
      <c r="F1278" t="str">
        <f>VLOOKUP(NoviaFunds[[#This Row],[Sector]],Sectors[],2,FALSE)</f>
        <v>European Equities</v>
      </c>
    </row>
    <row r="1279" spans="1:6" x14ac:dyDescent="0.2">
      <c r="A1279" t="str">
        <f>'Novia Web Query'!A1278</f>
        <v>GB00BP8RYD86</v>
      </c>
      <c r="B1279" t="str">
        <f>VLOOKUP(NoviaFunds[[#This Row],[ISIN]],'Novia Web Query'!$A:$E,2,FALSE)</f>
        <v>Fidelity Index Europe ex UK P Inc TR in GB**</v>
      </c>
      <c r="C1279" t="str">
        <f>VLOOKUP(NoviaFunds[[#This Row],[ISIN]],'Novia Web Query'!$A:$E,3,FALSE)</f>
        <v>UT Europe Excluding UK</v>
      </c>
      <c r="D1279" s="139">
        <f>VLOOKUP(NoviaFunds[[#This Row],[ISIN]],'Novia Web Query'!$A:$E,4,FALSE)/100</f>
        <v>1E-3</v>
      </c>
      <c r="E1279" s="3" t="str">
        <f>VLOOKUP(NoviaFunds[[#This Row],[ISIN]],'Novia Web Query'!$A:$E,5,FALSE)</f>
        <v>11/01/2022</v>
      </c>
      <c r="F1279" t="str">
        <f>VLOOKUP(NoviaFunds[[#This Row],[Sector]],Sectors[],2,FALSE)</f>
        <v>European Equities</v>
      </c>
    </row>
    <row r="1280" spans="1:6" x14ac:dyDescent="0.2">
      <c r="A1280" t="str">
        <f>'Novia Web Query'!A1279</f>
        <v>GB00BHZK8872</v>
      </c>
      <c r="B1280" t="str">
        <f>VLOOKUP(NoviaFunds[[#This Row],[ISIN]],'Novia Web Query'!$A:$E,2,FALSE)</f>
        <v>Fidelity Index Japan P Acc in GB</v>
      </c>
      <c r="C1280" t="str">
        <f>VLOOKUP(NoviaFunds[[#This Row],[ISIN]],'Novia Web Query'!$A:$E,3,FALSE)</f>
        <v>UT Japan</v>
      </c>
      <c r="D1280" s="139">
        <f>VLOOKUP(NoviaFunds[[#This Row],[ISIN]],'Novia Web Query'!$A:$E,4,FALSE)/100</f>
        <v>1E-3</v>
      </c>
      <c r="E1280" s="3" t="str">
        <f>VLOOKUP(NoviaFunds[[#This Row],[ISIN]],'Novia Web Query'!$A:$E,5,FALSE)</f>
        <v>11/01/2022</v>
      </c>
      <c r="F1280" t="str">
        <f>VLOOKUP(NoviaFunds[[#This Row],[Sector]],Sectors[],2,FALSE)</f>
        <v>Japanese Equities</v>
      </c>
    </row>
    <row r="1281" spans="1:6" x14ac:dyDescent="0.2">
      <c r="A1281" t="str">
        <f>'Novia Web Query'!A1280</f>
        <v>GB00BP8RYP09</v>
      </c>
      <c r="B1281" t="str">
        <f>VLOOKUP(NoviaFunds[[#This Row],[ISIN]],'Novia Web Query'!$A:$E,2,FALSE)</f>
        <v>Fidelity Index Japan P Inc TR in GB**</v>
      </c>
      <c r="C1281" t="str">
        <f>VLOOKUP(NoviaFunds[[#This Row],[ISIN]],'Novia Web Query'!$A:$E,3,FALSE)</f>
        <v>UT Japan</v>
      </c>
      <c r="D1281" s="139">
        <f>VLOOKUP(NoviaFunds[[#This Row],[ISIN]],'Novia Web Query'!$A:$E,4,FALSE)/100</f>
        <v>1E-3</v>
      </c>
      <c r="E1281" s="3" t="str">
        <f>VLOOKUP(NoviaFunds[[#This Row],[ISIN]],'Novia Web Query'!$A:$E,5,FALSE)</f>
        <v>11/01/2022</v>
      </c>
      <c r="F1281" t="str">
        <f>VLOOKUP(NoviaFunds[[#This Row],[Sector]],Sectors[],2,FALSE)</f>
        <v>Japanese Equities</v>
      </c>
    </row>
    <row r="1282" spans="1:6" x14ac:dyDescent="0.2">
      <c r="A1282" t="str">
        <f>'Novia Web Query'!A1281</f>
        <v>GB00BHZK8G51</v>
      </c>
      <c r="B1282" t="str">
        <f>VLOOKUP(NoviaFunds[[#This Row],[ISIN]],'Novia Web Query'!$A:$E,2,FALSE)</f>
        <v>Fidelity Index Pacific ex Japan P Acc in GB</v>
      </c>
      <c r="C1282" t="str">
        <f>VLOOKUP(NoviaFunds[[#This Row],[ISIN]],'Novia Web Query'!$A:$E,3,FALSE)</f>
        <v>UT Asia Pacific Excluding Japan</v>
      </c>
      <c r="D1282" s="139">
        <f>VLOOKUP(NoviaFunds[[#This Row],[ISIN]],'Novia Web Query'!$A:$E,4,FALSE)/100</f>
        <v>1.2999999999999999E-3</v>
      </c>
      <c r="E1282" s="3" t="str">
        <f>VLOOKUP(NoviaFunds[[#This Row],[ISIN]],'Novia Web Query'!$A:$E,5,FALSE)</f>
        <v>11/01/2022</v>
      </c>
      <c r="F1282" t="str">
        <f>VLOOKUP(NoviaFunds[[#This Row],[Sector]],Sectors[],2,FALSE)</f>
        <v>Asia Pacific</v>
      </c>
    </row>
    <row r="1283" spans="1:6" x14ac:dyDescent="0.2">
      <c r="A1283" t="str">
        <f>'Novia Web Query'!A1282</f>
        <v>GB00BP8RYR23</v>
      </c>
      <c r="B1283" t="str">
        <f>VLOOKUP(NoviaFunds[[#This Row],[ISIN]],'Novia Web Query'!$A:$E,2,FALSE)</f>
        <v>Fidelity Index Pacific ex Japan P Inc TR in GB**</v>
      </c>
      <c r="C1283" t="str">
        <f>VLOOKUP(NoviaFunds[[#This Row],[ISIN]],'Novia Web Query'!$A:$E,3,FALSE)</f>
        <v>UT Asia Pacific Excluding Japan</v>
      </c>
      <c r="D1283" s="139">
        <f>VLOOKUP(NoviaFunds[[#This Row],[ISIN]],'Novia Web Query'!$A:$E,4,FALSE)/100</f>
        <v>1.2999999999999999E-3</v>
      </c>
      <c r="E1283" s="3" t="str">
        <f>VLOOKUP(NoviaFunds[[#This Row],[ISIN]],'Novia Web Query'!$A:$E,5,FALSE)</f>
        <v>11/01/2022</v>
      </c>
      <c r="F1283" t="str">
        <f>VLOOKUP(NoviaFunds[[#This Row],[Sector]],Sectors[],2,FALSE)</f>
        <v>Asia Pacific</v>
      </c>
    </row>
    <row r="1284" spans="1:6" x14ac:dyDescent="0.2">
      <c r="A1284" t="str">
        <f>'Novia Web Query'!A1283</f>
        <v>GB0003875324</v>
      </c>
      <c r="B1284" t="str">
        <f>VLOOKUP(NoviaFunds[[#This Row],[ISIN]],'Novia Web Query'!$A:$E,2,FALSE)</f>
        <v>Fidelity Index UK A in GB</v>
      </c>
      <c r="C1284" t="str">
        <f>VLOOKUP(NoviaFunds[[#This Row],[ISIN]],'Novia Web Query'!$A:$E,3,FALSE)</f>
        <v>UT UK All Companies</v>
      </c>
      <c r="D1284" s="139">
        <f>VLOOKUP(NoviaFunds[[#This Row],[ISIN]],'Novia Web Query'!$A:$E,4,FALSE)/100</f>
        <v>3.0000000000000001E-3</v>
      </c>
      <c r="E1284" s="3" t="str">
        <f>VLOOKUP(NoviaFunds[[#This Row],[ISIN]],'Novia Web Query'!$A:$E,5,FALSE)</f>
        <v>11/01/2022</v>
      </c>
      <c r="F1284" t="str">
        <f>VLOOKUP(NoviaFunds[[#This Row],[Sector]],Sectors[],2,FALSE)</f>
        <v>UK Equities</v>
      </c>
    </row>
    <row r="1285" spans="1:6" x14ac:dyDescent="0.2">
      <c r="A1285" t="str">
        <f>'Novia Web Query'!A1284</f>
        <v>GB00BMQ59H27</v>
      </c>
      <c r="B1285" t="str">
        <f>VLOOKUP(NoviaFunds[[#This Row],[ISIN]],'Novia Web Query'!$A:$E,2,FALSE)</f>
        <v>Fidelity Index UK Gilt P Inc TR in GB</v>
      </c>
      <c r="C1285" t="str">
        <f>VLOOKUP(NoviaFunds[[#This Row],[ISIN]],'Novia Web Query'!$A:$E,3,FALSE)</f>
        <v>UT UK Gilts</v>
      </c>
      <c r="D1285" s="139">
        <f>VLOOKUP(NoviaFunds[[#This Row],[ISIN]],'Novia Web Query'!$A:$E,4,FALSE)/100</f>
        <v>1E-3</v>
      </c>
      <c r="E1285" s="3" t="str">
        <f>VLOOKUP(NoviaFunds[[#This Row],[ISIN]],'Novia Web Query'!$A:$E,5,FALSE)</f>
        <v>11/01/2022</v>
      </c>
      <c r="F1285" t="str">
        <f>VLOOKUP(NoviaFunds[[#This Row],[Sector]],Sectors[],2,FALSE)</f>
        <v>Gilts</v>
      </c>
    </row>
    <row r="1286" spans="1:6" x14ac:dyDescent="0.2">
      <c r="A1286" t="str">
        <f>'Novia Web Query'!A1285</f>
        <v>GB00BJS8SF95</v>
      </c>
      <c r="B1286" t="str">
        <f>VLOOKUP(NoviaFunds[[#This Row],[ISIN]],'Novia Web Query'!$A:$E,2,FALSE)</f>
        <v>Fidelity Index UK P in GB</v>
      </c>
      <c r="C1286" t="str">
        <f>VLOOKUP(NoviaFunds[[#This Row],[ISIN]],'Novia Web Query'!$A:$E,3,FALSE)</f>
        <v>UT UK All Companies</v>
      </c>
      <c r="D1286" s="139">
        <f>VLOOKUP(NoviaFunds[[#This Row],[ISIN]],'Novia Web Query'!$A:$E,4,FALSE)/100</f>
        <v>5.9999999999999995E-4</v>
      </c>
      <c r="E1286" s="3" t="str">
        <f>VLOOKUP(NoviaFunds[[#This Row],[ISIN]],'Novia Web Query'!$A:$E,5,FALSE)</f>
        <v>11/01/2022</v>
      </c>
      <c r="F1286" t="str">
        <f>VLOOKUP(NoviaFunds[[#This Row],[Sector]],Sectors[],2,FALSE)</f>
        <v>UK Equities</v>
      </c>
    </row>
    <row r="1287" spans="1:6" x14ac:dyDescent="0.2">
      <c r="A1287" t="str">
        <f>'Novia Web Query'!A1286</f>
        <v>GB00BP8RY614</v>
      </c>
      <c r="B1287" t="str">
        <f>VLOOKUP(NoviaFunds[[#This Row],[ISIN]],'Novia Web Query'!$A:$E,2,FALSE)</f>
        <v>Fidelity Index UK P Inc TR in GB**</v>
      </c>
      <c r="C1287" t="str">
        <f>VLOOKUP(NoviaFunds[[#This Row],[ISIN]],'Novia Web Query'!$A:$E,3,FALSE)</f>
        <v>UT UK All Companies</v>
      </c>
      <c r="D1287" s="139">
        <f>VLOOKUP(NoviaFunds[[#This Row],[ISIN]],'Novia Web Query'!$A:$E,4,FALSE)/100</f>
        <v>5.9999999999999995E-4</v>
      </c>
      <c r="E1287" s="3" t="str">
        <f>VLOOKUP(NoviaFunds[[#This Row],[ISIN]],'Novia Web Query'!$A:$E,5,FALSE)</f>
        <v>11/01/2022</v>
      </c>
      <c r="F1287" t="str">
        <f>VLOOKUP(NoviaFunds[[#This Row],[Sector]],Sectors[],2,FALSE)</f>
        <v>UK Equities</v>
      </c>
    </row>
    <row r="1288" spans="1:6" x14ac:dyDescent="0.2">
      <c r="A1288" t="str">
        <f>'Novia Web Query'!A1287</f>
        <v>GB00B8G3MY63</v>
      </c>
      <c r="B1288" t="str">
        <f>VLOOKUP(NoviaFunds[[#This Row],[ISIN]],'Novia Web Query'!$A:$E,2,FALSE)</f>
        <v>Fidelity Index US A in GB</v>
      </c>
      <c r="C1288" t="str">
        <f>VLOOKUP(NoviaFunds[[#This Row],[ISIN]],'Novia Web Query'!$A:$E,3,FALSE)</f>
        <v>UT North America</v>
      </c>
      <c r="D1288" s="139">
        <f>VLOOKUP(NoviaFunds[[#This Row],[ISIN]],'Novia Web Query'!$A:$E,4,FALSE)/100</f>
        <v>3.0000000000000001E-3</v>
      </c>
      <c r="E1288" s="3" t="str">
        <f>VLOOKUP(NoviaFunds[[#This Row],[ISIN]],'Novia Web Query'!$A:$E,5,FALSE)</f>
        <v>11/01/2022</v>
      </c>
      <c r="F1288" t="str">
        <f>VLOOKUP(NoviaFunds[[#This Row],[Sector]],Sectors[],2,FALSE)</f>
        <v>USA Equities</v>
      </c>
    </row>
    <row r="1289" spans="1:6" x14ac:dyDescent="0.2">
      <c r="A1289" t="str">
        <f>'Novia Web Query'!A1288</f>
        <v>GB00BJS8SH10</v>
      </c>
      <c r="B1289" t="str">
        <f>VLOOKUP(NoviaFunds[[#This Row],[ISIN]],'Novia Web Query'!$A:$E,2,FALSE)</f>
        <v>Fidelity Index US P in GB</v>
      </c>
      <c r="C1289" t="str">
        <f>VLOOKUP(NoviaFunds[[#This Row],[ISIN]],'Novia Web Query'!$A:$E,3,FALSE)</f>
        <v>UT North America</v>
      </c>
      <c r="D1289" s="139">
        <f>VLOOKUP(NoviaFunds[[#This Row],[ISIN]],'Novia Web Query'!$A:$E,4,FALSE)/100</f>
        <v>5.9999999999999995E-4</v>
      </c>
      <c r="E1289" s="3" t="str">
        <f>VLOOKUP(NoviaFunds[[#This Row],[ISIN]],'Novia Web Query'!$A:$E,5,FALSE)</f>
        <v>11/01/2022</v>
      </c>
      <c r="F1289" t="str">
        <f>VLOOKUP(NoviaFunds[[#This Row],[Sector]],Sectors[],2,FALSE)</f>
        <v>USA Equities</v>
      </c>
    </row>
    <row r="1290" spans="1:6" x14ac:dyDescent="0.2">
      <c r="A1290" t="str">
        <f>'Novia Web Query'!A1289</f>
        <v>GB00BHQSS241</v>
      </c>
      <c r="B1290" t="str">
        <f>VLOOKUP(NoviaFunds[[#This Row],[ISIN]],'Novia Web Query'!$A:$E,2,FALSE)</f>
        <v>Fidelity Index US P Hedged Acc in GB</v>
      </c>
      <c r="C1290" t="str">
        <f>VLOOKUP(NoviaFunds[[#This Row],[ISIN]],'Novia Web Query'!$A:$E,3,FALSE)</f>
        <v>UT North America</v>
      </c>
      <c r="D1290" s="139">
        <f>VLOOKUP(NoviaFunds[[#This Row],[ISIN]],'Novia Web Query'!$A:$E,4,FALSE)/100</f>
        <v>1.5E-3</v>
      </c>
      <c r="E1290" s="3" t="str">
        <f>VLOOKUP(NoviaFunds[[#This Row],[ISIN]],'Novia Web Query'!$A:$E,5,FALSE)</f>
        <v>11/01/2022</v>
      </c>
      <c r="F1290" t="str">
        <f>VLOOKUP(NoviaFunds[[#This Row],[Sector]],Sectors[],2,FALSE)</f>
        <v>USA Equities</v>
      </c>
    </row>
    <row r="1291" spans="1:6" x14ac:dyDescent="0.2">
      <c r="A1291" t="str">
        <f>'Novia Web Query'!A1290</f>
        <v>GB00BP8RY838</v>
      </c>
      <c r="B1291" t="str">
        <f>VLOOKUP(NoviaFunds[[#This Row],[ISIN]],'Novia Web Query'!$A:$E,2,FALSE)</f>
        <v>Fidelity Index US P Inc TR in GB</v>
      </c>
      <c r="C1291" t="str">
        <f>VLOOKUP(NoviaFunds[[#This Row],[ISIN]],'Novia Web Query'!$A:$E,3,FALSE)</f>
        <v>UT North America</v>
      </c>
      <c r="D1291" s="139">
        <f>VLOOKUP(NoviaFunds[[#This Row],[ISIN]],'Novia Web Query'!$A:$E,4,FALSE)/100</f>
        <v>5.9999999999999995E-4</v>
      </c>
      <c r="E1291" s="3" t="str">
        <f>VLOOKUP(NoviaFunds[[#This Row],[ISIN]],'Novia Web Query'!$A:$E,5,FALSE)</f>
        <v>11/01/2022</v>
      </c>
      <c r="F1291" t="str">
        <f>VLOOKUP(NoviaFunds[[#This Row],[Sector]],Sectors[],2,FALSE)</f>
        <v>USA Equities</v>
      </c>
    </row>
    <row r="1292" spans="1:6" x14ac:dyDescent="0.2">
      <c r="A1292" t="str">
        <f>'Novia Web Query'!A1291</f>
        <v>GB00BJS8SJ34</v>
      </c>
      <c r="B1292" t="str">
        <f>VLOOKUP(NoviaFunds[[#This Row],[ISIN]],'Novia Web Query'!$A:$E,2,FALSE)</f>
        <v>Fidelity Index World P in GB</v>
      </c>
      <c r="C1292" t="str">
        <f>VLOOKUP(NoviaFunds[[#This Row],[ISIN]],'Novia Web Query'!$A:$E,3,FALSE)</f>
        <v>UT Global</v>
      </c>
      <c r="D1292" s="139">
        <f>VLOOKUP(NoviaFunds[[#This Row],[ISIN]],'Novia Web Query'!$A:$E,4,FALSE)/100</f>
        <v>1.1999999999999999E-3</v>
      </c>
      <c r="E1292" s="3" t="str">
        <f>VLOOKUP(NoviaFunds[[#This Row],[ISIN]],'Novia Web Query'!$A:$E,5,FALSE)</f>
        <v>11/01/2022</v>
      </c>
      <c r="F1292" t="str">
        <f>VLOOKUP(NoviaFunds[[#This Row],[Sector]],Sectors[],2,FALSE)</f>
        <v>Other Equities</v>
      </c>
    </row>
    <row r="1293" spans="1:6" x14ac:dyDescent="0.2">
      <c r="A1293" t="str">
        <f>'Novia Web Query'!A1292</f>
        <v>GB00BP8RYB62</v>
      </c>
      <c r="B1293" t="str">
        <f>VLOOKUP(NoviaFunds[[#This Row],[ISIN]],'Novia Web Query'!$A:$E,2,FALSE)</f>
        <v>Fidelity Index World P Inc TR in GB</v>
      </c>
      <c r="C1293" t="str">
        <f>VLOOKUP(NoviaFunds[[#This Row],[ISIN]],'Novia Web Query'!$A:$E,3,FALSE)</f>
        <v>UT Global</v>
      </c>
      <c r="D1293" s="139">
        <f>VLOOKUP(NoviaFunds[[#This Row],[ISIN]],'Novia Web Query'!$A:$E,4,FALSE)/100</f>
        <v>1.1999999999999999E-3</v>
      </c>
      <c r="E1293" s="3" t="str">
        <f>VLOOKUP(NoviaFunds[[#This Row],[ISIN]],'Novia Web Query'!$A:$E,5,FALSE)</f>
        <v>11/01/2022</v>
      </c>
      <c r="F1293" t="str">
        <f>VLOOKUP(NoviaFunds[[#This Row],[Sector]],Sectors[],2,FALSE)</f>
        <v>Other Equities</v>
      </c>
    </row>
    <row r="1294" spans="1:6" x14ac:dyDescent="0.2">
      <c r="A1294" t="str">
        <f>'Novia Web Query'!A1293</f>
        <v>GB0003357240</v>
      </c>
      <c r="B1294" t="str">
        <f>VLOOKUP(NoviaFunds[[#This Row],[ISIN]],'Novia Web Query'!$A:$E,2,FALSE)</f>
        <v>Fidelity Institutional Long Bond Inc TR in GB</v>
      </c>
      <c r="C1294" t="str">
        <f>VLOOKUP(NoviaFunds[[#This Row],[ISIN]],'Novia Web Query'!$A:$E,3,FALSE)</f>
        <v>UT Global Bonds</v>
      </c>
      <c r="D1294" s="139">
        <f>VLOOKUP(NoviaFunds[[#This Row],[ISIN]],'Novia Web Query'!$A:$E,4,FALSE)/100</f>
        <v>3.3E-3</v>
      </c>
      <c r="E1294" s="3" t="str">
        <f>VLOOKUP(NoviaFunds[[#This Row],[ISIN]],'Novia Web Query'!$A:$E,5,FALSE)</f>
        <v>11/01/2022</v>
      </c>
      <c r="F1294" t="str">
        <f>VLOOKUP(NoviaFunds[[#This Row],[Sector]],Sectors[],2,FALSE)</f>
        <v>Global Investment Grade</v>
      </c>
    </row>
    <row r="1295" spans="1:6" x14ac:dyDescent="0.2">
      <c r="A1295" t="str">
        <f>'Novia Web Query'!A1294</f>
        <v>GB0033144634</v>
      </c>
      <c r="B1295" t="str">
        <f>VLOOKUP(NoviaFunds[[#This Row],[ISIN]],'Novia Web Query'!$A:$E,2,FALSE)</f>
        <v>Fidelity Institutional Long Dated Sterling Corporate Bond Acc TR in GB**</v>
      </c>
      <c r="C1295" t="str">
        <f>VLOOKUP(NoviaFunds[[#This Row],[ISIN]],'Novia Web Query'!$A:$E,3,FALSE)</f>
        <v>UT Sterling Corporate Bond</v>
      </c>
      <c r="D1295" s="139">
        <f>VLOOKUP(NoviaFunds[[#This Row],[ISIN]],'Novia Web Query'!$A:$E,4,FALSE)/100</f>
        <v>4.3E-3</v>
      </c>
      <c r="E1295" s="3" t="str">
        <f>VLOOKUP(NoviaFunds[[#This Row],[ISIN]],'Novia Web Query'!$A:$E,5,FALSE)</f>
        <v>11/01/2022</v>
      </c>
      <c r="F1295" t="str">
        <f>VLOOKUP(NoviaFunds[[#This Row],[Sector]],Sectors[],2,FALSE)</f>
        <v>Sterling Corporate Bonds</v>
      </c>
    </row>
    <row r="1296" spans="1:6" x14ac:dyDescent="0.2">
      <c r="A1296" t="str">
        <f>'Novia Web Query'!A1295</f>
        <v>GB0031400335</v>
      </c>
      <c r="B1296" t="str">
        <f>VLOOKUP(NoviaFunds[[#This Row],[ISIN]],'Novia Web Query'!$A:$E,2,FALSE)</f>
        <v>Fidelity Institutional Long Dated Sterling Corporate Bond Inc TR in GB</v>
      </c>
      <c r="C1296" t="str">
        <f>VLOOKUP(NoviaFunds[[#This Row],[ISIN]],'Novia Web Query'!$A:$E,3,FALSE)</f>
        <v>UT Sterling Corporate Bond</v>
      </c>
      <c r="D1296" s="139">
        <f>VLOOKUP(NoviaFunds[[#This Row],[ISIN]],'Novia Web Query'!$A:$E,4,FALSE)/100</f>
        <v>4.3E-3</v>
      </c>
      <c r="E1296" s="3" t="str">
        <f>VLOOKUP(NoviaFunds[[#This Row],[ISIN]],'Novia Web Query'!$A:$E,5,FALSE)</f>
        <v>11/01/2022</v>
      </c>
      <c r="F1296" t="str">
        <f>VLOOKUP(NoviaFunds[[#This Row],[Sector]],Sectors[],2,FALSE)</f>
        <v>Sterling Corporate Bonds</v>
      </c>
    </row>
    <row r="1297" spans="1:6" x14ac:dyDescent="0.2">
      <c r="A1297" t="str">
        <f>'Novia Web Query'!A1296</f>
        <v>GB00B4ZD7F52</v>
      </c>
      <c r="B1297" t="str">
        <f>VLOOKUP(NoviaFunds[[#This Row],[ISIN]],'Novia Web Query'!$A:$E,2,FALSE)</f>
        <v>Fidelity Institutional Select Emerging Markets Equities in GB</v>
      </c>
      <c r="C1297" t="str">
        <f>VLOOKUP(NoviaFunds[[#This Row],[ISIN]],'Novia Web Query'!$A:$E,3,FALSE)</f>
        <v>UT Global Emerging Markets</v>
      </c>
      <c r="D1297" s="139">
        <f>VLOOKUP(NoviaFunds[[#This Row],[ISIN]],'Novia Web Query'!$A:$E,4,FALSE)/100</f>
        <v>1.15E-2</v>
      </c>
      <c r="E1297" s="3" t="str">
        <f>VLOOKUP(NoviaFunds[[#This Row],[ISIN]],'Novia Web Query'!$A:$E,5,FALSE)</f>
        <v>11/01/2022</v>
      </c>
      <c r="F1297" t="str">
        <f>VLOOKUP(NoviaFunds[[#This Row],[Sector]],Sectors[],2,FALSE)</f>
        <v>Emerging Markets</v>
      </c>
    </row>
    <row r="1298" spans="1:6" x14ac:dyDescent="0.2">
      <c r="A1298" t="str">
        <f>'Novia Web Query'!A1297</f>
        <v>GB0003371407</v>
      </c>
      <c r="B1298" t="str">
        <f>VLOOKUP(NoviaFunds[[#This Row],[ISIN]],'Novia Web Query'!$A:$E,2,FALSE)</f>
        <v>Fidelity Institutional South East Asia in GB</v>
      </c>
      <c r="C1298" t="str">
        <f>VLOOKUP(NoviaFunds[[#This Row],[ISIN]],'Novia Web Query'!$A:$E,3,FALSE)</f>
        <v>UT Asia Pacific Excluding Japan</v>
      </c>
      <c r="D1298" s="139">
        <f>VLOOKUP(NoviaFunds[[#This Row],[ISIN]],'Novia Web Query'!$A:$E,4,FALSE)/100</f>
        <v>9.1999999999999998E-3</v>
      </c>
      <c r="E1298" s="3" t="str">
        <f>VLOOKUP(NoviaFunds[[#This Row],[ISIN]],'Novia Web Query'!$A:$E,5,FALSE)</f>
        <v>11/01/2022</v>
      </c>
      <c r="F1298" t="str">
        <f>VLOOKUP(NoviaFunds[[#This Row],[Sector]],Sectors[],2,FALSE)</f>
        <v>Asia Pacific</v>
      </c>
    </row>
    <row r="1299" spans="1:6" x14ac:dyDescent="0.2">
      <c r="A1299" t="str">
        <f>'Novia Web Query'!A1298</f>
        <v>GB0002051620</v>
      </c>
      <c r="B1299" t="str">
        <f>VLOOKUP(NoviaFunds[[#This Row],[ISIN]],'Novia Web Query'!$A:$E,2,FALSE)</f>
        <v>Fidelity Institutional Sterling Corporate Bond Inc TR in GB</v>
      </c>
      <c r="C1299" t="str">
        <f>VLOOKUP(NoviaFunds[[#This Row],[ISIN]],'Novia Web Query'!$A:$E,3,FALSE)</f>
        <v>UT Sterling Corporate Bond</v>
      </c>
      <c r="D1299" s="139">
        <f>VLOOKUP(NoviaFunds[[#This Row],[ISIN]],'Novia Web Query'!$A:$E,4,FALSE)/100</f>
        <v>4.3E-3</v>
      </c>
      <c r="E1299" s="3" t="str">
        <f>VLOOKUP(NoviaFunds[[#This Row],[ISIN]],'Novia Web Query'!$A:$E,5,FALSE)</f>
        <v>11/01/2022</v>
      </c>
      <c r="F1299" t="str">
        <f>VLOOKUP(NoviaFunds[[#This Row],[Sector]],Sectors[],2,FALSE)</f>
        <v>Sterling Corporate Bonds</v>
      </c>
    </row>
    <row r="1300" spans="1:6" x14ac:dyDescent="0.2">
      <c r="A1300" t="str">
        <f>'Novia Web Query'!A1299</f>
        <v>GB0002051844</v>
      </c>
      <c r="B1300" t="str">
        <f>VLOOKUP(NoviaFunds[[#This Row],[ISIN]],'Novia Web Query'!$A:$E,2,FALSE)</f>
        <v>Fidelity Institutional UK Gilt Inc TR in GB</v>
      </c>
      <c r="C1300" t="str">
        <f>VLOOKUP(NoviaFunds[[#This Row],[ISIN]],'Novia Web Query'!$A:$E,3,FALSE)</f>
        <v>UT UK Gilts</v>
      </c>
      <c r="D1300" s="139">
        <f>VLOOKUP(NoviaFunds[[#This Row],[ISIN]],'Novia Web Query'!$A:$E,4,FALSE)/100</f>
        <v>1.5E-3</v>
      </c>
      <c r="E1300" s="3" t="str">
        <f>VLOOKUP(NoviaFunds[[#This Row],[ISIN]],'Novia Web Query'!$A:$E,5,FALSE)</f>
        <v>11/01/2022</v>
      </c>
      <c r="F1300" t="str">
        <f>VLOOKUP(NoviaFunds[[#This Row],[Sector]],Sectors[],2,FALSE)</f>
        <v>Gilts</v>
      </c>
    </row>
    <row r="1301" spans="1:6" x14ac:dyDescent="0.2">
      <c r="A1301" t="str">
        <f>'Novia Web Query'!A1300</f>
        <v>GB0003877817</v>
      </c>
      <c r="B1301" t="str">
        <f>VLOOKUP(NoviaFunds[[#This Row],[ISIN]],'Novia Web Query'!$A:$E,2,FALSE)</f>
        <v>Fidelity Japan Acc in GB</v>
      </c>
      <c r="C1301" t="str">
        <f>VLOOKUP(NoviaFunds[[#This Row],[ISIN]],'Novia Web Query'!$A:$E,3,FALSE)</f>
        <v>UT Japan</v>
      </c>
      <c r="D1301" s="139">
        <f>VLOOKUP(NoviaFunds[[#This Row],[ISIN]],'Novia Web Query'!$A:$E,4,FALSE)/100</f>
        <v>1.55E-2</v>
      </c>
      <c r="E1301" s="3" t="str">
        <f>VLOOKUP(NoviaFunds[[#This Row],[ISIN]],'Novia Web Query'!$A:$E,5,FALSE)</f>
        <v>11/01/2022</v>
      </c>
      <c r="F1301" t="str">
        <f>VLOOKUP(NoviaFunds[[#This Row],[Sector]],Sectors[],2,FALSE)</f>
        <v>Japanese Equities</v>
      </c>
    </row>
    <row r="1302" spans="1:6" x14ac:dyDescent="0.2">
      <c r="A1302" t="str">
        <f>'Novia Web Query'!A1301</f>
        <v>GB0003860565</v>
      </c>
      <c r="B1302" t="str">
        <f>VLOOKUP(NoviaFunds[[#This Row],[ISIN]],'Novia Web Query'!$A:$E,2,FALSE)</f>
        <v>Fidelity Japan Smaller Companies Acc in GB</v>
      </c>
      <c r="C1302" t="str">
        <f>VLOOKUP(NoviaFunds[[#This Row],[ISIN]],'Novia Web Query'!$A:$E,3,FALSE)</f>
        <v>UT Japan</v>
      </c>
      <c r="D1302" s="139">
        <f>VLOOKUP(NoviaFunds[[#This Row],[ISIN]],'Novia Web Query'!$A:$E,4,FALSE)/100</f>
        <v>1.6799999999999999E-2</v>
      </c>
      <c r="E1302" s="3" t="str">
        <f>VLOOKUP(NoviaFunds[[#This Row],[ISIN]],'Novia Web Query'!$A:$E,5,FALSE)</f>
        <v>11/01/2022</v>
      </c>
      <c r="F1302" t="str">
        <f>VLOOKUP(NoviaFunds[[#This Row],[Sector]],Sectors[],2,FALSE)</f>
        <v>Japanese Equities</v>
      </c>
    </row>
    <row r="1303" spans="1:6" x14ac:dyDescent="0.2">
      <c r="A1303" t="str">
        <f>'Novia Web Query'!A1302</f>
        <v>GB00B73VMD59</v>
      </c>
      <c r="B1303" t="str">
        <f>VLOOKUP(NoviaFunds[[#This Row],[ISIN]],'Novia Web Query'!$A:$E,2,FALSE)</f>
        <v>Fidelity Japan Smaller Companies W Acc in GB</v>
      </c>
      <c r="C1303" t="str">
        <f>VLOOKUP(NoviaFunds[[#This Row],[ISIN]],'Novia Web Query'!$A:$E,3,FALSE)</f>
        <v>UT Japan</v>
      </c>
      <c r="D1303" s="139">
        <f>VLOOKUP(NoviaFunds[[#This Row],[ISIN]],'Novia Web Query'!$A:$E,4,FALSE)/100</f>
        <v>9.300000000000001E-3</v>
      </c>
      <c r="E1303" s="3" t="str">
        <f>VLOOKUP(NoviaFunds[[#This Row],[ISIN]],'Novia Web Query'!$A:$E,5,FALSE)</f>
        <v>11/01/2022</v>
      </c>
      <c r="F1303" t="str">
        <f>VLOOKUP(NoviaFunds[[#This Row],[Sector]],Sectors[],2,FALSE)</f>
        <v>Japanese Equities</v>
      </c>
    </row>
    <row r="1304" spans="1:6" x14ac:dyDescent="0.2">
      <c r="A1304" t="str">
        <f>'Novia Web Query'!A1303</f>
        <v>GB00B882N041</v>
      </c>
      <c r="B1304" t="str">
        <f>VLOOKUP(NoviaFunds[[#This Row],[ISIN]],'Novia Web Query'!$A:$E,2,FALSE)</f>
        <v>Fidelity Japan W Acc in GB</v>
      </c>
      <c r="C1304" t="str">
        <f>VLOOKUP(NoviaFunds[[#This Row],[ISIN]],'Novia Web Query'!$A:$E,3,FALSE)</f>
        <v>UT Japan</v>
      </c>
      <c r="D1304" s="139">
        <f>VLOOKUP(NoviaFunds[[#This Row],[ISIN]],'Novia Web Query'!$A:$E,4,FALSE)/100</f>
        <v>8.0000000000000002E-3</v>
      </c>
      <c r="E1304" s="3" t="str">
        <f>VLOOKUP(NoviaFunds[[#This Row],[ISIN]],'Novia Web Query'!$A:$E,5,FALSE)</f>
        <v>11/01/2022</v>
      </c>
      <c r="F1304" t="str">
        <f>VLOOKUP(NoviaFunds[[#This Row],[Sector]],Sectors[],2,FALSE)</f>
        <v>Japanese Equities</v>
      </c>
    </row>
    <row r="1305" spans="1:6" x14ac:dyDescent="0.2">
      <c r="A1305" t="str">
        <f>'Novia Web Query'!A1304</f>
        <v>GB0003878559</v>
      </c>
      <c r="B1305" t="str">
        <f>VLOOKUP(NoviaFunds[[#This Row],[ISIN]],'Novia Web Query'!$A:$E,2,FALSE)</f>
        <v>Fidelity Moneybuilder Balanced Inc TR in GB</v>
      </c>
      <c r="C1305" t="str">
        <f>VLOOKUP(NoviaFunds[[#This Row],[ISIN]],'Novia Web Query'!$A:$E,3,FALSE)</f>
        <v>UT Mixed Investment 40-85% Shares</v>
      </c>
      <c r="D1305" s="139">
        <f>VLOOKUP(NoviaFunds[[#This Row],[ISIN]],'Novia Web Query'!$A:$E,4,FALSE)/100</f>
        <v>1.1599999999999999E-2</v>
      </c>
      <c r="E1305" s="3" t="str">
        <f>VLOOKUP(NoviaFunds[[#This Row],[ISIN]],'Novia Web Query'!$A:$E,5,FALSE)</f>
        <v>11/01/2022</v>
      </c>
      <c r="F1305" t="str">
        <f>VLOOKUP(NoviaFunds[[#This Row],[Sector]],Sectors[],2,FALSE)</f>
        <v>Mixed 40%-85%</v>
      </c>
    </row>
    <row r="1306" spans="1:6" x14ac:dyDescent="0.2">
      <c r="A1306" t="str">
        <f>'Novia Web Query'!A4433</f>
        <v>IE00B59G6L68</v>
      </c>
      <c r="B1306" t="str">
        <f>VLOOKUP(NoviaFunds[[#This Row],[ISIN]],'Novia Web Query'!$A:$E,2,FALSE)</f>
        <v>Federated Hermes Europe ex UK Equity F Acc</v>
      </c>
      <c r="C1306" t="str">
        <f>VLOOKUP(NoviaFunds[[#This Row],[ISIN]],'Novia Web Query'!$A:$E,3,FALSE)</f>
        <v>IA Europe Excluding UK</v>
      </c>
      <c r="D1306" s="139">
        <f>VLOOKUP(NoviaFunds[[#This Row],[ISIN]],'Novia Web Query'!$A:$E,4,FALSE)/100</f>
        <v>9.4999999999999998E-3</v>
      </c>
      <c r="E1306" s="3">
        <f>VLOOKUP(NoviaFunds[[#This Row],[ISIN]],'Novia Web Query'!$A:$E,5,FALSE)</f>
        <v>44196</v>
      </c>
      <c r="F1306" t="str">
        <f>VLOOKUP(NoviaFunds[[#This Row],[Sector]],Sectors[],2,FALSE)</f>
        <v>European Equities</v>
      </c>
    </row>
    <row r="1307" spans="1:6" x14ac:dyDescent="0.2">
      <c r="A1307" t="str">
        <f>'Novia Web Query'!A4430</f>
        <v>IE00B3DJ5K90</v>
      </c>
      <c r="B1307" t="str">
        <f>VLOOKUP(NoviaFunds[[#This Row],[ISIN]],'Novia Web Query'!$A:$E,2,FALSE)</f>
        <v>Federated Hermes Global Emerging Markets F Acc</v>
      </c>
      <c r="C1307" t="str">
        <f>VLOOKUP(NoviaFunds[[#This Row],[ISIN]],'Novia Web Query'!$A:$E,3,FALSE)</f>
        <v>IA Global Emerging Markets</v>
      </c>
      <c r="D1307" s="139">
        <f>VLOOKUP(NoviaFunds[[#This Row],[ISIN]],'Novia Web Query'!$A:$E,4,FALSE)/100</f>
        <v>1.1000000000000001E-2</v>
      </c>
      <c r="E1307" s="3">
        <f>VLOOKUP(NoviaFunds[[#This Row],[ISIN]],'Novia Web Query'!$A:$E,5,FALSE)</f>
        <v>44196</v>
      </c>
      <c r="F1307" t="str">
        <f>VLOOKUP(NoviaFunds[[#This Row],[Sector]],Sectors[],2,FALSE)</f>
        <v>Emerging Markets</v>
      </c>
    </row>
    <row r="1308" spans="1:6" x14ac:dyDescent="0.2">
      <c r="A1308" t="str">
        <f>'Novia Web Query'!A1305</f>
        <v>GB00BYRPGV84</v>
      </c>
      <c r="B1308" t="str">
        <f>VLOOKUP(NoviaFunds[[#This Row],[ISIN]],'Novia Web Query'!$A:$E,2,FALSE)</f>
        <v>Fidelity Moneybuilder Balanced W Acc TR in GB**</v>
      </c>
      <c r="C1308" t="str">
        <f>VLOOKUP(NoviaFunds[[#This Row],[ISIN]],'Novia Web Query'!$A:$E,3,FALSE)</f>
        <v>UT Mixed Investment 40-85% Shares</v>
      </c>
      <c r="D1308" s="139">
        <f>VLOOKUP(NoviaFunds[[#This Row],[ISIN]],'Novia Web Query'!$A:$E,4,FALSE)/100</f>
        <v>6.6E-3</v>
      </c>
      <c r="E1308" s="3" t="str">
        <f>VLOOKUP(NoviaFunds[[#This Row],[ISIN]],'Novia Web Query'!$A:$E,5,FALSE)</f>
        <v>11/01/2022</v>
      </c>
      <c r="F1308" t="str">
        <f>VLOOKUP(NoviaFunds[[#This Row],[Sector]],Sectors[],2,FALSE)</f>
        <v>Mixed 40%-85%</v>
      </c>
    </row>
    <row r="1309" spans="1:6" x14ac:dyDescent="0.2">
      <c r="A1309" t="str">
        <f>'Novia Web Query'!A1306</f>
        <v>GB00B7XJFX07</v>
      </c>
      <c r="B1309" t="str">
        <f>VLOOKUP(NoviaFunds[[#This Row],[ISIN]],'Novia Web Query'!$A:$E,2,FALSE)</f>
        <v>Fidelity Moneybuilder Balanced W Inc TR in GB</v>
      </c>
      <c r="C1309" t="str">
        <f>VLOOKUP(NoviaFunds[[#This Row],[ISIN]],'Novia Web Query'!$A:$E,3,FALSE)</f>
        <v>UT Mixed Investment 40-85% Shares</v>
      </c>
      <c r="D1309" s="139">
        <f>VLOOKUP(NoviaFunds[[#This Row],[ISIN]],'Novia Web Query'!$A:$E,4,FALSE)/100</f>
        <v>6.6E-3</v>
      </c>
      <c r="E1309" s="3" t="str">
        <f>VLOOKUP(NoviaFunds[[#This Row],[ISIN]],'Novia Web Query'!$A:$E,5,FALSE)</f>
        <v>11/01/2022</v>
      </c>
      <c r="F1309" t="str">
        <f>VLOOKUP(NoviaFunds[[#This Row],[Sector]],Sectors[],2,FALSE)</f>
        <v>Mixed 40%-85%</v>
      </c>
    </row>
    <row r="1310" spans="1:6" x14ac:dyDescent="0.2">
      <c r="A1310" t="str">
        <f>'Novia Web Query'!A1307</f>
        <v>GB0003860904</v>
      </c>
      <c r="B1310" t="str">
        <f>VLOOKUP(NoviaFunds[[#This Row],[ISIN]],'Novia Web Query'!$A:$E,2,FALSE)</f>
        <v>Fidelity Moneybuilder Dividend Inc TR in GB</v>
      </c>
      <c r="C1310" t="str">
        <f>VLOOKUP(NoviaFunds[[#This Row],[ISIN]],'Novia Web Query'!$A:$E,3,FALSE)</f>
        <v>UT UK Equity Income</v>
      </c>
      <c r="D1310" s="139">
        <f>VLOOKUP(NoviaFunds[[#This Row],[ISIN]],'Novia Web Query'!$A:$E,4,FALSE)/100</f>
        <v>1.1699999999999999E-2</v>
      </c>
      <c r="E1310" s="3" t="str">
        <f>VLOOKUP(NoviaFunds[[#This Row],[ISIN]],'Novia Web Query'!$A:$E,5,FALSE)</f>
        <v>11/01/2022</v>
      </c>
      <c r="F1310" t="str">
        <f>VLOOKUP(NoviaFunds[[#This Row],[Sector]],Sectors[],2,FALSE)</f>
        <v>UK Equities</v>
      </c>
    </row>
    <row r="1311" spans="1:6" x14ac:dyDescent="0.2">
      <c r="A1311" t="str">
        <f>'Novia Web Query'!A1308</f>
        <v>GB00B3LNGT95</v>
      </c>
      <c r="B1311" t="str">
        <f>VLOOKUP(NoviaFunds[[#This Row],[ISIN]],'Novia Web Query'!$A:$E,2,FALSE)</f>
        <v>Fidelity Moneybuilder Dividend W Inc GBP TR in GB</v>
      </c>
      <c r="C1311" t="str">
        <f>VLOOKUP(NoviaFunds[[#This Row],[ISIN]],'Novia Web Query'!$A:$E,3,FALSE)</f>
        <v>UT UK Equity Income</v>
      </c>
      <c r="D1311" s="139">
        <f>VLOOKUP(NoviaFunds[[#This Row],[ISIN]],'Novia Web Query'!$A:$E,4,FALSE)/100</f>
        <v>6.7000000000000002E-3</v>
      </c>
      <c r="E1311" s="3" t="str">
        <f>VLOOKUP(NoviaFunds[[#This Row],[ISIN]],'Novia Web Query'!$A:$E,5,FALSE)</f>
        <v>11/01/2022</v>
      </c>
      <c r="F1311" t="str">
        <f>VLOOKUP(NoviaFunds[[#This Row],[Sector]],Sectors[],2,FALSE)</f>
        <v>UK Equities</v>
      </c>
    </row>
    <row r="1312" spans="1:6" x14ac:dyDescent="0.2">
      <c r="A1312" t="str">
        <f>'Novia Web Query'!A1309</f>
        <v>GB00BYSYZM80</v>
      </c>
      <c r="B1312" t="str">
        <f>VLOOKUP(NoviaFunds[[#This Row],[ISIN]],'Novia Web Query'!$A:$E,2,FALSE)</f>
        <v>Fidelity Moneybuilder Dividend W Monthly Inc TR in GB**</v>
      </c>
      <c r="C1312" t="str">
        <f>VLOOKUP(NoviaFunds[[#This Row],[ISIN]],'Novia Web Query'!$A:$E,3,FALSE)</f>
        <v>UT UK Equity Income</v>
      </c>
      <c r="D1312" s="139">
        <f>VLOOKUP(NoviaFunds[[#This Row],[ISIN]],'Novia Web Query'!$A:$E,4,FALSE)/100</f>
        <v>6.7000000000000002E-3</v>
      </c>
      <c r="E1312" s="3" t="str">
        <f>VLOOKUP(NoviaFunds[[#This Row],[ISIN]],'Novia Web Query'!$A:$E,5,FALSE)</f>
        <v>11/01/2022</v>
      </c>
      <c r="F1312" t="str">
        <f>VLOOKUP(NoviaFunds[[#This Row],[Sector]],Sectors[],2,FALSE)</f>
        <v>UK Equities</v>
      </c>
    </row>
    <row r="1313" spans="1:6" x14ac:dyDescent="0.2">
      <c r="A1313" t="str">
        <f>'Novia Web Query'!A1310</f>
        <v>GB00B417LB58</v>
      </c>
      <c r="B1313" t="str">
        <f>VLOOKUP(NoviaFunds[[#This Row],[ISIN]],'Novia Web Query'!$A:$E,2,FALSE)</f>
        <v>Fidelity Moneybuilder Income A Acc in GB</v>
      </c>
      <c r="C1313" t="str">
        <f>VLOOKUP(NoviaFunds[[#This Row],[ISIN]],'Novia Web Query'!$A:$E,3,FALSE)</f>
        <v>UT Sterling Corporate Bond</v>
      </c>
      <c r="D1313" s="139">
        <f>VLOOKUP(NoviaFunds[[#This Row],[ISIN]],'Novia Web Query'!$A:$E,4,FALSE)/100</f>
        <v>9.5999999999999992E-3</v>
      </c>
      <c r="E1313" s="3" t="str">
        <f>VLOOKUP(NoviaFunds[[#This Row],[ISIN]],'Novia Web Query'!$A:$E,5,FALSE)</f>
        <v>11/01/2022</v>
      </c>
      <c r="F1313" t="str">
        <f>VLOOKUP(NoviaFunds[[#This Row],[Sector]],Sectors[],2,FALSE)</f>
        <v>Sterling Corporate Bonds</v>
      </c>
    </row>
    <row r="1314" spans="1:6" x14ac:dyDescent="0.2">
      <c r="A1314" t="str">
        <f>'Novia Web Query'!A1311</f>
        <v>GB0003863916</v>
      </c>
      <c r="B1314" t="str">
        <f>VLOOKUP(NoviaFunds[[#This Row],[ISIN]],'Novia Web Query'!$A:$E,2,FALSE)</f>
        <v>Fidelity Moneybuilder Income A Inc TR in GB</v>
      </c>
      <c r="C1314" t="str">
        <f>VLOOKUP(NoviaFunds[[#This Row],[ISIN]],'Novia Web Query'!$A:$E,3,FALSE)</f>
        <v>UT Sterling Corporate Bond</v>
      </c>
      <c r="D1314" s="139">
        <f>VLOOKUP(NoviaFunds[[#This Row],[ISIN]],'Novia Web Query'!$A:$E,4,FALSE)/100</f>
        <v>9.5999999999999992E-3</v>
      </c>
      <c r="E1314" s="3" t="str">
        <f>VLOOKUP(NoviaFunds[[#This Row],[ISIN]],'Novia Web Query'!$A:$E,5,FALSE)</f>
        <v>11/01/2022</v>
      </c>
      <c r="F1314" t="str">
        <f>VLOOKUP(NoviaFunds[[#This Row],[Sector]],Sectors[],2,FALSE)</f>
        <v>Sterling Corporate Bonds</v>
      </c>
    </row>
    <row r="1315" spans="1:6" x14ac:dyDescent="0.2">
      <c r="A1315" t="str">
        <f>'Novia Web Query'!A1312</f>
        <v>GB00BBGBFM09</v>
      </c>
      <c r="B1315" t="str">
        <f>VLOOKUP(NoviaFunds[[#This Row],[ISIN]],'Novia Web Query'!$A:$E,2,FALSE)</f>
        <v>Fidelity Moneybuilder Income W Acc GBP in GB</v>
      </c>
      <c r="C1315" t="str">
        <f>VLOOKUP(NoviaFunds[[#This Row],[ISIN]],'Novia Web Query'!$A:$E,3,FALSE)</f>
        <v>UT Sterling Corporate Bond</v>
      </c>
      <c r="D1315" s="139">
        <f>VLOOKUP(NoviaFunds[[#This Row],[ISIN]],'Novia Web Query'!$A:$E,4,FALSE)/100</f>
        <v>5.6000000000000008E-3</v>
      </c>
      <c r="E1315" s="3" t="str">
        <f>VLOOKUP(NoviaFunds[[#This Row],[ISIN]],'Novia Web Query'!$A:$E,5,FALSE)</f>
        <v>11/01/2022</v>
      </c>
      <c r="F1315" t="str">
        <f>VLOOKUP(NoviaFunds[[#This Row],[Sector]],Sectors[],2,FALSE)</f>
        <v>Sterling Corporate Bonds</v>
      </c>
    </row>
    <row r="1316" spans="1:6" x14ac:dyDescent="0.2">
      <c r="A1316" t="str">
        <f>'Novia Web Query'!A1313</f>
        <v>GB00B3Z9PT62</v>
      </c>
      <c r="B1316" t="str">
        <f>VLOOKUP(NoviaFunds[[#This Row],[ISIN]],'Novia Web Query'!$A:$E,2,FALSE)</f>
        <v>Fidelity Moneybuilder Income W Dis GBP TR in GB</v>
      </c>
      <c r="C1316" t="str">
        <f>VLOOKUP(NoviaFunds[[#This Row],[ISIN]],'Novia Web Query'!$A:$E,3,FALSE)</f>
        <v>UT Sterling Corporate Bond</v>
      </c>
      <c r="D1316" s="139">
        <f>VLOOKUP(NoviaFunds[[#This Row],[ISIN]],'Novia Web Query'!$A:$E,4,FALSE)/100</f>
        <v>5.6000000000000008E-3</v>
      </c>
      <c r="E1316" s="3" t="str">
        <f>VLOOKUP(NoviaFunds[[#This Row],[ISIN]],'Novia Web Query'!$A:$E,5,FALSE)</f>
        <v>11/01/2022</v>
      </c>
      <c r="F1316" t="str">
        <f>VLOOKUP(NoviaFunds[[#This Row],[Sector]],Sectors[],2,FALSE)</f>
        <v>Sterling Corporate Bonds</v>
      </c>
    </row>
    <row r="1317" spans="1:6" x14ac:dyDescent="0.2">
      <c r="A1317" t="str">
        <f>'Novia Web Query'!A1314</f>
        <v>GB00B893BN59</v>
      </c>
      <c r="B1317" t="str">
        <f>VLOOKUP(NoviaFunds[[#This Row],[ISIN]],'Novia Web Query'!$A:$E,2,FALSE)</f>
        <v>Fidelity Multi Asset Allocator Adventurous W Acc in GB</v>
      </c>
      <c r="C1317" t="str">
        <f>VLOOKUP(NoviaFunds[[#This Row],[ISIN]],'Novia Web Query'!$A:$E,3,FALSE)</f>
        <v>UT Flexible Investment</v>
      </c>
      <c r="D1317" s="139">
        <f>VLOOKUP(NoviaFunds[[#This Row],[ISIN]],'Novia Web Query'!$A:$E,4,FALSE)/100</f>
        <v>2E-3</v>
      </c>
      <c r="E1317" s="3" t="str">
        <f>VLOOKUP(NoviaFunds[[#This Row],[ISIN]],'Novia Web Query'!$A:$E,5,FALSE)</f>
        <v>11/01/2022</v>
      </c>
      <c r="F1317" t="str">
        <f>VLOOKUP(NoviaFunds[[#This Row],[Sector]],Sectors[],2,FALSE)</f>
        <v>Flexible</v>
      </c>
    </row>
    <row r="1318" spans="1:6" x14ac:dyDescent="0.2">
      <c r="A1318" t="str">
        <f>'Novia Web Query'!A1315</f>
        <v>GB00B8YQD220</v>
      </c>
      <c r="B1318" t="str">
        <f>VLOOKUP(NoviaFunds[[#This Row],[ISIN]],'Novia Web Query'!$A:$E,2,FALSE)</f>
        <v>Fidelity Multi Asset Allocator Defensive W Acc in GB</v>
      </c>
      <c r="C1318" t="str">
        <f>VLOOKUP(NoviaFunds[[#This Row],[ISIN]],'Novia Web Query'!$A:$E,3,FALSE)</f>
        <v>UT Mixed Investment 0-35% Shares</v>
      </c>
      <c r="D1318" s="139">
        <f>VLOOKUP(NoviaFunds[[#This Row],[ISIN]],'Novia Web Query'!$A:$E,4,FALSE)/100</f>
        <v>2E-3</v>
      </c>
      <c r="E1318" s="3" t="str">
        <f>VLOOKUP(NoviaFunds[[#This Row],[ISIN]],'Novia Web Query'!$A:$E,5,FALSE)</f>
        <v>11/01/2022</v>
      </c>
      <c r="F1318" t="str">
        <f>VLOOKUP(NoviaFunds[[#This Row],[Sector]],Sectors[],2,FALSE)</f>
        <v>Mixed 0%-35%</v>
      </c>
    </row>
    <row r="1319" spans="1:6" x14ac:dyDescent="0.2">
      <c r="A1319" t="str">
        <f>'Novia Web Query'!A1316</f>
        <v>GB00B9C3GS90</v>
      </c>
      <c r="B1319" t="str">
        <f>VLOOKUP(NoviaFunds[[#This Row],[ISIN]],'Novia Web Query'!$A:$E,2,FALSE)</f>
        <v>Fidelity Multi Asset Allocator Growth W Acc in GB</v>
      </c>
      <c r="C1319" t="str">
        <f>VLOOKUP(NoviaFunds[[#This Row],[ISIN]],'Novia Web Query'!$A:$E,3,FALSE)</f>
        <v>UT Mixed Investment 40-85% Shares</v>
      </c>
      <c r="D1319" s="139">
        <f>VLOOKUP(NoviaFunds[[#This Row],[ISIN]],'Novia Web Query'!$A:$E,4,FALSE)/100</f>
        <v>2E-3</v>
      </c>
      <c r="E1319" s="3" t="str">
        <f>VLOOKUP(NoviaFunds[[#This Row],[ISIN]],'Novia Web Query'!$A:$E,5,FALSE)</f>
        <v>11/01/2022</v>
      </c>
      <c r="F1319" t="str">
        <f>VLOOKUP(NoviaFunds[[#This Row],[Sector]],Sectors[],2,FALSE)</f>
        <v>Mixed 40%-85%</v>
      </c>
    </row>
    <row r="1320" spans="1:6" x14ac:dyDescent="0.2">
      <c r="A1320" t="str">
        <f>'Novia Web Query'!A1317</f>
        <v>GB00B99P9349</v>
      </c>
      <c r="B1320" t="str">
        <f>VLOOKUP(NoviaFunds[[#This Row],[ISIN]],'Novia Web Query'!$A:$E,2,FALSE)</f>
        <v>Fidelity Multi Asset Allocator Strategic W Acc in GB</v>
      </c>
      <c r="C1320" t="str">
        <f>VLOOKUP(NoviaFunds[[#This Row],[ISIN]],'Novia Web Query'!$A:$E,3,FALSE)</f>
        <v>UT Mixed Investment 20-60% Shares</v>
      </c>
      <c r="D1320" s="139">
        <f>VLOOKUP(NoviaFunds[[#This Row],[ISIN]],'Novia Web Query'!$A:$E,4,FALSE)/100</f>
        <v>2E-3</v>
      </c>
      <c r="E1320" s="3" t="str">
        <f>VLOOKUP(NoviaFunds[[#This Row],[ISIN]],'Novia Web Query'!$A:$E,5,FALSE)</f>
        <v>11/01/2022</v>
      </c>
      <c r="F1320" t="str">
        <f>VLOOKUP(NoviaFunds[[#This Row],[Sector]],Sectors[],2,FALSE)</f>
        <v>Mixed 20%-60%</v>
      </c>
    </row>
    <row r="1321" spans="1:6" x14ac:dyDescent="0.2">
      <c r="A1321" t="str">
        <f>'Novia Web Query'!A1318</f>
        <v>GB00BFPC0725</v>
      </c>
      <c r="B1321" t="str">
        <f>VLOOKUP(NoviaFunds[[#This Row],[ISIN]],'Novia Web Query'!$A:$E,2,FALSE)</f>
        <v>Fidelity Multi Asset Balanced Income W Inc TR in GB</v>
      </c>
      <c r="C1321" t="str">
        <f>VLOOKUP(NoviaFunds[[#This Row],[ISIN]],'Novia Web Query'!$A:$E,3,FALSE)</f>
        <v>UT Mixed Investment 20-60% Shares</v>
      </c>
      <c r="D1321" s="139">
        <f>VLOOKUP(NoviaFunds[[#This Row],[ISIN]],'Novia Web Query'!$A:$E,4,FALSE)/100</f>
        <v>4.0000000000000001E-3</v>
      </c>
      <c r="E1321" s="3" t="str">
        <f>VLOOKUP(NoviaFunds[[#This Row],[ISIN]],'Novia Web Query'!$A:$E,5,FALSE)</f>
        <v>11/01/2022</v>
      </c>
      <c r="F1321" t="str">
        <f>VLOOKUP(NoviaFunds[[#This Row],[Sector]],Sectors[],2,FALSE)</f>
        <v>Mixed 20%-60%</v>
      </c>
    </row>
    <row r="1322" spans="1:6" x14ac:dyDescent="0.2">
      <c r="A1322" t="str">
        <f>'Novia Web Query'!A1319</f>
        <v>GB00BFPC0C71</v>
      </c>
      <c r="B1322" t="str">
        <f>VLOOKUP(NoviaFunds[[#This Row],[ISIN]],'Novia Web Query'!$A:$E,2,FALSE)</f>
        <v>Fidelity Multi Asset Income &amp; Growth W Inc TR in GB</v>
      </c>
      <c r="C1322" t="str">
        <f>VLOOKUP(NoviaFunds[[#This Row],[ISIN]],'Novia Web Query'!$A:$E,3,FALSE)</f>
        <v>UT Mixed Investment 40-85% Shares</v>
      </c>
      <c r="D1322" s="139">
        <f>VLOOKUP(NoviaFunds[[#This Row],[ISIN]],'Novia Web Query'!$A:$E,4,FALSE)/100</f>
        <v>9.7000000000000003E-3</v>
      </c>
      <c r="E1322" s="3" t="str">
        <f>VLOOKUP(NoviaFunds[[#This Row],[ISIN]],'Novia Web Query'!$A:$E,5,FALSE)</f>
        <v>11/01/2022</v>
      </c>
      <c r="F1322" t="str">
        <f>VLOOKUP(NoviaFunds[[#This Row],[Sector]],Sectors[],2,FALSE)</f>
        <v>Mixed 40%-85%</v>
      </c>
    </row>
    <row r="1323" spans="1:6" x14ac:dyDescent="0.2">
      <c r="A1323" t="str">
        <f>'Novia Web Query'!A1320</f>
        <v>GB00B1VQRP77</v>
      </c>
      <c r="B1323" t="str">
        <f>VLOOKUP(NoviaFunds[[#This Row],[ISIN]],'Novia Web Query'!$A:$E,2,FALSE)</f>
        <v>Fidelity Multi Asset Income A Acc in GB</v>
      </c>
      <c r="C1323" t="str">
        <f>VLOOKUP(NoviaFunds[[#This Row],[ISIN]],'Novia Web Query'!$A:$E,3,FALSE)</f>
        <v>UT Mixed Investment 0-35% Shares</v>
      </c>
      <c r="D1323" s="139">
        <f>VLOOKUP(NoviaFunds[[#This Row],[ISIN]],'Novia Web Query'!$A:$E,4,FALSE)/100</f>
        <v>1.7000000000000001E-2</v>
      </c>
      <c r="E1323" s="3" t="str">
        <f>VLOOKUP(NoviaFunds[[#This Row],[ISIN]],'Novia Web Query'!$A:$E,5,FALSE)</f>
        <v>11/01/2022</v>
      </c>
      <c r="F1323" t="str">
        <f>VLOOKUP(NoviaFunds[[#This Row],[Sector]],Sectors[],2,FALSE)</f>
        <v>Mixed 0%-35%</v>
      </c>
    </row>
    <row r="1324" spans="1:6" x14ac:dyDescent="0.2">
      <c r="A1324" t="str">
        <f>'Novia Web Query'!A1321</f>
        <v>GB00BJ4L7S87</v>
      </c>
      <c r="B1324" t="str">
        <f>VLOOKUP(NoviaFunds[[#This Row],[ISIN]],'Novia Web Query'!$A:$E,2,FALSE)</f>
        <v>Fidelity Multi Asset Income W Acc TR in GB</v>
      </c>
      <c r="C1324" t="str">
        <f>VLOOKUP(NoviaFunds[[#This Row],[ISIN]],'Novia Web Query'!$A:$E,3,FALSE)</f>
        <v>UT Mixed Investment 0-35% Shares</v>
      </c>
      <c r="D1324" s="139">
        <f>VLOOKUP(NoviaFunds[[#This Row],[ISIN]],'Novia Web Query'!$A:$E,4,FALSE)/100</f>
        <v>9.4999999999999998E-3</v>
      </c>
      <c r="E1324" s="3" t="str">
        <f>VLOOKUP(NoviaFunds[[#This Row],[ISIN]],'Novia Web Query'!$A:$E,5,FALSE)</f>
        <v>11/01/2022</v>
      </c>
      <c r="F1324" t="str">
        <f>VLOOKUP(NoviaFunds[[#This Row],[Sector]],Sectors[],2,FALSE)</f>
        <v>Mixed 0%-35%</v>
      </c>
    </row>
    <row r="1325" spans="1:6" x14ac:dyDescent="0.2">
      <c r="A1325" t="str">
        <f>'Novia Web Query'!A1322</f>
        <v>GB00BFPC0501</v>
      </c>
      <c r="B1325" t="str">
        <f>VLOOKUP(NoviaFunds[[#This Row],[ISIN]],'Novia Web Query'!$A:$E,2,FALSE)</f>
        <v>Fidelity Multi Asset Income W Inc TR in GB</v>
      </c>
      <c r="C1325" t="str">
        <f>VLOOKUP(NoviaFunds[[#This Row],[ISIN]],'Novia Web Query'!$A:$E,3,FALSE)</f>
        <v>UT Mixed Investment 0-35% Shares</v>
      </c>
      <c r="D1325" s="139">
        <f>VLOOKUP(NoviaFunds[[#This Row],[ISIN]],'Novia Web Query'!$A:$E,4,FALSE)/100</f>
        <v>9.4999999999999998E-3</v>
      </c>
      <c r="E1325" s="3" t="str">
        <f>VLOOKUP(NoviaFunds[[#This Row],[ISIN]],'Novia Web Query'!$A:$E,5,FALSE)</f>
        <v>11/01/2022</v>
      </c>
      <c r="F1325" t="str">
        <f>VLOOKUP(NoviaFunds[[#This Row],[Sector]],Sectors[],2,FALSE)</f>
        <v>Mixed 0%-35%</v>
      </c>
    </row>
    <row r="1326" spans="1:6" x14ac:dyDescent="0.2">
      <c r="A1326" t="str">
        <f>'Novia Web Query'!A1323</f>
        <v>GB00BC7GXM70</v>
      </c>
      <c r="B1326" t="str">
        <f>VLOOKUP(NoviaFunds[[#This Row],[ISIN]],'Novia Web Query'!$A:$E,2,FALSE)</f>
        <v>Fidelity Multi Asset Open Adventurous W Acc in GB</v>
      </c>
      <c r="C1326" t="str">
        <f>VLOOKUP(NoviaFunds[[#This Row],[ISIN]],'Novia Web Query'!$A:$E,3,FALSE)</f>
        <v>UT Flexible Investment</v>
      </c>
      <c r="D1326" s="139">
        <f>VLOOKUP(NoviaFunds[[#This Row],[ISIN]],'Novia Web Query'!$A:$E,4,FALSE)/100</f>
        <v>1.0700000000000001E-2</v>
      </c>
      <c r="E1326" s="3" t="str">
        <f>VLOOKUP(NoviaFunds[[#This Row],[ISIN]],'Novia Web Query'!$A:$E,5,FALSE)</f>
        <v>11/01/2022</v>
      </c>
      <c r="F1326" t="str">
        <f>VLOOKUP(NoviaFunds[[#This Row],[Sector]],Sectors[],2,FALSE)</f>
        <v>Flexible</v>
      </c>
    </row>
    <row r="1327" spans="1:6" x14ac:dyDescent="0.2">
      <c r="A1327" t="str">
        <f>'Novia Web Query'!A1324</f>
        <v>GB00BC7GXK56</v>
      </c>
      <c r="B1327" t="str">
        <f>VLOOKUP(NoviaFunds[[#This Row],[ISIN]],'Novia Web Query'!$A:$E,2,FALSE)</f>
        <v>Fidelity Multi Asset Open Defensive W Acc in GB</v>
      </c>
      <c r="C1327" t="str">
        <f>VLOOKUP(NoviaFunds[[#This Row],[ISIN]],'Novia Web Query'!$A:$E,3,FALSE)</f>
        <v>UT Mixed Investment 0-35% Shares</v>
      </c>
      <c r="D1327" s="139">
        <f>VLOOKUP(NoviaFunds[[#This Row],[ISIN]],'Novia Web Query'!$A:$E,4,FALSE)/100</f>
        <v>9.7000000000000003E-3</v>
      </c>
      <c r="E1327" s="3" t="str">
        <f>VLOOKUP(NoviaFunds[[#This Row],[ISIN]],'Novia Web Query'!$A:$E,5,FALSE)</f>
        <v>11/01/2022</v>
      </c>
      <c r="F1327" t="str">
        <f>VLOOKUP(NoviaFunds[[#This Row],[Sector]],Sectors[],2,FALSE)</f>
        <v>Mixed 0%-35%</v>
      </c>
    </row>
    <row r="1328" spans="1:6" x14ac:dyDescent="0.2">
      <c r="A1328" t="str">
        <f>'Novia Web Query'!A1325</f>
        <v>GB0033696567</v>
      </c>
      <c r="B1328" t="str">
        <f>VLOOKUP(NoviaFunds[[#This Row],[ISIN]],'Novia Web Query'!$A:$E,2,FALSE)</f>
        <v>Fidelity Multi Asset Open Growth A Acc in GB</v>
      </c>
      <c r="C1328" t="str">
        <f>VLOOKUP(NoviaFunds[[#This Row],[ISIN]],'Novia Web Query'!$A:$E,3,FALSE)</f>
        <v>UT Mixed Investment 40-85% Shares</v>
      </c>
      <c r="D1328" s="139">
        <f>VLOOKUP(NoviaFunds[[#This Row],[ISIN]],'Novia Web Query'!$A:$E,4,FALSE)/100</f>
        <v>1.8600000000000002E-2</v>
      </c>
      <c r="E1328" s="3" t="str">
        <f>VLOOKUP(NoviaFunds[[#This Row],[ISIN]],'Novia Web Query'!$A:$E,5,FALSE)</f>
        <v>11/01/2022</v>
      </c>
      <c r="F1328" t="str">
        <f>VLOOKUP(NoviaFunds[[#This Row],[Sector]],Sectors[],2,FALSE)</f>
        <v>Mixed 40%-85%</v>
      </c>
    </row>
    <row r="1329" spans="1:6" x14ac:dyDescent="0.2">
      <c r="A1329" t="str">
        <f>'Novia Web Query'!A1326</f>
        <v>GB00BC7GXL63</v>
      </c>
      <c r="B1329" t="str">
        <f>VLOOKUP(NoviaFunds[[#This Row],[ISIN]],'Novia Web Query'!$A:$E,2,FALSE)</f>
        <v>Fidelity Multi Asset Open Growth W Acc in GB</v>
      </c>
      <c r="C1329" t="str">
        <f>VLOOKUP(NoviaFunds[[#This Row],[ISIN]],'Novia Web Query'!$A:$E,3,FALSE)</f>
        <v>UT Mixed Investment 40-85% Shares</v>
      </c>
      <c r="D1329" s="139">
        <f>VLOOKUP(NoviaFunds[[#This Row],[ISIN]],'Novia Web Query'!$A:$E,4,FALSE)/100</f>
        <v>1.11E-2</v>
      </c>
      <c r="E1329" s="3" t="str">
        <f>VLOOKUP(NoviaFunds[[#This Row],[ISIN]],'Novia Web Query'!$A:$E,5,FALSE)</f>
        <v>11/01/2022</v>
      </c>
      <c r="F1329" t="str">
        <f>VLOOKUP(NoviaFunds[[#This Row],[Sector]],Sectors[],2,FALSE)</f>
        <v>Mixed 40%-85%</v>
      </c>
    </row>
    <row r="1330" spans="1:6" x14ac:dyDescent="0.2">
      <c r="A1330" t="str">
        <f>'Novia Web Query'!A1327</f>
        <v>GB00BC9S3B08</v>
      </c>
      <c r="B1330" t="str">
        <f>VLOOKUP(NoviaFunds[[#This Row],[ISIN]],'Novia Web Query'!$A:$E,2,FALSE)</f>
        <v>Fidelity Multi Asset Open Strategic W Acc TR in GB</v>
      </c>
      <c r="C1330" t="str">
        <f>VLOOKUP(NoviaFunds[[#This Row],[ISIN]],'Novia Web Query'!$A:$E,3,FALSE)</f>
        <v>UT Mixed Investment 20-60% Shares</v>
      </c>
      <c r="D1330" s="139">
        <f>VLOOKUP(NoviaFunds[[#This Row],[ISIN]],'Novia Web Query'!$A:$E,4,FALSE)/100</f>
        <v>1.0200000000000001E-2</v>
      </c>
      <c r="E1330" s="3" t="str">
        <f>VLOOKUP(NoviaFunds[[#This Row],[ISIN]],'Novia Web Query'!$A:$E,5,FALSE)</f>
        <v>11/01/2022</v>
      </c>
      <c r="F1330" t="str">
        <f>VLOOKUP(NoviaFunds[[#This Row],[Sector]],Sectors[],2,FALSE)</f>
        <v>Mixed 20%-60%</v>
      </c>
    </row>
    <row r="1331" spans="1:6" x14ac:dyDescent="0.2">
      <c r="A1331" t="str">
        <f>'Novia Web Query'!A1328</f>
        <v>GB00B8ZQDX23</v>
      </c>
      <c r="B1331" t="str">
        <f>VLOOKUP(NoviaFunds[[#This Row],[ISIN]],'Novia Web Query'!$A:$E,2,FALSE)</f>
        <v>Fidelity Open World A Acc in GB</v>
      </c>
      <c r="C1331" t="str">
        <f>VLOOKUP(NoviaFunds[[#This Row],[ISIN]],'Novia Web Query'!$A:$E,3,FALSE)</f>
        <v>UT Global</v>
      </c>
      <c r="D1331" s="139">
        <f>VLOOKUP(NoviaFunds[[#This Row],[ISIN]],'Novia Web Query'!$A:$E,4,FALSE)/100</f>
        <v>1.9400000000000001E-2</v>
      </c>
      <c r="E1331" s="3" t="str">
        <f>VLOOKUP(NoviaFunds[[#This Row],[ISIN]],'Novia Web Query'!$A:$E,5,FALSE)</f>
        <v>11/01/2022</v>
      </c>
      <c r="F1331" t="str">
        <f>VLOOKUP(NoviaFunds[[#This Row],[Sector]],Sectors[],2,FALSE)</f>
        <v>Other Equities</v>
      </c>
    </row>
    <row r="1332" spans="1:6" x14ac:dyDescent="0.2">
      <c r="A1332" t="str">
        <f>'Novia Web Query'!A1329</f>
        <v>GB00BC7GXN87</v>
      </c>
      <c r="B1332" t="str">
        <f>VLOOKUP(NoviaFunds[[#This Row],[ISIN]],'Novia Web Query'!$A:$E,2,FALSE)</f>
        <v>Fidelity Open World W Acc in GB**</v>
      </c>
      <c r="C1332" t="str">
        <f>VLOOKUP(NoviaFunds[[#This Row],[ISIN]],'Novia Web Query'!$A:$E,3,FALSE)</f>
        <v>UT Global</v>
      </c>
      <c r="D1332" s="139">
        <f>VLOOKUP(NoviaFunds[[#This Row],[ISIN]],'Novia Web Query'!$A:$E,4,FALSE)/100</f>
        <v>1.1899999999999999E-2</v>
      </c>
      <c r="E1332" s="3" t="str">
        <f>VLOOKUP(NoviaFunds[[#This Row],[ISIN]],'Novia Web Query'!$A:$E,5,FALSE)</f>
        <v>11/01/2022</v>
      </c>
      <c r="F1332" t="str">
        <f>VLOOKUP(NoviaFunds[[#This Row],[Sector]],Sectors[],2,FALSE)</f>
        <v>Other Equities</v>
      </c>
    </row>
    <row r="1333" spans="1:6" x14ac:dyDescent="0.2">
      <c r="A1333" t="str">
        <f>'Novia Web Query'!A1330</f>
        <v>GB00BDCG0G22</v>
      </c>
      <c r="B1333" t="str">
        <f>VLOOKUP(NoviaFunds[[#This Row],[ISIN]],'Novia Web Query'!$A:$E,2,FALSE)</f>
        <v>Fidelity Short Dated Corporate Bond W Acc in GB</v>
      </c>
      <c r="C1333" t="str">
        <f>VLOOKUP(NoviaFunds[[#This Row],[ISIN]],'Novia Web Query'!$A:$E,3,FALSE)</f>
        <v>UT Sterling Corporate Bond</v>
      </c>
      <c r="D1333" s="139">
        <f>VLOOKUP(NoviaFunds[[#This Row],[ISIN]],'Novia Web Query'!$A:$E,4,FALSE)/100</f>
        <v>2.3999999999999998E-3</v>
      </c>
      <c r="E1333" s="3" t="str">
        <f>VLOOKUP(NoviaFunds[[#This Row],[ISIN]],'Novia Web Query'!$A:$E,5,FALSE)</f>
        <v>11/01/2022</v>
      </c>
      <c r="F1333" t="str">
        <f>VLOOKUP(NoviaFunds[[#This Row],[Sector]],Sectors[],2,FALSE)</f>
        <v>Sterling Corporate Bonds</v>
      </c>
    </row>
    <row r="1334" spans="1:6" x14ac:dyDescent="0.2">
      <c r="A1334" t="str">
        <f>'Novia Web Query'!A1331</f>
        <v>GB00BDCG0F15</v>
      </c>
      <c r="B1334" t="str">
        <f>VLOOKUP(NoviaFunds[[#This Row],[ISIN]],'Novia Web Query'!$A:$E,2,FALSE)</f>
        <v>Fidelity Short Dated Corporate Bond W Inc TR in GB</v>
      </c>
      <c r="C1334" t="str">
        <f>VLOOKUP(NoviaFunds[[#This Row],[ISIN]],'Novia Web Query'!$A:$E,3,FALSE)</f>
        <v>UT Sterling Corporate Bond</v>
      </c>
      <c r="D1334" s="139">
        <f>VLOOKUP(NoviaFunds[[#This Row],[ISIN]],'Novia Web Query'!$A:$E,4,FALSE)/100</f>
        <v>2.3999999999999998E-3</v>
      </c>
      <c r="E1334" s="3" t="str">
        <f>VLOOKUP(NoviaFunds[[#This Row],[ISIN]],'Novia Web Query'!$A:$E,5,FALSE)</f>
        <v>11/01/2022</v>
      </c>
      <c r="F1334" t="str">
        <f>VLOOKUP(NoviaFunds[[#This Row],[Sector]],Sectors[],2,FALSE)</f>
        <v>Sterling Corporate Bonds</v>
      </c>
    </row>
    <row r="1335" spans="1:6" x14ac:dyDescent="0.2">
      <c r="A1335" t="str">
        <f>'Novia Web Query'!A1332</f>
        <v>GB0003875100</v>
      </c>
      <c r="B1335" t="str">
        <f>VLOOKUP(NoviaFunds[[#This Row],[ISIN]],'Novia Web Query'!$A:$E,2,FALSE)</f>
        <v>Fidelity Special Situations A Acc in GB</v>
      </c>
      <c r="C1335" t="str">
        <f>VLOOKUP(NoviaFunds[[#This Row],[ISIN]],'Novia Web Query'!$A:$E,3,FALSE)</f>
        <v>UT UK All Companies</v>
      </c>
      <c r="D1335" s="139">
        <f>VLOOKUP(NoviaFunds[[#This Row],[ISIN]],'Novia Web Query'!$A:$E,4,FALSE)/100</f>
        <v>1.6500000000000001E-2</v>
      </c>
      <c r="E1335" s="3" t="str">
        <f>VLOOKUP(NoviaFunds[[#This Row],[ISIN]],'Novia Web Query'!$A:$E,5,FALSE)</f>
        <v>11/01/2022</v>
      </c>
      <c r="F1335" t="str">
        <f>VLOOKUP(NoviaFunds[[#This Row],[Sector]],Sectors[],2,FALSE)</f>
        <v>UK Equities</v>
      </c>
    </row>
    <row r="1336" spans="1:6" x14ac:dyDescent="0.2">
      <c r="A1336" t="str">
        <f>'Novia Web Query'!A1333</f>
        <v>GB00B88V3X40</v>
      </c>
      <c r="B1336" t="str">
        <f>VLOOKUP(NoviaFunds[[#This Row],[ISIN]],'Novia Web Query'!$A:$E,2,FALSE)</f>
        <v>Fidelity Special Situations W Acc in GB</v>
      </c>
      <c r="C1336" t="str">
        <f>VLOOKUP(NoviaFunds[[#This Row],[ISIN]],'Novia Web Query'!$A:$E,3,FALSE)</f>
        <v>UT UK All Companies</v>
      </c>
      <c r="D1336" s="139">
        <f>VLOOKUP(NoviaFunds[[#This Row],[ISIN]],'Novia Web Query'!$A:$E,4,FALSE)/100</f>
        <v>9.0000000000000011E-3</v>
      </c>
      <c r="E1336" s="3" t="str">
        <f>VLOOKUP(NoviaFunds[[#This Row],[ISIN]],'Novia Web Query'!$A:$E,5,FALSE)</f>
        <v>11/01/2022</v>
      </c>
      <c r="F1336" t="str">
        <f>VLOOKUP(NoviaFunds[[#This Row],[Sector]],Sectors[],2,FALSE)</f>
        <v>UK Equities</v>
      </c>
    </row>
    <row r="1337" spans="1:6" x14ac:dyDescent="0.2">
      <c r="A1337" t="str">
        <f>'Novia Web Query'!A1334</f>
        <v>GB00B5M4BD49</v>
      </c>
      <c r="B1337" t="str">
        <f>VLOOKUP(NoviaFunds[[#This Row],[ISIN]],'Novia Web Query'!$A:$E,2,FALSE)</f>
        <v>Fidelity Strategic Bond A Acc in GB</v>
      </c>
      <c r="C1337" t="str">
        <f>VLOOKUP(NoviaFunds[[#This Row],[ISIN]],'Novia Web Query'!$A:$E,3,FALSE)</f>
        <v>UT Sterling Strategic Bond</v>
      </c>
      <c r="D1337" s="139">
        <f>VLOOKUP(NoviaFunds[[#This Row],[ISIN]],'Novia Web Query'!$A:$E,4,FALSE)/100</f>
        <v>1.1000000000000001E-2</v>
      </c>
      <c r="E1337" s="3" t="str">
        <f>VLOOKUP(NoviaFunds[[#This Row],[ISIN]],'Novia Web Query'!$A:$E,5,FALSE)</f>
        <v>11/01/2022</v>
      </c>
      <c r="F1337" t="str">
        <f>VLOOKUP(NoviaFunds[[#This Row],[Sector]],Sectors[],2,FALSE)</f>
        <v>Other Bonds</v>
      </c>
    </row>
    <row r="1338" spans="1:6" x14ac:dyDescent="0.2">
      <c r="A1338" t="str">
        <f>'Novia Web Query'!A1335</f>
        <v>GB00B05NC857</v>
      </c>
      <c r="B1338" t="str">
        <f>VLOOKUP(NoviaFunds[[#This Row],[ISIN]],'Novia Web Query'!$A:$E,2,FALSE)</f>
        <v>Fidelity Strategic Bond A Inc TR in GB</v>
      </c>
      <c r="C1338" t="str">
        <f>VLOOKUP(NoviaFunds[[#This Row],[ISIN]],'Novia Web Query'!$A:$E,3,FALSE)</f>
        <v>UT Sterling Strategic Bond</v>
      </c>
      <c r="D1338" s="139">
        <f>VLOOKUP(NoviaFunds[[#This Row],[ISIN]],'Novia Web Query'!$A:$E,4,FALSE)/100</f>
        <v>1.1000000000000001E-2</v>
      </c>
      <c r="E1338" s="3" t="str">
        <f>VLOOKUP(NoviaFunds[[#This Row],[ISIN]],'Novia Web Query'!$A:$E,5,FALSE)</f>
        <v>11/01/2022</v>
      </c>
      <c r="F1338" t="str">
        <f>VLOOKUP(NoviaFunds[[#This Row],[Sector]],Sectors[],2,FALSE)</f>
        <v>Other Bonds</v>
      </c>
    </row>
    <row r="1339" spans="1:6" x14ac:dyDescent="0.2">
      <c r="A1339" t="str">
        <f>'Novia Web Query'!A1336</f>
        <v>GB00BCRWZS59</v>
      </c>
      <c r="B1339" t="str">
        <f>VLOOKUP(NoviaFunds[[#This Row],[ISIN]],'Novia Web Query'!$A:$E,2,FALSE)</f>
        <v>Fidelity Strategic Bond W Acc in GB</v>
      </c>
      <c r="C1339" t="str">
        <f>VLOOKUP(NoviaFunds[[#This Row],[ISIN]],'Novia Web Query'!$A:$E,3,FALSE)</f>
        <v>UT Sterling Strategic Bond</v>
      </c>
      <c r="D1339" s="139">
        <f>VLOOKUP(NoviaFunds[[#This Row],[ISIN]],'Novia Web Query'!$A:$E,4,FALSE)/100</f>
        <v>6.0000000000000001E-3</v>
      </c>
      <c r="E1339" s="3" t="str">
        <f>VLOOKUP(NoviaFunds[[#This Row],[ISIN]],'Novia Web Query'!$A:$E,5,FALSE)</f>
        <v>11/01/2022</v>
      </c>
      <c r="F1339" t="str">
        <f>VLOOKUP(NoviaFunds[[#This Row],[Sector]],Sectors[],2,FALSE)</f>
        <v>Other Bonds</v>
      </c>
    </row>
    <row r="1340" spans="1:6" x14ac:dyDescent="0.2">
      <c r="A1340" t="str">
        <f>'Novia Web Query'!A1337</f>
        <v>GB00B469J896</v>
      </c>
      <c r="B1340" t="str">
        <f>VLOOKUP(NoviaFunds[[#This Row],[ISIN]],'Novia Web Query'!$A:$E,2,FALSE)</f>
        <v>Fidelity Strategic Bond W Inc TR in GB</v>
      </c>
      <c r="C1340" t="str">
        <f>VLOOKUP(NoviaFunds[[#This Row],[ISIN]],'Novia Web Query'!$A:$E,3,FALSE)</f>
        <v>UT Sterling Strategic Bond</v>
      </c>
      <c r="D1340" s="139">
        <f>VLOOKUP(NoviaFunds[[#This Row],[ISIN]],'Novia Web Query'!$A:$E,4,FALSE)/100</f>
        <v>6.0000000000000001E-3</v>
      </c>
      <c r="E1340" s="3" t="str">
        <f>VLOOKUP(NoviaFunds[[#This Row],[ISIN]],'Novia Web Query'!$A:$E,5,FALSE)</f>
        <v>11/01/2022</v>
      </c>
      <c r="F1340" t="str">
        <f>VLOOKUP(NoviaFunds[[#This Row],[Sector]],Sectors[],2,FALSE)</f>
        <v>Other Bonds</v>
      </c>
    </row>
    <row r="1341" spans="1:6" x14ac:dyDescent="0.2">
      <c r="A1341" t="str">
        <f>'Novia Web Query'!A1338</f>
        <v>GB00B84Q8M70</v>
      </c>
      <c r="B1341" t="str">
        <f>VLOOKUP(NoviaFunds[[#This Row],[ISIN]],'Novia Web Query'!$A:$E,2,FALSE)</f>
        <v>Fidelity Sustainable Asia Equity W Acc in GB</v>
      </c>
      <c r="C1341" t="str">
        <f>VLOOKUP(NoviaFunds[[#This Row],[ISIN]],'Novia Web Query'!$A:$E,3,FALSE)</f>
        <v>UT Asia Pacific Excluding Japan</v>
      </c>
      <c r="D1341" s="139">
        <f>VLOOKUP(NoviaFunds[[#This Row],[ISIN]],'Novia Web Query'!$A:$E,4,FALSE)/100</f>
        <v>8.8999999999999999E-3</v>
      </c>
      <c r="E1341" s="3" t="str">
        <f>VLOOKUP(NoviaFunds[[#This Row],[ISIN]],'Novia Web Query'!$A:$E,5,FALSE)</f>
        <v>11/01/2022</v>
      </c>
      <c r="F1341" t="str">
        <f>VLOOKUP(NoviaFunds[[#This Row],[Sector]],Sectors[],2,FALSE)</f>
        <v>Asia Pacific</v>
      </c>
    </row>
    <row r="1342" spans="1:6" x14ac:dyDescent="0.2">
      <c r="A1342" t="str">
        <f>'Novia Web Query'!A1339</f>
        <v>GB0003874913</v>
      </c>
      <c r="B1342" t="str">
        <f>VLOOKUP(NoviaFunds[[#This Row],[ISIN]],'Novia Web Query'!$A:$E,2,FALSE)</f>
        <v>Fidelity Sustainable European Equity A Acc in GB</v>
      </c>
      <c r="C1342" t="str">
        <f>VLOOKUP(NoviaFunds[[#This Row],[ISIN]],'Novia Web Query'!$A:$E,3,FALSE)</f>
        <v>UT Europe Excluding UK</v>
      </c>
      <c r="D1342" s="139">
        <f>VLOOKUP(NoviaFunds[[#This Row],[ISIN]],'Novia Web Query'!$A:$E,4,FALSE)/100</f>
        <v>1.6E-2</v>
      </c>
      <c r="E1342" s="3" t="str">
        <f>VLOOKUP(NoviaFunds[[#This Row],[ISIN]],'Novia Web Query'!$A:$E,5,FALSE)</f>
        <v>11/01/2022</v>
      </c>
      <c r="F1342" t="str">
        <f>VLOOKUP(NoviaFunds[[#This Row],[Sector]],Sectors[],2,FALSE)</f>
        <v>European Equities</v>
      </c>
    </row>
    <row r="1343" spans="1:6" x14ac:dyDescent="0.2">
      <c r="A1343" t="str">
        <f>'Novia Web Query'!A1340</f>
        <v>GB00B8287518</v>
      </c>
      <c r="B1343" t="str">
        <f>VLOOKUP(NoviaFunds[[#This Row],[ISIN]],'Novia Web Query'!$A:$E,2,FALSE)</f>
        <v>Fidelity Sustainable European Equity W Acc in GB</v>
      </c>
      <c r="C1343" t="str">
        <f>VLOOKUP(NoviaFunds[[#This Row],[ISIN]],'Novia Web Query'!$A:$E,3,FALSE)</f>
        <v>UT Europe Excluding UK</v>
      </c>
      <c r="D1343" s="139">
        <f>VLOOKUP(NoviaFunds[[#This Row],[ISIN]],'Novia Web Query'!$A:$E,4,FALSE)/100</f>
        <v>8.5000000000000006E-3</v>
      </c>
      <c r="E1343" s="3" t="str">
        <f>VLOOKUP(NoviaFunds[[#This Row],[ISIN]],'Novia Web Query'!$A:$E,5,FALSE)</f>
        <v>11/01/2022</v>
      </c>
      <c r="F1343" t="str">
        <f>VLOOKUP(NoviaFunds[[#This Row],[Sector]],Sectors[],2,FALSE)</f>
        <v>European Equities</v>
      </c>
    </row>
    <row r="1344" spans="1:6" x14ac:dyDescent="0.2">
      <c r="A1344" t="str">
        <f>'Novia Web Query'!A1341</f>
        <v>GB00BHR44F64</v>
      </c>
      <c r="B1344" t="str">
        <f>VLOOKUP(NoviaFunds[[#This Row],[ISIN]],'Novia Web Query'!$A:$E,2,FALSE)</f>
        <v>Fidelity Sustainable Water &amp; Waste W Acc in GB</v>
      </c>
      <c r="C1344" t="str">
        <f>VLOOKUP(NoviaFunds[[#This Row],[ISIN]],'Novia Web Query'!$A:$E,3,FALSE)</f>
        <v>UT Global</v>
      </c>
      <c r="D1344" s="139">
        <f>VLOOKUP(NoviaFunds[[#This Row],[ISIN]],'Novia Web Query'!$A:$E,4,FALSE)/100</f>
        <v>9.0000000000000011E-3</v>
      </c>
      <c r="E1344" s="3" t="str">
        <f>VLOOKUP(NoviaFunds[[#This Row],[ISIN]],'Novia Web Query'!$A:$E,5,FALSE)</f>
        <v>11/01/2022</v>
      </c>
      <c r="F1344" t="str">
        <f>VLOOKUP(NoviaFunds[[#This Row],[Sector]],Sectors[],2,FALSE)</f>
        <v>Other Equities</v>
      </c>
    </row>
    <row r="1345" spans="1:6" x14ac:dyDescent="0.2">
      <c r="A1345" t="str">
        <f>'Novia Web Query'!A1342</f>
        <v>GB00BHR44G71</v>
      </c>
      <c r="B1345" t="str">
        <f>VLOOKUP(NoviaFunds[[#This Row],[ISIN]],'Novia Web Query'!$A:$E,2,FALSE)</f>
        <v>Fidelity Sustainable Water &amp; Waste W Inc TR in GB</v>
      </c>
      <c r="C1345" t="str">
        <f>VLOOKUP(NoviaFunds[[#This Row],[ISIN]],'Novia Web Query'!$A:$E,3,FALSE)</f>
        <v>UT Global</v>
      </c>
      <c r="D1345" s="139">
        <f>VLOOKUP(NoviaFunds[[#This Row],[ISIN]],'Novia Web Query'!$A:$E,4,FALSE)/100</f>
        <v>9.0000000000000011E-3</v>
      </c>
      <c r="E1345" s="3" t="str">
        <f>VLOOKUP(NoviaFunds[[#This Row],[ISIN]],'Novia Web Query'!$A:$E,5,FALSE)</f>
        <v>11/01/2022</v>
      </c>
      <c r="F1345" t="str">
        <f>VLOOKUP(NoviaFunds[[#This Row],[Sector]],Sectors[],2,FALSE)</f>
        <v>Other Equities</v>
      </c>
    </row>
    <row r="1346" spans="1:6" x14ac:dyDescent="0.2">
      <c r="A1346" t="str">
        <f>'Novia Web Query'!A1343</f>
        <v>GB00BH7HNY76</v>
      </c>
      <c r="B1346" t="str">
        <f>VLOOKUP(NoviaFunds[[#This Row],[ISIN]],'Novia Web Query'!$A:$E,2,FALSE)</f>
        <v>Fidelity UK Opportunities W Acc in GB</v>
      </c>
      <c r="C1346" t="str">
        <f>VLOOKUP(NoviaFunds[[#This Row],[ISIN]],'Novia Web Query'!$A:$E,3,FALSE)</f>
        <v>UT UK All Companies</v>
      </c>
      <c r="D1346" s="139">
        <f>VLOOKUP(NoviaFunds[[#This Row],[ISIN]],'Novia Web Query'!$A:$E,4,FALSE)/100</f>
        <v>6.7000000000000002E-3</v>
      </c>
      <c r="E1346" s="3" t="str">
        <f>VLOOKUP(NoviaFunds[[#This Row],[ISIN]],'Novia Web Query'!$A:$E,5,FALSE)</f>
        <v>11/01/2022</v>
      </c>
      <c r="F1346" t="str">
        <f>VLOOKUP(NoviaFunds[[#This Row],[Sector]],Sectors[],2,FALSE)</f>
        <v>UK Equities</v>
      </c>
    </row>
    <row r="1347" spans="1:6" x14ac:dyDescent="0.2">
      <c r="A1347" t="str">
        <f>'Novia Web Query'!A1344</f>
        <v>GB00BH7HNZ83</v>
      </c>
      <c r="B1347" t="str">
        <f>VLOOKUP(NoviaFunds[[#This Row],[ISIN]],'Novia Web Query'!$A:$E,2,FALSE)</f>
        <v>Fidelity UK Opportunities W Inc TR in GB**</v>
      </c>
      <c r="C1347" t="str">
        <f>VLOOKUP(NoviaFunds[[#This Row],[ISIN]],'Novia Web Query'!$A:$E,3,FALSE)</f>
        <v>UT UK All Companies</v>
      </c>
      <c r="D1347" s="139">
        <f>VLOOKUP(NoviaFunds[[#This Row],[ISIN]],'Novia Web Query'!$A:$E,4,FALSE)/100</f>
        <v>6.7000000000000002E-3</v>
      </c>
      <c r="E1347" s="3" t="str">
        <f>VLOOKUP(NoviaFunds[[#This Row],[ISIN]],'Novia Web Query'!$A:$E,5,FALSE)</f>
        <v>11/01/2022</v>
      </c>
      <c r="F1347" t="str">
        <f>VLOOKUP(NoviaFunds[[#This Row],[Sector]],Sectors[],2,FALSE)</f>
        <v>UK Equities</v>
      </c>
    </row>
    <row r="1348" spans="1:6" x14ac:dyDescent="0.2">
      <c r="A1348" t="str">
        <f>'Novia Web Query'!A1345</f>
        <v>GB0003864542</v>
      </c>
      <c r="B1348" t="str">
        <f>VLOOKUP(NoviaFunds[[#This Row],[ISIN]],'Novia Web Query'!$A:$E,2,FALSE)</f>
        <v>Fidelity UK Select Acc in GB</v>
      </c>
      <c r="C1348" t="str">
        <f>VLOOKUP(NoviaFunds[[#This Row],[ISIN]],'Novia Web Query'!$A:$E,3,FALSE)</f>
        <v>UT UK All Companies</v>
      </c>
      <c r="D1348" s="139">
        <f>VLOOKUP(NoviaFunds[[#This Row],[ISIN]],'Novia Web Query'!$A:$E,4,FALSE)/100</f>
        <v>1.55E-2</v>
      </c>
      <c r="E1348" s="3" t="str">
        <f>VLOOKUP(NoviaFunds[[#This Row],[ISIN]],'Novia Web Query'!$A:$E,5,FALSE)</f>
        <v>11/01/2022</v>
      </c>
      <c r="F1348" t="str">
        <f>VLOOKUP(NoviaFunds[[#This Row],[Sector]],Sectors[],2,FALSE)</f>
        <v>UK Equities</v>
      </c>
    </row>
    <row r="1349" spans="1:6" x14ac:dyDescent="0.2">
      <c r="A1349" t="str">
        <f>'Novia Web Query'!A1346</f>
        <v>GB00BFRT3942</v>
      </c>
      <c r="B1349" t="str">
        <f>VLOOKUP(NoviaFunds[[#This Row],[ISIN]],'Novia Web Query'!$A:$E,2,FALSE)</f>
        <v>Fidelity UK Select W Acc in GB</v>
      </c>
      <c r="C1349" t="str">
        <f>VLOOKUP(NoviaFunds[[#This Row],[ISIN]],'Novia Web Query'!$A:$E,3,FALSE)</f>
        <v>UT UK All Companies</v>
      </c>
      <c r="D1349" s="139">
        <f>VLOOKUP(NoviaFunds[[#This Row],[ISIN]],'Novia Web Query'!$A:$E,4,FALSE)/100</f>
        <v>8.0000000000000002E-3</v>
      </c>
      <c r="E1349" s="3" t="str">
        <f>VLOOKUP(NoviaFunds[[#This Row],[ISIN]],'Novia Web Query'!$A:$E,5,FALSE)</f>
        <v>11/01/2022</v>
      </c>
      <c r="F1349" t="str">
        <f>VLOOKUP(NoviaFunds[[#This Row],[Sector]],Sectors[],2,FALSE)</f>
        <v>UK Equities</v>
      </c>
    </row>
    <row r="1350" spans="1:6" x14ac:dyDescent="0.2">
      <c r="A1350" t="str">
        <f>'Novia Web Query'!A1347</f>
        <v>GB00B3SW2T17</v>
      </c>
      <c r="B1350" t="str">
        <f>VLOOKUP(NoviaFunds[[#This Row],[ISIN]],'Novia Web Query'!$A:$E,2,FALSE)</f>
        <v>Fidelity UK Smaller Companies A Acc in GB</v>
      </c>
      <c r="C1350" t="str">
        <f>VLOOKUP(NoviaFunds[[#This Row],[ISIN]],'Novia Web Query'!$A:$E,3,FALSE)</f>
        <v>UT UK Smaller Companies</v>
      </c>
      <c r="D1350" s="139">
        <f>VLOOKUP(NoviaFunds[[#This Row],[ISIN]],'Novia Web Query'!$A:$E,4,FALSE)/100</f>
        <v>1.66E-2</v>
      </c>
      <c r="E1350" s="3" t="str">
        <f>VLOOKUP(NoviaFunds[[#This Row],[ISIN]],'Novia Web Query'!$A:$E,5,FALSE)</f>
        <v>11/01/2022</v>
      </c>
      <c r="F1350" t="str">
        <f>VLOOKUP(NoviaFunds[[#This Row],[Sector]],Sectors[],2,FALSE)</f>
        <v>UK Equities</v>
      </c>
    </row>
    <row r="1351" spans="1:6" x14ac:dyDescent="0.2">
      <c r="A1351" t="str">
        <f>'Novia Web Query'!A1348</f>
        <v>GB00B7VNMB18</v>
      </c>
      <c r="B1351" t="str">
        <f>VLOOKUP(NoviaFunds[[#This Row],[ISIN]],'Novia Web Query'!$A:$E,2,FALSE)</f>
        <v>Fidelity UK Smaller Companies W Acc in GB</v>
      </c>
      <c r="C1351" t="str">
        <f>VLOOKUP(NoviaFunds[[#This Row],[ISIN]],'Novia Web Query'!$A:$E,3,FALSE)</f>
        <v>UT UK Smaller Companies</v>
      </c>
      <c r="D1351" s="139">
        <f>VLOOKUP(NoviaFunds[[#This Row],[ISIN]],'Novia Web Query'!$A:$E,4,FALSE)/100</f>
        <v>9.1000000000000004E-3</v>
      </c>
      <c r="E1351" s="3" t="str">
        <f>VLOOKUP(NoviaFunds[[#This Row],[ISIN]],'Novia Web Query'!$A:$E,5,FALSE)</f>
        <v>11/01/2022</v>
      </c>
      <c r="F1351" t="str">
        <f>VLOOKUP(NoviaFunds[[#This Row],[Sector]],Sectors[],2,FALSE)</f>
        <v>UK Equities</v>
      </c>
    </row>
    <row r="1352" spans="1:6" x14ac:dyDescent="0.2">
      <c r="A1352" t="str">
        <f>'Novia Web Query'!A1349</f>
        <v>GB00B1F76G03</v>
      </c>
      <c r="B1352" t="str">
        <f>VLOOKUP(NoviaFunds[[#This Row],[ISIN]],'Novia Web Query'!$A:$E,2,FALSE)</f>
        <v>First Sentier Asian Property Securities A GBP Acc in GB</v>
      </c>
      <c r="C1352" t="str">
        <f>VLOOKUP(NoviaFunds[[#This Row],[ISIN]],'Novia Web Query'!$A:$E,3,FALSE)</f>
        <v>UT Property Other</v>
      </c>
      <c r="D1352" s="139">
        <f>VLOOKUP(NoviaFunds[[#This Row],[ISIN]],'Novia Web Query'!$A:$E,4,FALSE)/100</f>
        <v>1.8500000000000003E-2</v>
      </c>
      <c r="E1352" s="3" t="str">
        <f>VLOOKUP(NoviaFunds[[#This Row],[ISIN]],'Novia Web Query'!$A:$E,5,FALSE)</f>
        <v>30/11/2021</v>
      </c>
      <c r="F1352" t="e">
        <f>VLOOKUP(NoviaFunds[[#This Row],[Sector]],Sectors[],2,FALSE)</f>
        <v>#N/A</v>
      </c>
    </row>
    <row r="1353" spans="1:6" x14ac:dyDescent="0.2">
      <c r="A1353" t="str">
        <f>'Novia Web Query'!A1350</f>
        <v>GB00B1F76H10</v>
      </c>
      <c r="B1353" t="str">
        <f>VLOOKUP(NoviaFunds[[#This Row],[ISIN]],'Novia Web Query'!$A:$E,2,FALSE)</f>
        <v>First Sentier Asian Property Securities A GBP Inc TR in GB</v>
      </c>
      <c r="C1353" t="str">
        <f>VLOOKUP(NoviaFunds[[#This Row],[ISIN]],'Novia Web Query'!$A:$E,3,FALSE)</f>
        <v>UT Property Other</v>
      </c>
      <c r="D1353" s="139">
        <f>VLOOKUP(NoviaFunds[[#This Row],[ISIN]],'Novia Web Query'!$A:$E,4,FALSE)/100</f>
        <v>1.8500000000000003E-2</v>
      </c>
      <c r="E1353" s="3" t="str">
        <f>VLOOKUP(NoviaFunds[[#This Row],[ISIN]],'Novia Web Query'!$A:$E,5,FALSE)</f>
        <v>30/11/2021</v>
      </c>
      <c r="F1353" t="e">
        <f>VLOOKUP(NoviaFunds[[#This Row],[Sector]],Sectors[],2,FALSE)</f>
        <v>#N/A</v>
      </c>
    </row>
    <row r="1354" spans="1:6" x14ac:dyDescent="0.2">
      <c r="A1354" t="str">
        <f>'Novia Web Query'!A1351</f>
        <v>GB00B1F76J34</v>
      </c>
      <c r="B1354" t="str">
        <f>VLOOKUP(NoviaFunds[[#This Row],[ISIN]],'Novia Web Query'!$A:$E,2,FALSE)</f>
        <v>First Sentier Asian Property Securities B GBP Acc in GB</v>
      </c>
      <c r="C1354" t="str">
        <f>VLOOKUP(NoviaFunds[[#This Row],[ISIN]],'Novia Web Query'!$A:$E,3,FALSE)</f>
        <v>UT Property Other</v>
      </c>
      <c r="D1354" s="139">
        <f>VLOOKUP(NoviaFunds[[#This Row],[ISIN]],'Novia Web Query'!$A:$E,4,FALSE)/100</f>
        <v>1.24E-2</v>
      </c>
      <c r="E1354" s="3" t="str">
        <f>VLOOKUP(NoviaFunds[[#This Row],[ISIN]],'Novia Web Query'!$A:$E,5,FALSE)</f>
        <v>30/11/2021</v>
      </c>
      <c r="F1354" t="e">
        <f>VLOOKUP(NoviaFunds[[#This Row],[Sector]],Sectors[],2,FALSE)</f>
        <v>#N/A</v>
      </c>
    </row>
    <row r="1355" spans="1:6" x14ac:dyDescent="0.2">
      <c r="A1355" t="str">
        <f>'Novia Web Query'!A1352</f>
        <v>GB00B1F76K49</v>
      </c>
      <c r="B1355" t="str">
        <f>VLOOKUP(NoviaFunds[[#This Row],[ISIN]],'Novia Web Query'!$A:$E,2,FALSE)</f>
        <v>First Sentier Asian Property Securities B GBP Inc TR in GB</v>
      </c>
      <c r="C1355" t="str">
        <f>VLOOKUP(NoviaFunds[[#This Row],[ISIN]],'Novia Web Query'!$A:$E,3,FALSE)</f>
        <v>UT Property Other</v>
      </c>
      <c r="D1355" s="139">
        <f>VLOOKUP(NoviaFunds[[#This Row],[ISIN]],'Novia Web Query'!$A:$E,4,FALSE)/100</f>
        <v>1.18E-2</v>
      </c>
      <c r="E1355" s="3" t="str">
        <f>VLOOKUP(NoviaFunds[[#This Row],[ISIN]],'Novia Web Query'!$A:$E,5,FALSE)</f>
        <v>30/11/2021</v>
      </c>
      <c r="F1355" t="e">
        <f>VLOOKUP(NoviaFunds[[#This Row],[Sector]],Sectors[],2,FALSE)</f>
        <v>#N/A</v>
      </c>
    </row>
    <row r="1356" spans="1:6" x14ac:dyDescent="0.2">
      <c r="A1356" t="str">
        <f>'Novia Web Query'!A1353</f>
        <v>GB00B24HJC53</v>
      </c>
      <c r="B1356" t="str">
        <f>VLOOKUP(NoviaFunds[[#This Row],[ISIN]],'Novia Web Query'!$A:$E,2,FALSE)</f>
        <v>First Sentier Global Listed Infrastructure A GBP Acc in GB</v>
      </c>
      <c r="C1356" t="str">
        <f>VLOOKUP(NoviaFunds[[#This Row],[ISIN]],'Novia Web Query'!$A:$E,3,FALSE)</f>
        <v>UT Infrastructure</v>
      </c>
      <c r="D1356" s="139">
        <f>VLOOKUP(NoviaFunds[[#This Row],[ISIN]],'Novia Web Query'!$A:$E,4,FALSE)/100</f>
        <v>1.5700000000000002E-2</v>
      </c>
      <c r="E1356" s="3" t="str">
        <f>VLOOKUP(NoviaFunds[[#This Row],[ISIN]],'Novia Web Query'!$A:$E,5,FALSE)</f>
        <v>30/11/2021</v>
      </c>
      <c r="F1356" t="e">
        <f>VLOOKUP(NoviaFunds[[#This Row],[Sector]],Sectors[],2,FALSE)</f>
        <v>#N/A</v>
      </c>
    </row>
    <row r="1357" spans="1:6" x14ac:dyDescent="0.2">
      <c r="A1357" t="str">
        <f>'Novia Web Query'!A1354</f>
        <v>GB00B24HJR07</v>
      </c>
      <c r="B1357" t="str">
        <f>VLOOKUP(NoviaFunds[[#This Row],[ISIN]],'Novia Web Query'!$A:$E,2,FALSE)</f>
        <v>First Sentier Global Listed Infrastructure A GBP Inc TR in GB</v>
      </c>
      <c r="C1357" t="str">
        <f>VLOOKUP(NoviaFunds[[#This Row],[ISIN]],'Novia Web Query'!$A:$E,3,FALSE)</f>
        <v>UT Infrastructure</v>
      </c>
      <c r="D1357" s="139">
        <f>VLOOKUP(NoviaFunds[[#This Row],[ISIN]],'Novia Web Query'!$A:$E,4,FALSE)/100</f>
        <v>1.5600000000000001E-2</v>
      </c>
      <c r="E1357" s="3" t="str">
        <f>VLOOKUP(NoviaFunds[[#This Row],[ISIN]],'Novia Web Query'!$A:$E,5,FALSE)</f>
        <v>30/11/2021</v>
      </c>
      <c r="F1357" t="e">
        <f>VLOOKUP(NoviaFunds[[#This Row],[Sector]],Sectors[],2,FALSE)</f>
        <v>#N/A</v>
      </c>
    </row>
    <row r="1358" spans="1:6" x14ac:dyDescent="0.2">
      <c r="A1358" t="str">
        <f>'Novia Web Query'!A1355</f>
        <v>GB00B24HJL45</v>
      </c>
      <c r="B1358" t="str">
        <f>VLOOKUP(NoviaFunds[[#This Row],[ISIN]],'Novia Web Query'!$A:$E,2,FALSE)</f>
        <v>First Sentier Global Listed Infrastructure B Acc GBP in GB</v>
      </c>
      <c r="C1358" t="str">
        <f>VLOOKUP(NoviaFunds[[#This Row],[ISIN]],'Novia Web Query'!$A:$E,3,FALSE)</f>
        <v>UT Infrastructure</v>
      </c>
      <c r="D1358" s="139">
        <f>VLOOKUP(NoviaFunds[[#This Row],[ISIN]],'Novia Web Query'!$A:$E,4,FALSE)/100</f>
        <v>7.9000000000000008E-3</v>
      </c>
      <c r="E1358" s="3" t="str">
        <f>VLOOKUP(NoviaFunds[[#This Row],[ISIN]],'Novia Web Query'!$A:$E,5,FALSE)</f>
        <v>30/11/2021</v>
      </c>
      <c r="F1358" t="e">
        <f>VLOOKUP(NoviaFunds[[#This Row],[Sector]],Sectors[],2,FALSE)</f>
        <v>#N/A</v>
      </c>
    </row>
    <row r="1359" spans="1:6" x14ac:dyDescent="0.2">
      <c r="A1359" t="str">
        <f>'Novia Web Query'!A1356</f>
        <v>GB00B8PLJ176</v>
      </c>
      <c r="B1359" t="str">
        <f>VLOOKUP(NoviaFunds[[#This Row],[ISIN]],'Novia Web Query'!$A:$E,2,FALSE)</f>
        <v>First Sentier Global Listed Infrastructure B Hedged Acc GBP in GB</v>
      </c>
      <c r="C1359" t="str">
        <f>VLOOKUP(NoviaFunds[[#This Row],[ISIN]],'Novia Web Query'!$A:$E,3,FALSE)</f>
        <v>UT Infrastructure</v>
      </c>
      <c r="D1359" s="139">
        <f>VLOOKUP(NoviaFunds[[#This Row],[ISIN]],'Novia Web Query'!$A:$E,4,FALSE)/100</f>
        <v>9.0000000000000011E-3</v>
      </c>
      <c r="E1359" s="3" t="str">
        <f>VLOOKUP(NoviaFunds[[#This Row],[ISIN]],'Novia Web Query'!$A:$E,5,FALSE)</f>
        <v>30/11/2021</v>
      </c>
      <c r="F1359" t="e">
        <f>VLOOKUP(NoviaFunds[[#This Row],[Sector]],Sectors[],2,FALSE)</f>
        <v>#N/A</v>
      </c>
    </row>
    <row r="1360" spans="1:6" x14ac:dyDescent="0.2">
      <c r="A1360" t="str">
        <f>'Novia Web Query'!A1357</f>
        <v>GB00B7DYMW38</v>
      </c>
      <c r="B1360" t="str">
        <f>VLOOKUP(NoviaFunds[[#This Row],[ISIN]],'Novia Web Query'!$A:$E,2,FALSE)</f>
        <v>First Sentier Global Listed Infrastructure B Hedged Inc GBP TR in GB</v>
      </c>
      <c r="C1360" t="str">
        <f>VLOOKUP(NoviaFunds[[#This Row],[ISIN]],'Novia Web Query'!$A:$E,3,FALSE)</f>
        <v>UT Infrastructure</v>
      </c>
      <c r="D1360" s="139">
        <f>VLOOKUP(NoviaFunds[[#This Row],[ISIN]],'Novia Web Query'!$A:$E,4,FALSE)/100</f>
        <v>8.8000000000000005E-3</v>
      </c>
      <c r="E1360" s="3" t="str">
        <f>VLOOKUP(NoviaFunds[[#This Row],[ISIN]],'Novia Web Query'!$A:$E,5,FALSE)</f>
        <v>30/11/2021</v>
      </c>
      <c r="F1360" t="e">
        <f>VLOOKUP(NoviaFunds[[#This Row],[Sector]],Sectors[],2,FALSE)</f>
        <v>#N/A</v>
      </c>
    </row>
    <row r="1361" spans="1:6" x14ac:dyDescent="0.2">
      <c r="A1361" t="str">
        <f>'Novia Web Query'!A1358</f>
        <v>GB00B24HK556</v>
      </c>
      <c r="B1361" t="str">
        <f>VLOOKUP(NoviaFunds[[#This Row],[ISIN]],'Novia Web Query'!$A:$E,2,FALSE)</f>
        <v>First Sentier Global Listed Infrastructure B Inc GBP TR in GB</v>
      </c>
      <c r="C1361" t="str">
        <f>VLOOKUP(NoviaFunds[[#This Row],[ISIN]],'Novia Web Query'!$A:$E,3,FALSE)</f>
        <v>UT Infrastructure</v>
      </c>
      <c r="D1361" s="139">
        <f>VLOOKUP(NoviaFunds[[#This Row],[ISIN]],'Novia Web Query'!$A:$E,4,FALSE)/100</f>
        <v>8.0000000000000002E-3</v>
      </c>
      <c r="E1361" s="3" t="str">
        <f>VLOOKUP(NoviaFunds[[#This Row],[ISIN]],'Novia Web Query'!$A:$E,5,FALSE)</f>
        <v>30/11/2021</v>
      </c>
      <c r="F1361" t="e">
        <f>VLOOKUP(NoviaFunds[[#This Row],[Sector]],Sectors[],2,FALSE)</f>
        <v>#N/A</v>
      </c>
    </row>
    <row r="1362" spans="1:6" x14ac:dyDescent="0.2">
      <c r="A1362" t="str">
        <f>'Novia Web Query'!A1359</f>
        <v>GB00B1F76L55</v>
      </c>
      <c r="B1362" t="str">
        <f>VLOOKUP(NoviaFunds[[#This Row],[ISIN]],'Novia Web Query'!$A:$E,2,FALSE)</f>
        <v>First Sentier Global Property Securities A GBP Acc in GB</v>
      </c>
      <c r="C1362" t="str">
        <f>VLOOKUP(NoviaFunds[[#This Row],[ISIN]],'Novia Web Query'!$A:$E,3,FALSE)</f>
        <v>UT Property Other</v>
      </c>
      <c r="D1362" s="139">
        <f>VLOOKUP(NoviaFunds[[#This Row],[ISIN]],'Novia Web Query'!$A:$E,4,FALSE)/100</f>
        <v>1.61E-2</v>
      </c>
      <c r="E1362" s="3" t="str">
        <f>VLOOKUP(NoviaFunds[[#This Row],[ISIN]],'Novia Web Query'!$A:$E,5,FALSE)</f>
        <v>30/11/2021</v>
      </c>
      <c r="F1362" t="e">
        <f>VLOOKUP(NoviaFunds[[#This Row],[Sector]],Sectors[],2,FALSE)</f>
        <v>#N/A</v>
      </c>
    </row>
    <row r="1363" spans="1:6" x14ac:dyDescent="0.2">
      <c r="A1363" t="str">
        <f>'Novia Web Query'!A1360</f>
        <v>GB00B1F76M62</v>
      </c>
      <c r="B1363" t="str">
        <f>VLOOKUP(NoviaFunds[[#This Row],[ISIN]],'Novia Web Query'!$A:$E,2,FALSE)</f>
        <v>First Sentier Global Property Securities A GBP Inc TR in GB</v>
      </c>
      <c r="C1363" t="str">
        <f>VLOOKUP(NoviaFunds[[#This Row],[ISIN]],'Novia Web Query'!$A:$E,3,FALSE)</f>
        <v>UT Property Other</v>
      </c>
      <c r="D1363" s="139">
        <f>VLOOKUP(NoviaFunds[[#This Row],[ISIN]],'Novia Web Query'!$A:$E,4,FALSE)/100</f>
        <v>1.5900000000000001E-2</v>
      </c>
      <c r="E1363" s="3" t="str">
        <f>VLOOKUP(NoviaFunds[[#This Row],[ISIN]],'Novia Web Query'!$A:$E,5,FALSE)</f>
        <v>30/11/2021</v>
      </c>
      <c r="F1363" t="e">
        <f>VLOOKUP(NoviaFunds[[#This Row],[Sector]],Sectors[],2,FALSE)</f>
        <v>#N/A</v>
      </c>
    </row>
    <row r="1364" spans="1:6" x14ac:dyDescent="0.2">
      <c r="A1364" t="str">
        <f>'Novia Web Query'!A1361</f>
        <v>GB00B1F76N79</v>
      </c>
      <c r="B1364" t="str">
        <f>VLOOKUP(NoviaFunds[[#This Row],[ISIN]],'Novia Web Query'!$A:$E,2,FALSE)</f>
        <v>First Sentier Global Property Securities B GBP Acc in GB</v>
      </c>
      <c r="C1364" t="str">
        <f>VLOOKUP(NoviaFunds[[#This Row],[ISIN]],'Novia Web Query'!$A:$E,3,FALSE)</f>
        <v>UT Property Other</v>
      </c>
      <c r="D1364" s="139">
        <f>VLOOKUP(NoviaFunds[[#This Row],[ISIN]],'Novia Web Query'!$A:$E,4,FALSE)/100</f>
        <v>8.3999999999999995E-3</v>
      </c>
      <c r="E1364" s="3" t="str">
        <f>VLOOKUP(NoviaFunds[[#This Row],[ISIN]],'Novia Web Query'!$A:$E,5,FALSE)</f>
        <v>30/11/2021</v>
      </c>
      <c r="F1364" t="e">
        <f>VLOOKUP(NoviaFunds[[#This Row],[Sector]],Sectors[],2,FALSE)</f>
        <v>#N/A</v>
      </c>
    </row>
    <row r="1365" spans="1:6" x14ac:dyDescent="0.2">
      <c r="A1365" t="str">
        <f>'Novia Web Query'!A1362</f>
        <v>GB00B1F76P93</v>
      </c>
      <c r="B1365" t="str">
        <f>VLOOKUP(NoviaFunds[[#This Row],[ISIN]],'Novia Web Query'!$A:$E,2,FALSE)</f>
        <v>First Sentier Global Property Securities B GBP Inc TR in GB</v>
      </c>
      <c r="C1365" t="str">
        <f>VLOOKUP(NoviaFunds[[#This Row],[ISIN]],'Novia Web Query'!$A:$E,3,FALSE)</f>
        <v>UT Property Other</v>
      </c>
      <c r="D1365" s="139">
        <f>VLOOKUP(NoviaFunds[[#This Row],[ISIN]],'Novia Web Query'!$A:$E,4,FALSE)/100</f>
        <v>8.8000000000000005E-3</v>
      </c>
      <c r="E1365" s="3" t="str">
        <f>VLOOKUP(NoviaFunds[[#This Row],[ISIN]],'Novia Web Query'!$A:$E,5,FALSE)</f>
        <v>30/11/2021</v>
      </c>
      <c r="F1365" t="e">
        <f>VLOOKUP(NoviaFunds[[#This Row],[Sector]],Sectors[],2,FALSE)</f>
        <v>#N/A</v>
      </c>
    </row>
    <row r="1366" spans="1:6" x14ac:dyDescent="0.2">
      <c r="A1366" t="str">
        <f>'Novia Web Query'!A1363</f>
        <v>GB00B45F7951</v>
      </c>
      <c r="B1366" t="str">
        <f>VLOOKUP(NoviaFunds[[#This Row],[ISIN]],'Novia Web Query'!$A:$E,2,FALSE)</f>
        <v>FP Apollo Multi Asset Adventurous D GBP in GB</v>
      </c>
      <c r="C1366" t="str">
        <f>VLOOKUP(NoviaFunds[[#This Row],[ISIN]],'Novia Web Query'!$A:$E,3,FALSE)</f>
        <v>UT Flexible Investment</v>
      </c>
      <c r="D1366" s="139">
        <f>VLOOKUP(NoviaFunds[[#This Row],[ISIN]],'Novia Web Query'!$A:$E,4,FALSE)/100</f>
        <v>1.9E-2</v>
      </c>
      <c r="E1366" s="3" t="str">
        <f>VLOOKUP(NoviaFunds[[#This Row],[ISIN]],'Novia Web Query'!$A:$E,5,FALSE)</f>
        <v>19/02/2021</v>
      </c>
      <c r="F1366" t="str">
        <f>VLOOKUP(NoviaFunds[[#This Row],[Sector]],Sectors[],2,FALSE)</f>
        <v>Flexible</v>
      </c>
    </row>
    <row r="1367" spans="1:6" x14ac:dyDescent="0.2">
      <c r="A1367" t="str">
        <f>'Novia Web Query'!A1364</f>
        <v>GB00B67BB375</v>
      </c>
      <c r="B1367" t="str">
        <f>VLOOKUP(NoviaFunds[[#This Row],[ISIN]],'Novia Web Query'!$A:$E,2,FALSE)</f>
        <v>FP Apollo Multi Asset Adventurous F GBP in GB</v>
      </c>
      <c r="C1367" t="str">
        <f>VLOOKUP(NoviaFunds[[#This Row],[ISIN]],'Novia Web Query'!$A:$E,3,FALSE)</f>
        <v>UT Flexible Investment</v>
      </c>
      <c r="D1367" s="139">
        <f>VLOOKUP(NoviaFunds[[#This Row],[ISIN]],'Novia Web Query'!$A:$E,4,FALSE)/100</f>
        <v>1.6500000000000001E-2</v>
      </c>
      <c r="E1367" s="3" t="str">
        <f>VLOOKUP(NoviaFunds[[#This Row],[ISIN]],'Novia Web Query'!$A:$E,5,FALSE)</f>
        <v>19/02/2021</v>
      </c>
      <c r="F1367" t="str">
        <f>VLOOKUP(NoviaFunds[[#This Row],[Sector]],Sectors[],2,FALSE)</f>
        <v>Flexible</v>
      </c>
    </row>
    <row r="1368" spans="1:6" x14ac:dyDescent="0.2">
      <c r="A1368" t="str">
        <f>'Novia Web Query'!A1365</f>
        <v>GB00B3FPF276</v>
      </c>
      <c r="B1368" t="str">
        <f>VLOOKUP(NoviaFunds[[#This Row],[ISIN]],'Novia Web Query'!$A:$E,2,FALSE)</f>
        <v>FP Apollo Multi Asset Balanced D GBP in GB</v>
      </c>
      <c r="C1368" t="str">
        <f>VLOOKUP(NoviaFunds[[#This Row],[ISIN]],'Novia Web Query'!$A:$E,3,FALSE)</f>
        <v>UT Mixed Investment 20-60% Shares</v>
      </c>
      <c r="D1368" s="139">
        <f>VLOOKUP(NoviaFunds[[#This Row],[ISIN]],'Novia Web Query'!$A:$E,4,FALSE)/100</f>
        <v>1.6200000000000003E-2</v>
      </c>
      <c r="E1368" s="3" t="str">
        <f>VLOOKUP(NoviaFunds[[#This Row],[ISIN]],'Novia Web Query'!$A:$E,5,FALSE)</f>
        <v>19/02/2021</v>
      </c>
      <c r="F1368" t="str">
        <f>VLOOKUP(NoviaFunds[[#This Row],[Sector]],Sectors[],2,FALSE)</f>
        <v>Mixed 20%-60%</v>
      </c>
    </row>
    <row r="1369" spans="1:6" x14ac:dyDescent="0.2">
      <c r="A1369" t="str">
        <f>'Novia Web Query'!A1366</f>
        <v>GB00B4T7ZR16</v>
      </c>
      <c r="B1369" t="str">
        <f>VLOOKUP(NoviaFunds[[#This Row],[ISIN]],'Novia Web Query'!$A:$E,2,FALSE)</f>
        <v>FP Apollo Multi Asset Balanced F GBP in GB</v>
      </c>
      <c r="C1369" t="str">
        <f>VLOOKUP(NoviaFunds[[#This Row],[ISIN]],'Novia Web Query'!$A:$E,3,FALSE)</f>
        <v>UT Mixed Investment 20-60% Shares</v>
      </c>
      <c r="D1369" s="139">
        <f>VLOOKUP(NoviaFunds[[#This Row],[ISIN]],'Novia Web Query'!$A:$E,4,FALSE)/100</f>
        <v>1.37E-2</v>
      </c>
      <c r="E1369" s="3" t="str">
        <f>VLOOKUP(NoviaFunds[[#This Row],[ISIN]],'Novia Web Query'!$A:$E,5,FALSE)</f>
        <v>19/02/2021</v>
      </c>
      <c r="F1369" t="str">
        <f>VLOOKUP(NoviaFunds[[#This Row],[Sector]],Sectors[],2,FALSE)</f>
        <v>Mixed 20%-60%</v>
      </c>
    </row>
    <row r="1370" spans="1:6" x14ac:dyDescent="0.2">
      <c r="A1370" t="str">
        <f>'Novia Web Query'!A1367</f>
        <v>GB00B3FPDY55</v>
      </c>
      <c r="B1370" t="str">
        <f>VLOOKUP(NoviaFunds[[#This Row],[ISIN]],'Novia Web Query'!$A:$E,2,FALSE)</f>
        <v>FP Apollo Multi Asset Cautious D GBP in GB</v>
      </c>
      <c r="C1370" t="str">
        <f>VLOOKUP(NoviaFunds[[#This Row],[ISIN]],'Novia Web Query'!$A:$E,3,FALSE)</f>
        <v>UT Mixed Investment 20-60% Shares</v>
      </c>
      <c r="D1370" s="139">
        <f>VLOOKUP(NoviaFunds[[#This Row],[ISIN]],'Novia Web Query'!$A:$E,4,FALSE)/100</f>
        <v>1.6200000000000003E-2</v>
      </c>
      <c r="E1370" s="3" t="str">
        <f>VLOOKUP(NoviaFunds[[#This Row],[ISIN]],'Novia Web Query'!$A:$E,5,FALSE)</f>
        <v>19/02/2021</v>
      </c>
      <c r="F1370" t="str">
        <f>VLOOKUP(NoviaFunds[[#This Row],[Sector]],Sectors[],2,FALSE)</f>
        <v>Mixed 20%-60%</v>
      </c>
    </row>
    <row r="1371" spans="1:6" x14ac:dyDescent="0.2">
      <c r="A1371" t="str">
        <f>'Novia Web Query'!A1368</f>
        <v>GB00B4TDQD29</v>
      </c>
      <c r="B1371" t="str">
        <f>VLOOKUP(NoviaFunds[[#This Row],[ISIN]],'Novia Web Query'!$A:$E,2,FALSE)</f>
        <v>FP Apollo Multi Asset Cautious F GBP in GB</v>
      </c>
      <c r="C1371" t="str">
        <f>VLOOKUP(NoviaFunds[[#This Row],[ISIN]],'Novia Web Query'!$A:$E,3,FALSE)</f>
        <v>UT Mixed Investment 20-60% Shares</v>
      </c>
      <c r="D1371" s="139">
        <f>VLOOKUP(NoviaFunds[[#This Row],[ISIN]],'Novia Web Query'!$A:$E,4,FALSE)/100</f>
        <v>1.37E-2</v>
      </c>
      <c r="E1371" s="3" t="str">
        <f>VLOOKUP(NoviaFunds[[#This Row],[ISIN]],'Novia Web Query'!$A:$E,5,FALSE)</f>
        <v>19/02/2021</v>
      </c>
      <c r="F1371" t="str">
        <f>VLOOKUP(NoviaFunds[[#This Row],[Sector]],Sectors[],2,FALSE)</f>
        <v>Mixed 20%-60%</v>
      </c>
    </row>
    <row r="1372" spans="1:6" x14ac:dyDescent="0.2">
      <c r="A1372" t="str">
        <f>'Novia Web Query'!A1369</f>
        <v>GB00BJHPXB21</v>
      </c>
      <c r="B1372" t="str">
        <f>VLOOKUP(NoviaFunds[[#This Row],[ISIN]],'Novia Web Query'!$A:$E,2,FALSE)</f>
        <v>FP Carmignac European Leaders B Acc in GB</v>
      </c>
      <c r="C1372" t="str">
        <f>VLOOKUP(NoviaFunds[[#This Row],[ISIN]],'Novia Web Query'!$A:$E,3,FALSE)</f>
        <v>UT Europe Excluding UK</v>
      </c>
      <c r="D1372" s="139">
        <f>VLOOKUP(NoviaFunds[[#This Row],[ISIN]],'Novia Web Query'!$A:$E,4,FALSE)/100</f>
        <v>5.5000000000000005E-3</v>
      </c>
      <c r="E1372" s="3" t="str">
        <f>VLOOKUP(NoviaFunds[[#This Row],[ISIN]],'Novia Web Query'!$A:$E,5,FALSE)</f>
        <v>19/02/2021</v>
      </c>
      <c r="F1372" t="str">
        <f>VLOOKUP(NoviaFunds[[#This Row],[Sector]],Sectors[],2,FALSE)</f>
        <v>European Equities</v>
      </c>
    </row>
    <row r="1373" spans="1:6" x14ac:dyDescent="0.2">
      <c r="A1373" t="str">
        <f>'Novia Web Query'!A1370</f>
        <v>GB00BK0T9T82</v>
      </c>
      <c r="B1373" t="str">
        <f>VLOOKUP(NoviaFunds[[#This Row],[ISIN]],'Novia Web Query'!$A:$E,2,FALSE)</f>
        <v>FP Foresight Global Real Infrastructure A Acc GBP in GB</v>
      </c>
      <c r="C1373" t="str">
        <f>VLOOKUP(NoviaFunds[[#This Row],[ISIN]],'Novia Web Query'!$A:$E,3,FALSE)</f>
        <v>UT Infrastructure</v>
      </c>
      <c r="D1373" s="139">
        <f>VLOOKUP(NoviaFunds[[#This Row],[ISIN]],'Novia Web Query'!$A:$E,4,FALSE)/100</f>
        <v>1.11E-2</v>
      </c>
      <c r="E1373" s="3" t="str">
        <f>VLOOKUP(NoviaFunds[[#This Row],[ISIN]],'Novia Web Query'!$A:$E,5,FALSE)</f>
        <v>02/12/2021</v>
      </c>
      <c r="F1373" t="e">
        <f>VLOOKUP(NoviaFunds[[#This Row],[Sector]],Sectors[],2,FALSE)</f>
        <v>#N/A</v>
      </c>
    </row>
    <row r="1374" spans="1:6" x14ac:dyDescent="0.2">
      <c r="A1374" t="str">
        <f>'Novia Web Query'!A1371</f>
        <v>GB00BK0TB032</v>
      </c>
      <c r="B1374" t="str">
        <f>VLOOKUP(NoviaFunds[[#This Row],[ISIN]],'Novia Web Query'!$A:$E,2,FALSE)</f>
        <v>FP Foresight Global Real Infrastructure A Inc GBP TR in GB</v>
      </c>
      <c r="C1374" t="str">
        <f>VLOOKUP(NoviaFunds[[#This Row],[ISIN]],'Novia Web Query'!$A:$E,3,FALSE)</f>
        <v>UT Infrastructure</v>
      </c>
      <c r="D1374" s="139">
        <f>VLOOKUP(NoviaFunds[[#This Row],[ISIN]],'Novia Web Query'!$A:$E,4,FALSE)/100</f>
        <v>1.11E-2</v>
      </c>
      <c r="E1374" s="3" t="str">
        <f>VLOOKUP(NoviaFunds[[#This Row],[ISIN]],'Novia Web Query'!$A:$E,5,FALSE)</f>
        <v>02/12/2021</v>
      </c>
      <c r="F1374" t="e">
        <f>VLOOKUP(NoviaFunds[[#This Row],[Sector]],Sectors[],2,FALSE)</f>
        <v>#N/A</v>
      </c>
    </row>
    <row r="1375" spans="1:6" x14ac:dyDescent="0.2">
      <c r="A1375" t="str">
        <f>'Novia Web Query'!A1372</f>
        <v>GB00BMFYBB80</v>
      </c>
      <c r="B1375" t="str">
        <f>VLOOKUP(NoviaFunds[[#This Row],[ISIN]],'Novia Web Query'!$A:$E,2,FALSE)</f>
        <v>FP Foresight Sustainable Real Estate Securities A Acc GBP in GB</v>
      </c>
      <c r="C1375" t="str">
        <f>VLOOKUP(NoviaFunds[[#This Row],[ISIN]],'Novia Web Query'!$A:$E,3,FALSE)</f>
        <v>UT Property Other</v>
      </c>
      <c r="D1375" s="139">
        <f>VLOOKUP(NoviaFunds[[#This Row],[ISIN]],'Novia Web Query'!$A:$E,4,FALSE)/100</f>
        <v>1.24E-2</v>
      </c>
      <c r="E1375" s="3" t="str">
        <f>VLOOKUP(NoviaFunds[[#This Row],[ISIN]],'Novia Web Query'!$A:$E,5,FALSE)</f>
        <v>23/10/2021</v>
      </c>
      <c r="F1375" t="e">
        <f>VLOOKUP(NoviaFunds[[#This Row],[Sector]],Sectors[],2,FALSE)</f>
        <v>#N/A</v>
      </c>
    </row>
    <row r="1376" spans="1:6" x14ac:dyDescent="0.2">
      <c r="A1376" t="str">
        <f>'Novia Web Query'!A1373</f>
        <v>GB00BMFYBC97</v>
      </c>
      <c r="B1376" t="str">
        <f>VLOOKUP(NoviaFunds[[#This Row],[ISIN]],'Novia Web Query'!$A:$E,2,FALSE)</f>
        <v>FP Foresight Sustainable Real Estate Securities A Inc GBP TR in GB</v>
      </c>
      <c r="C1376" t="str">
        <f>VLOOKUP(NoviaFunds[[#This Row],[ISIN]],'Novia Web Query'!$A:$E,3,FALSE)</f>
        <v>UT Property Other</v>
      </c>
      <c r="D1376" s="139">
        <f>VLOOKUP(NoviaFunds[[#This Row],[ISIN]],'Novia Web Query'!$A:$E,4,FALSE)/100</f>
        <v>1.24E-2</v>
      </c>
      <c r="E1376" s="3" t="str">
        <f>VLOOKUP(NoviaFunds[[#This Row],[ISIN]],'Novia Web Query'!$A:$E,5,FALSE)</f>
        <v>23/10/2021</v>
      </c>
      <c r="F1376" t="e">
        <f>VLOOKUP(NoviaFunds[[#This Row],[Sector]],Sectors[],2,FALSE)</f>
        <v>#N/A</v>
      </c>
    </row>
    <row r="1377" spans="1:6" x14ac:dyDescent="0.2">
      <c r="A1377" t="str">
        <f>'Novia Web Query'!A1374</f>
        <v>GB00BF0VS922</v>
      </c>
      <c r="B1377" t="str">
        <f>VLOOKUP(NoviaFunds[[#This Row],[ISIN]],'Novia Web Query'!$A:$E,2,FALSE)</f>
        <v>FP Foresight UK Infrastructure Income A Acc in GB</v>
      </c>
      <c r="C1377" t="str">
        <f>VLOOKUP(NoviaFunds[[#This Row],[ISIN]],'Novia Web Query'!$A:$E,3,FALSE)</f>
        <v>UT Infrastructure</v>
      </c>
      <c r="D1377" s="139">
        <f>VLOOKUP(NoviaFunds[[#This Row],[ISIN]],'Novia Web Query'!$A:$E,4,FALSE)/100</f>
        <v>1.4800000000000001E-2</v>
      </c>
      <c r="E1377" s="3" t="str">
        <f>VLOOKUP(NoviaFunds[[#This Row],[ISIN]],'Novia Web Query'!$A:$E,5,FALSE)</f>
        <v>02/12/2021</v>
      </c>
      <c r="F1377" t="e">
        <f>VLOOKUP(NoviaFunds[[#This Row],[Sector]],Sectors[],2,FALSE)</f>
        <v>#N/A</v>
      </c>
    </row>
    <row r="1378" spans="1:6" x14ac:dyDescent="0.2">
      <c r="A1378" t="str">
        <f>'Novia Web Query'!A1375</f>
        <v>GB00BF0VS815</v>
      </c>
      <c r="B1378" t="str">
        <f>VLOOKUP(NoviaFunds[[#This Row],[ISIN]],'Novia Web Query'!$A:$E,2,FALSE)</f>
        <v>FP Foresight UK Infrastructure Income A Inc TR in GB</v>
      </c>
      <c r="C1378" t="str">
        <f>VLOOKUP(NoviaFunds[[#This Row],[ISIN]],'Novia Web Query'!$A:$E,3,FALSE)</f>
        <v>UT Infrastructure</v>
      </c>
      <c r="D1378" s="139">
        <f>VLOOKUP(NoviaFunds[[#This Row],[ISIN]],'Novia Web Query'!$A:$E,4,FALSE)/100</f>
        <v>1.4800000000000001E-2</v>
      </c>
      <c r="E1378" s="3" t="str">
        <f>VLOOKUP(NoviaFunds[[#This Row],[ISIN]],'Novia Web Query'!$A:$E,5,FALSE)</f>
        <v>02/12/2021</v>
      </c>
      <c r="F1378" t="e">
        <f>VLOOKUP(NoviaFunds[[#This Row],[Sector]],Sectors[],2,FALSE)</f>
        <v>#N/A</v>
      </c>
    </row>
    <row r="1379" spans="1:6" x14ac:dyDescent="0.2">
      <c r="A1379" t="str">
        <f>'Novia Web Query'!A1376</f>
        <v>GB00B5S94T07</v>
      </c>
      <c r="B1379" t="str">
        <f>VLOOKUP(NoviaFunds[[#This Row],[ISIN]],'Novia Web Query'!$A:$E,2,FALSE)</f>
        <v>FP Frontier MAP Balanced B Acc in GB</v>
      </c>
      <c r="C1379" t="str">
        <f>VLOOKUP(NoviaFunds[[#This Row],[ISIN]],'Novia Web Query'!$A:$E,3,FALSE)</f>
        <v>UT Mixed Investment 20-60% Shares</v>
      </c>
      <c r="D1379" s="139">
        <f>VLOOKUP(NoviaFunds[[#This Row],[ISIN]],'Novia Web Query'!$A:$E,4,FALSE)/100</f>
        <v>1.7299999999999999E-2</v>
      </c>
      <c r="E1379" s="3" t="str">
        <f>VLOOKUP(NoviaFunds[[#This Row],[ISIN]],'Novia Web Query'!$A:$E,5,FALSE)</f>
        <v>19/02/2021</v>
      </c>
      <c r="F1379" t="str">
        <f>VLOOKUP(NoviaFunds[[#This Row],[Sector]],Sectors[],2,FALSE)</f>
        <v>Mixed 20%-60%</v>
      </c>
    </row>
    <row r="1380" spans="1:6" x14ac:dyDescent="0.2">
      <c r="A1380" t="str">
        <f>'Novia Web Query'!A1377</f>
        <v>GB00B51J2488</v>
      </c>
      <c r="B1380" t="str">
        <f>VLOOKUP(NoviaFunds[[#This Row],[ISIN]],'Novia Web Query'!$A:$E,2,FALSE)</f>
        <v>FP Frontier MAP Balanced C Acc in GB**</v>
      </c>
      <c r="C1380" t="str">
        <f>VLOOKUP(NoviaFunds[[#This Row],[ISIN]],'Novia Web Query'!$A:$E,3,FALSE)</f>
        <v>UT Mixed Investment 20-60% Shares</v>
      </c>
      <c r="D1380" s="139">
        <f>VLOOKUP(NoviaFunds[[#This Row],[ISIN]],'Novia Web Query'!$A:$E,4,FALSE)/100</f>
        <v>1.4800000000000001E-2</v>
      </c>
      <c r="E1380" s="3" t="str">
        <f>VLOOKUP(NoviaFunds[[#This Row],[ISIN]],'Novia Web Query'!$A:$E,5,FALSE)</f>
        <v>19/02/2021</v>
      </c>
      <c r="F1380" t="str">
        <f>VLOOKUP(NoviaFunds[[#This Row],[Sector]],Sectors[],2,FALSE)</f>
        <v>Mixed 20%-60%</v>
      </c>
    </row>
    <row r="1381" spans="1:6" x14ac:dyDescent="0.2">
      <c r="A1381" t="str">
        <f>'Novia Web Query'!A1378</f>
        <v>GB00B41PLK82</v>
      </c>
      <c r="B1381" t="str">
        <f>VLOOKUP(NoviaFunds[[#This Row],[ISIN]],'Novia Web Query'!$A:$E,2,FALSE)</f>
        <v>FP Octopus Dynamic Mixed Asset B Acc in GB</v>
      </c>
      <c r="C1381" t="str">
        <f>VLOOKUP(NoviaFunds[[#This Row],[ISIN]],'Novia Web Query'!$A:$E,3,FALSE)</f>
        <v>UT Specialist</v>
      </c>
      <c r="D1381" s="139">
        <f>VLOOKUP(NoviaFunds[[#This Row],[ISIN]],'Novia Web Query'!$A:$E,4,FALSE)/100</f>
        <v>7.3000000000000001E-3</v>
      </c>
      <c r="E1381" s="3" t="str">
        <f>VLOOKUP(NoviaFunds[[#This Row],[ISIN]],'Novia Web Query'!$A:$E,5,FALSE)</f>
        <v>20/11/2021</v>
      </c>
      <c r="F1381" t="str">
        <f>VLOOKUP(NoviaFunds[[#This Row],[Sector]],Sectors[],2,FALSE)</f>
        <v>Specialist</v>
      </c>
    </row>
    <row r="1382" spans="1:6" x14ac:dyDescent="0.2">
      <c r="A1382" t="str">
        <f>'Novia Web Query'!A1379</f>
        <v>GB00B41NRM60</v>
      </c>
      <c r="B1382" t="str">
        <f>VLOOKUP(NoviaFunds[[#This Row],[ISIN]],'Novia Web Query'!$A:$E,2,FALSE)</f>
        <v>FP Octopus Fixed Income B Acc in GB</v>
      </c>
      <c r="C1382" t="str">
        <f>VLOOKUP(NoviaFunds[[#This Row],[ISIN]],'Novia Web Query'!$A:$E,3,FALSE)</f>
        <v>UT Global Bonds</v>
      </c>
      <c r="D1382" s="139">
        <f>VLOOKUP(NoviaFunds[[#This Row],[ISIN]],'Novia Web Query'!$A:$E,4,FALSE)/100</f>
        <v>1.06E-2</v>
      </c>
      <c r="E1382" s="3" t="str">
        <f>VLOOKUP(NoviaFunds[[#This Row],[ISIN]],'Novia Web Query'!$A:$E,5,FALSE)</f>
        <v>20/11/2021</v>
      </c>
      <c r="F1382" t="str">
        <f>VLOOKUP(NoviaFunds[[#This Row],[Sector]],Sectors[],2,FALSE)</f>
        <v>Global Investment Grade</v>
      </c>
    </row>
    <row r="1383" spans="1:6" x14ac:dyDescent="0.2">
      <c r="A1383" t="str">
        <f>'Novia Web Query'!A1380</f>
        <v>GB00B407SY80</v>
      </c>
      <c r="B1383" t="str">
        <f>VLOOKUP(NoviaFunds[[#This Row],[ISIN]],'Novia Web Query'!$A:$E,2,FALSE)</f>
        <v>FP Octopus Fixed Income B Inc TR in GB</v>
      </c>
      <c r="C1383" t="str">
        <f>VLOOKUP(NoviaFunds[[#This Row],[ISIN]],'Novia Web Query'!$A:$E,3,FALSE)</f>
        <v>UT Global Bonds</v>
      </c>
      <c r="D1383" s="139">
        <f>VLOOKUP(NoviaFunds[[#This Row],[ISIN]],'Novia Web Query'!$A:$E,4,FALSE)/100</f>
        <v>1.06E-2</v>
      </c>
      <c r="E1383" s="3" t="str">
        <f>VLOOKUP(NoviaFunds[[#This Row],[ISIN]],'Novia Web Query'!$A:$E,5,FALSE)</f>
        <v>20/11/2021</v>
      </c>
      <c r="F1383" t="str">
        <f>VLOOKUP(NoviaFunds[[#This Row],[Sector]],Sectors[],2,FALSE)</f>
        <v>Global Investment Grade</v>
      </c>
    </row>
    <row r="1384" spans="1:6" x14ac:dyDescent="0.2">
      <c r="A1384" t="str">
        <f>'Novia Web Query'!A1381</f>
        <v>GB00B64GNB76</v>
      </c>
      <c r="B1384" t="str">
        <f>VLOOKUP(NoviaFunds[[#This Row],[ISIN]],'Novia Web Query'!$A:$E,2,FALSE)</f>
        <v>FP Octopus Global Growth B in GB</v>
      </c>
      <c r="C1384" t="str">
        <f>VLOOKUP(NoviaFunds[[#This Row],[ISIN]],'Novia Web Query'!$A:$E,3,FALSE)</f>
        <v>UT Global</v>
      </c>
      <c r="D1384" s="139">
        <f>VLOOKUP(NoviaFunds[[#This Row],[ISIN]],'Novia Web Query'!$A:$E,4,FALSE)/100</f>
        <v>1.1699999999999999E-2</v>
      </c>
      <c r="E1384" s="3" t="str">
        <f>VLOOKUP(NoviaFunds[[#This Row],[ISIN]],'Novia Web Query'!$A:$E,5,FALSE)</f>
        <v>20/11/2021</v>
      </c>
      <c r="F1384" t="str">
        <f>VLOOKUP(NoviaFunds[[#This Row],[Sector]],Sectors[],2,FALSE)</f>
        <v>Other Equities</v>
      </c>
    </row>
    <row r="1385" spans="1:6" x14ac:dyDescent="0.2">
      <c r="A1385" t="str">
        <f>'Novia Web Query'!A1382</f>
        <v>GB00B66SL396</v>
      </c>
      <c r="B1385" t="str">
        <f>VLOOKUP(NoviaFunds[[#This Row],[ISIN]],'Novia Web Query'!$A:$E,2,FALSE)</f>
        <v>FP Octopus Global Strategies B in GB</v>
      </c>
      <c r="C1385" t="str">
        <f>VLOOKUP(NoviaFunds[[#This Row],[ISIN]],'Novia Web Query'!$A:$E,3,FALSE)</f>
        <v>UT Targeted Absolute Return</v>
      </c>
      <c r="D1385" s="139">
        <f>VLOOKUP(NoviaFunds[[#This Row],[ISIN]],'Novia Web Query'!$A:$E,4,FALSE)/100</f>
        <v>1.3500000000000002E-2</v>
      </c>
      <c r="E1385" s="3" t="str">
        <f>VLOOKUP(NoviaFunds[[#This Row],[ISIN]],'Novia Web Query'!$A:$E,5,FALSE)</f>
        <v>20/11/2021</v>
      </c>
      <c r="F1385" t="str">
        <f>VLOOKUP(NoviaFunds[[#This Row],[Sector]],Sectors[],2,FALSE)</f>
        <v>Absolute Return</v>
      </c>
    </row>
    <row r="1386" spans="1:6" x14ac:dyDescent="0.2">
      <c r="A1386" t="str">
        <f>'Novia Web Query'!A1383</f>
        <v>GB00B54S5982</v>
      </c>
      <c r="B1386" t="str">
        <f>VLOOKUP(NoviaFunds[[#This Row],[ISIN]],'Novia Web Query'!$A:$E,2,FALSE)</f>
        <v>FP Octopus Global Strategies Y in GB</v>
      </c>
      <c r="C1386" t="str">
        <f>VLOOKUP(NoviaFunds[[#This Row],[ISIN]],'Novia Web Query'!$A:$E,3,FALSE)</f>
        <v>UT Targeted Absolute Return</v>
      </c>
      <c r="D1386" s="139">
        <f>VLOOKUP(NoviaFunds[[#This Row],[ISIN]],'Novia Web Query'!$A:$E,4,FALSE)/100</f>
        <v>1.3500000000000002E-2</v>
      </c>
      <c r="E1386" s="3" t="str">
        <f>VLOOKUP(NoviaFunds[[#This Row],[ISIN]],'Novia Web Query'!$A:$E,5,FALSE)</f>
        <v>20/11/2021</v>
      </c>
      <c r="F1386" t="str">
        <f>VLOOKUP(NoviaFunds[[#This Row],[Sector]],Sectors[],2,FALSE)</f>
        <v>Absolute Return</v>
      </c>
    </row>
    <row r="1387" spans="1:6" x14ac:dyDescent="0.2">
      <c r="A1387" t="str">
        <f>'Novia Web Query'!A1384</f>
        <v>GB00B45XZH38</v>
      </c>
      <c r="B1387" t="str">
        <f>VLOOKUP(NoviaFunds[[#This Row],[ISIN]],'Novia Web Query'!$A:$E,2,FALSE)</f>
        <v>FP Octopus International Equity B Acc in GB</v>
      </c>
      <c r="C1387" t="str">
        <f>VLOOKUP(NoviaFunds[[#This Row],[ISIN]],'Novia Web Query'!$A:$E,3,FALSE)</f>
        <v>UT Global</v>
      </c>
      <c r="D1387" s="139">
        <f>VLOOKUP(NoviaFunds[[#This Row],[ISIN]],'Novia Web Query'!$A:$E,4,FALSE)/100</f>
        <v>8.6999999999999994E-3</v>
      </c>
      <c r="E1387" s="3" t="str">
        <f>VLOOKUP(NoviaFunds[[#This Row],[ISIN]],'Novia Web Query'!$A:$E,5,FALSE)</f>
        <v>20/11/2021</v>
      </c>
      <c r="F1387" t="str">
        <f>VLOOKUP(NoviaFunds[[#This Row],[Sector]],Sectors[],2,FALSE)</f>
        <v>Other Equities</v>
      </c>
    </row>
    <row r="1388" spans="1:6" x14ac:dyDescent="0.2">
      <c r="A1388" t="str">
        <f>'Novia Web Query'!A1385</f>
        <v>GB00B4130Q19</v>
      </c>
      <c r="B1388" t="str">
        <f>VLOOKUP(NoviaFunds[[#This Row],[ISIN]],'Novia Web Query'!$A:$E,2,FALSE)</f>
        <v>FP Octopus UK Equity B Acc in GB</v>
      </c>
      <c r="C1388" t="str">
        <f>VLOOKUP(NoviaFunds[[#This Row],[ISIN]],'Novia Web Query'!$A:$E,3,FALSE)</f>
        <v>UT UK All Companies</v>
      </c>
      <c r="D1388" s="139">
        <f>VLOOKUP(NoviaFunds[[#This Row],[ISIN]],'Novia Web Query'!$A:$E,4,FALSE)/100</f>
        <v>1.1699999999999999E-2</v>
      </c>
      <c r="E1388" s="3" t="str">
        <f>VLOOKUP(NoviaFunds[[#This Row],[ISIN]],'Novia Web Query'!$A:$E,5,FALSE)</f>
        <v>20/11/2021</v>
      </c>
      <c r="F1388" t="str">
        <f>VLOOKUP(NoviaFunds[[#This Row],[Sector]],Sectors[],2,FALSE)</f>
        <v>UK Equities</v>
      </c>
    </row>
    <row r="1389" spans="1:6" x14ac:dyDescent="0.2">
      <c r="A1389" t="str">
        <f>'Novia Web Query'!A1386</f>
        <v>GB00BYQ7HN43</v>
      </c>
      <c r="B1389" t="str">
        <f>VLOOKUP(NoviaFunds[[#This Row],[ISIN]],'Novia Web Query'!$A:$E,2,FALSE)</f>
        <v>FP Octopus UK Micro Cap Growth P Acc in GB</v>
      </c>
      <c r="C1389" t="str">
        <f>VLOOKUP(NoviaFunds[[#This Row],[ISIN]],'Novia Web Query'!$A:$E,3,FALSE)</f>
        <v>UT UK Smaller Companies</v>
      </c>
      <c r="D1389" s="139">
        <f>VLOOKUP(NoviaFunds[[#This Row],[ISIN]],'Novia Web Query'!$A:$E,4,FALSE)/100</f>
        <v>1.2500000000000001E-2</v>
      </c>
      <c r="E1389" s="3" t="str">
        <f>VLOOKUP(NoviaFunds[[#This Row],[ISIN]],'Novia Web Query'!$A:$E,5,FALSE)</f>
        <v>20/11/2021</v>
      </c>
      <c r="F1389" t="str">
        <f>VLOOKUP(NoviaFunds[[#This Row],[Sector]],Sectors[],2,FALSE)</f>
        <v>UK Equities</v>
      </c>
    </row>
    <row r="1390" spans="1:6" x14ac:dyDescent="0.2">
      <c r="A1390" t="str">
        <f>'Novia Web Query'!A1387</f>
        <v>GB00BYQ7HP66</v>
      </c>
      <c r="B1390" t="str">
        <f>VLOOKUP(NoviaFunds[[#This Row],[ISIN]],'Novia Web Query'!$A:$E,2,FALSE)</f>
        <v>FP Octopus UK Micro Cap Growth S Acc in GB</v>
      </c>
      <c r="C1390" t="str">
        <f>VLOOKUP(NoviaFunds[[#This Row],[ISIN]],'Novia Web Query'!$A:$E,3,FALSE)</f>
        <v>UT UK Smaller Companies</v>
      </c>
      <c r="D1390" s="139">
        <f>VLOOKUP(NoviaFunds[[#This Row],[ISIN]],'Novia Web Query'!$A:$E,4,FALSE)/100</f>
        <v>1.15E-2</v>
      </c>
      <c r="E1390" s="3" t="str">
        <f>VLOOKUP(NoviaFunds[[#This Row],[ISIN]],'Novia Web Query'!$A:$E,5,FALSE)</f>
        <v>20/11/2021</v>
      </c>
      <c r="F1390" t="str">
        <f>VLOOKUP(NoviaFunds[[#This Row],[Sector]],Sectors[],2,FALSE)</f>
        <v>UK Equities</v>
      </c>
    </row>
    <row r="1391" spans="1:6" x14ac:dyDescent="0.2">
      <c r="A1391" t="str">
        <f>'Novia Web Query'!A1388</f>
        <v>GB00BG47Q333</v>
      </c>
      <c r="B1391" t="str">
        <f>VLOOKUP(NoviaFunds[[#This Row],[ISIN]],'Novia Web Query'!$A:$E,2,FALSE)</f>
        <v>FP Octopus UK Multi Cap Income S Acc GBP in GB</v>
      </c>
      <c r="C1391" t="str">
        <f>VLOOKUP(NoviaFunds[[#This Row],[ISIN]],'Novia Web Query'!$A:$E,3,FALSE)</f>
        <v>UT UK Equity Income</v>
      </c>
      <c r="D1391" s="139">
        <f>VLOOKUP(NoviaFunds[[#This Row],[ISIN]],'Novia Web Query'!$A:$E,4,FALSE)/100</f>
        <v>4.5000000000000005E-3</v>
      </c>
      <c r="E1391" s="3" t="str">
        <f>VLOOKUP(NoviaFunds[[#This Row],[ISIN]],'Novia Web Query'!$A:$E,5,FALSE)</f>
        <v>20/11/2021</v>
      </c>
      <c r="F1391" t="str">
        <f>VLOOKUP(NoviaFunds[[#This Row],[Sector]],Sectors[],2,FALSE)</f>
        <v>UK Equities</v>
      </c>
    </row>
    <row r="1392" spans="1:6" x14ac:dyDescent="0.2">
      <c r="A1392" t="str">
        <f>'Novia Web Query'!A1389</f>
        <v>GB00BG47Q440</v>
      </c>
      <c r="B1392" t="str">
        <f>VLOOKUP(NoviaFunds[[#This Row],[ISIN]],'Novia Web Query'!$A:$E,2,FALSE)</f>
        <v>FP Octopus UK Multi Cap Income S Inc GBP TR in GB</v>
      </c>
      <c r="C1392" t="str">
        <f>VLOOKUP(NoviaFunds[[#This Row],[ISIN]],'Novia Web Query'!$A:$E,3,FALSE)</f>
        <v>UT UK Equity Income</v>
      </c>
      <c r="D1392" s="139">
        <f>VLOOKUP(NoviaFunds[[#This Row],[ISIN]],'Novia Web Query'!$A:$E,4,FALSE)/100</f>
        <v>4.5000000000000005E-3</v>
      </c>
      <c r="E1392" s="3" t="str">
        <f>VLOOKUP(NoviaFunds[[#This Row],[ISIN]],'Novia Web Query'!$A:$E,5,FALSE)</f>
        <v>20/11/2021</v>
      </c>
      <c r="F1392" t="str">
        <f>VLOOKUP(NoviaFunds[[#This Row],[Sector]],Sectors[],2,FALSE)</f>
        <v>UK Equities</v>
      </c>
    </row>
    <row r="1393" spans="1:6" x14ac:dyDescent="0.2">
      <c r="A1393" t="str">
        <f>'Novia Web Query'!A1390</f>
        <v>GB00B4TW6408</v>
      </c>
      <c r="B1393" t="str">
        <f>VLOOKUP(NoviaFunds[[#This Row],[ISIN]],'Novia Web Query'!$A:$E,2,FALSE)</f>
        <v>FP Rayliant Quantamental Emerging Markets Equity A in GB</v>
      </c>
      <c r="C1393" t="str">
        <f>VLOOKUP(NoviaFunds[[#This Row],[ISIN]],'Novia Web Query'!$A:$E,3,FALSE)</f>
        <v>UT Global Emerging Markets</v>
      </c>
      <c r="D1393" s="139">
        <f>VLOOKUP(NoviaFunds[[#This Row],[ISIN]],'Novia Web Query'!$A:$E,4,FALSE)/100</f>
        <v>1.2E-2</v>
      </c>
      <c r="E1393" s="3" t="str">
        <f>VLOOKUP(NoviaFunds[[#This Row],[ISIN]],'Novia Web Query'!$A:$E,5,FALSE)</f>
        <v>19/02/2021</v>
      </c>
      <c r="F1393" t="str">
        <f>VLOOKUP(NoviaFunds[[#This Row],[Sector]],Sectors[],2,FALSE)</f>
        <v>Emerging Markets</v>
      </c>
    </row>
    <row r="1394" spans="1:6" x14ac:dyDescent="0.2">
      <c r="A1394" t="str">
        <f>'Novia Web Query'!A1391</f>
        <v>GB00B4X90018</v>
      </c>
      <c r="B1394" t="str">
        <f>VLOOKUP(NoviaFunds[[#This Row],[ISIN]],'Novia Web Query'!$A:$E,2,FALSE)</f>
        <v>FP Rayliant Quantamental Emerging Markets Equity B in GB</v>
      </c>
      <c r="C1394" t="str">
        <f>VLOOKUP(NoviaFunds[[#This Row],[ISIN]],'Novia Web Query'!$A:$E,3,FALSE)</f>
        <v>UT Global Emerging Markets</v>
      </c>
      <c r="D1394" s="139">
        <f>VLOOKUP(NoviaFunds[[#This Row],[ISIN]],'Novia Web Query'!$A:$E,4,FALSE)/100</f>
        <v>6.8000000000000005E-3</v>
      </c>
      <c r="E1394" s="3" t="str">
        <f>VLOOKUP(NoviaFunds[[#This Row],[ISIN]],'Novia Web Query'!$A:$E,5,FALSE)</f>
        <v>19/02/2021</v>
      </c>
      <c r="F1394" t="str">
        <f>VLOOKUP(NoviaFunds[[#This Row],[Sector]],Sectors[],2,FALSE)</f>
        <v>Emerging Markets</v>
      </c>
    </row>
    <row r="1395" spans="1:6" x14ac:dyDescent="0.2">
      <c r="A1395" t="str">
        <f>'Novia Web Query'!A1392</f>
        <v>GB00BYQ4HM47</v>
      </c>
      <c r="B1395" t="str">
        <f>VLOOKUP(NoviaFunds[[#This Row],[ISIN]],'Novia Web Query'!$A:$E,2,FALSE)</f>
        <v>FP Volare Balanced A Acc in GB</v>
      </c>
      <c r="C1395" t="str">
        <f>VLOOKUP(NoviaFunds[[#This Row],[ISIN]],'Novia Web Query'!$A:$E,3,FALSE)</f>
        <v>UT Mixed Investment 40-85% Shares</v>
      </c>
      <c r="D1395" s="139">
        <f>VLOOKUP(NoviaFunds[[#This Row],[ISIN]],'Novia Web Query'!$A:$E,4,FALSE)/100</f>
        <v>1.21E-2</v>
      </c>
      <c r="E1395" s="3" t="str">
        <f>VLOOKUP(NoviaFunds[[#This Row],[ISIN]],'Novia Web Query'!$A:$E,5,FALSE)</f>
        <v>20/11/2021</v>
      </c>
      <c r="F1395" t="str">
        <f>VLOOKUP(NoviaFunds[[#This Row],[Sector]],Sectors[],2,FALSE)</f>
        <v>Mixed 40%-85%</v>
      </c>
    </row>
    <row r="1396" spans="1:6" x14ac:dyDescent="0.2">
      <c r="A1396" t="str">
        <f>'Novia Web Query'!A1393</f>
        <v>GB00BYQ4HK23</v>
      </c>
      <c r="B1396" t="str">
        <f>VLOOKUP(NoviaFunds[[#This Row],[ISIN]],'Novia Web Query'!$A:$E,2,FALSE)</f>
        <v>FP Volare Cautious A Acc in GB</v>
      </c>
      <c r="C1396" t="str">
        <f>VLOOKUP(NoviaFunds[[#This Row],[ISIN]],'Novia Web Query'!$A:$E,3,FALSE)</f>
        <v>UT Mixed Investment 20-60% Shares</v>
      </c>
      <c r="D1396" s="139">
        <f>VLOOKUP(NoviaFunds[[#This Row],[ISIN]],'Novia Web Query'!$A:$E,4,FALSE)/100</f>
        <v>1.2199999999999999E-2</v>
      </c>
      <c r="E1396" s="3" t="str">
        <f>VLOOKUP(NoviaFunds[[#This Row],[ISIN]],'Novia Web Query'!$A:$E,5,FALSE)</f>
        <v>20/11/2021</v>
      </c>
      <c r="F1396" t="str">
        <f>VLOOKUP(NoviaFunds[[#This Row],[Sector]],Sectors[],2,FALSE)</f>
        <v>Mixed 20%-60%</v>
      </c>
    </row>
    <row r="1397" spans="1:6" x14ac:dyDescent="0.2">
      <c r="A1397" t="str">
        <f>'Novia Web Query'!A1394</f>
        <v>GB00BYQ4HH93</v>
      </c>
      <c r="B1397" t="str">
        <f>VLOOKUP(NoviaFunds[[#This Row],[ISIN]],'Novia Web Query'!$A:$E,2,FALSE)</f>
        <v>FP Volare Defensive A Acc in GB</v>
      </c>
      <c r="C1397" t="str">
        <f>VLOOKUP(NoviaFunds[[#This Row],[ISIN]],'Novia Web Query'!$A:$E,3,FALSE)</f>
        <v>UT Mixed Investment 20-60% Shares</v>
      </c>
      <c r="D1397" s="139">
        <f>VLOOKUP(NoviaFunds[[#This Row],[ISIN]],'Novia Web Query'!$A:$E,4,FALSE)/100</f>
        <v>1.1599999999999999E-2</v>
      </c>
      <c r="E1397" s="3" t="str">
        <f>VLOOKUP(NoviaFunds[[#This Row],[ISIN]],'Novia Web Query'!$A:$E,5,FALSE)</f>
        <v>20/11/2021</v>
      </c>
      <c r="F1397" t="str">
        <f>VLOOKUP(NoviaFunds[[#This Row],[Sector]],Sectors[],2,FALSE)</f>
        <v>Mixed 20%-60%</v>
      </c>
    </row>
    <row r="1398" spans="1:6" x14ac:dyDescent="0.2">
      <c r="A1398" t="str">
        <f>'Novia Web Query'!A1395</f>
        <v>GB00BYQ4HP77</v>
      </c>
      <c r="B1398" t="str">
        <f>VLOOKUP(NoviaFunds[[#This Row],[ISIN]],'Novia Web Query'!$A:$E,2,FALSE)</f>
        <v>FP Volare Growth A Acc in GB</v>
      </c>
      <c r="C1398" t="str">
        <f>VLOOKUP(NoviaFunds[[#This Row],[ISIN]],'Novia Web Query'!$A:$E,3,FALSE)</f>
        <v>UT Mixed Investment 40-85% Shares</v>
      </c>
      <c r="D1398" s="139">
        <f>VLOOKUP(NoviaFunds[[#This Row],[ISIN]],'Novia Web Query'!$A:$E,4,FALSE)/100</f>
        <v>1.3300000000000001E-2</v>
      </c>
      <c r="E1398" s="3" t="str">
        <f>VLOOKUP(NoviaFunds[[#This Row],[ISIN]],'Novia Web Query'!$A:$E,5,FALSE)</f>
        <v>20/11/2021</v>
      </c>
      <c r="F1398" t="str">
        <f>VLOOKUP(NoviaFunds[[#This Row],[Sector]],Sectors[],2,FALSE)</f>
        <v>Mixed 40%-85%</v>
      </c>
    </row>
    <row r="1399" spans="1:6" x14ac:dyDescent="0.2">
      <c r="A1399" t="str">
        <f>'Novia Web Query'!A1396</f>
        <v>GB00BYQ4HS09</v>
      </c>
      <c r="B1399" t="str">
        <f>VLOOKUP(NoviaFunds[[#This Row],[ISIN]],'Novia Web Query'!$A:$E,2,FALSE)</f>
        <v>FP Volare Strategic Income A Inc TR in GB</v>
      </c>
      <c r="C1399" t="str">
        <f>VLOOKUP(NoviaFunds[[#This Row],[ISIN]],'Novia Web Query'!$A:$E,3,FALSE)</f>
        <v>UT Mixed Investment 40-85% Shares</v>
      </c>
      <c r="D1399" s="139">
        <f>VLOOKUP(NoviaFunds[[#This Row],[ISIN]],'Novia Web Query'!$A:$E,4,FALSE)/100</f>
        <v>1.34E-2</v>
      </c>
      <c r="E1399" s="3" t="str">
        <f>VLOOKUP(NoviaFunds[[#This Row],[ISIN]],'Novia Web Query'!$A:$E,5,FALSE)</f>
        <v>20/11/2021</v>
      </c>
      <c r="F1399" t="str">
        <f>VLOOKUP(NoviaFunds[[#This Row],[Sector]],Sectors[],2,FALSE)</f>
        <v>Mixed 40%-85%</v>
      </c>
    </row>
    <row r="1400" spans="1:6" x14ac:dyDescent="0.2">
      <c r="A1400" t="str">
        <f>'Novia Web Query'!A1397</f>
        <v>GB00B4LDCG53</v>
      </c>
      <c r="B1400" t="str">
        <f>VLOOKUP(NoviaFunds[[#This Row],[ISIN]],'Novia Web Query'!$A:$E,2,FALSE)</f>
        <v>FP WHEB Sustainability A Acc in GB</v>
      </c>
      <c r="C1400" t="str">
        <f>VLOOKUP(NoviaFunds[[#This Row],[ISIN]],'Novia Web Query'!$A:$E,3,FALSE)</f>
        <v>UT Global</v>
      </c>
      <c r="D1400" s="139">
        <f>VLOOKUP(NoviaFunds[[#This Row],[ISIN]],'Novia Web Query'!$A:$E,4,FALSE)/100</f>
        <v>1.6799999999999999E-2</v>
      </c>
      <c r="E1400" s="3" t="str">
        <f>VLOOKUP(NoviaFunds[[#This Row],[ISIN]],'Novia Web Query'!$A:$E,5,FALSE)</f>
        <v>13/08/2021</v>
      </c>
      <c r="F1400" t="str">
        <f>VLOOKUP(NoviaFunds[[#This Row],[Sector]],Sectors[],2,FALSE)</f>
        <v>Other Equities</v>
      </c>
    </row>
    <row r="1401" spans="1:6" x14ac:dyDescent="0.2">
      <c r="A1401" t="str">
        <f>'Novia Web Query'!A1398</f>
        <v>GB00B8HPRW47</v>
      </c>
      <c r="B1401" t="str">
        <f>VLOOKUP(NoviaFunds[[#This Row],[ISIN]],'Novia Web Query'!$A:$E,2,FALSE)</f>
        <v>FP WHEB Sustainability C Acc in GB</v>
      </c>
      <c r="C1401" t="str">
        <f>VLOOKUP(NoviaFunds[[#This Row],[ISIN]],'Novia Web Query'!$A:$E,3,FALSE)</f>
        <v>UT Global</v>
      </c>
      <c r="D1401" s="139">
        <f>VLOOKUP(NoviaFunds[[#This Row],[ISIN]],'Novia Web Query'!$A:$E,4,FALSE)/100</f>
        <v>1.03E-2</v>
      </c>
      <c r="E1401" s="3" t="str">
        <f>VLOOKUP(NoviaFunds[[#This Row],[ISIN]],'Novia Web Query'!$A:$E,5,FALSE)</f>
        <v>13/08/2021</v>
      </c>
      <c r="F1401" t="str">
        <f>VLOOKUP(NoviaFunds[[#This Row],[Sector]],Sectors[],2,FALSE)</f>
        <v>Other Equities</v>
      </c>
    </row>
    <row r="1402" spans="1:6" x14ac:dyDescent="0.2">
      <c r="A1402" t="str">
        <f>'Novia Web Query'!A1399</f>
        <v>GB00BHBFFN03</v>
      </c>
      <c r="B1402" t="str">
        <f>VLOOKUP(NoviaFunds[[#This Row],[ISIN]],'Novia Web Query'!$A:$E,2,FALSE)</f>
        <v>FP WHEB Sustainability C Inc TR in GB**</v>
      </c>
      <c r="C1402" t="str">
        <f>VLOOKUP(NoviaFunds[[#This Row],[ISIN]],'Novia Web Query'!$A:$E,3,FALSE)</f>
        <v>UT Global</v>
      </c>
      <c r="D1402" s="139">
        <f>VLOOKUP(NoviaFunds[[#This Row],[ISIN]],'Novia Web Query'!$A:$E,4,FALSE)/100</f>
        <v>1.03E-2</v>
      </c>
      <c r="E1402" s="3" t="str">
        <f>VLOOKUP(NoviaFunds[[#This Row],[ISIN]],'Novia Web Query'!$A:$E,5,FALSE)</f>
        <v>13/08/2021</v>
      </c>
      <c r="F1402" t="str">
        <f>VLOOKUP(NoviaFunds[[#This Row],[Sector]],Sectors[],2,FALSE)</f>
        <v>Other Equities</v>
      </c>
    </row>
    <row r="1403" spans="1:6" x14ac:dyDescent="0.2">
      <c r="A1403" t="str">
        <f>'Novia Web Query'!A1400</f>
        <v>GB00B4L3HZ92</v>
      </c>
      <c r="B1403" t="str">
        <f>VLOOKUP(NoviaFunds[[#This Row],[ISIN]],'Novia Web Query'!$A:$E,2,FALSE)</f>
        <v>FP Russell Investments Defensive Assets A Acc in GB</v>
      </c>
      <c r="C1403" t="str">
        <f>VLOOKUP(NoviaFunds[[#This Row],[ISIN]],'Novia Web Query'!$A:$E,3,FALSE)</f>
        <v>UT Unclassified</v>
      </c>
      <c r="D1403" s="139">
        <f>VLOOKUP(NoviaFunds[[#This Row],[ISIN]],'Novia Web Query'!$A:$E,4,FALSE)/100</f>
        <v>1.5700000000000002E-2</v>
      </c>
      <c r="E1403" s="3" t="str">
        <f>VLOOKUP(NoviaFunds[[#This Row],[ISIN]],'Novia Web Query'!$A:$E,5,FALSE)</f>
        <v>15/04/2021</v>
      </c>
      <c r="F1403" t="str">
        <f>VLOOKUP(NoviaFunds[[#This Row],[Sector]],Sectors[],2,FALSE)</f>
        <v>Unclassified</v>
      </c>
    </row>
    <row r="1404" spans="1:6" x14ac:dyDescent="0.2">
      <c r="A1404" t="str">
        <f>'Novia Web Query'!A1401</f>
        <v>GB00B4L3HR19</v>
      </c>
      <c r="B1404" t="str">
        <f>VLOOKUP(NoviaFunds[[#This Row],[ISIN]],'Novia Web Query'!$A:$E,2,FALSE)</f>
        <v>FP Russell Investments Defensive Assets A Inc TR in GB</v>
      </c>
      <c r="C1404" t="str">
        <f>VLOOKUP(NoviaFunds[[#This Row],[ISIN]],'Novia Web Query'!$A:$E,3,FALSE)</f>
        <v>UT Unclassified</v>
      </c>
      <c r="D1404" s="139">
        <f>VLOOKUP(NoviaFunds[[#This Row],[ISIN]],'Novia Web Query'!$A:$E,4,FALSE)/100</f>
        <v>1.5700000000000002E-2</v>
      </c>
      <c r="E1404" s="3" t="str">
        <f>VLOOKUP(NoviaFunds[[#This Row],[ISIN]],'Novia Web Query'!$A:$E,5,FALSE)</f>
        <v>15/04/2021</v>
      </c>
      <c r="F1404" t="str">
        <f>VLOOKUP(NoviaFunds[[#This Row],[Sector]],Sectors[],2,FALSE)</f>
        <v>Unclassified</v>
      </c>
    </row>
    <row r="1405" spans="1:6" x14ac:dyDescent="0.2">
      <c r="A1405" t="str">
        <f>'Novia Web Query'!A1402</f>
        <v>GB00B4L7KL81</v>
      </c>
      <c r="B1405" t="str">
        <f>VLOOKUP(NoviaFunds[[#This Row],[ISIN]],'Novia Web Query'!$A:$E,2,FALSE)</f>
        <v>FP Russell Investments Defensive Assets C Acc in GB</v>
      </c>
      <c r="C1405" t="str">
        <f>VLOOKUP(NoviaFunds[[#This Row],[ISIN]],'Novia Web Query'!$A:$E,3,FALSE)</f>
        <v>UT Unclassified</v>
      </c>
      <c r="D1405" s="139">
        <f>VLOOKUP(NoviaFunds[[#This Row],[ISIN]],'Novia Web Query'!$A:$E,4,FALSE)/100</f>
        <v>8.199999999999999E-3</v>
      </c>
      <c r="E1405" s="3" t="str">
        <f>VLOOKUP(NoviaFunds[[#This Row],[ISIN]],'Novia Web Query'!$A:$E,5,FALSE)</f>
        <v>15/04/2021</v>
      </c>
      <c r="F1405" t="str">
        <f>VLOOKUP(NoviaFunds[[#This Row],[Sector]],Sectors[],2,FALSE)</f>
        <v>Unclassified</v>
      </c>
    </row>
    <row r="1406" spans="1:6" x14ac:dyDescent="0.2">
      <c r="A1406" t="str">
        <f>'Novia Web Query'!A1403</f>
        <v>GB00B4L7GL04</v>
      </c>
      <c r="B1406" t="str">
        <f>VLOOKUP(NoviaFunds[[#This Row],[ISIN]],'Novia Web Query'!$A:$E,2,FALSE)</f>
        <v>FP Russell Investments Defensive Assets C Inc TR in GB</v>
      </c>
      <c r="C1406" t="str">
        <f>VLOOKUP(NoviaFunds[[#This Row],[ISIN]],'Novia Web Query'!$A:$E,3,FALSE)</f>
        <v>UT Unclassified</v>
      </c>
      <c r="D1406" s="139">
        <f>VLOOKUP(NoviaFunds[[#This Row],[ISIN]],'Novia Web Query'!$A:$E,4,FALSE)/100</f>
        <v>8.199999999999999E-3</v>
      </c>
      <c r="E1406" s="3" t="str">
        <f>VLOOKUP(NoviaFunds[[#This Row],[ISIN]],'Novia Web Query'!$A:$E,5,FALSE)</f>
        <v>15/04/2021</v>
      </c>
      <c r="F1406" t="str">
        <f>VLOOKUP(NoviaFunds[[#This Row],[Sector]],Sectors[],2,FALSE)</f>
        <v>Unclassified</v>
      </c>
    </row>
    <row r="1407" spans="1:6" x14ac:dyDescent="0.2">
      <c r="A1407" t="str">
        <f>'Novia Web Query'!A1404</f>
        <v>GB00B4JQN302</v>
      </c>
      <c r="B1407" t="str">
        <f>VLOOKUP(NoviaFunds[[#This Row],[ISIN]],'Novia Web Query'!$A:$E,2,FALSE)</f>
        <v>FP Russell Investments International Growth Assets A Acc in GB</v>
      </c>
      <c r="C1407" t="str">
        <f>VLOOKUP(NoviaFunds[[#This Row],[ISIN]],'Novia Web Query'!$A:$E,3,FALSE)</f>
        <v>UT Global</v>
      </c>
      <c r="D1407" s="139">
        <f>VLOOKUP(NoviaFunds[[#This Row],[ISIN]],'Novia Web Query'!$A:$E,4,FALSE)/100</f>
        <v>1.9199999999999998E-2</v>
      </c>
      <c r="E1407" s="3" t="str">
        <f>VLOOKUP(NoviaFunds[[#This Row],[ISIN]],'Novia Web Query'!$A:$E,5,FALSE)</f>
        <v>15/04/2021</v>
      </c>
      <c r="F1407" t="str">
        <f>VLOOKUP(NoviaFunds[[#This Row],[Sector]],Sectors[],2,FALSE)</f>
        <v>Other Equities</v>
      </c>
    </row>
    <row r="1408" spans="1:6" x14ac:dyDescent="0.2">
      <c r="A1408" t="str">
        <f>'Novia Web Query'!A1405</f>
        <v>GB00B4L1FW65</v>
      </c>
      <c r="B1408" t="str">
        <f>VLOOKUP(NoviaFunds[[#This Row],[ISIN]],'Novia Web Query'!$A:$E,2,FALSE)</f>
        <v>FP Russell Investments International Growth Assets A Inc TR in GB</v>
      </c>
      <c r="C1408" t="str">
        <f>VLOOKUP(NoviaFunds[[#This Row],[ISIN]],'Novia Web Query'!$A:$E,3,FALSE)</f>
        <v>UT Global</v>
      </c>
      <c r="D1408" s="139">
        <f>VLOOKUP(NoviaFunds[[#This Row],[ISIN]],'Novia Web Query'!$A:$E,4,FALSE)/100</f>
        <v>1.9199999999999998E-2</v>
      </c>
      <c r="E1408" s="3" t="str">
        <f>VLOOKUP(NoviaFunds[[#This Row],[ISIN]],'Novia Web Query'!$A:$E,5,FALSE)</f>
        <v>15/04/2021</v>
      </c>
      <c r="F1408" t="str">
        <f>VLOOKUP(NoviaFunds[[#This Row],[Sector]],Sectors[],2,FALSE)</f>
        <v>Other Equities</v>
      </c>
    </row>
    <row r="1409" spans="1:6" x14ac:dyDescent="0.2">
      <c r="A1409" t="str">
        <f>'Novia Web Query'!A1406</f>
        <v>GB00B4KHXP47</v>
      </c>
      <c r="B1409" t="str">
        <f>VLOOKUP(NoviaFunds[[#This Row],[ISIN]],'Novia Web Query'!$A:$E,2,FALSE)</f>
        <v>FP Russell Investments International Growth Assets C Acc in GB</v>
      </c>
      <c r="C1409" t="str">
        <f>VLOOKUP(NoviaFunds[[#This Row],[ISIN]],'Novia Web Query'!$A:$E,3,FALSE)</f>
        <v>UT Global</v>
      </c>
      <c r="D1409" s="139">
        <f>VLOOKUP(NoviaFunds[[#This Row],[ISIN]],'Novia Web Query'!$A:$E,4,FALSE)/100</f>
        <v>1.1699999999999999E-2</v>
      </c>
      <c r="E1409" s="3" t="str">
        <f>VLOOKUP(NoviaFunds[[#This Row],[ISIN]],'Novia Web Query'!$A:$E,5,FALSE)</f>
        <v>15/04/2021</v>
      </c>
      <c r="F1409" t="str">
        <f>VLOOKUP(NoviaFunds[[#This Row],[Sector]],Sectors[],2,FALSE)</f>
        <v>Other Equities</v>
      </c>
    </row>
    <row r="1410" spans="1:6" x14ac:dyDescent="0.2">
      <c r="A1410" t="str">
        <f>'Novia Web Query'!A1407</f>
        <v>GB00B4JQSQ86</v>
      </c>
      <c r="B1410" t="str">
        <f>VLOOKUP(NoviaFunds[[#This Row],[ISIN]],'Novia Web Query'!$A:$E,2,FALSE)</f>
        <v>FP Russell Investments International Growth Assets C Inc TR in GB</v>
      </c>
      <c r="C1410" t="str">
        <f>VLOOKUP(NoviaFunds[[#This Row],[ISIN]],'Novia Web Query'!$A:$E,3,FALSE)</f>
        <v>UT Global</v>
      </c>
      <c r="D1410" s="139">
        <f>VLOOKUP(NoviaFunds[[#This Row],[ISIN]],'Novia Web Query'!$A:$E,4,FALSE)/100</f>
        <v>1.1699999999999999E-2</v>
      </c>
      <c r="E1410" s="3" t="str">
        <f>VLOOKUP(NoviaFunds[[#This Row],[ISIN]],'Novia Web Query'!$A:$E,5,FALSE)</f>
        <v>15/04/2021</v>
      </c>
      <c r="F1410" t="str">
        <f>VLOOKUP(NoviaFunds[[#This Row],[Sector]],Sectors[],2,FALSE)</f>
        <v>Other Equities</v>
      </c>
    </row>
    <row r="1411" spans="1:6" x14ac:dyDescent="0.2">
      <c r="A1411" t="str">
        <f>'Novia Web Query'!A1408</f>
        <v>GB00BYXJKN47</v>
      </c>
      <c r="B1411" t="str">
        <f>VLOOKUP(NoviaFunds[[#This Row],[ISIN]],'Novia Web Query'!$A:$E,2,FALSE)</f>
        <v>FP Russell Investments Multi Asset Growth I C Acc in GB</v>
      </c>
      <c r="C1411" t="str">
        <f>VLOOKUP(NoviaFunds[[#This Row],[ISIN]],'Novia Web Query'!$A:$E,3,FALSE)</f>
        <v>UT Mixed Investment 0-35% Shares</v>
      </c>
      <c r="D1411" s="139">
        <f>VLOOKUP(NoviaFunds[[#This Row],[ISIN]],'Novia Web Query'!$A:$E,4,FALSE)/100</f>
        <v>5.6000000000000008E-3</v>
      </c>
      <c r="E1411" s="3" t="str">
        <f>VLOOKUP(NoviaFunds[[#This Row],[ISIN]],'Novia Web Query'!$A:$E,5,FALSE)</f>
        <v>15/04/2021</v>
      </c>
      <c r="F1411" t="str">
        <f>VLOOKUP(NoviaFunds[[#This Row],[Sector]],Sectors[],2,FALSE)</f>
        <v>Mixed 0%-35%</v>
      </c>
    </row>
    <row r="1412" spans="1:6" x14ac:dyDescent="0.2">
      <c r="A1412" t="str">
        <f>'Novia Web Query'!A1409</f>
        <v>GB00BYXJKM30</v>
      </c>
      <c r="B1412" t="str">
        <f>VLOOKUP(NoviaFunds[[#This Row],[ISIN]],'Novia Web Query'!$A:$E,2,FALSE)</f>
        <v>FP Russell Investments Multi Asset Growth I C Inc TR in GB</v>
      </c>
      <c r="C1412" t="str">
        <f>VLOOKUP(NoviaFunds[[#This Row],[ISIN]],'Novia Web Query'!$A:$E,3,FALSE)</f>
        <v>UT Mixed Investment 0-35% Shares</v>
      </c>
      <c r="D1412" s="139">
        <f>VLOOKUP(NoviaFunds[[#This Row],[ISIN]],'Novia Web Query'!$A:$E,4,FALSE)/100</f>
        <v>5.6000000000000008E-3</v>
      </c>
      <c r="E1412" s="3" t="str">
        <f>VLOOKUP(NoviaFunds[[#This Row],[ISIN]],'Novia Web Query'!$A:$E,5,FALSE)</f>
        <v>15/04/2021</v>
      </c>
      <c r="F1412" t="str">
        <f>VLOOKUP(NoviaFunds[[#This Row],[Sector]],Sectors[],2,FALSE)</f>
        <v>Mixed 0%-35%</v>
      </c>
    </row>
    <row r="1413" spans="1:6" x14ac:dyDescent="0.2">
      <c r="A1413" t="str">
        <f>'Novia Web Query'!A1410</f>
        <v>GB00BYXJKQ77</v>
      </c>
      <c r="B1413" t="str">
        <f>VLOOKUP(NoviaFunds[[#This Row],[ISIN]],'Novia Web Query'!$A:$E,2,FALSE)</f>
        <v>FP Russell Investments Multi Asset Growth II C Acc in GB</v>
      </c>
      <c r="C1413" t="str">
        <f>VLOOKUP(NoviaFunds[[#This Row],[ISIN]],'Novia Web Query'!$A:$E,3,FALSE)</f>
        <v>UT Mixed Investment 20-60% Shares</v>
      </c>
      <c r="D1413" s="139">
        <f>VLOOKUP(NoviaFunds[[#This Row],[ISIN]],'Novia Web Query'!$A:$E,4,FALSE)/100</f>
        <v>5.6000000000000008E-3</v>
      </c>
      <c r="E1413" s="3" t="str">
        <f>VLOOKUP(NoviaFunds[[#This Row],[ISIN]],'Novia Web Query'!$A:$E,5,FALSE)</f>
        <v>15/04/2021</v>
      </c>
      <c r="F1413" t="str">
        <f>VLOOKUP(NoviaFunds[[#This Row],[Sector]],Sectors[],2,FALSE)</f>
        <v>Mixed 20%-60%</v>
      </c>
    </row>
    <row r="1414" spans="1:6" x14ac:dyDescent="0.2">
      <c r="A1414" t="str">
        <f>'Novia Web Query'!A1411</f>
        <v>GB00BYXJKP60</v>
      </c>
      <c r="B1414" t="str">
        <f>VLOOKUP(NoviaFunds[[#This Row],[ISIN]],'Novia Web Query'!$A:$E,2,FALSE)</f>
        <v>FP Russell Investments Multi Asset Growth II C Inc TR in GB</v>
      </c>
      <c r="C1414" t="str">
        <f>VLOOKUP(NoviaFunds[[#This Row],[ISIN]],'Novia Web Query'!$A:$E,3,FALSE)</f>
        <v>UT Mixed Investment 20-60% Shares</v>
      </c>
      <c r="D1414" s="139">
        <f>VLOOKUP(NoviaFunds[[#This Row],[ISIN]],'Novia Web Query'!$A:$E,4,FALSE)/100</f>
        <v>5.6000000000000008E-3</v>
      </c>
      <c r="E1414" s="3" t="str">
        <f>VLOOKUP(NoviaFunds[[#This Row],[ISIN]],'Novia Web Query'!$A:$E,5,FALSE)</f>
        <v>15/04/2021</v>
      </c>
      <c r="F1414" t="str">
        <f>VLOOKUP(NoviaFunds[[#This Row],[Sector]],Sectors[],2,FALSE)</f>
        <v>Mixed 20%-60%</v>
      </c>
    </row>
    <row r="1415" spans="1:6" x14ac:dyDescent="0.2">
      <c r="A1415" t="str">
        <f>'Novia Web Query'!A1412</f>
        <v>GB00B7W5QJ24</v>
      </c>
      <c r="B1415" t="str">
        <f>VLOOKUP(NoviaFunds[[#This Row],[ISIN]],'Novia Web Query'!$A:$E,2,FALSE)</f>
        <v>FP Russell Investments Multi Asset Growth III C Acc in GB</v>
      </c>
      <c r="C1415" t="str">
        <f>VLOOKUP(NoviaFunds[[#This Row],[ISIN]],'Novia Web Query'!$A:$E,3,FALSE)</f>
        <v>UT Mixed Investment 20-60% Shares</v>
      </c>
      <c r="D1415" s="139">
        <f>VLOOKUP(NoviaFunds[[#This Row],[ISIN]],'Novia Web Query'!$A:$E,4,FALSE)/100</f>
        <v>6.0000000000000001E-3</v>
      </c>
      <c r="E1415" s="3" t="str">
        <f>VLOOKUP(NoviaFunds[[#This Row],[ISIN]],'Novia Web Query'!$A:$E,5,FALSE)</f>
        <v>15/04/2021</v>
      </c>
      <c r="F1415" t="str">
        <f>VLOOKUP(NoviaFunds[[#This Row],[Sector]],Sectors[],2,FALSE)</f>
        <v>Mixed 20%-60%</v>
      </c>
    </row>
    <row r="1416" spans="1:6" x14ac:dyDescent="0.2">
      <c r="A1416" t="str">
        <f>'Novia Web Query'!A1413</f>
        <v>GB00B8DRDK49</v>
      </c>
      <c r="B1416" t="str">
        <f>VLOOKUP(NoviaFunds[[#This Row],[ISIN]],'Novia Web Query'!$A:$E,2,FALSE)</f>
        <v>FP Russell Investments Multi Asset Growth III C Inc TR in GB</v>
      </c>
      <c r="C1416" t="str">
        <f>VLOOKUP(NoviaFunds[[#This Row],[ISIN]],'Novia Web Query'!$A:$E,3,FALSE)</f>
        <v>UT Mixed Investment 20-60% Shares</v>
      </c>
      <c r="D1416" s="139">
        <f>VLOOKUP(NoviaFunds[[#This Row],[ISIN]],'Novia Web Query'!$A:$E,4,FALSE)/100</f>
        <v>5.7999999999999996E-3</v>
      </c>
      <c r="E1416" s="3" t="str">
        <f>VLOOKUP(NoviaFunds[[#This Row],[ISIN]],'Novia Web Query'!$A:$E,5,FALSE)</f>
        <v>30/09/2020</v>
      </c>
      <c r="F1416" t="str">
        <f>VLOOKUP(NoviaFunds[[#This Row],[Sector]],Sectors[],2,FALSE)</f>
        <v>Mixed 20%-60%</v>
      </c>
    </row>
    <row r="1417" spans="1:6" x14ac:dyDescent="0.2">
      <c r="A1417" t="str">
        <f>'Novia Web Query'!A1414</f>
        <v>GB00BYXJKS91</v>
      </c>
      <c r="B1417" t="str">
        <f>VLOOKUP(NoviaFunds[[#This Row],[ISIN]],'Novia Web Query'!$A:$E,2,FALSE)</f>
        <v>FP Russell Investments Multi Asset Growth IV C Acc in GB</v>
      </c>
      <c r="C1417" t="str">
        <f>VLOOKUP(NoviaFunds[[#This Row],[ISIN]],'Novia Web Query'!$A:$E,3,FALSE)</f>
        <v>UT Mixed Investment 40-85% Shares</v>
      </c>
      <c r="D1417" s="139">
        <f>VLOOKUP(NoviaFunds[[#This Row],[ISIN]],'Novia Web Query'!$A:$E,4,FALSE)/100</f>
        <v>6.0999999999999995E-3</v>
      </c>
      <c r="E1417" s="3" t="str">
        <f>VLOOKUP(NoviaFunds[[#This Row],[ISIN]],'Novia Web Query'!$A:$E,5,FALSE)</f>
        <v>15/04/2021</v>
      </c>
      <c r="F1417" t="str">
        <f>VLOOKUP(NoviaFunds[[#This Row],[Sector]],Sectors[],2,FALSE)</f>
        <v>Mixed 40%-85%</v>
      </c>
    </row>
    <row r="1418" spans="1:6" x14ac:dyDescent="0.2">
      <c r="A1418" t="str">
        <f>'Novia Web Query'!A1415</f>
        <v>GB00BYXJKR84</v>
      </c>
      <c r="B1418" t="str">
        <f>VLOOKUP(NoviaFunds[[#This Row],[ISIN]],'Novia Web Query'!$A:$E,2,FALSE)</f>
        <v>FP Russell Investments Multi Asset Growth IV C Inc TR in GB</v>
      </c>
      <c r="C1418" t="str">
        <f>VLOOKUP(NoviaFunds[[#This Row],[ISIN]],'Novia Web Query'!$A:$E,3,FALSE)</f>
        <v>UT Mixed Investment 40-85% Shares</v>
      </c>
      <c r="D1418" s="139">
        <f>VLOOKUP(NoviaFunds[[#This Row],[ISIN]],'Novia Web Query'!$A:$E,4,FALSE)/100</f>
        <v>6.7000000000000002E-3</v>
      </c>
      <c r="E1418" s="3" t="str">
        <f>VLOOKUP(NoviaFunds[[#This Row],[ISIN]],'Novia Web Query'!$A:$E,5,FALSE)</f>
        <v>21/07/2020</v>
      </c>
      <c r="F1418" t="str">
        <f>VLOOKUP(NoviaFunds[[#This Row],[Sector]],Sectors[],2,FALSE)</f>
        <v>Mixed 40%-85%</v>
      </c>
    </row>
    <row r="1419" spans="1:6" x14ac:dyDescent="0.2">
      <c r="A1419" t="str">
        <f>'Novia Web Query'!A1416</f>
        <v>GB00BYXJKV21</v>
      </c>
      <c r="B1419" t="str">
        <f>VLOOKUP(NoviaFunds[[#This Row],[ISIN]],'Novia Web Query'!$A:$E,2,FALSE)</f>
        <v>FP Russell Investments Multi Asset Growth V C Acc in GB</v>
      </c>
      <c r="C1419" t="str">
        <f>VLOOKUP(NoviaFunds[[#This Row],[ISIN]],'Novia Web Query'!$A:$E,3,FALSE)</f>
        <v>UT Mixed Investment 40-85% Shares</v>
      </c>
      <c r="D1419" s="139">
        <f>VLOOKUP(NoviaFunds[[#This Row],[ISIN]],'Novia Web Query'!$A:$E,4,FALSE)/100</f>
        <v>5.8999999999999999E-3</v>
      </c>
      <c r="E1419" s="3" t="str">
        <f>VLOOKUP(NoviaFunds[[#This Row],[ISIN]],'Novia Web Query'!$A:$E,5,FALSE)</f>
        <v>15/04/2021</v>
      </c>
      <c r="F1419" t="str">
        <f>VLOOKUP(NoviaFunds[[#This Row],[Sector]],Sectors[],2,FALSE)</f>
        <v>Mixed 40%-85%</v>
      </c>
    </row>
    <row r="1420" spans="1:6" x14ac:dyDescent="0.2">
      <c r="A1420" t="str">
        <f>'Novia Web Query'!A1417</f>
        <v>GB00BYXJKT09</v>
      </c>
      <c r="B1420" t="str">
        <f>VLOOKUP(NoviaFunds[[#This Row],[ISIN]],'Novia Web Query'!$A:$E,2,FALSE)</f>
        <v>FP Russell Investments Multi Asset Growth V C Inc TR in GB</v>
      </c>
      <c r="C1420" t="str">
        <f>VLOOKUP(NoviaFunds[[#This Row],[ISIN]],'Novia Web Query'!$A:$E,3,FALSE)</f>
        <v>UT Mixed Investment 40-85% Shares</v>
      </c>
      <c r="D1420" s="139">
        <f>VLOOKUP(NoviaFunds[[#This Row],[ISIN]],'Novia Web Query'!$A:$E,4,FALSE)/100</f>
        <v>5.8999999999999999E-3</v>
      </c>
      <c r="E1420" s="3" t="str">
        <f>VLOOKUP(NoviaFunds[[#This Row],[ISIN]],'Novia Web Query'!$A:$E,5,FALSE)</f>
        <v>15/04/2021</v>
      </c>
      <c r="F1420" t="str">
        <f>VLOOKUP(NoviaFunds[[#This Row],[Sector]],Sectors[],2,FALSE)</f>
        <v>Mixed 40%-85%</v>
      </c>
    </row>
    <row r="1421" spans="1:6" x14ac:dyDescent="0.2">
      <c r="A1421" t="str">
        <f>'Novia Web Query'!A1418</f>
        <v>GB00B8GKWL49</v>
      </c>
      <c r="B1421" t="str">
        <f>VLOOKUP(NoviaFunds[[#This Row],[ISIN]],'Novia Web Query'!$A:$E,2,FALSE)</f>
        <v>FP Russell Investments Multi Asset Income C Acc in GB</v>
      </c>
      <c r="C1421" t="str">
        <f>VLOOKUP(NoviaFunds[[#This Row],[ISIN]],'Novia Web Query'!$A:$E,3,FALSE)</f>
        <v>UT Mixed Investment 20-60% Shares</v>
      </c>
      <c r="D1421" s="139">
        <f>VLOOKUP(NoviaFunds[[#This Row],[ISIN]],'Novia Web Query'!$A:$E,4,FALSE)/100</f>
        <v>9.4999999999999998E-3</v>
      </c>
      <c r="E1421" s="3" t="str">
        <f>VLOOKUP(NoviaFunds[[#This Row],[ISIN]],'Novia Web Query'!$A:$E,5,FALSE)</f>
        <v>15/04/2021</v>
      </c>
      <c r="F1421" t="str">
        <f>VLOOKUP(NoviaFunds[[#This Row],[Sector]],Sectors[],2,FALSE)</f>
        <v>Mixed 20%-60%</v>
      </c>
    </row>
    <row r="1422" spans="1:6" x14ac:dyDescent="0.2">
      <c r="A1422" t="str">
        <f>'Novia Web Query'!A1419</f>
        <v>GB00B7020P99</v>
      </c>
      <c r="B1422" t="str">
        <f>VLOOKUP(NoviaFunds[[#This Row],[ISIN]],'Novia Web Query'!$A:$E,2,FALSE)</f>
        <v>FP Russell Investments Multi Asset Income C Inc TR in GB</v>
      </c>
      <c r="C1422" t="str">
        <f>VLOOKUP(NoviaFunds[[#This Row],[ISIN]],'Novia Web Query'!$A:$E,3,FALSE)</f>
        <v>UT Mixed Investment 20-60% Shares</v>
      </c>
      <c r="D1422" s="139">
        <f>VLOOKUP(NoviaFunds[[#This Row],[ISIN]],'Novia Web Query'!$A:$E,4,FALSE)/100</f>
        <v>9.4999999999999998E-3</v>
      </c>
      <c r="E1422" s="3" t="str">
        <f>VLOOKUP(NoviaFunds[[#This Row],[ISIN]],'Novia Web Query'!$A:$E,5,FALSE)</f>
        <v>15/04/2021</v>
      </c>
      <c r="F1422" t="str">
        <f>VLOOKUP(NoviaFunds[[#This Row],[Sector]],Sectors[],2,FALSE)</f>
        <v>Mixed 20%-60%</v>
      </c>
    </row>
    <row r="1423" spans="1:6" x14ac:dyDescent="0.2">
      <c r="A1423" t="str">
        <f>'Novia Web Query'!A1420</f>
        <v>GB00B4KZFS51</v>
      </c>
      <c r="B1423" t="str">
        <f>VLOOKUP(NoviaFunds[[#This Row],[ISIN]],'Novia Web Query'!$A:$E,2,FALSE)</f>
        <v>FP Russell Investments Real Assets A Acc in GB</v>
      </c>
      <c r="C1423" t="str">
        <f>VLOOKUP(NoviaFunds[[#This Row],[ISIN]],'Novia Web Query'!$A:$E,3,FALSE)</f>
        <v>UT Flexible Investment</v>
      </c>
      <c r="D1423" s="139">
        <f>VLOOKUP(NoviaFunds[[#This Row],[ISIN]],'Novia Web Query'!$A:$E,4,FALSE)/100</f>
        <v>2.0099999999999996E-2</v>
      </c>
      <c r="E1423" s="3" t="str">
        <f>VLOOKUP(NoviaFunds[[#This Row],[ISIN]],'Novia Web Query'!$A:$E,5,FALSE)</f>
        <v>15/04/2021</v>
      </c>
      <c r="F1423" t="str">
        <f>VLOOKUP(NoviaFunds[[#This Row],[Sector]],Sectors[],2,FALSE)</f>
        <v>Flexible</v>
      </c>
    </row>
    <row r="1424" spans="1:6" x14ac:dyDescent="0.2">
      <c r="A1424" t="str">
        <f>'Novia Web Query'!A1421</f>
        <v>GB00B4L7KT67</v>
      </c>
      <c r="B1424" t="str">
        <f>VLOOKUP(NoviaFunds[[#This Row],[ISIN]],'Novia Web Query'!$A:$E,2,FALSE)</f>
        <v>FP Russell Investments Real Assets A Inc TR in GB</v>
      </c>
      <c r="C1424" t="str">
        <f>VLOOKUP(NoviaFunds[[#This Row],[ISIN]],'Novia Web Query'!$A:$E,3,FALSE)</f>
        <v>UT Flexible Investment</v>
      </c>
      <c r="D1424" s="139">
        <f>VLOOKUP(NoviaFunds[[#This Row],[ISIN]],'Novia Web Query'!$A:$E,4,FALSE)/100</f>
        <v>2.0099999999999996E-2</v>
      </c>
      <c r="E1424" s="3" t="str">
        <f>VLOOKUP(NoviaFunds[[#This Row],[ISIN]],'Novia Web Query'!$A:$E,5,FALSE)</f>
        <v>15/04/2021</v>
      </c>
      <c r="F1424" t="str">
        <f>VLOOKUP(NoviaFunds[[#This Row],[Sector]],Sectors[],2,FALSE)</f>
        <v>Flexible</v>
      </c>
    </row>
    <row r="1425" spans="1:6" x14ac:dyDescent="0.2">
      <c r="A1425" t="str">
        <f>'Novia Web Query'!A1422</f>
        <v>GB00B4KQS127</v>
      </c>
      <c r="B1425" t="str">
        <f>VLOOKUP(NoviaFunds[[#This Row],[ISIN]],'Novia Web Query'!$A:$E,2,FALSE)</f>
        <v>FP Russell Investments Real Assets C Acc in GB</v>
      </c>
      <c r="C1425" t="str">
        <f>VLOOKUP(NoviaFunds[[#This Row],[ISIN]],'Novia Web Query'!$A:$E,3,FALSE)</f>
        <v>UT Flexible Investment</v>
      </c>
      <c r="D1425" s="139">
        <f>VLOOKUP(NoviaFunds[[#This Row],[ISIN]],'Novia Web Query'!$A:$E,4,FALSE)/100</f>
        <v>1.26E-2</v>
      </c>
      <c r="E1425" s="3" t="str">
        <f>VLOOKUP(NoviaFunds[[#This Row],[ISIN]],'Novia Web Query'!$A:$E,5,FALSE)</f>
        <v>15/04/2021</v>
      </c>
      <c r="F1425" t="str">
        <f>VLOOKUP(NoviaFunds[[#This Row],[Sector]],Sectors[],2,FALSE)</f>
        <v>Flexible</v>
      </c>
    </row>
    <row r="1426" spans="1:6" x14ac:dyDescent="0.2">
      <c r="A1426" t="str">
        <f>'Novia Web Query'!A1423</f>
        <v>GB00B4KZLD27</v>
      </c>
      <c r="B1426" t="str">
        <f>VLOOKUP(NoviaFunds[[#This Row],[ISIN]],'Novia Web Query'!$A:$E,2,FALSE)</f>
        <v>FP Russell Investments Real Assets C Inc TR in GB</v>
      </c>
      <c r="C1426" t="str">
        <f>VLOOKUP(NoviaFunds[[#This Row],[ISIN]],'Novia Web Query'!$A:$E,3,FALSE)</f>
        <v>UT Flexible Investment</v>
      </c>
      <c r="D1426" s="139">
        <f>VLOOKUP(NoviaFunds[[#This Row],[ISIN]],'Novia Web Query'!$A:$E,4,FALSE)/100</f>
        <v>1.26E-2</v>
      </c>
      <c r="E1426" s="3" t="str">
        <f>VLOOKUP(NoviaFunds[[#This Row],[ISIN]],'Novia Web Query'!$A:$E,5,FALSE)</f>
        <v>15/04/2021</v>
      </c>
      <c r="F1426" t="str">
        <f>VLOOKUP(NoviaFunds[[#This Row],[Sector]],Sectors[],2,FALSE)</f>
        <v>Flexible</v>
      </c>
    </row>
    <row r="1427" spans="1:6" x14ac:dyDescent="0.2">
      <c r="A1427" t="str">
        <f>'Novia Web Query'!A1424</f>
        <v>GB00B4KQX622</v>
      </c>
      <c r="B1427" t="str">
        <f>VLOOKUP(NoviaFunds[[#This Row],[ISIN]],'Novia Web Query'!$A:$E,2,FALSE)</f>
        <v>FP Russell Investments UK Growth Assets A Acc in GB</v>
      </c>
      <c r="C1427" t="str">
        <f>VLOOKUP(NoviaFunds[[#This Row],[ISIN]],'Novia Web Query'!$A:$E,3,FALSE)</f>
        <v>UT UK All Companies</v>
      </c>
      <c r="D1427" s="139">
        <f>VLOOKUP(NoviaFunds[[#This Row],[ISIN]],'Novia Web Query'!$A:$E,4,FALSE)/100</f>
        <v>1.84E-2</v>
      </c>
      <c r="E1427" s="3" t="str">
        <f>VLOOKUP(NoviaFunds[[#This Row],[ISIN]],'Novia Web Query'!$A:$E,5,FALSE)</f>
        <v>15/04/2021</v>
      </c>
      <c r="F1427" t="str">
        <f>VLOOKUP(NoviaFunds[[#This Row],[Sector]],Sectors[],2,FALSE)</f>
        <v>UK Equities</v>
      </c>
    </row>
    <row r="1428" spans="1:6" x14ac:dyDescent="0.2">
      <c r="A1428" t="str">
        <f>'Novia Web Query'!A1425</f>
        <v>GB00B4KQSD47</v>
      </c>
      <c r="B1428" t="str">
        <f>VLOOKUP(NoviaFunds[[#This Row],[ISIN]],'Novia Web Query'!$A:$E,2,FALSE)</f>
        <v>FP Russell Investments UK Growth Assets A Inc TR in GB</v>
      </c>
      <c r="C1428" t="str">
        <f>VLOOKUP(NoviaFunds[[#This Row],[ISIN]],'Novia Web Query'!$A:$E,3,FALSE)</f>
        <v>UT UK All Companies</v>
      </c>
      <c r="D1428" s="139">
        <f>VLOOKUP(NoviaFunds[[#This Row],[ISIN]],'Novia Web Query'!$A:$E,4,FALSE)/100</f>
        <v>1.84E-2</v>
      </c>
      <c r="E1428" s="3" t="str">
        <f>VLOOKUP(NoviaFunds[[#This Row],[ISIN]],'Novia Web Query'!$A:$E,5,FALSE)</f>
        <v>15/04/2021</v>
      </c>
      <c r="F1428" t="str">
        <f>VLOOKUP(NoviaFunds[[#This Row],[Sector]],Sectors[],2,FALSE)</f>
        <v>UK Equities</v>
      </c>
    </row>
    <row r="1429" spans="1:6" x14ac:dyDescent="0.2">
      <c r="A1429" t="str">
        <f>'Novia Web Query'!A1426</f>
        <v>GB00B4L1FT37</v>
      </c>
      <c r="B1429" t="str">
        <f>VLOOKUP(NoviaFunds[[#This Row],[ISIN]],'Novia Web Query'!$A:$E,2,FALSE)</f>
        <v>FP Russell Investments UK Growth Assets C Acc in GB</v>
      </c>
      <c r="C1429" t="str">
        <f>VLOOKUP(NoviaFunds[[#This Row],[ISIN]],'Novia Web Query'!$A:$E,3,FALSE)</f>
        <v>UT UK All Companies</v>
      </c>
      <c r="D1429" s="139">
        <f>VLOOKUP(NoviaFunds[[#This Row],[ISIN]],'Novia Web Query'!$A:$E,4,FALSE)/100</f>
        <v>1.09E-2</v>
      </c>
      <c r="E1429" s="3" t="str">
        <f>VLOOKUP(NoviaFunds[[#This Row],[ISIN]],'Novia Web Query'!$A:$E,5,FALSE)</f>
        <v>15/04/2021</v>
      </c>
      <c r="F1429" t="str">
        <f>VLOOKUP(NoviaFunds[[#This Row],[Sector]],Sectors[],2,FALSE)</f>
        <v>UK Equities</v>
      </c>
    </row>
    <row r="1430" spans="1:6" x14ac:dyDescent="0.2">
      <c r="A1430" t="str">
        <f>'Novia Web Query'!A1427</f>
        <v>GB00B4KT2864</v>
      </c>
      <c r="B1430" t="str">
        <f>VLOOKUP(NoviaFunds[[#This Row],[ISIN]],'Novia Web Query'!$A:$E,2,FALSE)</f>
        <v>FP Russell Investments UK Growth Assets C Inc TR in GB</v>
      </c>
      <c r="C1430" t="str">
        <f>VLOOKUP(NoviaFunds[[#This Row],[ISIN]],'Novia Web Query'!$A:$E,3,FALSE)</f>
        <v>UT UK All Companies</v>
      </c>
      <c r="D1430" s="139">
        <f>VLOOKUP(NoviaFunds[[#This Row],[ISIN]],'Novia Web Query'!$A:$E,4,FALSE)/100</f>
        <v>1.09E-2</v>
      </c>
      <c r="E1430" s="3" t="str">
        <f>VLOOKUP(NoviaFunds[[#This Row],[ISIN]],'Novia Web Query'!$A:$E,5,FALSE)</f>
        <v>15/04/2021</v>
      </c>
      <c r="F1430" t="str">
        <f>VLOOKUP(NoviaFunds[[#This Row],[Sector]],Sectors[],2,FALSE)</f>
        <v>UK Equities</v>
      </c>
    </row>
    <row r="1431" spans="1:6" x14ac:dyDescent="0.2">
      <c r="A1431" t="str">
        <f>'Novia Web Query'!A1428</f>
        <v>GB00BWNGXJ86</v>
      </c>
      <c r="B1431" t="str">
        <f>VLOOKUP(NoviaFunds[[#This Row],[ISIN]],'Novia Web Query'!$A:$E,2,FALSE)</f>
        <v>FSSA Asia Focus B Acc GBP in GB</v>
      </c>
      <c r="C1431" t="str">
        <f>VLOOKUP(NoviaFunds[[#This Row],[ISIN]],'Novia Web Query'!$A:$E,3,FALSE)</f>
        <v>UT Asia Pacific Excluding Japan</v>
      </c>
      <c r="D1431" s="139">
        <f>VLOOKUP(NoviaFunds[[#This Row],[ISIN]],'Novia Web Query'!$A:$E,4,FALSE)/100</f>
        <v>9.0000000000000011E-3</v>
      </c>
      <c r="E1431" s="3" t="str">
        <f>VLOOKUP(NoviaFunds[[#This Row],[ISIN]],'Novia Web Query'!$A:$E,5,FALSE)</f>
        <v>30/11/2021</v>
      </c>
      <c r="F1431" t="str">
        <f>VLOOKUP(NoviaFunds[[#This Row],[Sector]],Sectors[],2,FALSE)</f>
        <v>Asia Pacific</v>
      </c>
    </row>
    <row r="1432" spans="1:6" x14ac:dyDescent="0.2">
      <c r="A1432" t="str">
        <f>'Novia Web Query'!A1429</f>
        <v>GB00BZ8GV678</v>
      </c>
      <c r="B1432" t="str">
        <f>VLOOKUP(NoviaFunds[[#This Row],[ISIN]],'Novia Web Query'!$A:$E,2,FALSE)</f>
        <v>FSSA Global Emerging Markets Focus E Acc GBP in GB**</v>
      </c>
      <c r="C1432" t="str">
        <f>VLOOKUP(NoviaFunds[[#This Row],[ISIN]],'Novia Web Query'!$A:$E,3,FALSE)</f>
        <v>UT Global Emerging Markets</v>
      </c>
      <c r="D1432" s="139">
        <f>VLOOKUP(NoviaFunds[[#This Row],[ISIN]],'Novia Web Query'!$A:$E,4,FALSE)/100</f>
        <v>9.0000000000000011E-3</v>
      </c>
      <c r="E1432" s="3" t="str">
        <f>VLOOKUP(NoviaFunds[[#This Row],[ISIN]],'Novia Web Query'!$A:$E,5,FALSE)</f>
        <v>30/11/2021</v>
      </c>
      <c r="F1432" t="str">
        <f>VLOOKUP(NoviaFunds[[#This Row],[Sector]],Sectors[],2,FALSE)</f>
        <v>Emerging Markets</v>
      </c>
    </row>
    <row r="1433" spans="1:6" x14ac:dyDescent="0.2">
      <c r="A1433" t="str">
        <f>'Novia Web Query'!A1430</f>
        <v>GB0033874107</v>
      </c>
      <c r="B1433" t="str">
        <f>VLOOKUP(NoviaFunds[[#This Row],[ISIN]],'Novia Web Query'!$A:$E,2,FALSE)</f>
        <v>FSSA Greater China Growth A GBP Acc in GB</v>
      </c>
      <c r="C1433" t="str">
        <f>VLOOKUP(NoviaFunds[[#This Row],[ISIN]],'Novia Web Query'!$A:$E,3,FALSE)</f>
        <v>UT China/Greater China</v>
      </c>
      <c r="D1433" s="139">
        <f>VLOOKUP(NoviaFunds[[#This Row],[ISIN]],'Novia Web Query'!$A:$E,4,FALSE)/100</f>
        <v>1.83E-2</v>
      </c>
      <c r="E1433" s="3" t="str">
        <f>VLOOKUP(NoviaFunds[[#This Row],[ISIN]],'Novia Web Query'!$A:$E,5,FALSE)</f>
        <v>30/11/2021</v>
      </c>
      <c r="F1433" t="str">
        <f>VLOOKUP(NoviaFunds[[#This Row],[Sector]],Sectors[],2,FALSE)</f>
        <v>Asia Pacific</v>
      </c>
    </row>
    <row r="1434" spans="1:6" x14ac:dyDescent="0.2">
      <c r="A1434" t="str">
        <f>'Novia Web Query'!A1431</f>
        <v>GB0033874321</v>
      </c>
      <c r="B1434" t="str">
        <f>VLOOKUP(NoviaFunds[[#This Row],[ISIN]],'Novia Web Query'!$A:$E,2,FALSE)</f>
        <v>FSSA Greater China Growth B GBP Acc in GB</v>
      </c>
      <c r="C1434" t="str">
        <f>VLOOKUP(NoviaFunds[[#This Row],[ISIN]],'Novia Web Query'!$A:$E,3,FALSE)</f>
        <v>UT China/Greater China</v>
      </c>
      <c r="D1434" s="139">
        <f>VLOOKUP(NoviaFunds[[#This Row],[ISIN]],'Novia Web Query'!$A:$E,4,FALSE)/100</f>
        <v>1.0700000000000001E-2</v>
      </c>
      <c r="E1434" s="3" t="str">
        <f>VLOOKUP(NoviaFunds[[#This Row],[ISIN]],'Novia Web Query'!$A:$E,5,FALSE)</f>
        <v>30/11/2021</v>
      </c>
      <c r="F1434" t="str">
        <f>VLOOKUP(NoviaFunds[[#This Row],[Sector]],Sectors[],2,FALSE)</f>
        <v>Asia Pacific</v>
      </c>
    </row>
    <row r="1435" spans="1:6" x14ac:dyDescent="0.2">
      <c r="A1435" t="str">
        <f>'Novia Web Query'!A1432</f>
        <v>GB00BWNGX432</v>
      </c>
      <c r="B1435" t="str">
        <f>VLOOKUP(NoviaFunds[[#This Row],[ISIN]],'Novia Web Query'!$A:$E,2,FALSE)</f>
        <v>FSSA Japan Focus B Acc GBP in GB</v>
      </c>
      <c r="C1435" t="str">
        <f>VLOOKUP(NoviaFunds[[#This Row],[ISIN]],'Novia Web Query'!$A:$E,3,FALSE)</f>
        <v>UT Japan</v>
      </c>
      <c r="D1435" s="139">
        <f>VLOOKUP(NoviaFunds[[#This Row],[ISIN]],'Novia Web Query'!$A:$E,4,FALSE)/100</f>
        <v>8.3000000000000001E-3</v>
      </c>
      <c r="E1435" s="3" t="str">
        <f>VLOOKUP(NoviaFunds[[#This Row],[ISIN]],'Novia Web Query'!$A:$E,5,FALSE)</f>
        <v>30/11/2021</v>
      </c>
      <c r="F1435" t="str">
        <f>VLOOKUP(NoviaFunds[[#This Row],[Sector]],Sectors[],2,FALSE)</f>
        <v>Japanese Equities</v>
      </c>
    </row>
    <row r="1436" spans="1:6" x14ac:dyDescent="0.2">
      <c r="A1436" t="str">
        <f>'Novia Web Query'!A1433</f>
        <v>GB00BN31ZJ42</v>
      </c>
      <c r="B1436" t="str">
        <f>VLOOKUP(NoviaFunds[[#This Row],[ISIN]],'Novia Web Query'!$A:$E,2,FALSE)</f>
        <v>FTF Brandywine Global Income Optimiser X Acc TR in GB**</v>
      </c>
      <c r="C1436" t="str">
        <f>VLOOKUP(NoviaFunds[[#This Row],[ISIN]],'Novia Web Query'!$A:$E,3,FALSE)</f>
        <v>UT Sterling Strategic Bond</v>
      </c>
      <c r="D1436" s="139">
        <f>VLOOKUP(NoviaFunds[[#This Row],[ISIN]],'Novia Web Query'!$A:$E,4,FALSE)/100</f>
        <v>6.5000000000000006E-3</v>
      </c>
      <c r="E1436" s="3" t="str">
        <f>VLOOKUP(NoviaFunds[[#This Row],[ISIN]],'Novia Web Query'!$A:$E,5,FALSE)</f>
        <v>31/12/2020</v>
      </c>
      <c r="F1436" t="str">
        <f>VLOOKUP(NoviaFunds[[#This Row],[Sector]],Sectors[],2,FALSE)</f>
        <v>Other Bonds</v>
      </c>
    </row>
    <row r="1437" spans="1:6" x14ac:dyDescent="0.2">
      <c r="A1437" t="str">
        <f>'Novia Web Query'!A1434</f>
        <v>GB00B3XX1N61</v>
      </c>
      <c r="B1437" t="str">
        <f>VLOOKUP(NoviaFunds[[#This Row],[ISIN]],'Novia Web Query'!$A:$E,2,FALSE)</f>
        <v>FTF Brandywine Global Income Optimiser X Inc TR in GB</v>
      </c>
      <c r="C1437" t="str">
        <f>VLOOKUP(NoviaFunds[[#This Row],[ISIN]],'Novia Web Query'!$A:$E,3,FALSE)</f>
        <v>UT Sterling Strategic Bond</v>
      </c>
      <c r="D1437" s="139">
        <f>VLOOKUP(NoviaFunds[[#This Row],[ISIN]],'Novia Web Query'!$A:$E,4,FALSE)/100</f>
        <v>6.6E-3</v>
      </c>
      <c r="E1437" s="3" t="str">
        <f>VLOOKUP(NoviaFunds[[#This Row],[ISIN]],'Novia Web Query'!$A:$E,5,FALSE)</f>
        <v>31/12/2020</v>
      </c>
      <c r="F1437" t="str">
        <f>VLOOKUP(NoviaFunds[[#This Row],[Sector]],Sectors[],2,FALSE)</f>
        <v>Other Bonds</v>
      </c>
    </row>
    <row r="1438" spans="1:6" x14ac:dyDescent="0.2">
      <c r="A1438" t="str">
        <f>'Novia Web Query'!A1435</f>
        <v>GB00B82FVZ02</v>
      </c>
      <c r="B1438" t="str">
        <f>VLOOKUP(NoviaFunds[[#This Row],[ISIN]],'Novia Web Query'!$A:$E,2,FALSE)</f>
        <v>FTF ClearBridge Global Equity Income X Acc TR in GB**</v>
      </c>
      <c r="C1438" t="str">
        <f>VLOOKUP(NoviaFunds[[#This Row],[ISIN]],'Novia Web Query'!$A:$E,3,FALSE)</f>
        <v>UT Global Equity Income</v>
      </c>
      <c r="D1438" s="139">
        <f>VLOOKUP(NoviaFunds[[#This Row],[ISIN]],'Novia Web Query'!$A:$E,4,FALSE)/100</f>
        <v>1.0200000000000001E-2</v>
      </c>
      <c r="E1438" s="3" t="str">
        <f>VLOOKUP(NoviaFunds[[#This Row],[ISIN]],'Novia Web Query'!$A:$E,5,FALSE)</f>
        <v>30/04/2021</v>
      </c>
      <c r="F1438" t="str">
        <f>VLOOKUP(NoviaFunds[[#This Row],[Sector]],Sectors[],2,FALSE)</f>
        <v>Other Equities</v>
      </c>
    </row>
    <row r="1439" spans="1:6" x14ac:dyDescent="0.2">
      <c r="A1439" t="str">
        <f>'Novia Web Query'!A1436</f>
        <v>GB00B85JH625</v>
      </c>
      <c r="B1439" t="str">
        <f>VLOOKUP(NoviaFunds[[#This Row],[ISIN]],'Novia Web Query'!$A:$E,2,FALSE)</f>
        <v>FTF ClearBridge Global Equity Income X Inc TR in GB</v>
      </c>
      <c r="C1439" t="str">
        <f>VLOOKUP(NoviaFunds[[#This Row],[ISIN]],'Novia Web Query'!$A:$E,3,FALSE)</f>
        <v>UT Global Equity Income</v>
      </c>
      <c r="D1439" s="139">
        <f>VLOOKUP(NoviaFunds[[#This Row],[ISIN]],'Novia Web Query'!$A:$E,4,FALSE)/100</f>
        <v>1.0200000000000001E-2</v>
      </c>
      <c r="E1439" s="3" t="str">
        <f>VLOOKUP(NoviaFunds[[#This Row],[ISIN]],'Novia Web Query'!$A:$E,5,FALSE)</f>
        <v>30/04/2021</v>
      </c>
      <c r="F1439" t="str">
        <f>VLOOKUP(NoviaFunds[[#This Row],[Sector]],Sectors[],2,FALSE)</f>
        <v>Other Equities</v>
      </c>
    </row>
    <row r="1440" spans="1:6" x14ac:dyDescent="0.2">
      <c r="A1440" t="str">
        <f>'Novia Web Query'!A1437</f>
        <v>GB00BZ01WV25</v>
      </c>
      <c r="B1440" t="str">
        <f>VLOOKUP(NoviaFunds[[#This Row],[ISIN]],'Novia Web Query'!$A:$E,2,FALSE)</f>
        <v>FTF ClearBridge Global Infrastructure Income X Acc GBP in GB</v>
      </c>
      <c r="C1440" t="str">
        <f>VLOOKUP(NoviaFunds[[#This Row],[ISIN]],'Novia Web Query'!$A:$E,3,FALSE)</f>
        <v>UT Infrastructure</v>
      </c>
      <c r="D1440" s="139">
        <f>VLOOKUP(NoviaFunds[[#This Row],[ISIN]],'Novia Web Query'!$A:$E,4,FALSE)/100</f>
        <v>8.5000000000000006E-3</v>
      </c>
      <c r="E1440" s="3" t="str">
        <f>VLOOKUP(NoviaFunds[[#This Row],[ISIN]],'Novia Web Query'!$A:$E,5,FALSE)</f>
        <v>31/12/2020</v>
      </c>
      <c r="F1440" t="e">
        <f>VLOOKUP(NoviaFunds[[#This Row],[Sector]],Sectors[],2,FALSE)</f>
        <v>#N/A</v>
      </c>
    </row>
    <row r="1441" spans="1:6" x14ac:dyDescent="0.2">
      <c r="A1441" t="str">
        <f>'Novia Web Query'!A1438</f>
        <v>GB00BD3FVT86</v>
      </c>
      <c r="B1441" t="str">
        <f>VLOOKUP(NoviaFunds[[#This Row],[ISIN]],'Novia Web Query'!$A:$E,2,FALSE)</f>
        <v>FTF ClearBridge Global Infrastructure Income X Hedged Acc in GB</v>
      </c>
      <c r="C1441" t="str">
        <f>VLOOKUP(NoviaFunds[[#This Row],[ISIN]],'Novia Web Query'!$A:$E,3,FALSE)</f>
        <v>UT Infrastructure</v>
      </c>
      <c r="D1441" s="139">
        <f>VLOOKUP(NoviaFunds[[#This Row],[ISIN]],'Novia Web Query'!$A:$E,4,FALSE)/100</f>
        <v>8.5000000000000006E-3</v>
      </c>
      <c r="E1441" s="3" t="str">
        <f>VLOOKUP(NoviaFunds[[#This Row],[ISIN]],'Novia Web Query'!$A:$E,5,FALSE)</f>
        <v>31/12/2020</v>
      </c>
      <c r="F1441" t="e">
        <f>VLOOKUP(NoviaFunds[[#This Row],[Sector]],Sectors[],2,FALSE)</f>
        <v>#N/A</v>
      </c>
    </row>
    <row r="1442" spans="1:6" x14ac:dyDescent="0.2">
      <c r="A1442" t="str">
        <f>'Novia Web Query'!A1439</f>
        <v>GB00BD3FVS79</v>
      </c>
      <c r="B1442" t="str">
        <f>VLOOKUP(NoviaFunds[[#This Row],[ISIN]],'Novia Web Query'!$A:$E,2,FALSE)</f>
        <v>FTF ClearBridge Global Infrastructure Income X Hedged Inc TR in GB</v>
      </c>
      <c r="C1442" t="str">
        <f>VLOOKUP(NoviaFunds[[#This Row],[ISIN]],'Novia Web Query'!$A:$E,3,FALSE)</f>
        <v>UT Infrastructure</v>
      </c>
      <c r="D1442" s="139">
        <f>VLOOKUP(NoviaFunds[[#This Row],[ISIN]],'Novia Web Query'!$A:$E,4,FALSE)/100</f>
        <v>8.5000000000000006E-3</v>
      </c>
      <c r="E1442" s="3" t="str">
        <f>VLOOKUP(NoviaFunds[[#This Row],[ISIN]],'Novia Web Query'!$A:$E,5,FALSE)</f>
        <v>31/12/2020</v>
      </c>
      <c r="F1442" t="e">
        <f>VLOOKUP(NoviaFunds[[#This Row],[Sector]],Sectors[],2,FALSE)</f>
        <v>#N/A</v>
      </c>
    </row>
    <row r="1443" spans="1:6" x14ac:dyDescent="0.2">
      <c r="A1443" t="str">
        <f>'Novia Web Query'!A1440</f>
        <v>GB00BZ01WT03</v>
      </c>
      <c r="B1443" t="str">
        <f>VLOOKUP(NoviaFunds[[#This Row],[ISIN]],'Novia Web Query'!$A:$E,2,FALSE)</f>
        <v>FTF ClearBridge Global Infrastructure Income X Inc GBP TR in GB</v>
      </c>
      <c r="C1443" t="str">
        <f>VLOOKUP(NoviaFunds[[#This Row],[ISIN]],'Novia Web Query'!$A:$E,3,FALSE)</f>
        <v>UT Infrastructure</v>
      </c>
      <c r="D1443" s="139">
        <f>VLOOKUP(NoviaFunds[[#This Row],[ISIN]],'Novia Web Query'!$A:$E,4,FALSE)/100</f>
        <v>8.5000000000000006E-3</v>
      </c>
      <c r="E1443" s="3" t="str">
        <f>VLOOKUP(NoviaFunds[[#This Row],[ISIN]],'Novia Web Query'!$A:$E,5,FALSE)</f>
        <v>31/12/2020</v>
      </c>
      <c r="F1443" t="e">
        <f>VLOOKUP(NoviaFunds[[#This Row],[Sector]],Sectors[],2,FALSE)</f>
        <v>#N/A</v>
      </c>
    </row>
    <row r="1444" spans="1:6" x14ac:dyDescent="0.2">
      <c r="A1444" t="str">
        <f>'Novia Web Query'!A1441</f>
        <v>GB00B5KP3337</v>
      </c>
      <c r="B1444" t="str">
        <f>VLOOKUP(NoviaFunds[[#This Row],[ISIN]],'Novia Web Query'!$A:$E,2,FALSE)</f>
        <v>FTF ClearBridge US Equity Income X Acc in GB</v>
      </c>
      <c r="C1444" t="str">
        <f>VLOOKUP(NoviaFunds[[#This Row],[ISIN]],'Novia Web Query'!$A:$E,3,FALSE)</f>
        <v>UT North America</v>
      </c>
      <c r="D1444" s="139">
        <f>VLOOKUP(NoviaFunds[[#This Row],[ISIN]],'Novia Web Query'!$A:$E,4,FALSE)/100</f>
        <v>9.1999999999999998E-3</v>
      </c>
      <c r="E1444" s="3" t="str">
        <f>VLOOKUP(NoviaFunds[[#This Row],[ISIN]],'Novia Web Query'!$A:$E,5,FALSE)</f>
        <v>31/12/2020</v>
      </c>
      <c r="F1444" t="str">
        <f>VLOOKUP(NoviaFunds[[#This Row],[Sector]],Sectors[],2,FALSE)</f>
        <v>USA Equities</v>
      </c>
    </row>
    <row r="1445" spans="1:6" x14ac:dyDescent="0.2">
      <c r="A1445" t="str">
        <f>'Novia Web Query'!A1442</f>
        <v>GB00B743CW91</v>
      </c>
      <c r="B1445" t="str">
        <f>VLOOKUP(NoviaFunds[[#This Row],[ISIN]],'Novia Web Query'!$A:$E,2,FALSE)</f>
        <v>FTF ClearBridge US Equity Income X Hedged Inc TR in GB</v>
      </c>
      <c r="C1445" t="str">
        <f>VLOOKUP(NoviaFunds[[#This Row],[ISIN]],'Novia Web Query'!$A:$E,3,FALSE)</f>
        <v>UT North America</v>
      </c>
      <c r="D1445" s="139">
        <f>VLOOKUP(NoviaFunds[[#This Row],[ISIN]],'Novia Web Query'!$A:$E,4,FALSE)/100</f>
        <v>9.0000000000000011E-3</v>
      </c>
      <c r="E1445" s="3" t="str">
        <f>VLOOKUP(NoviaFunds[[#This Row],[ISIN]],'Novia Web Query'!$A:$E,5,FALSE)</f>
        <v>31/12/2020</v>
      </c>
      <c r="F1445" t="str">
        <f>VLOOKUP(NoviaFunds[[#This Row],[Sector]],Sectors[],2,FALSE)</f>
        <v>USA Equities</v>
      </c>
    </row>
    <row r="1446" spans="1:6" x14ac:dyDescent="0.2">
      <c r="A1446" t="str">
        <f>'Novia Web Query'!A1443</f>
        <v>GB00B3NQ7J33</v>
      </c>
      <c r="B1446" t="str">
        <f>VLOOKUP(NoviaFunds[[#This Row],[ISIN]],'Novia Web Query'!$A:$E,2,FALSE)</f>
        <v>FTF ClearBridge US Equity Income X Inc TR in GB</v>
      </c>
      <c r="C1446" t="str">
        <f>VLOOKUP(NoviaFunds[[#This Row],[ISIN]],'Novia Web Query'!$A:$E,3,FALSE)</f>
        <v>UT North America</v>
      </c>
      <c r="D1446" s="139">
        <f>VLOOKUP(NoviaFunds[[#This Row],[ISIN]],'Novia Web Query'!$A:$E,4,FALSE)/100</f>
        <v>9.1999999999999998E-3</v>
      </c>
      <c r="E1446" s="3" t="str">
        <f>VLOOKUP(NoviaFunds[[#This Row],[ISIN]],'Novia Web Query'!$A:$E,5,FALSE)</f>
        <v>31/12/2020</v>
      </c>
      <c r="F1446" t="str">
        <f>VLOOKUP(NoviaFunds[[#This Row],[Sector]],Sectors[],2,FALSE)</f>
        <v>USA Equities</v>
      </c>
    </row>
    <row r="1447" spans="1:6" x14ac:dyDescent="0.2">
      <c r="A1447" t="str">
        <f>'Novia Web Query'!A1444</f>
        <v>GB00B8F2KD97</v>
      </c>
      <c r="B1447" t="str">
        <f>VLOOKUP(NoviaFunds[[#This Row],[ISIN]],'Novia Web Query'!$A:$E,2,FALSE)</f>
        <v>FTF ClearBridge US Value X in GB</v>
      </c>
      <c r="C1447" t="str">
        <f>VLOOKUP(NoviaFunds[[#This Row],[ISIN]],'Novia Web Query'!$A:$E,3,FALSE)</f>
        <v>UT North America</v>
      </c>
      <c r="D1447" s="139">
        <f>VLOOKUP(NoviaFunds[[#This Row],[ISIN]],'Novia Web Query'!$A:$E,4,FALSE)/100</f>
        <v>0.01</v>
      </c>
      <c r="E1447" s="3" t="str">
        <f>VLOOKUP(NoviaFunds[[#This Row],[ISIN]],'Novia Web Query'!$A:$E,5,FALSE)</f>
        <v>30/04/2021</v>
      </c>
      <c r="F1447" t="str">
        <f>VLOOKUP(NoviaFunds[[#This Row],[Sector]],Sectors[],2,FALSE)</f>
        <v>USA Equities</v>
      </c>
    </row>
    <row r="1448" spans="1:6" x14ac:dyDescent="0.2">
      <c r="A1448" t="str">
        <f>'Novia Web Query'!A1445</f>
        <v>GB00BKT6XV05</v>
      </c>
      <c r="B1448" t="str">
        <f>VLOOKUP(NoviaFunds[[#This Row],[ISIN]],'Novia Web Query'!$A:$E,2,FALSE)</f>
        <v>FTF Martin Currie Asia Unconstrained X Acc in GB</v>
      </c>
      <c r="C1448" t="str">
        <f>VLOOKUP(NoviaFunds[[#This Row],[ISIN]],'Novia Web Query'!$A:$E,3,FALSE)</f>
        <v>UT Asia Pacific Excluding Japan</v>
      </c>
      <c r="D1448" s="139">
        <f>VLOOKUP(NoviaFunds[[#This Row],[ISIN]],'Novia Web Query'!$A:$E,4,FALSE)/100</f>
        <v>9.0000000000000011E-3</v>
      </c>
      <c r="E1448" s="3" t="str">
        <f>VLOOKUP(NoviaFunds[[#This Row],[ISIN]],'Novia Web Query'!$A:$E,5,FALSE)</f>
        <v>31/12/2020</v>
      </c>
      <c r="F1448" t="str">
        <f>VLOOKUP(NoviaFunds[[#This Row],[Sector]],Sectors[],2,FALSE)</f>
        <v>Asia Pacific</v>
      </c>
    </row>
    <row r="1449" spans="1:6" x14ac:dyDescent="0.2">
      <c r="A1449" t="str">
        <f>'Novia Web Query'!A1446</f>
        <v>GB00BYWDTB80</v>
      </c>
      <c r="B1449" t="str">
        <f>VLOOKUP(NoviaFunds[[#This Row],[ISIN]],'Novia Web Query'!$A:$E,2,FALSE)</f>
        <v>FTF Martin Currie Emerging Markets S in GB**</v>
      </c>
      <c r="C1449" t="str">
        <f>VLOOKUP(NoviaFunds[[#This Row],[ISIN]],'Novia Web Query'!$A:$E,3,FALSE)</f>
        <v>UT Global Emerging Markets</v>
      </c>
      <c r="D1449" s="139">
        <f>VLOOKUP(NoviaFunds[[#This Row],[ISIN]],'Novia Web Query'!$A:$E,4,FALSE)/100</f>
        <v>7.1999999999999998E-3</v>
      </c>
      <c r="E1449" s="3" t="str">
        <f>VLOOKUP(NoviaFunds[[#This Row],[ISIN]],'Novia Web Query'!$A:$E,5,FALSE)</f>
        <v>30/04/2021</v>
      </c>
      <c r="F1449" t="str">
        <f>VLOOKUP(NoviaFunds[[#This Row],[Sector]],Sectors[],2,FALSE)</f>
        <v>Emerging Markets</v>
      </c>
    </row>
    <row r="1450" spans="1:6" x14ac:dyDescent="0.2">
      <c r="A1450" t="str">
        <f>'Novia Web Query'!A1447</f>
        <v>GB00BVZ6TY69</v>
      </c>
      <c r="B1450" t="str">
        <f>VLOOKUP(NoviaFunds[[#This Row],[ISIN]],'Novia Web Query'!$A:$E,2,FALSE)</f>
        <v>FTF Martin Currie Emerging Markets X in GB</v>
      </c>
      <c r="C1450" t="str">
        <f>VLOOKUP(NoviaFunds[[#This Row],[ISIN]],'Novia Web Query'!$A:$E,3,FALSE)</f>
        <v>UT Global Emerging Markets</v>
      </c>
      <c r="D1450" s="139">
        <f>VLOOKUP(NoviaFunds[[#This Row],[ISIN]],'Novia Web Query'!$A:$E,4,FALSE)/100</f>
        <v>1.01E-2</v>
      </c>
      <c r="E1450" s="3" t="str">
        <f>VLOOKUP(NoviaFunds[[#This Row],[ISIN]],'Novia Web Query'!$A:$E,5,FALSE)</f>
        <v>30/04/2021</v>
      </c>
      <c r="F1450" t="str">
        <f>VLOOKUP(NoviaFunds[[#This Row],[Sector]],Sectors[],2,FALSE)</f>
        <v>Emerging Markets</v>
      </c>
    </row>
    <row r="1451" spans="1:6" x14ac:dyDescent="0.2">
      <c r="A1451" t="str">
        <f>'Novia Web Query'!A1448</f>
        <v>GB00BHJWCD25</v>
      </c>
      <c r="B1451" t="str">
        <f>VLOOKUP(NoviaFunds[[#This Row],[ISIN]],'Novia Web Query'!$A:$E,2,FALSE)</f>
        <v>FTF Martin Currie European Unconstrained S Acc in GB**</v>
      </c>
      <c r="C1451" t="str">
        <f>VLOOKUP(NoviaFunds[[#This Row],[ISIN]],'Novia Web Query'!$A:$E,3,FALSE)</f>
        <v>UT Europe Excluding UK</v>
      </c>
      <c r="D1451" s="139">
        <f>VLOOKUP(NoviaFunds[[#This Row],[ISIN]],'Novia Web Query'!$A:$E,4,FALSE)/100</f>
        <v>5.1000000000000004E-3</v>
      </c>
      <c r="E1451" s="3" t="str">
        <f>VLOOKUP(NoviaFunds[[#This Row],[ISIN]],'Novia Web Query'!$A:$E,5,FALSE)</f>
        <v>30/04/2021</v>
      </c>
      <c r="F1451" t="str">
        <f>VLOOKUP(NoviaFunds[[#This Row],[Sector]],Sectors[],2,FALSE)</f>
        <v>European Equities</v>
      </c>
    </row>
    <row r="1452" spans="1:6" x14ac:dyDescent="0.2">
      <c r="A1452" t="str">
        <f>'Novia Web Query'!A1449</f>
        <v>GB00BVZ6V174</v>
      </c>
      <c r="B1452" t="str">
        <f>VLOOKUP(NoviaFunds[[#This Row],[ISIN]],'Novia Web Query'!$A:$E,2,FALSE)</f>
        <v>FTF Martin Currie European Unconstrained X Acc in GB</v>
      </c>
      <c r="C1452" t="str">
        <f>VLOOKUP(NoviaFunds[[#This Row],[ISIN]],'Novia Web Query'!$A:$E,3,FALSE)</f>
        <v>UT Europe Excluding UK</v>
      </c>
      <c r="D1452" s="139">
        <f>VLOOKUP(NoviaFunds[[#This Row],[ISIN]],'Novia Web Query'!$A:$E,4,FALSE)/100</f>
        <v>9.7000000000000003E-3</v>
      </c>
      <c r="E1452" s="3" t="str">
        <f>VLOOKUP(NoviaFunds[[#This Row],[ISIN]],'Novia Web Query'!$A:$E,5,FALSE)</f>
        <v>30/04/2021</v>
      </c>
      <c r="F1452" t="str">
        <f>VLOOKUP(NoviaFunds[[#This Row],[Sector]],Sectors[],2,FALSE)</f>
        <v>European Equities</v>
      </c>
    </row>
    <row r="1453" spans="1:6" x14ac:dyDescent="0.2">
      <c r="A1453" t="str">
        <f>'Novia Web Query'!A1450</f>
        <v>GB00BVZ6V281</v>
      </c>
      <c r="B1453" t="str">
        <f>VLOOKUP(NoviaFunds[[#This Row],[ISIN]],'Novia Web Query'!$A:$E,2,FALSE)</f>
        <v>FTF Martin Currie European Unconstrained X Inc TR in GB**</v>
      </c>
      <c r="C1453" t="str">
        <f>VLOOKUP(NoviaFunds[[#This Row],[ISIN]],'Novia Web Query'!$A:$E,3,FALSE)</f>
        <v>UT Europe Excluding UK</v>
      </c>
      <c r="D1453" s="139">
        <f>VLOOKUP(NoviaFunds[[#This Row],[ISIN]],'Novia Web Query'!$A:$E,4,FALSE)/100</f>
        <v>1.01E-2</v>
      </c>
      <c r="E1453" s="3" t="str">
        <f>VLOOKUP(NoviaFunds[[#This Row],[ISIN]],'Novia Web Query'!$A:$E,5,FALSE)</f>
        <v>31/12/2020</v>
      </c>
      <c r="F1453" t="str">
        <f>VLOOKUP(NoviaFunds[[#This Row],[Sector]],Sectors[],2,FALSE)</f>
        <v>European Equities</v>
      </c>
    </row>
    <row r="1454" spans="1:6" x14ac:dyDescent="0.2">
      <c r="A1454" t="str">
        <f>'Novia Web Query'!A1451</f>
        <v>GB00BVZ6V844</v>
      </c>
      <c r="B1454" t="str">
        <f>VLOOKUP(NoviaFunds[[#This Row],[ISIN]],'Novia Web Query'!$A:$E,2,FALSE)</f>
        <v>FTF Martin Currie Global Unconstrained X Inc TR in GB</v>
      </c>
      <c r="C1454" t="str">
        <f>VLOOKUP(NoviaFunds[[#This Row],[ISIN]],'Novia Web Query'!$A:$E,3,FALSE)</f>
        <v>UT Global</v>
      </c>
      <c r="D1454" s="139">
        <f>VLOOKUP(NoviaFunds[[#This Row],[ISIN]],'Novia Web Query'!$A:$E,4,FALSE)/100</f>
        <v>9.4999999999999998E-3</v>
      </c>
      <c r="E1454" s="3" t="str">
        <f>VLOOKUP(NoviaFunds[[#This Row],[ISIN]],'Novia Web Query'!$A:$E,5,FALSE)</f>
        <v>31/12/2020</v>
      </c>
      <c r="F1454" t="str">
        <f>VLOOKUP(NoviaFunds[[#This Row],[Sector]],Sectors[],2,FALSE)</f>
        <v>Other Equities</v>
      </c>
    </row>
    <row r="1455" spans="1:6" x14ac:dyDescent="0.2">
      <c r="A1455" t="str">
        <f>'Novia Web Query'!A1452</f>
        <v>GB00B8JYLC77</v>
      </c>
      <c r="B1455" t="str">
        <f>VLOOKUP(NoviaFunds[[#This Row],[ISIN]],'Novia Web Query'!$A:$E,2,FALSE)</f>
        <v>FTF Martin Currie Japan Equity X in GB</v>
      </c>
      <c r="C1455" t="str">
        <f>VLOOKUP(NoviaFunds[[#This Row],[ISIN]],'Novia Web Query'!$A:$E,3,FALSE)</f>
        <v>UT Japan</v>
      </c>
      <c r="D1455" s="139">
        <f>VLOOKUP(NoviaFunds[[#This Row],[ISIN]],'Novia Web Query'!$A:$E,4,FALSE)/100</f>
        <v>8.3000000000000001E-3</v>
      </c>
      <c r="E1455" s="3" t="str">
        <f>VLOOKUP(NoviaFunds[[#This Row],[ISIN]],'Novia Web Query'!$A:$E,5,FALSE)</f>
        <v>31/12/2020</v>
      </c>
      <c r="F1455" t="str">
        <f>VLOOKUP(NoviaFunds[[#This Row],[Sector]],Sectors[],2,FALSE)</f>
        <v>Japanese Equities</v>
      </c>
    </row>
    <row r="1456" spans="1:6" x14ac:dyDescent="0.2">
      <c r="A1456" t="str">
        <f>'Novia Web Query'!A1453</f>
        <v>GB00B99C0657</v>
      </c>
      <c r="B1456" t="str">
        <f>VLOOKUP(NoviaFunds[[#This Row],[ISIN]],'Novia Web Query'!$A:$E,2,FALSE)</f>
        <v>FTF Martin Currie Japan Equity X Hedged in GB</v>
      </c>
      <c r="C1456" t="str">
        <f>VLOOKUP(NoviaFunds[[#This Row],[ISIN]],'Novia Web Query'!$A:$E,3,FALSE)</f>
        <v>UT Japan</v>
      </c>
      <c r="D1456" s="139">
        <f>VLOOKUP(NoviaFunds[[#This Row],[ISIN]],'Novia Web Query'!$A:$E,4,FALSE)/100</f>
        <v>8.3000000000000001E-3</v>
      </c>
      <c r="E1456" s="3" t="str">
        <f>VLOOKUP(NoviaFunds[[#This Row],[ISIN]],'Novia Web Query'!$A:$E,5,FALSE)</f>
        <v>31/12/2020</v>
      </c>
      <c r="F1456" t="str">
        <f>VLOOKUP(NoviaFunds[[#This Row],[Sector]],Sectors[],2,FALSE)</f>
        <v>Japanese Equities</v>
      </c>
    </row>
    <row r="1457" spans="1:6" x14ac:dyDescent="0.2">
      <c r="A1457" t="str">
        <f>'Novia Web Query'!A1454</f>
        <v>GB00BVZ6VF19</v>
      </c>
      <c r="B1457" t="str">
        <f>VLOOKUP(NoviaFunds[[#This Row],[ISIN]],'Novia Web Query'!$A:$E,2,FALSE)</f>
        <v>FTF Martin Currie US Unconstrained X in GB</v>
      </c>
      <c r="C1457" t="str">
        <f>VLOOKUP(NoviaFunds[[#This Row],[ISIN]],'Novia Web Query'!$A:$E,3,FALSE)</f>
        <v>UT North America</v>
      </c>
      <c r="D1457" s="139">
        <f>VLOOKUP(NoviaFunds[[#This Row],[ISIN]],'Novia Web Query'!$A:$E,4,FALSE)/100</f>
        <v>8.6E-3</v>
      </c>
      <c r="E1457" s="3" t="str">
        <f>VLOOKUP(NoviaFunds[[#This Row],[ISIN]],'Novia Web Query'!$A:$E,5,FALSE)</f>
        <v>31/12/2020</v>
      </c>
      <c r="F1457" t="str">
        <f>VLOOKUP(NoviaFunds[[#This Row],[Sector]],Sectors[],2,FALSE)</f>
        <v>USA Equities</v>
      </c>
    </row>
    <row r="1458" spans="1:6" x14ac:dyDescent="0.2">
      <c r="A1458" t="str">
        <f>'Novia Web Query'!A1455</f>
        <v>GB00B8BRMK99</v>
      </c>
      <c r="B1458" t="str">
        <f>VLOOKUP(NoviaFunds[[#This Row],[ISIN]],'Novia Web Query'!$A:$E,2,FALSE)</f>
        <v>FTF Royce US Smaller Companies X in GB</v>
      </c>
      <c r="C1458" t="str">
        <f>VLOOKUP(NoviaFunds[[#This Row],[ISIN]],'Novia Web Query'!$A:$E,3,FALSE)</f>
        <v>UT North American Smaller Companies</v>
      </c>
      <c r="D1458" s="139">
        <f>VLOOKUP(NoviaFunds[[#This Row],[ISIN]],'Novia Web Query'!$A:$E,4,FALSE)/100</f>
        <v>8.6E-3</v>
      </c>
      <c r="E1458" s="3" t="str">
        <f>VLOOKUP(NoviaFunds[[#This Row],[ISIN]],'Novia Web Query'!$A:$E,5,FALSE)</f>
        <v>30/04/2021</v>
      </c>
      <c r="F1458" t="str">
        <f>VLOOKUP(NoviaFunds[[#This Row],[Sector]],Sectors[],2,FALSE)</f>
        <v>USA Equities</v>
      </c>
    </row>
    <row r="1459" spans="1:6" x14ac:dyDescent="0.2">
      <c r="A1459" t="str">
        <f>'Novia Web Query'!A1456</f>
        <v>GB00B65Z3G81</v>
      </c>
      <c r="B1459" t="str">
        <f>VLOOKUP(NoviaFunds[[#This Row],[ISIN]],'Novia Web Query'!$A:$E,2,FALSE)</f>
        <v>FTF Western Asset Global Multi Strategy Bond I Inc TR in GB**</v>
      </c>
      <c r="C1459" t="str">
        <f>VLOOKUP(NoviaFunds[[#This Row],[ISIN]],'Novia Web Query'!$A:$E,3,FALSE)</f>
        <v>UT Global Bonds</v>
      </c>
      <c r="D1459" s="139">
        <f>VLOOKUP(NoviaFunds[[#This Row],[ISIN]],'Novia Web Query'!$A:$E,4,FALSE)/100</f>
        <v>5.3E-3</v>
      </c>
      <c r="E1459" s="3" t="str">
        <f>VLOOKUP(NoviaFunds[[#This Row],[ISIN]],'Novia Web Query'!$A:$E,5,FALSE)</f>
        <v>31/12/2020</v>
      </c>
      <c r="F1459" t="str">
        <f>VLOOKUP(NoviaFunds[[#This Row],[Sector]],Sectors[],2,FALSE)</f>
        <v>Global Investment Grade</v>
      </c>
    </row>
    <row r="1460" spans="1:6" x14ac:dyDescent="0.2">
      <c r="A1460" t="str">
        <f>'Novia Web Query'!A1457</f>
        <v>GB00B8267221</v>
      </c>
      <c r="B1460" t="str">
        <f>VLOOKUP(NoviaFunds[[#This Row],[ISIN]],'Novia Web Query'!$A:$E,2,FALSE)</f>
        <v>FTF Western Asset Global Multi Strategy Bond X Inc TR in GB</v>
      </c>
      <c r="C1460" t="str">
        <f>VLOOKUP(NoviaFunds[[#This Row],[ISIN]],'Novia Web Query'!$A:$E,3,FALSE)</f>
        <v>UT Global Bonds</v>
      </c>
      <c r="D1460" s="139">
        <f>VLOOKUP(NoviaFunds[[#This Row],[ISIN]],'Novia Web Query'!$A:$E,4,FALSE)/100</f>
        <v>7.8000000000000005E-3</v>
      </c>
      <c r="E1460" s="3" t="str">
        <f>VLOOKUP(NoviaFunds[[#This Row],[ISIN]],'Novia Web Query'!$A:$E,5,FALSE)</f>
        <v>30/04/2021</v>
      </c>
      <c r="F1460" t="str">
        <f>VLOOKUP(NoviaFunds[[#This Row],[Sector]],Sectors[],2,FALSE)</f>
        <v>Global Investment Grade</v>
      </c>
    </row>
    <row r="1461" spans="1:6" x14ac:dyDescent="0.2">
      <c r="A1461" t="str">
        <f>'Novia Web Query'!A1458</f>
        <v>GB00B88V5W72</v>
      </c>
      <c r="B1461" t="str">
        <f>VLOOKUP(NoviaFunds[[#This Row],[ISIN]],'Novia Web Query'!$A:$E,2,FALSE)</f>
        <v>FTF Western Asset Retirement Income Bond X Inc TR in GB</v>
      </c>
      <c r="C1461" t="str">
        <f>VLOOKUP(NoviaFunds[[#This Row],[ISIN]],'Novia Web Query'!$A:$E,3,FALSE)</f>
        <v>UT Sterling Strategic Bond</v>
      </c>
      <c r="D1461" s="139">
        <f>VLOOKUP(NoviaFunds[[#This Row],[ISIN]],'Novia Web Query'!$A:$E,4,FALSE)/100</f>
        <v>4.3E-3</v>
      </c>
      <c r="E1461" s="3" t="str">
        <f>VLOOKUP(NoviaFunds[[#This Row],[ISIN]],'Novia Web Query'!$A:$E,5,FALSE)</f>
        <v>30/04/2021</v>
      </c>
      <c r="F1461" t="str">
        <f>VLOOKUP(NoviaFunds[[#This Row],[Sector]],Sectors[],2,FALSE)</f>
        <v>Other Bonds</v>
      </c>
    </row>
    <row r="1462" spans="1:6" x14ac:dyDescent="0.2">
      <c r="A1462" t="str">
        <f>'Novia Web Query'!A1459</f>
        <v>GB00BYZCTS97</v>
      </c>
      <c r="B1462" t="str">
        <f>VLOOKUP(NoviaFunds[[#This Row],[ISIN]],'Novia Web Query'!$A:$E,2,FALSE)</f>
        <v>FTF Franklin Sterling Corporate Bond W Acc in GB</v>
      </c>
      <c r="C1462" t="str">
        <f>VLOOKUP(NoviaFunds[[#This Row],[ISIN]],'Novia Web Query'!$A:$E,3,FALSE)</f>
        <v>UT Sterling Corporate Bond</v>
      </c>
      <c r="D1462" s="139">
        <f>VLOOKUP(NoviaFunds[[#This Row],[ISIN]],'Novia Web Query'!$A:$E,4,FALSE)/100</f>
        <v>4.5000000000000005E-3</v>
      </c>
      <c r="E1462" s="3" t="str">
        <f>VLOOKUP(NoviaFunds[[#This Row],[ISIN]],'Novia Web Query'!$A:$E,5,FALSE)</f>
        <v>30/11/2021</v>
      </c>
      <c r="F1462" t="str">
        <f>VLOOKUP(NoviaFunds[[#This Row],[Sector]],Sectors[],2,FALSE)</f>
        <v>Sterling Corporate Bonds</v>
      </c>
    </row>
    <row r="1463" spans="1:6" x14ac:dyDescent="0.2">
      <c r="A1463" t="str">
        <f>'Novia Web Query'!A1460</f>
        <v>GB00BYZCTT05</v>
      </c>
      <c r="B1463" t="str">
        <f>VLOOKUP(NoviaFunds[[#This Row],[ISIN]],'Novia Web Query'!$A:$E,2,FALSE)</f>
        <v>FTF Franklin Sterling Corporate Bond W Inc TR in GB</v>
      </c>
      <c r="C1463" t="str">
        <f>VLOOKUP(NoviaFunds[[#This Row],[ISIN]],'Novia Web Query'!$A:$E,3,FALSE)</f>
        <v>UT Sterling Corporate Bond</v>
      </c>
      <c r="D1463" s="139">
        <f>VLOOKUP(NoviaFunds[[#This Row],[ISIN]],'Novia Web Query'!$A:$E,4,FALSE)/100</f>
        <v>4.5000000000000005E-3</v>
      </c>
      <c r="E1463" s="3" t="str">
        <f>VLOOKUP(NoviaFunds[[#This Row],[ISIN]],'Novia Web Query'!$A:$E,5,FALSE)</f>
        <v>30/11/2021</v>
      </c>
      <c r="F1463" t="str">
        <f>VLOOKUP(NoviaFunds[[#This Row],[Sector]],Sectors[],2,FALSE)</f>
        <v>Sterling Corporate Bonds</v>
      </c>
    </row>
    <row r="1464" spans="1:6" x14ac:dyDescent="0.2">
      <c r="A1464" t="str">
        <f>'Novia Web Query'!A1461</f>
        <v>GB00B89R1486</v>
      </c>
      <c r="B1464" t="str">
        <f>VLOOKUP(NoviaFunds[[#This Row],[ISIN]],'Novia Web Query'!$A:$E,2,FALSE)</f>
        <v>FTF Franklin Systematic UK Equity X in GB</v>
      </c>
      <c r="C1464" t="str">
        <f>VLOOKUP(NoviaFunds[[#This Row],[ISIN]],'Novia Web Query'!$A:$E,3,FALSE)</f>
        <v>UT UK All Companies</v>
      </c>
      <c r="D1464" s="139">
        <f>VLOOKUP(NoviaFunds[[#This Row],[ISIN]],'Novia Web Query'!$A:$E,4,FALSE)/100</f>
        <v>1.04E-2</v>
      </c>
      <c r="E1464" s="3" t="str">
        <f>VLOOKUP(NoviaFunds[[#This Row],[ISIN]],'Novia Web Query'!$A:$E,5,FALSE)</f>
        <v>30/04/2021</v>
      </c>
      <c r="F1464" t="str">
        <f>VLOOKUP(NoviaFunds[[#This Row],[Sector]],Sectors[],2,FALSE)</f>
        <v>UK Equities</v>
      </c>
    </row>
    <row r="1465" spans="1:6" x14ac:dyDescent="0.2">
      <c r="A1465" t="str">
        <f>'Novia Web Query'!A1462</f>
        <v>GB00B7DRD638</v>
      </c>
      <c r="B1465" t="str">
        <f>VLOOKUP(NoviaFunds[[#This Row],[ISIN]],'Novia Web Query'!$A:$E,2,FALSE)</f>
        <v>FTF Franklin UK Equity Income W Acc TR in GB</v>
      </c>
      <c r="C1465" t="str">
        <f>VLOOKUP(NoviaFunds[[#This Row],[ISIN]],'Novia Web Query'!$A:$E,3,FALSE)</f>
        <v>UT UK Equity Income</v>
      </c>
      <c r="D1465" s="139">
        <f>VLOOKUP(NoviaFunds[[#This Row],[ISIN]],'Novia Web Query'!$A:$E,4,FALSE)/100</f>
        <v>5.1999999999999998E-3</v>
      </c>
      <c r="E1465" s="3" t="str">
        <f>VLOOKUP(NoviaFunds[[#This Row],[ISIN]],'Novia Web Query'!$A:$E,5,FALSE)</f>
        <v>30/11/2021</v>
      </c>
      <c r="F1465" t="str">
        <f>VLOOKUP(NoviaFunds[[#This Row],[Sector]],Sectors[],2,FALSE)</f>
        <v>UK Equities</v>
      </c>
    </row>
    <row r="1466" spans="1:6" x14ac:dyDescent="0.2">
      <c r="A1466" t="str">
        <f>'Novia Web Query'!A1463</f>
        <v>GB00B7MKLS14</v>
      </c>
      <c r="B1466" t="str">
        <f>VLOOKUP(NoviaFunds[[#This Row],[ISIN]],'Novia Web Query'!$A:$E,2,FALSE)</f>
        <v>FTF Franklin UK Equity Income W Inc TR in GB</v>
      </c>
      <c r="C1466" t="str">
        <f>VLOOKUP(NoviaFunds[[#This Row],[ISIN]],'Novia Web Query'!$A:$E,3,FALSE)</f>
        <v>UT UK Equity Income</v>
      </c>
      <c r="D1466" s="139">
        <f>VLOOKUP(NoviaFunds[[#This Row],[ISIN]],'Novia Web Query'!$A:$E,4,FALSE)/100</f>
        <v>5.1999999999999998E-3</v>
      </c>
      <c r="E1466" s="3" t="str">
        <f>VLOOKUP(NoviaFunds[[#This Row],[ISIN]],'Novia Web Query'!$A:$E,5,FALSE)</f>
        <v>30/11/2021</v>
      </c>
      <c r="F1466" t="str">
        <f>VLOOKUP(NoviaFunds[[#This Row],[Sector]],Sectors[],2,FALSE)</f>
        <v>UK Equities</v>
      </c>
    </row>
    <row r="1467" spans="1:6" x14ac:dyDescent="0.2">
      <c r="A1467" t="str">
        <f>'Novia Web Query'!A1464</f>
        <v>GB00BYZCTV27</v>
      </c>
      <c r="B1467" t="str">
        <f>VLOOKUP(NoviaFunds[[#This Row],[ISIN]],'Novia Web Query'!$A:$E,2,FALSE)</f>
        <v>FTF Franklin UK Gilt W Acc in GB</v>
      </c>
      <c r="C1467" t="str">
        <f>VLOOKUP(NoviaFunds[[#This Row],[ISIN]],'Novia Web Query'!$A:$E,3,FALSE)</f>
        <v>UT UK Gilts</v>
      </c>
      <c r="D1467" s="139">
        <f>VLOOKUP(NoviaFunds[[#This Row],[ISIN]],'Novia Web Query'!$A:$E,4,FALSE)/100</f>
        <v>3.4999999999999996E-3</v>
      </c>
      <c r="E1467" s="3" t="str">
        <f>VLOOKUP(NoviaFunds[[#This Row],[ISIN]],'Novia Web Query'!$A:$E,5,FALSE)</f>
        <v>30/11/2021</v>
      </c>
      <c r="F1467" t="str">
        <f>VLOOKUP(NoviaFunds[[#This Row],[Sector]],Sectors[],2,FALSE)</f>
        <v>Gilts</v>
      </c>
    </row>
    <row r="1468" spans="1:6" x14ac:dyDescent="0.2">
      <c r="A1468" t="str">
        <f>'Novia Web Query'!A1465</f>
        <v>GB00BYZCTW34</v>
      </c>
      <c r="B1468" t="str">
        <f>VLOOKUP(NoviaFunds[[#This Row],[ISIN]],'Novia Web Query'!$A:$E,2,FALSE)</f>
        <v>FTF Franklin UK Gilt W Inc TR in GB</v>
      </c>
      <c r="C1468" t="str">
        <f>VLOOKUP(NoviaFunds[[#This Row],[ISIN]],'Novia Web Query'!$A:$E,3,FALSE)</f>
        <v>UT UK Gilts</v>
      </c>
      <c r="D1468" s="139">
        <f>VLOOKUP(NoviaFunds[[#This Row],[ISIN]],'Novia Web Query'!$A:$E,4,FALSE)/100</f>
        <v>3.4999999999999996E-3</v>
      </c>
      <c r="E1468" s="3" t="str">
        <f>VLOOKUP(NoviaFunds[[#This Row],[ISIN]],'Novia Web Query'!$A:$E,5,FALSE)</f>
        <v>30/11/2021</v>
      </c>
      <c r="F1468" t="str">
        <f>VLOOKUP(NoviaFunds[[#This Row],[Sector]],Sectors[],2,FALSE)</f>
        <v>Gilts</v>
      </c>
    </row>
    <row r="1469" spans="1:6" x14ac:dyDescent="0.2">
      <c r="A1469" t="str">
        <f>'Novia Web Query'!A1466</f>
        <v>GB00BZ8FPB74</v>
      </c>
      <c r="B1469" t="str">
        <f>VLOOKUP(NoviaFunds[[#This Row],[ISIN]],'Novia Web Query'!$A:$E,2,FALSE)</f>
        <v>FTF Franklin UK Managers Focus S Acc in GB</v>
      </c>
      <c r="C1469" t="str">
        <f>VLOOKUP(NoviaFunds[[#This Row],[ISIN]],'Novia Web Query'!$A:$E,3,FALSE)</f>
        <v>UT UK All Companies</v>
      </c>
      <c r="D1469" s="139">
        <f>VLOOKUP(NoviaFunds[[#This Row],[ISIN]],'Novia Web Query'!$A:$E,4,FALSE)/100</f>
        <v>6.3E-3</v>
      </c>
      <c r="E1469" s="3" t="str">
        <f>VLOOKUP(NoviaFunds[[#This Row],[ISIN]],'Novia Web Query'!$A:$E,5,FALSE)</f>
        <v>31/12/2018</v>
      </c>
      <c r="F1469" t="str">
        <f>VLOOKUP(NoviaFunds[[#This Row],[Sector]],Sectors[],2,FALSE)</f>
        <v>UK Equities</v>
      </c>
    </row>
    <row r="1470" spans="1:6" x14ac:dyDescent="0.2">
      <c r="A1470" t="str">
        <f>'Novia Web Query'!A1467</f>
        <v>GB00B7MPWT49</v>
      </c>
      <c r="B1470" t="str">
        <f>VLOOKUP(NoviaFunds[[#This Row],[ISIN]],'Novia Web Query'!$A:$E,2,FALSE)</f>
        <v>FTF Franklin UK Managers Focus W Acc in GB</v>
      </c>
      <c r="C1470" t="str">
        <f>VLOOKUP(NoviaFunds[[#This Row],[ISIN]],'Novia Web Query'!$A:$E,3,FALSE)</f>
        <v>UT UK All Companies</v>
      </c>
      <c r="D1470" s="139">
        <f>VLOOKUP(NoviaFunds[[#This Row],[ISIN]],'Novia Web Query'!$A:$E,4,FALSE)/100</f>
        <v>8.3000000000000001E-3</v>
      </c>
      <c r="E1470" s="3" t="str">
        <f>VLOOKUP(NoviaFunds[[#This Row],[ISIN]],'Novia Web Query'!$A:$E,5,FALSE)</f>
        <v>30/11/2021</v>
      </c>
      <c r="F1470" t="str">
        <f>VLOOKUP(NoviaFunds[[#This Row],[Sector]],Sectors[],2,FALSE)</f>
        <v>UK Equities</v>
      </c>
    </row>
    <row r="1471" spans="1:6" x14ac:dyDescent="0.2">
      <c r="A1471" t="str">
        <f>'Novia Web Query'!A1468</f>
        <v>GB00B7BXT545</v>
      </c>
      <c r="B1471" t="str">
        <f>VLOOKUP(NoviaFunds[[#This Row],[ISIN]],'Novia Web Query'!$A:$E,2,FALSE)</f>
        <v>FTF Franklin UK Mid Cap W Acc TR in GB</v>
      </c>
      <c r="C1471" t="str">
        <f>VLOOKUP(NoviaFunds[[#This Row],[ISIN]],'Novia Web Query'!$A:$E,3,FALSE)</f>
        <v>UT UK All Companies</v>
      </c>
      <c r="D1471" s="139">
        <f>VLOOKUP(NoviaFunds[[#This Row],[ISIN]],'Novia Web Query'!$A:$E,4,FALSE)/100</f>
        <v>8.199999999999999E-3</v>
      </c>
      <c r="E1471" s="3" t="str">
        <f>VLOOKUP(NoviaFunds[[#This Row],[ISIN]],'Novia Web Query'!$A:$E,5,FALSE)</f>
        <v>30/11/2021</v>
      </c>
      <c r="F1471" t="str">
        <f>VLOOKUP(NoviaFunds[[#This Row],[Sector]],Sectors[],2,FALSE)</f>
        <v>UK Equities</v>
      </c>
    </row>
    <row r="1472" spans="1:6" x14ac:dyDescent="0.2">
      <c r="A1472" t="str">
        <f>'Novia Web Query'!A1469</f>
        <v>GB00B8K8HH50</v>
      </c>
      <c r="B1472" t="str">
        <f>VLOOKUP(NoviaFunds[[#This Row],[ISIN]],'Novia Web Query'!$A:$E,2,FALSE)</f>
        <v>FTF Franklin UK Mid Cap W Inc TR in GB</v>
      </c>
      <c r="C1472" t="str">
        <f>VLOOKUP(NoviaFunds[[#This Row],[ISIN]],'Novia Web Query'!$A:$E,3,FALSE)</f>
        <v>UT UK All Companies</v>
      </c>
      <c r="D1472" s="139">
        <f>VLOOKUP(NoviaFunds[[#This Row],[ISIN]],'Novia Web Query'!$A:$E,4,FALSE)/100</f>
        <v>8.199999999999999E-3</v>
      </c>
      <c r="E1472" s="3" t="str">
        <f>VLOOKUP(NoviaFunds[[#This Row],[ISIN]],'Novia Web Query'!$A:$E,5,FALSE)</f>
        <v>30/11/2021</v>
      </c>
      <c r="F1472" t="str">
        <f>VLOOKUP(NoviaFunds[[#This Row],[Sector]],Sectors[],2,FALSE)</f>
        <v>UK Equities</v>
      </c>
    </row>
    <row r="1473" spans="1:6" x14ac:dyDescent="0.2">
      <c r="A1473" t="str">
        <f>'Novia Web Query'!A1470</f>
        <v>GB00B76GK996</v>
      </c>
      <c r="B1473" t="str">
        <f>VLOOKUP(NoviaFunds[[#This Row],[ISIN]],'Novia Web Query'!$A:$E,2,FALSE)</f>
        <v>FTF Franklin UK Opportunities W Acc TR in GB</v>
      </c>
      <c r="C1473" t="str">
        <f>VLOOKUP(NoviaFunds[[#This Row],[ISIN]],'Novia Web Query'!$A:$E,3,FALSE)</f>
        <v>UT UK All Companies</v>
      </c>
      <c r="D1473" s="139">
        <f>VLOOKUP(NoviaFunds[[#This Row],[ISIN]],'Novia Web Query'!$A:$E,4,FALSE)/100</f>
        <v>5.5000000000000005E-3</v>
      </c>
      <c r="E1473" s="3" t="str">
        <f>VLOOKUP(NoviaFunds[[#This Row],[ISIN]],'Novia Web Query'!$A:$E,5,FALSE)</f>
        <v>30/11/2021</v>
      </c>
      <c r="F1473" t="str">
        <f>VLOOKUP(NoviaFunds[[#This Row],[Sector]],Sectors[],2,FALSE)</f>
        <v>UK Equities</v>
      </c>
    </row>
    <row r="1474" spans="1:6" x14ac:dyDescent="0.2">
      <c r="A1474" t="str">
        <f>'Novia Web Query'!A1471</f>
        <v>GB00BYVDZT91</v>
      </c>
      <c r="B1474" t="str">
        <f>VLOOKUP(NoviaFunds[[#This Row],[ISIN]],'Novia Web Query'!$A:$E,2,FALSE)</f>
        <v>FTF Franklin UK Opportunities W Inc TR in GB</v>
      </c>
      <c r="C1474" t="str">
        <f>VLOOKUP(NoviaFunds[[#This Row],[ISIN]],'Novia Web Query'!$A:$E,3,FALSE)</f>
        <v>UT UK All Companies</v>
      </c>
      <c r="D1474" s="139">
        <f>VLOOKUP(NoviaFunds[[#This Row],[ISIN]],'Novia Web Query'!$A:$E,4,FALSE)/100</f>
        <v>5.5000000000000005E-3</v>
      </c>
      <c r="E1474" s="3" t="str">
        <f>VLOOKUP(NoviaFunds[[#This Row],[ISIN]],'Novia Web Query'!$A:$E,5,FALSE)</f>
        <v>30/11/2021</v>
      </c>
      <c r="F1474" t="str">
        <f>VLOOKUP(NoviaFunds[[#This Row],[Sector]],Sectors[],2,FALSE)</f>
        <v>UK Equities</v>
      </c>
    </row>
    <row r="1475" spans="1:6" x14ac:dyDescent="0.2">
      <c r="A1475" t="str">
        <f>'Novia Web Query'!A1472</f>
        <v>GB00B5MJ5601</v>
      </c>
      <c r="B1475" t="str">
        <f>VLOOKUP(NoviaFunds[[#This Row],[ISIN]],'Novia Web Query'!$A:$E,2,FALSE)</f>
        <v>FTF Franklin UK Rising Dividends W Acc TR in GB</v>
      </c>
      <c r="C1475" t="str">
        <f>VLOOKUP(NoviaFunds[[#This Row],[ISIN]],'Novia Web Query'!$A:$E,3,FALSE)</f>
        <v>UT UK All Companies</v>
      </c>
      <c r="D1475" s="139">
        <f>VLOOKUP(NoviaFunds[[#This Row],[ISIN]],'Novia Web Query'!$A:$E,4,FALSE)/100</f>
        <v>5.4000000000000003E-3</v>
      </c>
      <c r="E1475" s="3" t="str">
        <f>VLOOKUP(NoviaFunds[[#This Row],[ISIN]],'Novia Web Query'!$A:$E,5,FALSE)</f>
        <v>30/11/2021</v>
      </c>
      <c r="F1475" t="str">
        <f>VLOOKUP(NoviaFunds[[#This Row],[Sector]],Sectors[],2,FALSE)</f>
        <v>UK Equities</v>
      </c>
    </row>
    <row r="1476" spans="1:6" x14ac:dyDescent="0.2">
      <c r="A1476" t="str">
        <f>'Novia Web Query'!A1473</f>
        <v>GB00BT6STC53</v>
      </c>
      <c r="B1476" t="str">
        <f>VLOOKUP(NoviaFunds[[#This Row],[ISIN]],'Novia Web Query'!$A:$E,2,FALSE)</f>
        <v>FTF Franklin UK Rising Dividends W Inc TR in GB**</v>
      </c>
      <c r="C1476" t="str">
        <f>VLOOKUP(NoviaFunds[[#This Row],[ISIN]],'Novia Web Query'!$A:$E,3,FALSE)</f>
        <v>UT UK All Companies</v>
      </c>
      <c r="D1476" s="139">
        <f>VLOOKUP(NoviaFunds[[#This Row],[ISIN]],'Novia Web Query'!$A:$E,4,FALSE)/100</f>
        <v>5.4000000000000003E-3</v>
      </c>
      <c r="E1476" s="3" t="str">
        <f>VLOOKUP(NoviaFunds[[#This Row],[ISIN]],'Novia Web Query'!$A:$E,5,FALSE)</f>
        <v>30/11/2021</v>
      </c>
      <c r="F1476" t="str">
        <f>VLOOKUP(NoviaFunds[[#This Row],[Sector]],Sectors[],2,FALSE)</f>
        <v>UK Equities</v>
      </c>
    </row>
    <row r="1477" spans="1:6" x14ac:dyDescent="0.2">
      <c r="A1477" t="str">
        <f>'Novia Web Query'!A1474</f>
        <v>GB00B7FFF708</v>
      </c>
      <c r="B1477" t="str">
        <f>VLOOKUP(NoviaFunds[[#This Row],[ISIN]],'Novia Web Query'!$A:$E,2,FALSE)</f>
        <v>FTF Franklin UK Smaller Companies W Acc TR in GB</v>
      </c>
      <c r="C1477" t="str">
        <f>VLOOKUP(NoviaFunds[[#This Row],[ISIN]],'Novia Web Query'!$A:$E,3,FALSE)</f>
        <v>UT UK Smaller Companies</v>
      </c>
      <c r="D1477" s="139">
        <f>VLOOKUP(NoviaFunds[[#This Row],[ISIN]],'Novia Web Query'!$A:$E,4,FALSE)/100</f>
        <v>8.3000000000000001E-3</v>
      </c>
      <c r="E1477" s="3" t="str">
        <f>VLOOKUP(NoviaFunds[[#This Row],[ISIN]],'Novia Web Query'!$A:$E,5,FALSE)</f>
        <v>30/11/2021</v>
      </c>
      <c r="F1477" t="str">
        <f>VLOOKUP(NoviaFunds[[#This Row],[Sector]],Sectors[],2,FALSE)</f>
        <v>UK Equities</v>
      </c>
    </row>
    <row r="1478" spans="1:6" x14ac:dyDescent="0.2">
      <c r="A1478" t="str">
        <f>'Novia Web Query'!A1475</f>
        <v>GB00BYVDZV14</v>
      </c>
      <c r="B1478" t="str">
        <f>VLOOKUP(NoviaFunds[[#This Row],[ISIN]],'Novia Web Query'!$A:$E,2,FALSE)</f>
        <v>FTF Franklin UK Smaller Companies W Inc TR in GB</v>
      </c>
      <c r="C1478" t="str">
        <f>VLOOKUP(NoviaFunds[[#This Row],[ISIN]],'Novia Web Query'!$A:$E,3,FALSE)</f>
        <v>UT UK Smaller Companies</v>
      </c>
      <c r="D1478" s="139">
        <f>VLOOKUP(NoviaFunds[[#This Row],[ISIN]],'Novia Web Query'!$A:$E,4,FALSE)/100</f>
        <v>8.3000000000000001E-3</v>
      </c>
      <c r="E1478" s="3" t="str">
        <f>VLOOKUP(NoviaFunds[[#This Row],[ISIN]],'Novia Web Query'!$A:$E,5,FALSE)</f>
        <v>30/11/2021</v>
      </c>
      <c r="F1478" t="str">
        <f>VLOOKUP(NoviaFunds[[#This Row],[Sector]],Sectors[],2,FALSE)</f>
        <v>UK Equities</v>
      </c>
    </row>
    <row r="1479" spans="1:6" x14ac:dyDescent="0.2">
      <c r="A1479" t="str">
        <f>'Novia Web Query'!A1476</f>
        <v>GB00B7KCG406</v>
      </c>
      <c r="B1479" t="str">
        <f>VLOOKUP(NoviaFunds[[#This Row],[ISIN]],'Novia Web Query'!$A:$E,2,FALSE)</f>
        <v>FTF Franklin US Opportunities W Acc in GB</v>
      </c>
      <c r="C1479" t="str">
        <f>VLOOKUP(NoviaFunds[[#This Row],[ISIN]],'Novia Web Query'!$A:$E,3,FALSE)</f>
        <v>UT North America</v>
      </c>
      <c r="D1479" s="139">
        <f>VLOOKUP(NoviaFunds[[#This Row],[ISIN]],'Novia Web Query'!$A:$E,4,FALSE)/100</f>
        <v>8.3999999999999995E-3</v>
      </c>
      <c r="E1479" s="3" t="str">
        <f>VLOOKUP(NoviaFunds[[#This Row],[ISIN]],'Novia Web Query'!$A:$E,5,FALSE)</f>
        <v>30/11/2021</v>
      </c>
      <c r="F1479" t="str">
        <f>VLOOKUP(NoviaFunds[[#This Row],[Sector]],Sectors[],2,FALSE)</f>
        <v>USA Equities</v>
      </c>
    </row>
    <row r="1480" spans="1:6" x14ac:dyDescent="0.2">
      <c r="A1480" t="str">
        <f>'Novia Web Query'!A1477</f>
        <v>GB00B7MZ0J00</v>
      </c>
      <c r="B1480" t="str">
        <f>VLOOKUP(NoviaFunds[[#This Row],[ISIN]],'Novia Web Query'!$A:$E,2,FALSE)</f>
        <v>FTF Templeton Global Emerging Markets W Acc in GB</v>
      </c>
      <c r="C1480" t="str">
        <f>VLOOKUP(NoviaFunds[[#This Row],[ISIN]],'Novia Web Query'!$A:$E,3,FALSE)</f>
        <v>UT Global Emerging Markets</v>
      </c>
      <c r="D1480" s="139">
        <f>VLOOKUP(NoviaFunds[[#This Row],[ISIN]],'Novia Web Query'!$A:$E,4,FALSE)/100</f>
        <v>0.01</v>
      </c>
      <c r="E1480" s="3" t="str">
        <f>VLOOKUP(NoviaFunds[[#This Row],[ISIN]],'Novia Web Query'!$A:$E,5,FALSE)</f>
        <v>30/11/2021</v>
      </c>
      <c r="F1480" t="str">
        <f>VLOOKUP(NoviaFunds[[#This Row],[Sector]],Sectors[],2,FALSE)</f>
        <v>Emerging Markets</v>
      </c>
    </row>
    <row r="1481" spans="1:6" x14ac:dyDescent="0.2">
      <c r="A1481" t="str">
        <f>'Novia Web Query'!A1478</f>
        <v>GB00B7K6LK38</v>
      </c>
      <c r="B1481" t="str">
        <f>VLOOKUP(NoviaFunds[[#This Row],[ISIN]],'Novia Web Query'!$A:$E,2,FALSE)</f>
        <v>FTF Templeton Global Leaders W Acc in GB</v>
      </c>
      <c r="C1481" t="str">
        <f>VLOOKUP(NoviaFunds[[#This Row],[ISIN]],'Novia Web Query'!$A:$E,3,FALSE)</f>
        <v>UT Global</v>
      </c>
      <c r="D1481" s="139">
        <f>VLOOKUP(NoviaFunds[[#This Row],[ISIN]],'Novia Web Query'!$A:$E,4,FALSE)/100</f>
        <v>8.0000000000000002E-3</v>
      </c>
      <c r="E1481" s="3" t="str">
        <f>VLOOKUP(NoviaFunds[[#This Row],[ISIN]],'Novia Web Query'!$A:$E,5,FALSE)</f>
        <v>30/11/2021</v>
      </c>
      <c r="F1481" t="str">
        <f>VLOOKUP(NoviaFunds[[#This Row],[Sector]],Sectors[],2,FALSE)</f>
        <v>Other Equities</v>
      </c>
    </row>
    <row r="1482" spans="1:6" x14ac:dyDescent="0.2">
      <c r="A1482" t="str">
        <f>'Novia Web Query'!A1479</f>
        <v>GB00BBM4VB49</v>
      </c>
      <c r="B1482" t="str">
        <f>VLOOKUP(NoviaFunds[[#This Row],[ISIN]],'Novia Web Query'!$A:$E,2,FALSE)</f>
        <v>FTF Templeton Global Total Return Bond W Acc in GB</v>
      </c>
      <c r="C1482" t="str">
        <f>VLOOKUP(NoviaFunds[[#This Row],[ISIN]],'Novia Web Query'!$A:$E,3,FALSE)</f>
        <v>UT Global Bonds</v>
      </c>
      <c r="D1482" s="139">
        <f>VLOOKUP(NoviaFunds[[#This Row],[ISIN]],'Novia Web Query'!$A:$E,4,FALSE)/100</f>
        <v>7.3000000000000001E-3</v>
      </c>
      <c r="E1482" s="3" t="str">
        <f>VLOOKUP(NoviaFunds[[#This Row],[ISIN]],'Novia Web Query'!$A:$E,5,FALSE)</f>
        <v>30/11/2021</v>
      </c>
      <c r="F1482" t="str">
        <f>VLOOKUP(NoviaFunds[[#This Row],[Sector]],Sectors[],2,FALSE)</f>
        <v>Global Investment Grade</v>
      </c>
    </row>
    <row r="1483" spans="1:6" x14ac:dyDescent="0.2">
      <c r="A1483" t="str">
        <f>'Novia Web Query'!A1480</f>
        <v>GB00BBM4VD62</v>
      </c>
      <c r="B1483" t="str">
        <f>VLOOKUP(NoviaFunds[[#This Row],[ISIN]],'Novia Web Query'!$A:$E,2,FALSE)</f>
        <v>FTF Templeton Global Total Return Bond W Inc TR in GB**</v>
      </c>
      <c r="C1483" t="str">
        <f>VLOOKUP(NoviaFunds[[#This Row],[ISIN]],'Novia Web Query'!$A:$E,3,FALSE)</f>
        <v>UT Global Bonds</v>
      </c>
      <c r="D1483" s="139">
        <f>VLOOKUP(NoviaFunds[[#This Row],[ISIN]],'Novia Web Query'!$A:$E,4,FALSE)/100</f>
        <v>7.3000000000000001E-3</v>
      </c>
      <c r="E1483" s="3" t="str">
        <f>VLOOKUP(NoviaFunds[[#This Row],[ISIN]],'Novia Web Query'!$A:$E,5,FALSE)</f>
        <v>30/11/2021</v>
      </c>
      <c r="F1483" t="str">
        <f>VLOOKUP(NoviaFunds[[#This Row],[Sector]],Sectors[],2,FALSE)</f>
        <v>Global Investment Grade</v>
      </c>
    </row>
    <row r="1484" spans="1:6" x14ac:dyDescent="0.2">
      <c r="A1484" t="str">
        <f>'Novia Web Query'!A1481</f>
        <v>GB00BKT0HX25</v>
      </c>
      <c r="B1484" t="str">
        <f>VLOOKUP(NoviaFunds[[#This Row],[ISIN]],'Novia Web Query'!$A:$E,2,FALSE)</f>
        <v>FTF Templeton Global Total Return Bond WH3 Acc in GB</v>
      </c>
      <c r="C1484" t="str">
        <f>VLOOKUP(NoviaFunds[[#This Row],[ISIN]],'Novia Web Query'!$A:$E,3,FALSE)</f>
        <v>UT Global Bonds</v>
      </c>
      <c r="D1484" s="139">
        <f>VLOOKUP(NoviaFunds[[#This Row],[ISIN]],'Novia Web Query'!$A:$E,4,FALSE)/100</f>
        <v>7.1999999999999998E-3</v>
      </c>
      <c r="E1484" s="3" t="str">
        <f>VLOOKUP(NoviaFunds[[#This Row],[ISIN]],'Novia Web Query'!$A:$E,5,FALSE)</f>
        <v>30/11/2021</v>
      </c>
      <c r="F1484" t="str">
        <f>VLOOKUP(NoviaFunds[[#This Row],[Sector]],Sectors[],2,FALSE)</f>
        <v>Global Investment Grade</v>
      </c>
    </row>
    <row r="1485" spans="1:6" x14ac:dyDescent="0.2">
      <c r="A1485" t="str">
        <f>'Novia Web Query'!A1482</f>
        <v>GB00B617LX19</v>
      </c>
      <c r="B1485" t="str">
        <f>VLOOKUP(NoviaFunds[[#This Row],[ISIN]],'Novia Web Query'!$A:$E,2,FALSE)</f>
        <v>FTF Templeton Global Total Return Bond WH3 Inc TR in GB</v>
      </c>
      <c r="C1485" t="str">
        <f>VLOOKUP(NoviaFunds[[#This Row],[ISIN]],'Novia Web Query'!$A:$E,3,FALSE)</f>
        <v>UT Global Bonds</v>
      </c>
      <c r="D1485" s="139">
        <f>VLOOKUP(NoviaFunds[[#This Row],[ISIN]],'Novia Web Query'!$A:$E,4,FALSE)/100</f>
        <v>7.1999999999999998E-3</v>
      </c>
      <c r="E1485" s="3" t="str">
        <f>VLOOKUP(NoviaFunds[[#This Row],[ISIN]],'Novia Web Query'!$A:$E,5,FALSE)</f>
        <v>30/11/2021</v>
      </c>
      <c r="F1485" t="str">
        <f>VLOOKUP(NoviaFunds[[#This Row],[Sector]],Sectors[],2,FALSE)</f>
        <v>Global Investment Grade</v>
      </c>
    </row>
    <row r="1486" spans="1:6" x14ac:dyDescent="0.2">
      <c r="A1486" t="str">
        <f>'Novia Web Query'!A1483</f>
        <v>GB00B41YBW71</v>
      </c>
      <c r="B1486" t="str">
        <f>VLOOKUP(NoviaFunds[[#This Row],[ISIN]],'Novia Web Query'!$A:$E,2,FALSE)</f>
        <v>Fundsmith Equity I Acc in GB</v>
      </c>
      <c r="C1486" t="str">
        <f>VLOOKUP(NoviaFunds[[#This Row],[ISIN]],'Novia Web Query'!$A:$E,3,FALSE)</f>
        <v>UT Global</v>
      </c>
      <c r="D1486" s="139">
        <f>VLOOKUP(NoviaFunds[[#This Row],[ISIN]],'Novia Web Query'!$A:$E,4,FALSE)/100</f>
        <v>9.4999999999999998E-3</v>
      </c>
      <c r="E1486" s="3" t="str">
        <f>VLOOKUP(NoviaFunds[[#This Row],[ISIN]],'Novia Web Query'!$A:$E,5,FALSE)</f>
        <v>30/09/2021</v>
      </c>
      <c r="F1486" t="str">
        <f>VLOOKUP(NoviaFunds[[#This Row],[Sector]],Sectors[],2,FALSE)</f>
        <v>Other Equities</v>
      </c>
    </row>
    <row r="1487" spans="1:6" x14ac:dyDescent="0.2">
      <c r="A1487" t="str">
        <f>'Novia Web Query'!A1484</f>
        <v>GB00B4MR8G82</v>
      </c>
      <c r="B1487" t="str">
        <f>VLOOKUP(NoviaFunds[[#This Row],[ISIN]],'Novia Web Query'!$A:$E,2,FALSE)</f>
        <v>Fundsmith Equity I Inc TR in GB</v>
      </c>
      <c r="C1487" t="str">
        <f>VLOOKUP(NoviaFunds[[#This Row],[ISIN]],'Novia Web Query'!$A:$E,3,FALSE)</f>
        <v>UT Global</v>
      </c>
      <c r="D1487" s="139">
        <f>VLOOKUP(NoviaFunds[[#This Row],[ISIN]],'Novia Web Query'!$A:$E,4,FALSE)/100</f>
        <v>9.4999999999999998E-3</v>
      </c>
      <c r="E1487" s="3" t="str">
        <f>VLOOKUP(NoviaFunds[[#This Row],[ISIN]],'Novia Web Query'!$A:$E,5,FALSE)</f>
        <v>30/09/2021</v>
      </c>
      <c r="F1487" t="str">
        <f>VLOOKUP(NoviaFunds[[#This Row],[Sector]],Sectors[],2,FALSE)</f>
        <v>Other Equities</v>
      </c>
    </row>
    <row r="1488" spans="1:6" x14ac:dyDescent="0.2">
      <c r="A1488" t="str">
        <f>'Novia Web Query'!A1485</f>
        <v>GB00B4LPDJ14</v>
      </c>
      <c r="B1488" t="str">
        <f>VLOOKUP(NoviaFunds[[#This Row],[ISIN]],'Novia Web Query'!$A:$E,2,FALSE)</f>
        <v>Fundsmith Equity R Acc in GB</v>
      </c>
      <c r="C1488" t="str">
        <f>VLOOKUP(NoviaFunds[[#This Row],[ISIN]],'Novia Web Query'!$A:$E,3,FALSE)</f>
        <v>UT Global</v>
      </c>
      <c r="D1488" s="139">
        <f>VLOOKUP(NoviaFunds[[#This Row],[ISIN]],'Novia Web Query'!$A:$E,4,FALSE)/100</f>
        <v>1.55E-2</v>
      </c>
      <c r="E1488" s="3" t="str">
        <f>VLOOKUP(NoviaFunds[[#This Row],[ISIN]],'Novia Web Query'!$A:$E,5,FALSE)</f>
        <v>30/09/2021</v>
      </c>
      <c r="F1488" t="str">
        <f>VLOOKUP(NoviaFunds[[#This Row],[Sector]],Sectors[],2,FALSE)</f>
        <v>Other Equities</v>
      </c>
    </row>
    <row r="1489" spans="1:6" x14ac:dyDescent="0.2">
      <c r="A1489" t="str">
        <f>'Novia Web Query'!A1486</f>
        <v>GB00B4QBRK32</v>
      </c>
      <c r="B1489" t="str">
        <f>VLOOKUP(NoviaFunds[[#This Row],[ISIN]],'Novia Web Query'!$A:$E,2,FALSE)</f>
        <v>Fundsmith Equity R Inc TR in GB</v>
      </c>
      <c r="C1489" t="str">
        <f>VLOOKUP(NoviaFunds[[#This Row],[ISIN]],'Novia Web Query'!$A:$E,3,FALSE)</f>
        <v>UT Global</v>
      </c>
      <c r="D1489" s="139">
        <f>VLOOKUP(NoviaFunds[[#This Row],[ISIN]],'Novia Web Query'!$A:$E,4,FALSE)/100</f>
        <v>1.55E-2</v>
      </c>
      <c r="E1489" s="3" t="str">
        <f>VLOOKUP(NoviaFunds[[#This Row],[ISIN]],'Novia Web Query'!$A:$E,5,FALSE)</f>
        <v>30/09/2021</v>
      </c>
      <c r="F1489" t="str">
        <f>VLOOKUP(NoviaFunds[[#This Row],[Sector]],Sectors[],2,FALSE)</f>
        <v>Other Equities</v>
      </c>
    </row>
    <row r="1490" spans="1:6" x14ac:dyDescent="0.2">
      <c r="A1490" t="str">
        <f>'Novia Web Query'!A1487</f>
        <v>GB00B4Q5X527</v>
      </c>
      <c r="B1490" t="str">
        <f>VLOOKUP(NoviaFunds[[#This Row],[ISIN]],'Novia Web Query'!$A:$E,2,FALSE)</f>
        <v>Fundsmith Equity T Acc in GB</v>
      </c>
      <c r="C1490" t="str">
        <f>VLOOKUP(NoviaFunds[[#This Row],[ISIN]],'Novia Web Query'!$A:$E,3,FALSE)</f>
        <v>UT Global</v>
      </c>
      <c r="D1490" s="139">
        <f>VLOOKUP(NoviaFunds[[#This Row],[ISIN]],'Novia Web Query'!$A:$E,4,FALSE)/100</f>
        <v>1.0500000000000001E-2</v>
      </c>
      <c r="E1490" s="3" t="str">
        <f>VLOOKUP(NoviaFunds[[#This Row],[ISIN]],'Novia Web Query'!$A:$E,5,FALSE)</f>
        <v>30/09/2021</v>
      </c>
      <c r="F1490" t="str">
        <f>VLOOKUP(NoviaFunds[[#This Row],[Sector]],Sectors[],2,FALSE)</f>
        <v>Other Equities</v>
      </c>
    </row>
    <row r="1491" spans="1:6" x14ac:dyDescent="0.2">
      <c r="A1491" t="str">
        <f>'Novia Web Query'!A1488</f>
        <v>GB00B4M93C53</v>
      </c>
      <c r="B1491" t="str">
        <f>VLOOKUP(NoviaFunds[[#This Row],[ISIN]],'Novia Web Query'!$A:$E,2,FALSE)</f>
        <v>Fundsmith Equity T Inc TR in GB</v>
      </c>
      <c r="C1491" t="str">
        <f>VLOOKUP(NoviaFunds[[#This Row],[ISIN]],'Novia Web Query'!$A:$E,3,FALSE)</f>
        <v>UT Global</v>
      </c>
      <c r="D1491" s="139">
        <f>VLOOKUP(NoviaFunds[[#This Row],[ISIN]],'Novia Web Query'!$A:$E,4,FALSE)/100</f>
        <v>1.0500000000000001E-2</v>
      </c>
      <c r="E1491" s="3" t="str">
        <f>VLOOKUP(NoviaFunds[[#This Row],[ISIN]],'Novia Web Query'!$A:$E,5,FALSE)</f>
        <v>30/09/2021</v>
      </c>
      <c r="F1491" t="str">
        <f>VLOOKUP(NoviaFunds[[#This Row],[Sector]],Sectors[],2,FALSE)</f>
        <v>Other Equities</v>
      </c>
    </row>
    <row r="1492" spans="1:6" x14ac:dyDescent="0.2">
      <c r="A1492" t="str">
        <f>'Novia Web Query'!A1489</f>
        <v>GB00BF0V6P41</v>
      </c>
      <c r="B1492" t="str">
        <f>VLOOKUP(NoviaFunds[[#This Row],[ISIN]],'Novia Web Query'!$A:$E,2,FALSE)</f>
        <v>Fundsmith Sustainable Equity I Acc in GB</v>
      </c>
      <c r="C1492" t="str">
        <f>VLOOKUP(NoviaFunds[[#This Row],[ISIN]],'Novia Web Query'!$A:$E,3,FALSE)</f>
        <v>UT Global</v>
      </c>
      <c r="D1492" s="139">
        <f>VLOOKUP(NoviaFunds[[#This Row],[ISIN]],'Novia Web Query'!$A:$E,4,FALSE)/100</f>
        <v>9.5999999999999992E-3</v>
      </c>
      <c r="E1492" s="3" t="str">
        <f>VLOOKUP(NoviaFunds[[#This Row],[ISIN]],'Novia Web Query'!$A:$E,5,FALSE)</f>
        <v>30/09/2021</v>
      </c>
      <c r="F1492" t="str">
        <f>VLOOKUP(NoviaFunds[[#This Row],[Sector]],Sectors[],2,FALSE)</f>
        <v>Other Equities</v>
      </c>
    </row>
    <row r="1493" spans="1:6" x14ac:dyDescent="0.2">
      <c r="A1493" t="str">
        <f>'Novia Web Query'!A1490</f>
        <v>GB00BF0V6Q57</v>
      </c>
      <c r="B1493" t="str">
        <f>VLOOKUP(NoviaFunds[[#This Row],[ISIN]],'Novia Web Query'!$A:$E,2,FALSE)</f>
        <v>Fundsmith Sustainable Equity I Inc TR in GB</v>
      </c>
      <c r="C1493" t="str">
        <f>VLOOKUP(NoviaFunds[[#This Row],[ISIN]],'Novia Web Query'!$A:$E,3,FALSE)</f>
        <v>UT Global</v>
      </c>
      <c r="D1493" s="139">
        <f>VLOOKUP(NoviaFunds[[#This Row],[ISIN]],'Novia Web Query'!$A:$E,4,FALSE)/100</f>
        <v>9.5999999999999992E-3</v>
      </c>
      <c r="E1493" s="3" t="str">
        <f>VLOOKUP(NoviaFunds[[#This Row],[ISIN]],'Novia Web Query'!$A:$E,5,FALSE)</f>
        <v>30/09/2021</v>
      </c>
      <c r="F1493" t="str">
        <f>VLOOKUP(NoviaFunds[[#This Row],[Sector]],Sectors[],2,FALSE)</f>
        <v>Other Equities</v>
      </c>
    </row>
    <row r="1494" spans="1:6" x14ac:dyDescent="0.2">
      <c r="A1494" t="str">
        <f>'Novia Web Query'!A1491</f>
        <v>GB00BYQJ5J24</v>
      </c>
      <c r="B1494" t="str">
        <f>VLOOKUP(NoviaFunds[[#This Row],[ISIN]],'Novia Web Query'!$A:$E,2,FALSE)</f>
        <v>GAM Continental Euro Equity Inst Acc GBP TR in GB</v>
      </c>
      <c r="C1494" t="str">
        <f>VLOOKUP(NoviaFunds[[#This Row],[ISIN]],'Novia Web Query'!$A:$E,3,FALSE)</f>
        <v>UT Europe Excluding UK</v>
      </c>
      <c r="D1494" s="139">
        <f>VLOOKUP(NoviaFunds[[#This Row],[ISIN]],'Novia Web Query'!$A:$E,4,FALSE)/100</f>
        <v>7.9000000000000008E-3</v>
      </c>
      <c r="E1494" s="3" t="str">
        <f>VLOOKUP(NoviaFunds[[#This Row],[ISIN]],'Novia Web Query'!$A:$E,5,FALSE)</f>
        <v>01/10/2021</v>
      </c>
      <c r="F1494" t="str">
        <f>VLOOKUP(NoviaFunds[[#This Row],[Sector]],Sectors[],2,FALSE)</f>
        <v>European Equities</v>
      </c>
    </row>
    <row r="1495" spans="1:6" x14ac:dyDescent="0.2">
      <c r="A1495" t="str">
        <f>'Novia Web Query'!A1492</f>
        <v>GB00BYQJ5G92</v>
      </c>
      <c r="B1495" t="str">
        <f>VLOOKUP(NoviaFunds[[#This Row],[ISIN]],'Novia Web Query'!$A:$E,2,FALSE)</f>
        <v>GAM Credit Opportunities GBP I Acc in GB</v>
      </c>
      <c r="C1495" t="str">
        <f>VLOOKUP(NoviaFunds[[#This Row],[ISIN]],'Novia Web Query'!$A:$E,3,FALSE)</f>
        <v>UT Sterling Strategic Bond</v>
      </c>
      <c r="D1495" s="139">
        <f>VLOOKUP(NoviaFunds[[#This Row],[ISIN]],'Novia Web Query'!$A:$E,4,FALSE)/100</f>
        <v>1.1599999999999999E-2</v>
      </c>
      <c r="E1495" s="3" t="str">
        <f>VLOOKUP(NoviaFunds[[#This Row],[ISIN]],'Novia Web Query'!$A:$E,5,FALSE)</f>
        <v>11/11/2021</v>
      </c>
      <c r="F1495" t="str">
        <f>VLOOKUP(NoviaFunds[[#This Row],[Sector]],Sectors[],2,FALSE)</f>
        <v>Other Bonds</v>
      </c>
    </row>
    <row r="1496" spans="1:6" x14ac:dyDescent="0.2">
      <c r="A1496" t="str">
        <f>'Novia Web Query'!A1493</f>
        <v>GB00BYQJ5H00</v>
      </c>
      <c r="B1496" t="str">
        <f>VLOOKUP(NoviaFunds[[#This Row],[ISIN]],'Novia Web Query'!$A:$E,2,FALSE)</f>
        <v>GAM Emerging Equity Inst Acc GBP TR in GB</v>
      </c>
      <c r="C1496" t="str">
        <f>VLOOKUP(NoviaFunds[[#This Row],[ISIN]],'Novia Web Query'!$A:$E,3,FALSE)</f>
        <v>UT Global Emerging Markets</v>
      </c>
      <c r="D1496" s="139">
        <f>VLOOKUP(NoviaFunds[[#This Row],[ISIN]],'Novia Web Query'!$A:$E,4,FALSE)/100</f>
        <v>1.1000000000000001E-2</v>
      </c>
      <c r="E1496" s="3" t="str">
        <f>VLOOKUP(NoviaFunds[[#This Row],[ISIN]],'Novia Web Query'!$A:$E,5,FALSE)</f>
        <v>12/05/2021</v>
      </c>
      <c r="F1496" t="str">
        <f>VLOOKUP(NoviaFunds[[#This Row],[Sector]],Sectors[],2,FALSE)</f>
        <v>Emerging Markets</v>
      </c>
    </row>
    <row r="1497" spans="1:6" x14ac:dyDescent="0.2">
      <c r="A1497" t="str">
        <f>'Novia Web Query'!A1494</f>
        <v>GB0002426640</v>
      </c>
      <c r="B1497" t="str">
        <f>VLOOKUP(NoviaFunds[[#This Row],[ISIN]],'Novia Web Query'!$A:$E,2,FALSE)</f>
        <v>GAM Global Diversified A Acc in GB</v>
      </c>
      <c r="C1497" t="str">
        <f>VLOOKUP(NoviaFunds[[#This Row],[ISIN]],'Novia Web Query'!$A:$E,3,FALSE)</f>
        <v>UT Global</v>
      </c>
      <c r="D1497" s="139">
        <f>VLOOKUP(NoviaFunds[[#This Row],[ISIN]],'Novia Web Query'!$A:$E,4,FALSE)/100</f>
        <v>1.5900000000000001E-2</v>
      </c>
      <c r="E1497" s="3" t="str">
        <f>VLOOKUP(NoviaFunds[[#This Row],[ISIN]],'Novia Web Query'!$A:$E,5,FALSE)</f>
        <v>19/02/2021</v>
      </c>
      <c r="F1497" t="str">
        <f>VLOOKUP(NoviaFunds[[#This Row],[Sector]],Sectors[],2,FALSE)</f>
        <v>Other Equities</v>
      </c>
    </row>
    <row r="1498" spans="1:6" x14ac:dyDescent="0.2">
      <c r="A1498" t="str">
        <f>'Novia Web Query'!A1495</f>
        <v>GB00B66RBL40</v>
      </c>
      <c r="B1498" t="str">
        <f>VLOOKUP(NoviaFunds[[#This Row],[ISIN]],'Novia Web Query'!$A:$E,2,FALSE)</f>
        <v>GAM Global Diversified Inst Acc in GB</v>
      </c>
      <c r="C1498" t="str">
        <f>VLOOKUP(NoviaFunds[[#This Row],[ISIN]],'Novia Web Query'!$A:$E,3,FALSE)</f>
        <v>UT Global</v>
      </c>
      <c r="D1498" s="139">
        <f>VLOOKUP(NoviaFunds[[#This Row],[ISIN]],'Novia Web Query'!$A:$E,4,FALSE)/100</f>
        <v>1.1399999999999999E-2</v>
      </c>
      <c r="E1498" s="3" t="str">
        <f>VLOOKUP(NoviaFunds[[#This Row],[ISIN]],'Novia Web Query'!$A:$E,5,FALSE)</f>
        <v>16/07/2021</v>
      </c>
      <c r="F1498" t="str">
        <f>VLOOKUP(NoviaFunds[[#This Row],[Sector]],Sectors[],2,FALSE)</f>
        <v>Other Equities</v>
      </c>
    </row>
    <row r="1499" spans="1:6" x14ac:dyDescent="0.2">
      <c r="A1499" t="str">
        <f>'Novia Web Query'!A1496</f>
        <v>GB0002423852</v>
      </c>
      <c r="B1499" t="str">
        <f>VLOOKUP(NoviaFunds[[#This Row],[ISIN]],'Novia Web Query'!$A:$E,2,FALSE)</f>
        <v>GAM North American Growth A Acc in GB</v>
      </c>
      <c r="C1499" t="str">
        <f>VLOOKUP(NoviaFunds[[#This Row],[ISIN]],'Novia Web Query'!$A:$E,3,FALSE)</f>
        <v>UT North America</v>
      </c>
      <c r="D1499" s="139">
        <f>VLOOKUP(NoviaFunds[[#This Row],[ISIN]],'Novia Web Query'!$A:$E,4,FALSE)/100</f>
        <v>1.5900000000000001E-2</v>
      </c>
      <c r="E1499" s="3" t="str">
        <f>VLOOKUP(NoviaFunds[[#This Row],[ISIN]],'Novia Web Query'!$A:$E,5,FALSE)</f>
        <v>12/05/2021</v>
      </c>
      <c r="F1499" t="str">
        <f>VLOOKUP(NoviaFunds[[#This Row],[Sector]],Sectors[],2,FALSE)</f>
        <v>USA Equities</v>
      </c>
    </row>
    <row r="1500" spans="1:6" x14ac:dyDescent="0.2">
      <c r="A1500" t="str">
        <f>'Novia Web Query'!A1497</f>
        <v>GB0002423746</v>
      </c>
      <c r="B1500" t="str">
        <f>VLOOKUP(NoviaFunds[[#This Row],[ISIN]],'Novia Web Query'!$A:$E,2,FALSE)</f>
        <v>GAM North American Growth A Inc TR in GB</v>
      </c>
      <c r="C1500" t="str">
        <f>VLOOKUP(NoviaFunds[[#This Row],[ISIN]],'Novia Web Query'!$A:$E,3,FALSE)</f>
        <v>UT North America</v>
      </c>
      <c r="D1500" s="139">
        <f>VLOOKUP(NoviaFunds[[#This Row],[ISIN]],'Novia Web Query'!$A:$E,4,FALSE)/100</f>
        <v>1.5900000000000001E-2</v>
      </c>
      <c r="E1500" s="3" t="str">
        <f>VLOOKUP(NoviaFunds[[#This Row],[ISIN]],'Novia Web Query'!$A:$E,5,FALSE)</f>
        <v>12/05/2021</v>
      </c>
      <c r="F1500" t="str">
        <f>VLOOKUP(NoviaFunds[[#This Row],[Sector]],Sectors[],2,FALSE)</f>
        <v>USA Equities</v>
      </c>
    </row>
    <row r="1501" spans="1:6" x14ac:dyDescent="0.2">
      <c r="A1501" t="str">
        <f>'Novia Web Query'!A1498</f>
        <v>GB00B6TTG122</v>
      </c>
      <c r="B1501" t="str">
        <f>VLOOKUP(NoviaFunds[[#This Row],[ISIN]],'Novia Web Query'!$A:$E,2,FALSE)</f>
        <v>GAM North American Growth Inst Acc in GB</v>
      </c>
      <c r="C1501" t="str">
        <f>VLOOKUP(NoviaFunds[[#This Row],[ISIN]],'Novia Web Query'!$A:$E,3,FALSE)</f>
        <v>UT North America</v>
      </c>
      <c r="D1501" s="139">
        <f>VLOOKUP(NoviaFunds[[#This Row],[ISIN]],'Novia Web Query'!$A:$E,4,FALSE)/100</f>
        <v>1.0200000000000001E-2</v>
      </c>
      <c r="E1501" s="3" t="str">
        <f>VLOOKUP(NoviaFunds[[#This Row],[ISIN]],'Novia Web Query'!$A:$E,5,FALSE)</f>
        <v>12/05/2021</v>
      </c>
      <c r="F1501" t="str">
        <f>VLOOKUP(NoviaFunds[[#This Row],[Sector]],Sectors[],2,FALSE)</f>
        <v>USA Equities</v>
      </c>
    </row>
    <row r="1502" spans="1:6" x14ac:dyDescent="0.2">
      <c r="A1502" t="str">
        <f>'Novia Web Query'!A1499</f>
        <v>GB00B75LZK14</v>
      </c>
      <c r="B1502" t="str">
        <f>VLOOKUP(NoviaFunds[[#This Row],[ISIN]],'Novia Web Query'!$A:$E,2,FALSE)</f>
        <v>GAM North American Growth Inst Inc TR in GB**</v>
      </c>
      <c r="C1502" t="str">
        <f>VLOOKUP(NoviaFunds[[#This Row],[ISIN]],'Novia Web Query'!$A:$E,3,FALSE)</f>
        <v>UT North America</v>
      </c>
      <c r="D1502" s="139">
        <f>VLOOKUP(NoviaFunds[[#This Row],[ISIN]],'Novia Web Query'!$A:$E,4,FALSE)/100</f>
        <v>1.0200000000000001E-2</v>
      </c>
      <c r="E1502" s="3" t="str">
        <f>VLOOKUP(NoviaFunds[[#This Row],[ISIN]],'Novia Web Query'!$A:$E,5,FALSE)</f>
        <v>12/05/2021</v>
      </c>
      <c r="F1502" t="str">
        <f>VLOOKUP(NoviaFunds[[#This Row],[Sector]],Sectors[],2,FALSE)</f>
        <v>USA Equities</v>
      </c>
    </row>
    <row r="1503" spans="1:6" x14ac:dyDescent="0.2">
      <c r="A1503" t="str">
        <f>'Novia Web Query'!A1500</f>
        <v>GB00BF7M7T16</v>
      </c>
      <c r="B1503" t="str">
        <f>VLOOKUP(NoviaFunds[[#This Row],[ISIN]],'Novia Web Query'!$A:$E,2,FALSE)</f>
        <v>GAM UK Equity Income Inst Semi Annual Acc in GB</v>
      </c>
      <c r="C1503" t="str">
        <f>VLOOKUP(NoviaFunds[[#This Row],[ISIN]],'Novia Web Query'!$A:$E,3,FALSE)</f>
        <v>UT UK Equity Income</v>
      </c>
      <c r="D1503" s="139">
        <f>VLOOKUP(NoviaFunds[[#This Row],[ISIN]],'Novia Web Query'!$A:$E,4,FALSE)/100</f>
        <v>8.3000000000000001E-3</v>
      </c>
      <c r="E1503" s="3" t="str">
        <f>VLOOKUP(NoviaFunds[[#This Row],[ISIN]],'Novia Web Query'!$A:$E,5,FALSE)</f>
        <v>11/11/2021</v>
      </c>
      <c r="F1503" t="str">
        <f>VLOOKUP(NoviaFunds[[#This Row],[Sector]],Sectors[],2,FALSE)</f>
        <v>UK Equities</v>
      </c>
    </row>
    <row r="1504" spans="1:6" x14ac:dyDescent="0.2">
      <c r="A1504" t="str">
        <f>'Novia Web Query'!A1501</f>
        <v>GB00BD814M52</v>
      </c>
      <c r="B1504" t="str">
        <f>VLOOKUP(NoviaFunds[[#This Row],[ISIN]],'Novia Web Query'!$A:$E,2,FALSE)</f>
        <v>GAM UK Equity Income Inst Semi Annual Inc TR in GB</v>
      </c>
      <c r="C1504" t="str">
        <f>VLOOKUP(NoviaFunds[[#This Row],[ISIN]],'Novia Web Query'!$A:$E,3,FALSE)</f>
        <v>UT UK Equity Income</v>
      </c>
      <c r="D1504" s="139">
        <f>VLOOKUP(NoviaFunds[[#This Row],[ISIN]],'Novia Web Query'!$A:$E,4,FALSE)/100</f>
        <v>8.3000000000000001E-3</v>
      </c>
      <c r="E1504" s="3" t="str">
        <f>VLOOKUP(NoviaFunds[[#This Row],[ISIN]],'Novia Web Query'!$A:$E,5,FALSE)</f>
        <v>11/11/2021</v>
      </c>
      <c r="F1504" t="str">
        <f>VLOOKUP(NoviaFunds[[#This Row],[Sector]],Sectors[],2,FALSE)</f>
        <v>UK Equities</v>
      </c>
    </row>
    <row r="1505" spans="1:6" x14ac:dyDescent="0.2">
      <c r="A1505" t="str">
        <f>'Novia Web Query'!A1502</f>
        <v>GB00BF7M7V38</v>
      </c>
      <c r="B1505" t="str">
        <f>VLOOKUP(NoviaFunds[[#This Row],[ISIN]],'Novia Web Query'!$A:$E,2,FALSE)</f>
        <v>GAM UK Equity Income Z Semi Annual Acc in GB</v>
      </c>
      <c r="C1505" t="str">
        <f>VLOOKUP(NoviaFunds[[#This Row],[ISIN]],'Novia Web Query'!$A:$E,3,FALSE)</f>
        <v>UT UK Equity Income</v>
      </c>
      <c r="D1505" s="139">
        <f>VLOOKUP(NoviaFunds[[#This Row],[ISIN]],'Novia Web Query'!$A:$E,4,FALSE)/100</f>
        <v>6.3E-3</v>
      </c>
      <c r="E1505" s="3" t="str">
        <f>VLOOKUP(NoviaFunds[[#This Row],[ISIN]],'Novia Web Query'!$A:$E,5,FALSE)</f>
        <v>11/11/2021</v>
      </c>
      <c r="F1505" t="str">
        <f>VLOOKUP(NoviaFunds[[#This Row],[Sector]],Sectors[],2,FALSE)</f>
        <v>UK Equities</v>
      </c>
    </row>
    <row r="1506" spans="1:6" x14ac:dyDescent="0.2">
      <c r="A1506" t="str">
        <f>'Novia Web Query'!A1503</f>
        <v>GB00BF09N571</v>
      </c>
      <c r="B1506" t="str">
        <f>VLOOKUP(NoviaFunds[[#This Row],[ISIN]],'Novia Web Query'!$A:$E,2,FALSE)</f>
        <v>GAM UK Equity Income Z Semi Annual Inc TR in GB</v>
      </c>
      <c r="C1506" t="str">
        <f>VLOOKUP(NoviaFunds[[#This Row],[ISIN]],'Novia Web Query'!$A:$E,3,FALSE)</f>
        <v>UT UK Equity Income</v>
      </c>
      <c r="D1506" s="139">
        <f>VLOOKUP(NoviaFunds[[#This Row],[ISIN]],'Novia Web Query'!$A:$E,4,FALSE)/100</f>
        <v>6.3E-3</v>
      </c>
      <c r="E1506" s="3" t="str">
        <f>VLOOKUP(NoviaFunds[[#This Row],[ISIN]],'Novia Web Query'!$A:$E,5,FALSE)</f>
        <v>11/11/2021</v>
      </c>
      <c r="F1506" t="str">
        <f>VLOOKUP(NoviaFunds[[#This Row],[Sector]],Sectors[],2,FALSE)</f>
        <v>UK Equities</v>
      </c>
    </row>
    <row r="1507" spans="1:6" x14ac:dyDescent="0.2">
      <c r="A1507" t="str">
        <f>'Novia Web Query'!A1504</f>
        <v>GB00B6RPQL25</v>
      </c>
      <c r="B1507" t="str">
        <f>VLOOKUP(NoviaFunds[[#This Row],[ISIN]],'Novia Web Query'!$A:$E,2,FALSE)</f>
        <v>Garraway VT Garraway UK Equity Market F Acc in GB</v>
      </c>
      <c r="C1507" t="str">
        <f>VLOOKUP(NoviaFunds[[#This Row],[ISIN]],'Novia Web Query'!$A:$E,3,FALSE)</f>
        <v>UT UK All Companies</v>
      </c>
      <c r="D1507" s="139">
        <f>VLOOKUP(NoviaFunds[[#This Row],[ISIN]],'Novia Web Query'!$A:$E,4,FALSE)/100</f>
        <v>1.0200000000000001E-2</v>
      </c>
      <c r="E1507" s="3" t="str">
        <f>VLOOKUP(NoviaFunds[[#This Row],[ISIN]],'Novia Web Query'!$A:$E,5,FALSE)</f>
        <v>31/12/2020</v>
      </c>
      <c r="F1507" t="str">
        <f>VLOOKUP(NoviaFunds[[#This Row],[Sector]],Sectors[],2,FALSE)</f>
        <v>UK Equities</v>
      </c>
    </row>
    <row r="1508" spans="1:6" x14ac:dyDescent="0.2">
      <c r="A1508" t="str">
        <f>'Novia Web Query'!A1505</f>
        <v>GB00B7MF2Y92</v>
      </c>
      <c r="B1508" t="str">
        <f>VLOOKUP(NoviaFunds[[#This Row],[ISIN]],'Novia Web Query'!$A:$E,2,FALSE)</f>
        <v>Garraway VT Garraway UK Equity Market F Inc TR in GB</v>
      </c>
      <c r="C1508" t="str">
        <f>VLOOKUP(NoviaFunds[[#This Row],[ISIN]],'Novia Web Query'!$A:$E,3,FALSE)</f>
        <v>UT UK All Companies</v>
      </c>
      <c r="D1508" s="139">
        <f>VLOOKUP(NoviaFunds[[#This Row],[ISIN]],'Novia Web Query'!$A:$E,4,FALSE)/100</f>
        <v>1.0200000000000001E-2</v>
      </c>
      <c r="E1508" s="3" t="str">
        <f>VLOOKUP(NoviaFunds[[#This Row],[ISIN]],'Novia Web Query'!$A:$E,5,FALSE)</f>
        <v>31/12/2020</v>
      </c>
      <c r="F1508" t="str">
        <f>VLOOKUP(NoviaFunds[[#This Row],[Sector]],Sectors[],2,FALSE)</f>
        <v>UK Equities</v>
      </c>
    </row>
    <row r="1509" spans="1:6" x14ac:dyDescent="0.2">
      <c r="A1509" t="str">
        <f>'Novia Web Query'!A1506</f>
        <v>GB00B8W6B206</v>
      </c>
      <c r="B1509" t="str">
        <f>VLOOKUP(NoviaFunds[[#This Row],[ISIN]],'Novia Web Query'!$A:$E,2,FALSE)</f>
        <v>Handelsbanken Balanced Multi Asset D Acc in GB**</v>
      </c>
      <c r="C1509" t="str">
        <f>VLOOKUP(NoviaFunds[[#This Row],[ISIN]],'Novia Web Query'!$A:$E,3,FALSE)</f>
        <v>UT Unclassified</v>
      </c>
      <c r="D1509" s="139">
        <f>VLOOKUP(NoviaFunds[[#This Row],[ISIN]],'Novia Web Query'!$A:$E,4,FALSE)/100</f>
        <v>1.01E-2</v>
      </c>
      <c r="E1509" s="3" t="str">
        <f>VLOOKUP(NoviaFunds[[#This Row],[ISIN]],'Novia Web Query'!$A:$E,5,FALSE)</f>
        <v>11/02/2021</v>
      </c>
      <c r="F1509" t="str">
        <f>VLOOKUP(NoviaFunds[[#This Row],[Sector]],Sectors[],2,FALSE)</f>
        <v>Unclassified</v>
      </c>
    </row>
    <row r="1510" spans="1:6" x14ac:dyDescent="0.2">
      <c r="A1510" t="str">
        <f>'Novia Web Query'!A1507</f>
        <v>GB00B4PT4N03</v>
      </c>
      <c r="B1510" t="str">
        <f>VLOOKUP(NoviaFunds[[#This Row],[ISIN]],'Novia Web Query'!$A:$E,2,FALSE)</f>
        <v>Handelsbanken Balanced Multi Asset I Acc NAV in GB</v>
      </c>
      <c r="C1510" t="str">
        <f>VLOOKUP(NoviaFunds[[#This Row],[ISIN]],'Novia Web Query'!$A:$E,3,FALSE)</f>
        <v>UT Unclassified</v>
      </c>
      <c r="D1510" s="139">
        <f>VLOOKUP(NoviaFunds[[#This Row],[ISIN]],'Novia Web Query'!$A:$E,4,FALSE)/100</f>
        <v>1.26E-2</v>
      </c>
      <c r="E1510" s="3" t="str">
        <f>VLOOKUP(NoviaFunds[[#This Row],[ISIN]],'Novia Web Query'!$A:$E,5,FALSE)</f>
        <v>11/02/2021</v>
      </c>
      <c r="F1510" t="str">
        <f>VLOOKUP(NoviaFunds[[#This Row],[Sector]],Sectors[],2,FALSE)</f>
        <v>Unclassified</v>
      </c>
    </row>
    <row r="1511" spans="1:6" x14ac:dyDescent="0.2">
      <c r="A1511" t="str">
        <f>'Novia Web Query'!A1508</f>
        <v>GB00B4NX0471</v>
      </c>
      <c r="B1511" t="str">
        <f>VLOOKUP(NoviaFunds[[#This Row],[ISIN]],'Novia Web Query'!$A:$E,2,FALSE)</f>
        <v>Handelsbanken Balanced Multi Asset I Inc NAV TR in GB</v>
      </c>
      <c r="C1511" t="str">
        <f>VLOOKUP(NoviaFunds[[#This Row],[ISIN]],'Novia Web Query'!$A:$E,3,FALSE)</f>
        <v>UT Unclassified</v>
      </c>
      <c r="D1511" s="139">
        <f>VLOOKUP(NoviaFunds[[#This Row],[ISIN]],'Novia Web Query'!$A:$E,4,FALSE)/100</f>
        <v>1.26E-2</v>
      </c>
      <c r="E1511" s="3" t="str">
        <f>VLOOKUP(NoviaFunds[[#This Row],[ISIN]],'Novia Web Query'!$A:$E,5,FALSE)</f>
        <v>11/02/2021</v>
      </c>
      <c r="F1511" t="str">
        <f>VLOOKUP(NoviaFunds[[#This Row],[Sector]],Sectors[],2,FALSE)</f>
        <v>Unclassified</v>
      </c>
    </row>
    <row r="1512" spans="1:6" x14ac:dyDescent="0.2">
      <c r="A1512" t="str">
        <f>'Novia Web Query'!A1509</f>
        <v>GB00BJXS5G41</v>
      </c>
      <c r="B1512" t="str">
        <f>VLOOKUP(NoviaFunds[[#This Row],[ISIN]],'Novia Web Query'!$A:$E,2,FALSE)</f>
        <v>Handelsbanken Balanced Sustainable Multi Asset I Acc in GB</v>
      </c>
      <c r="C1512" t="str">
        <f>VLOOKUP(NoviaFunds[[#This Row],[ISIN]],'Novia Web Query'!$A:$E,3,FALSE)</f>
        <v>UT Mixed Investment 20-60% Shares</v>
      </c>
      <c r="D1512" s="139">
        <f>VLOOKUP(NoviaFunds[[#This Row],[ISIN]],'Novia Web Query'!$A:$E,4,FALSE)/100</f>
        <v>1.32E-2</v>
      </c>
      <c r="E1512" s="3" t="str">
        <f>VLOOKUP(NoviaFunds[[#This Row],[ISIN]],'Novia Web Query'!$A:$E,5,FALSE)</f>
        <v>11/02/2021</v>
      </c>
      <c r="F1512" t="str">
        <f>VLOOKUP(NoviaFunds[[#This Row],[Sector]],Sectors[],2,FALSE)</f>
        <v>Mixed 20%-60%</v>
      </c>
    </row>
    <row r="1513" spans="1:6" x14ac:dyDescent="0.2">
      <c r="A1513" t="str">
        <f>'Novia Web Query'!A1510</f>
        <v>GB00B8W69Q02</v>
      </c>
      <c r="B1513" t="str">
        <f>VLOOKUP(NoviaFunds[[#This Row],[ISIN]],'Novia Web Query'!$A:$E,2,FALSE)</f>
        <v>Handelsbanken Cautious Multi Asset D Acc in GB**</v>
      </c>
      <c r="C1513" t="str">
        <f>VLOOKUP(NoviaFunds[[#This Row],[ISIN]],'Novia Web Query'!$A:$E,3,FALSE)</f>
        <v>UT Unclassified</v>
      </c>
      <c r="D1513" s="139">
        <f>VLOOKUP(NoviaFunds[[#This Row],[ISIN]],'Novia Web Query'!$A:$E,4,FALSE)/100</f>
        <v>7.9000000000000008E-3</v>
      </c>
      <c r="E1513" s="3" t="str">
        <f>VLOOKUP(NoviaFunds[[#This Row],[ISIN]],'Novia Web Query'!$A:$E,5,FALSE)</f>
        <v>11/02/2021</v>
      </c>
      <c r="F1513" t="str">
        <f>VLOOKUP(NoviaFunds[[#This Row],[Sector]],Sectors[],2,FALSE)</f>
        <v>Unclassified</v>
      </c>
    </row>
    <row r="1514" spans="1:6" x14ac:dyDescent="0.2">
      <c r="A1514" t="str">
        <f>'Novia Web Query'!A1511</f>
        <v>GB00B4P12091</v>
      </c>
      <c r="B1514" t="str">
        <f>VLOOKUP(NoviaFunds[[#This Row],[ISIN]],'Novia Web Query'!$A:$E,2,FALSE)</f>
        <v>Handelsbanken Cautious Multi Asset I Acc NAV in GB**</v>
      </c>
      <c r="C1514" t="str">
        <f>VLOOKUP(NoviaFunds[[#This Row],[ISIN]],'Novia Web Query'!$A:$E,3,FALSE)</f>
        <v>UT Unclassified</v>
      </c>
      <c r="D1514" s="139">
        <f>VLOOKUP(NoviaFunds[[#This Row],[ISIN]],'Novia Web Query'!$A:$E,4,FALSE)/100</f>
        <v>1.04E-2</v>
      </c>
      <c r="E1514" s="3" t="str">
        <f>VLOOKUP(NoviaFunds[[#This Row],[ISIN]],'Novia Web Query'!$A:$E,5,FALSE)</f>
        <v>11/02/2021</v>
      </c>
      <c r="F1514" t="str">
        <f>VLOOKUP(NoviaFunds[[#This Row],[Sector]],Sectors[],2,FALSE)</f>
        <v>Unclassified</v>
      </c>
    </row>
    <row r="1515" spans="1:6" x14ac:dyDescent="0.2">
      <c r="A1515" t="str">
        <f>'Novia Web Query'!A1512</f>
        <v>GB00B4KBTG99</v>
      </c>
      <c r="B1515" t="str">
        <f>VLOOKUP(NoviaFunds[[#This Row],[ISIN]],'Novia Web Query'!$A:$E,2,FALSE)</f>
        <v>Handelsbanken Cautious Multi Asset I Inc NAV TR in GB**</v>
      </c>
      <c r="C1515" t="str">
        <f>VLOOKUP(NoviaFunds[[#This Row],[ISIN]],'Novia Web Query'!$A:$E,3,FALSE)</f>
        <v>UT Unclassified</v>
      </c>
      <c r="D1515" s="139">
        <f>VLOOKUP(NoviaFunds[[#This Row],[ISIN]],'Novia Web Query'!$A:$E,4,FALSE)/100</f>
        <v>1.04E-2</v>
      </c>
      <c r="E1515" s="3" t="str">
        <f>VLOOKUP(NoviaFunds[[#This Row],[ISIN]],'Novia Web Query'!$A:$E,5,FALSE)</f>
        <v>11/02/2021</v>
      </c>
      <c r="F1515" t="str">
        <f>VLOOKUP(NoviaFunds[[#This Row],[Sector]],Sectors[],2,FALSE)</f>
        <v>Unclassified</v>
      </c>
    </row>
    <row r="1516" spans="1:6" x14ac:dyDescent="0.2">
      <c r="A1516" t="str">
        <f>'Novia Web Query'!A1513</f>
        <v>GB00BJXS5B95</v>
      </c>
      <c r="B1516" t="str">
        <f>VLOOKUP(NoviaFunds[[#This Row],[ISIN]],'Novia Web Query'!$A:$E,2,FALSE)</f>
        <v>Handelsbanken Cautious Sustainable Multi Asset I Acc in GB</v>
      </c>
      <c r="C1516" t="str">
        <f>VLOOKUP(NoviaFunds[[#This Row],[ISIN]],'Novia Web Query'!$A:$E,3,FALSE)</f>
        <v>UT Mixed Investment 0-35% Shares</v>
      </c>
      <c r="D1516" s="139">
        <f>VLOOKUP(NoviaFunds[[#This Row],[ISIN]],'Novia Web Query'!$A:$E,4,FALSE)/100</f>
        <v>1.29E-2</v>
      </c>
      <c r="E1516" s="3" t="str">
        <f>VLOOKUP(NoviaFunds[[#This Row],[ISIN]],'Novia Web Query'!$A:$E,5,FALSE)</f>
        <v>11/02/2021</v>
      </c>
      <c r="F1516" t="str">
        <f>VLOOKUP(NoviaFunds[[#This Row],[Sector]],Sectors[],2,FALSE)</f>
        <v>Mixed 0%-35%</v>
      </c>
    </row>
    <row r="1517" spans="1:6" x14ac:dyDescent="0.2">
      <c r="A1517" t="str">
        <f>'Novia Web Query'!A1514</f>
        <v>GB00B8W6BC09</v>
      </c>
      <c r="B1517" t="str">
        <f>VLOOKUP(NoviaFunds[[#This Row],[ISIN]],'Novia Web Query'!$A:$E,2,FALSE)</f>
        <v>Handelsbanken Defensive Multi Asset D Acc in GB**</v>
      </c>
      <c r="C1517" t="str">
        <f>VLOOKUP(NoviaFunds[[#This Row],[ISIN]],'Novia Web Query'!$A:$E,3,FALSE)</f>
        <v>UT Unclassified</v>
      </c>
      <c r="D1517" s="139">
        <f>VLOOKUP(NoviaFunds[[#This Row],[ISIN]],'Novia Web Query'!$A:$E,4,FALSE)/100</f>
        <v>8.6999999999999994E-3</v>
      </c>
      <c r="E1517" s="3" t="str">
        <f>VLOOKUP(NoviaFunds[[#This Row],[ISIN]],'Novia Web Query'!$A:$E,5,FALSE)</f>
        <v>11/02/2021</v>
      </c>
      <c r="F1517" t="str">
        <f>VLOOKUP(NoviaFunds[[#This Row],[Sector]],Sectors[],2,FALSE)</f>
        <v>Unclassified</v>
      </c>
    </row>
    <row r="1518" spans="1:6" x14ac:dyDescent="0.2">
      <c r="A1518" t="str">
        <f>'Novia Web Query'!A1515</f>
        <v>GB00B7660X37</v>
      </c>
      <c r="B1518" t="str">
        <f>VLOOKUP(NoviaFunds[[#This Row],[ISIN]],'Novia Web Query'!$A:$E,2,FALSE)</f>
        <v>Handelsbanken Defensive Multi Asset I Acc in GB</v>
      </c>
      <c r="C1518" t="str">
        <f>VLOOKUP(NoviaFunds[[#This Row],[ISIN]],'Novia Web Query'!$A:$E,3,FALSE)</f>
        <v>UT Unclassified</v>
      </c>
      <c r="D1518" s="139">
        <f>VLOOKUP(NoviaFunds[[#This Row],[ISIN]],'Novia Web Query'!$A:$E,4,FALSE)/100</f>
        <v>1.1200000000000002E-2</v>
      </c>
      <c r="E1518" s="3" t="str">
        <f>VLOOKUP(NoviaFunds[[#This Row],[ISIN]],'Novia Web Query'!$A:$E,5,FALSE)</f>
        <v>11/02/2021</v>
      </c>
      <c r="F1518" t="str">
        <f>VLOOKUP(NoviaFunds[[#This Row],[Sector]],Sectors[],2,FALSE)</f>
        <v>Unclassified</v>
      </c>
    </row>
    <row r="1519" spans="1:6" x14ac:dyDescent="0.2">
      <c r="A1519" t="str">
        <f>'Novia Web Query'!A1516</f>
        <v>GB00B4L57C25</v>
      </c>
      <c r="B1519" t="str">
        <f>VLOOKUP(NoviaFunds[[#This Row],[ISIN]],'Novia Web Query'!$A:$E,2,FALSE)</f>
        <v>Handelsbanken Growth Multi Asset I Acc NAV in GB**</v>
      </c>
      <c r="C1519" t="str">
        <f>VLOOKUP(NoviaFunds[[#This Row],[ISIN]],'Novia Web Query'!$A:$E,3,FALSE)</f>
        <v>UT Unclassified</v>
      </c>
      <c r="D1519" s="139">
        <f>VLOOKUP(NoviaFunds[[#This Row],[ISIN]],'Novia Web Query'!$A:$E,4,FALSE)/100</f>
        <v>1.4199999999999999E-2</v>
      </c>
      <c r="E1519" s="3" t="str">
        <f>VLOOKUP(NoviaFunds[[#This Row],[ISIN]],'Novia Web Query'!$A:$E,5,FALSE)</f>
        <v>11/02/2021</v>
      </c>
      <c r="F1519" t="str">
        <f>VLOOKUP(NoviaFunds[[#This Row],[Sector]],Sectors[],2,FALSE)</f>
        <v>Unclassified</v>
      </c>
    </row>
    <row r="1520" spans="1:6" x14ac:dyDescent="0.2">
      <c r="A1520" t="str">
        <f>'Novia Web Query'!A1517</f>
        <v>GB00BJXS3V51</v>
      </c>
      <c r="B1520" t="str">
        <f>VLOOKUP(NoviaFunds[[#This Row],[ISIN]],'Novia Web Query'!$A:$E,2,FALSE)</f>
        <v>Handelsbanken Growth Sustainable Multi Asset D Acc in GB</v>
      </c>
      <c r="C1520" t="str">
        <f>VLOOKUP(NoviaFunds[[#This Row],[ISIN]],'Novia Web Query'!$A:$E,3,FALSE)</f>
        <v>UT Mixed Investment 40-85% Shares</v>
      </c>
      <c r="D1520" s="139">
        <f>VLOOKUP(NoviaFunds[[#This Row],[ISIN]],'Novia Web Query'!$A:$E,4,FALSE)/100</f>
        <v>1.24E-2</v>
      </c>
      <c r="E1520" s="3" t="str">
        <f>VLOOKUP(NoviaFunds[[#This Row],[ISIN]],'Novia Web Query'!$A:$E,5,FALSE)</f>
        <v>11/02/2021</v>
      </c>
      <c r="F1520" t="str">
        <f>VLOOKUP(NoviaFunds[[#This Row],[Sector]],Sectors[],2,FALSE)</f>
        <v>Mixed 40%-85%</v>
      </c>
    </row>
    <row r="1521" spans="1:6" x14ac:dyDescent="0.2">
      <c r="A1521" t="str">
        <f>'Novia Web Query'!A1518</f>
        <v>GB00BJXS3X75</v>
      </c>
      <c r="B1521" t="str">
        <f>VLOOKUP(NoviaFunds[[#This Row],[ISIN]],'Novia Web Query'!$A:$E,2,FALSE)</f>
        <v>Handelsbanken Growth Sustainable Multi Asset I Acc in GB</v>
      </c>
      <c r="C1521" t="str">
        <f>VLOOKUP(NoviaFunds[[#This Row],[ISIN]],'Novia Web Query'!$A:$E,3,FALSE)</f>
        <v>UT Mixed Investment 40-85% Shares</v>
      </c>
      <c r="D1521" s="139">
        <f>VLOOKUP(NoviaFunds[[#This Row],[ISIN]],'Novia Web Query'!$A:$E,4,FALSE)/100</f>
        <v>1.49E-2</v>
      </c>
      <c r="E1521" s="3" t="str">
        <f>VLOOKUP(NoviaFunds[[#This Row],[ISIN]],'Novia Web Query'!$A:$E,5,FALSE)</f>
        <v>11/02/2021</v>
      </c>
      <c r="F1521" t="str">
        <f>VLOOKUP(NoviaFunds[[#This Row],[Sector]],Sectors[],2,FALSE)</f>
        <v>Mixed 40%-85%</v>
      </c>
    </row>
    <row r="1522" spans="1:6" x14ac:dyDescent="0.2">
      <c r="A1522" t="str">
        <f>'Novia Web Query'!A1519</f>
        <v>GB00B4PPL933</v>
      </c>
      <c r="B1522" t="str">
        <f>VLOOKUP(NoviaFunds[[#This Row],[ISIN]],'Novia Web Query'!$A:$E,2,FALSE)</f>
        <v>Handelsbanken Income Plus Multi Asset I Inc NAV TR in GB</v>
      </c>
      <c r="C1522" t="str">
        <f>VLOOKUP(NoviaFunds[[#This Row],[ISIN]],'Novia Web Query'!$A:$E,3,FALSE)</f>
        <v>UT Unclassified</v>
      </c>
      <c r="D1522" s="139">
        <f>VLOOKUP(NoviaFunds[[#This Row],[ISIN]],'Novia Web Query'!$A:$E,4,FALSE)/100</f>
        <v>1.3500000000000002E-2</v>
      </c>
      <c r="E1522" s="3" t="str">
        <f>VLOOKUP(NoviaFunds[[#This Row],[ISIN]],'Novia Web Query'!$A:$E,5,FALSE)</f>
        <v>11/02/2021</v>
      </c>
      <c r="F1522" t="str">
        <f>VLOOKUP(NoviaFunds[[#This Row],[Sector]],Sectors[],2,FALSE)</f>
        <v>Unclassified</v>
      </c>
    </row>
    <row r="1523" spans="1:6" x14ac:dyDescent="0.2">
      <c r="A1523" t="str">
        <f>'Novia Web Query'!A1520</f>
        <v>GB00B80QG615</v>
      </c>
      <c r="B1523" t="str">
        <f>VLOOKUP(NoviaFunds[[#This Row],[ISIN]],'Novia Web Query'!$A:$E,2,FALSE)</f>
        <v>HSBC American Index C Acc in GB</v>
      </c>
      <c r="C1523" t="str">
        <f>VLOOKUP(NoviaFunds[[#This Row],[ISIN]],'Novia Web Query'!$A:$E,3,FALSE)</f>
        <v>UT North America</v>
      </c>
      <c r="D1523" s="139">
        <f>VLOOKUP(NoviaFunds[[#This Row],[ISIN]],'Novia Web Query'!$A:$E,4,FALSE)/100</f>
        <v>5.9999999999999995E-4</v>
      </c>
      <c r="E1523" s="3" t="str">
        <f>VLOOKUP(NoviaFunds[[#This Row],[ISIN]],'Novia Web Query'!$A:$E,5,FALSE)</f>
        <v>15/11/2020</v>
      </c>
      <c r="F1523" t="str">
        <f>VLOOKUP(NoviaFunds[[#This Row],[Sector]],Sectors[],2,FALSE)</f>
        <v>USA Equities</v>
      </c>
    </row>
    <row r="1524" spans="1:6" x14ac:dyDescent="0.2">
      <c r="A1524" t="str">
        <f>'Novia Web Query'!A1521</f>
        <v>GB00B80QG490</v>
      </c>
      <c r="B1524" t="str">
        <f>VLOOKUP(NoviaFunds[[#This Row],[ISIN]],'Novia Web Query'!$A:$E,2,FALSE)</f>
        <v>HSBC American Index C Inc TR in GB</v>
      </c>
      <c r="C1524" t="str">
        <f>VLOOKUP(NoviaFunds[[#This Row],[ISIN]],'Novia Web Query'!$A:$E,3,FALSE)</f>
        <v>UT North America</v>
      </c>
      <c r="D1524" s="139">
        <f>VLOOKUP(NoviaFunds[[#This Row],[ISIN]],'Novia Web Query'!$A:$E,4,FALSE)/100</f>
        <v>5.9999999999999995E-4</v>
      </c>
      <c r="E1524" s="3" t="str">
        <f>VLOOKUP(NoviaFunds[[#This Row],[ISIN]],'Novia Web Query'!$A:$E,5,FALSE)</f>
        <v>15/11/2020</v>
      </c>
      <c r="F1524" t="str">
        <f>VLOOKUP(NoviaFunds[[#This Row],[Sector]],Sectors[],2,FALSE)</f>
        <v>USA Equities</v>
      </c>
    </row>
    <row r="1525" spans="1:6" x14ac:dyDescent="0.2">
      <c r="A1525" t="str">
        <f>'Novia Web Query'!A1522</f>
        <v>GB0000473313</v>
      </c>
      <c r="B1525" t="str">
        <f>VLOOKUP(NoviaFunds[[#This Row],[ISIN]],'Novia Web Query'!$A:$E,2,FALSE)</f>
        <v>HSBC American Index Inst Acc in GB</v>
      </c>
      <c r="C1525" t="str">
        <f>VLOOKUP(NoviaFunds[[#This Row],[ISIN]],'Novia Web Query'!$A:$E,3,FALSE)</f>
        <v>UT North America</v>
      </c>
      <c r="D1525" s="139">
        <f>VLOOKUP(NoviaFunds[[#This Row],[ISIN]],'Novia Web Query'!$A:$E,4,FALSE)/100</f>
        <v>2.0000000000000001E-4</v>
      </c>
      <c r="E1525" s="3" t="str">
        <f>VLOOKUP(NoviaFunds[[#This Row],[ISIN]],'Novia Web Query'!$A:$E,5,FALSE)</f>
        <v>15/11/2020</v>
      </c>
      <c r="F1525" t="str">
        <f>VLOOKUP(NoviaFunds[[#This Row],[Sector]],Sectors[],2,FALSE)</f>
        <v>USA Equities</v>
      </c>
    </row>
    <row r="1526" spans="1:6" x14ac:dyDescent="0.2">
      <c r="A1526" t="str">
        <f>'Novia Web Query'!A1523</f>
        <v>GB0000470418</v>
      </c>
      <c r="B1526" t="str">
        <f>VLOOKUP(NoviaFunds[[#This Row],[ISIN]],'Novia Web Query'!$A:$E,2,FALSE)</f>
        <v>HSBC American Index Ret Acc in GB</v>
      </c>
      <c r="C1526" t="str">
        <f>VLOOKUP(NoviaFunds[[#This Row],[ISIN]],'Novia Web Query'!$A:$E,3,FALSE)</f>
        <v>UT North America</v>
      </c>
      <c r="D1526" s="139">
        <f>VLOOKUP(NoviaFunds[[#This Row],[ISIN]],'Novia Web Query'!$A:$E,4,FALSE)/100</f>
        <v>1.6000000000000001E-3</v>
      </c>
      <c r="E1526" s="3" t="str">
        <f>VLOOKUP(NoviaFunds[[#This Row],[ISIN]],'Novia Web Query'!$A:$E,5,FALSE)</f>
        <v>15/11/2020</v>
      </c>
      <c r="F1526" t="str">
        <f>VLOOKUP(NoviaFunds[[#This Row],[Sector]],Sectors[],2,FALSE)</f>
        <v>USA Equities</v>
      </c>
    </row>
    <row r="1527" spans="1:6" x14ac:dyDescent="0.2">
      <c r="A1527" t="str">
        <f>'Novia Web Query'!A1524</f>
        <v>GB0000469741</v>
      </c>
      <c r="B1527" t="str">
        <f>VLOOKUP(NoviaFunds[[#This Row],[ISIN]],'Novia Web Query'!$A:$E,2,FALSE)</f>
        <v>HSBC American Index Ret Inc TR in GB</v>
      </c>
      <c r="C1527" t="str">
        <f>VLOOKUP(NoviaFunds[[#This Row],[ISIN]],'Novia Web Query'!$A:$E,3,FALSE)</f>
        <v>UT North America</v>
      </c>
      <c r="D1527" s="139">
        <f>VLOOKUP(NoviaFunds[[#This Row],[ISIN]],'Novia Web Query'!$A:$E,4,FALSE)/100</f>
        <v>1.6000000000000001E-3</v>
      </c>
      <c r="E1527" s="3" t="str">
        <f>VLOOKUP(NoviaFunds[[#This Row],[ISIN]],'Novia Web Query'!$A:$E,5,FALSE)</f>
        <v>15/11/2020</v>
      </c>
      <c r="F1527" t="str">
        <f>VLOOKUP(NoviaFunds[[#This Row],[Sector]],Sectors[],2,FALSE)</f>
        <v>USA Equities</v>
      </c>
    </row>
    <row r="1528" spans="1:6" x14ac:dyDescent="0.2">
      <c r="A1528" t="str">
        <f>'Novia Web Query'!A1525</f>
        <v>GB00BG0R5293</v>
      </c>
      <c r="B1528" t="str">
        <f>VLOOKUP(NoviaFunds[[#This Row],[ISIN]],'Novia Web Query'!$A:$E,2,FALSE)</f>
        <v>HSBC Balanced C Acc in GB</v>
      </c>
      <c r="C1528" t="str">
        <f>VLOOKUP(NoviaFunds[[#This Row],[ISIN]],'Novia Web Query'!$A:$E,3,FALSE)</f>
        <v>UT Mixed Investment 40-85% Shares</v>
      </c>
      <c r="D1528" s="139">
        <f>VLOOKUP(NoviaFunds[[#This Row],[ISIN]],'Novia Web Query'!$A:$E,4,FALSE)/100</f>
        <v>7.4000000000000003E-3</v>
      </c>
      <c r="E1528" s="3" t="str">
        <f>VLOOKUP(NoviaFunds[[#This Row],[ISIN]],'Novia Web Query'!$A:$E,5,FALSE)</f>
        <v>01/10/2020</v>
      </c>
      <c r="F1528" t="str">
        <f>VLOOKUP(NoviaFunds[[#This Row],[Sector]],Sectors[],2,FALSE)</f>
        <v>Mixed 40%-85%</v>
      </c>
    </row>
    <row r="1529" spans="1:6" x14ac:dyDescent="0.2">
      <c r="A1529" t="str">
        <f>'Novia Web Query'!A1526</f>
        <v>GB00BG0R4Z55</v>
      </c>
      <c r="B1529" t="str">
        <f>VLOOKUP(NoviaFunds[[#This Row],[ISIN]],'Novia Web Query'!$A:$E,2,FALSE)</f>
        <v>HSBC Balanced C Inc TR in GB**</v>
      </c>
      <c r="C1529" t="str">
        <f>VLOOKUP(NoviaFunds[[#This Row],[ISIN]],'Novia Web Query'!$A:$E,3,FALSE)</f>
        <v>UT Mixed Investment 40-85% Shares</v>
      </c>
      <c r="D1529" s="139">
        <f>VLOOKUP(NoviaFunds[[#This Row],[ISIN]],'Novia Web Query'!$A:$E,4,FALSE)/100</f>
        <v>7.4000000000000003E-3</v>
      </c>
      <c r="E1529" s="3" t="str">
        <f>VLOOKUP(NoviaFunds[[#This Row],[ISIN]],'Novia Web Query'!$A:$E,5,FALSE)</f>
        <v>01/10/2020</v>
      </c>
      <c r="F1529" t="str">
        <f>VLOOKUP(NoviaFunds[[#This Row],[Sector]],Sectors[],2,FALSE)</f>
        <v>Mixed 40%-85%</v>
      </c>
    </row>
    <row r="1530" spans="1:6" x14ac:dyDescent="0.2">
      <c r="A1530" t="str">
        <f>'Novia Web Query'!A1527</f>
        <v>GB0000190289</v>
      </c>
      <c r="B1530" t="str">
        <f>VLOOKUP(NoviaFunds[[#This Row],[ISIN]],'Novia Web Query'!$A:$E,2,FALSE)</f>
        <v>HSBC Balanced Ret Acc in GB</v>
      </c>
      <c r="C1530" t="str">
        <f>VLOOKUP(NoviaFunds[[#This Row],[ISIN]],'Novia Web Query'!$A:$E,3,FALSE)</f>
        <v>UT Mixed Investment 40-85% Shares</v>
      </c>
      <c r="D1530" s="139">
        <f>VLOOKUP(NoviaFunds[[#This Row],[ISIN]],'Novia Web Query'!$A:$E,4,FALSE)/100</f>
        <v>1.6799999999999999E-2</v>
      </c>
      <c r="E1530" s="3" t="str">
        <f>VLOOKUP(NoviaFunds[[#This Row],[ISIN]],'Novia Web Query'!$A:$E,5,FALSE)</f>
        <v>01/10/2020</v>
      </c>
      <c r="F1530" t="str">
        <f>VLOOKUP(NoviaFunds[[#This Row],[Sector]],Sectors[],2,FALSE)</f>
        <v>Mixed 40%-85%</v>
      </c>
    </row>
    <row r="1531" spans="1:6" x14ac:dyDescent="0.2">
      <c r="A1531" t="str">
        <f>'Novia Web Query'!A1528</f>
        <v>GB00B85KC152</v>
      </c>
      <c r="B1531" t="str">
        <f>VLOOKUP(NoviaFunds[[#This Row],[ISIN]],'Novia Web Query'!$A:$E,2,FALSE)</f>
        <v>HSBC Corporate Bond C Acc in GB</v>
      </c>
      <c r="C1531" t="str">
        <f>VLOOKUP(NoviaFunds[[#This Row],[ISIN]],'Novia Web Query'!$A:$E,3,FALSE)</f>
        <v>UT Sterling Corporate Bond</v>
      </c>
      <c r="D1531" s="139">
        <f>VLOOKUP(NoviaFunds[[#This Row],[ISIN]],'Novia Web Query'!$A:$E,4,FALSE)/100</f>
        <v>3.9000000000000003E-3</v>
      </c>
      <c r="E1531" s="3" t="str">
        <f>VLOOKUP(NoviaFunds[[#This Row],[ISIN]],'Novia Web Query'!$A:$E,5,FALSE)</f>
        <v>01/10/2020</v>
      </c>
      <c r="F1531" t="str">
        <f>VLOOKUP(NoviaFunds[[#This Row],[Sector]],Sectors[],2,FALSE)</f>
        <v>Sterling Corporate Bonds</v>
      </c>
    </row>
    <row r="1532" spans="1:6" x14ac:dyDescent="0.2">
      <c r="A1532" t="str">
        <f>'Novia Web Query'!A1529</f>
        <v>GB00B7X4RF18</v>
      </c>
      <c r="B1532" t="str">
        <f>VLOOKUP(NoviaFunds[[#This Row],[ISIN]],'Novia Web Query'!$A:$E,2,FALSE)</f>
        <v>HSBC Corporate Bond C Inc TR in GB</v>
      </c>
      <c r="C1532" t="str">
        <f>VLOOKUP(NoviaFunds[[#This Row],[ISIN]],'Novia Web Query'!$A:$E,3,FALSE)</f>
        <v>UT Sterling Corporate Bond</v>
      </c>
      <c r="D1532" s="139">
        <f>VLOOKUP(NoviaFunds[[#This Row],[ISIN]],'Novia Web Query'!$A:$E,4,FALSE)/100</f>
        <v>3.9000000000000003E-3</v>
      </c>
      <c r="E1532" s="3" t="str">
        <f>VLOOKUP(NoviaFunds[[#This Row],[ISIN]],'Novia Web Query'!$A:$E,5,FALSE)</f>
        <v>01/10/2020</v>
      </c>
      <c r="F1532" t="str">
        <f>VLOOKUP(NoviaFunds[[#This Row],[Sector]],Sectors[],2,FALSE)</f>
        <v>Sterling Corporate Bonds</v>
      </c>
    </row>
    <row r="1533" spans="1:6" x14ac:dyDescent="0.2">
      <c r="A1533" t="str">
        <f>'Novia Web Query'!A1530</f>
        <v>GB0000175165</v>
      </c>
      <c r="B1533" t="str">
        <f>VLOOKUP(NoviaFunds[[#This Row],[ISIN]],'Novia Web Query'!$A:$E,2,FALSE)</f>
        <v>HSBC Corporate Bond Ret Acc in GB</v>
      </c>
      <c r="C1533" t="str">
        <f>VLOOKUP(NoviaFunds[[#This Row],[ISIN]],'Novia Web Query'!$A:$E,3,FALSE)</f>
        <v>UT Sterling Corporate Bond</v>
      </c>
      <c r="D1533" s="139">
        <f>VLOOKUP(NoviaFunds[[#This Row],[ISIN]],'Novia Web Query'!$A:$E,4,FALSE)/100</f>
        <v>1.09E-2</v>
      </c>
      <c r="E1533" s="3" t="str">
        <f>VLOOKUP(NoviaFunds[[#This Row],[ISIN]],'Novia Web Query'!$A:$E,5,FALSE)</f>
        <v>01/10/2020</v>
      </c>
      <c r="F1533" t="str">
        <f>VLOOKUP(NoviaFunds[[#This Row],[Sector]],Sectors[],2,FALSE)</f>
        <v>Sterling Corporate Bonds</v>
      </c>
    </row>
    <row r="1534" spans="1:6" x14ac:dyDescent="0.2">
      <c r="A1534" t="str">
        <f>'Novia Web Query'!A1531</f>
        <v>GB0000170554</v>
      </c>
      <c r="B1534" t="str">
        <f>VLOOKUP(NoviaFunds[[#This Row],[ISIN]],'Novia Web Query'!$A:$E,2,FALSE)</f>
        <v>HSBC Corporate Bond Ret Inc TR in GB</v>
      </c>
      <c r="C1534" t="str">
        <f>VLOOKUP(NoviaFunds[[#This Row],[ISIN]],'Novia Web Query'!$A:$E,3,FALSE)</f>
        <v>UT Sterling Corporate Bond</v>
      </c>
      <c r="D1534" s="139">
        <f>VLOOKUP(NoviaFunds[[#This Row],[ISIN]],'Novia Web Query'!$A:$E,4,FALSE)/100</f>
        <v>1.09E-2</v>
      </c>
      <c r="E1534" s="3" t="str">
        <f>VLOOKUP(NoviaFunds[[#This Row],[ISIN]],'Novia Web Query'!$A:$E,5,FALSE)</f>
        <v>01/10/2020</v>
      </c>
      <c r="F1534" t="str">
        <f>VLOOKUP(NoviaFunds[[#This Row],[Sector]],Sectors[],2,FALSE)</f>
        <v>Sterling Corporate Bonds</v>
      </c>
    </row>
    <row r="1535" spans="1:6" x14ac:dyDescent="0.2">
      <c r="A1535" t="str">
        <f>'Novia Web Query'!A1532</f>
        <v>GB00B80QGH28</v>
      </c>
      <c r="B1535" t="str">
        <f>VLOOKUP(NoviaFunds[[#This Row],[ISIN]],'Novia Web Query'!$A:$E,2,FALSE)</f>
        <v>HSBC European Index C Acc in GB</v>
      </c>
      <c r="C1535" t="str">
        <f>VLOOKUP(NoviaFunds[[#This Row],[ISIN]],'Novia Web Query'!$A:$E,3,FALSE)</f>
        <v>UT Europe Excluding UK</v>
      </c>
      <c r="D1535" s="139">
        <f>VLOOKUP(NoviaFunds[[#This Row],[ISIN]],'Novia Web Query'!$A:$E,4,FALSE)/100</f>
        <v>5.9999999999999995E-4</v>
      </c>
      <c r="E1535" s="3" t="str">
        <f>VLOOKUP(NoviaFunds[[#This Row],[ISIN]],'Novia Web Query'!$A:$E,5,FALSE)</f>
        <v>15/11/2020</v>
      </c>
      <c r="F1535" t="str">
        <f>VLOOKUP(NoviaFunds[[#This Row],[Sector]],Sectors[],2,FALSE)</f>
        <v>European Equities</v>
      </c>
    </row>
    <row r="1536" spans="1:6" x14ac:dyDescent="0.2">
      <c r="A1536" t="str">
        <f>'Novia Web Query'!A1533</f>
        <v>GB00B80QGD89</v>
      </c>
      <c r="B1536" t="str">
        <f>VLOOKUP(NoviaFunds[[#This Row],[ISIN]],'Novia Web Query'!$A:$E,2,FALSE)</f>
        <v>HSBC European Index C Inc TR in GB</v>
      </c>
      <c r="C1536" t="str">
        <f>VLOOKUP(NoviaFunds[[#This Row],[ISIN]],'Novia Web Query'!$A:$E,3,FALSE)</f>
        <v>UT Europe Excluding UK</v>
      </c>
      <c r="D1536" s="139">
        <f>VLOOKUP(NoviaFunds[[#This Row],[ISIN]],'Novia Web Query'!$A:$E,4,FALSE)/100</f>
        <v>5.9999999999999995E-4</v>
      </c>
      <c r="E1536" s="3" t="str">
        <f>VLOOKUP(NoviaFunds[[#This Row],[ISIN]],'Novia Web Query'!$A:$E,5,FALSE)</f>
        <v>15/11/2020</v>
      </c>
      <c r="F1536" t="str">
        <f>VLOOKUP(NoviaFunds[[#This Row],[Sector]],Sectors[],2,FALSE)</f>
        <v>European Equities</v>
      </c>
    </row>
    <row r="1537" spans="1:6" x14ac:dyDescent="0.2">
      <c r="A1537" t="str">
        <f>'Novia Web Query'!A1534</f>
        <v>GB0000469303</v>
      </c>
      <c r="B1537" t="str">
        <f>VLOOKUP(NoviaFunds[[#This Row],[ISIN]],'Novia Web Query'!$A:$E,2,FALSE)</f>
        <v>HSBC European Index Inst Acc in GB</v>
      </c>
      <c r="C1537" t="str">
        <f>VLOOKUP(NoviaFunds[[#This Row],[ISIN]],'Novia Web Query'!$A:$E,3,FALSE)</f>
        <v>UT Europe Excluding UK</v>
      </c>
      <c r="D1537" s="139">
        <f>VLOOKUP(NoviaFunds[[#This Row],[ISIN]],'Novia Web Query'!$A:$E,4,FALSE)/100</f>
        <v>2.9999999999999997E-4</v>
      </c>
      <c r="E1537" s="3" t="str">
        <f>VLOOKUP(NoviaFunds[[#This Row],[ISIN]],'Novia Web Query'!$A:$E,5,FALSE)</f>
        <v>15/11/2020</v>
      </c>
      <c r="F1537" t="str">
        <f>VLOOKUP(NoviaFunds[[#This Row],[Sector]],Sectors[],2,FALSE)</f>
        <v>European Equities</v>
      </c>
    </row>
    <row r="1538" spans="1:6" x14ac:dyDescent="0.2">
      <c r="A1538" t="str">
        <f>'Novia Web Query'!A1535</f>
        <v>GB0000469071</v>
      </c>
      <c r="B1538" t="str">
        <f>VLOOKUP(NoviaFunds[[#This Row],[ISIN]],'Novia Web Query'!$A:$E,2,FALSE)</f>
        <v>HSBC European Index Ret Acc in GB</v>
      </c>
      <c r="C1538" t="str">
        <f>VLOOKUP(NoviaFunds[[#This Row],[ISIN]],'Novia Web Query'!$A:$E,3,FALSE)</f>
        <v>UT Europe Excluding UK</v>
      </c>
      <c r="D1538" s="139">
        <f>VLOOKUP(NoviaFunds[[#This Row],[ISIN]],'Novia Web Query'!$A:$E,4,FALSE)/100</f>
        <v>1.6000000000000001E-3</v>
      </c>
      <c r="E1538" s="3" t="str">
        <f>VLOOKUP(NoviaFunds[[#This Row],[ISIN]],'Novia Web Query'!$A:$E,5,FALSE)</f>
        <v>15/11/2020</v>
      </c>
      <c r="F1538" t="str">
        <f>VLOOKUP(NoviaFunds[[#This Row],[Sector]],Sectors[],2,FALSE)</f>
        <v>European Equities</v>
      </c>
    </row>
    <row r="1539" spans="1:6" x14ac:dyDescent="0.2">
      <c r="A1539" t="str">
        <f>'Novia Web Query'!A1536</f>
        <v>GB0000468776</v>
      </c>
      <c r="B1539" t="str">
        <f>VLOOKUP(NoviaFunds[[#This Row],[ISIN]],'Novia Web Query'!$A:$E,2,FALSE)</f>
        <v>HSBC European Index Ret Inc TR in GB</v>
      </c>
      <c r="C1539" t="str">
        <f>VLOOKUP(NoviaFunds[[#This Row],[ISIN]],'Novia Web Query'!$A:$E,3,FALSE)</f>
        <v>UT Europe Excluding UK</v>
      </c>
      <c r="D1539" s="139">
        <f>VLOOKUP(NoviaFunds[[#This Row],[ISIN]],'Novia Web Query'!$A:$E,4,FALSE)/100</f>
        <v>1.6000000000000001E-3</v>
      </c>
      <c r="E1539" s="3" t="str">
        <f>VLOOKUP(NoviaFunds[[#This Row],[ISIN]],'Novia Web Query'!$A:$E,5,FALSE)</f>
        <v>15/11/2020</v>
      </c>
      <c r="F1539" t="str">
        <f>VLOOKUP(NoviaFunds[[#This Row],[Sector]],Sectors[],2,FALSE)</f>
        <v>European Equities</v>
      </c>
    </row>
    <row r="1540" spans="1:6" x14ac:dyDescent="0.2">
      <c r="A1540" t="str">
        <f>'Novia Web Query'!A1537</f>
        <v>GB00B80QFR50</v>
      </c>
      <c r="B1540" t="str">
        <f>VLOOKUP(NoviaFunds[[#This Row],[ISIN]],'Novia Web Query'!$A:$E,2,FALSE)</f>
        <v>HSBC FTSE 100 Index C Acc in GB</v>
      </c>
      <c r="C1540" t="str">
        <f>VLOOKUP(NoviaFunds[[#This Row],[ISIN]],'Novia Web Query'!$A:$E,3,FALSE)</f>
        <v>UT UK All Companies</v>
      </c>
      <c r="D1540" s="139">
        <f>VLOOKUP(NoviaFunds[[#This Row],[ISIN]],'Novia Web Query'!$A:$E,4,FALSE)/100</f>
        <v>8.9999999999999998E-4</v>
      </c>
      <c r="E1540" s="3" t="str">
        <f>VLOOKUP(NoviaFunds[[#This Row],[ISIN]],'Novia Web Query'!$A:$E,5,FALSE)</f>
        <v>01/04/2020</v>
      </c>
      <c r="F1540" t="str">
        <f>VLOOKUP(NoviaFunds[[#This Row],[Sector]],Sectors[],2,FALSE)</f>
        <v>UK Equities</v>
      </c>
    </row>
    <row r="1541" spans="1:6" x14ac:dyDescent="0.2">
      <c r="A1541" t="str">
        <f>'Novia Web Query'!A1538</f>
        <v>GB00B80QD042</v>
      </c>
      <c r="B1541" t="str">
        <f>VLOOKUP(NoviaFunds[[#This Row],[ISIN]],'Novia Web Query'!$A:$E,2,FALSE)</f>
        <v>HSBC FTSE 100 Index C Inc TR in GB</v>
      </c>
      <c r="C1541" t="str">
        <f>VLOOKUP(NoviaFunds[[#This Row],[ISIN]],'Novia Web Query'!$A:$E,3,FALSE)</f>
        <v>UT UK All Companies</v>
      </c>
      <c r="D1541" s="139">
        <f>VLOOKUP(NoviaFunds[[#This Row],[ISIN]],'Novia Web Query'!$A:$E,4,FALSE)/100</f>
        <v>8.9999999999999998E-4</v>
      </c>
      <c r="E1541" s="3" t="str">
        <f>VLOOKUP(NoviaFunds[[#This Row],[ISIN]],'Novia Web Query'!$A:$E,5,FALSE)</f>
        <v>01/04/2020</v>
      </c>
      <c r="F1541" t="str">
        <f>VLOOKUP(NoviaFunds[[#This Row],[Sector]],Sectors[],2,FALSE)</f>
        <v>UK Equities</v>
      </c>
    </row>
    <row r="1542" spans="1:6" x14ac:dyDescent="0.2">
      <c r="A1542" t="str">
        <f>'Novia Web Query'!A1539</f>
        <v>GB0000412477</v>
      </c>
      <c r="B1542" t="str">
        <f>VLOOKUP(NoviaFunds[[#This Row],[ISIN]],'Novia Web Query'!$A:$E,2,FALSE)</f>
        <v>HSBC FTSE 100 Index Ret Acc in GB</v>
      </c>
      <c r="C1542" t="str">
        <f>VLOOKUP(NoviaFunds[[#This Row],[ISIN]],'Novia Web Query'!$A:$E,3,FALSE)</f>
        <v>UT UK All Companies</v>
      </c>
      <c r="D1542" s="139">
        <f>VLOOKUP(NoviaFunds[[#This Row],[ISIN]],'Novia Web Query'!$A:$E,4,FALSE)/100</f>
        <v>2.8000000000000004E-3</v>
      </c>
      <c r="E1542" s="3" t="str">
        <f>VLOOKUP(NoviaFunds[[#This Row],[ISIN]],'Novia Web Query'!$A:$E,5,FALSE)</f>
        <v>15/11/2020</v>
      </c>
      <c r="F1542" t="str">
        <f>VLOOKUP(NoviaFunds[[#This Row],[Sector]],Sectors[],2,FALSE)</f>
        <v>UK Equities</v>
      </c>
    </row>
    <row r="1543" spans="1:6" x14ac:dyDescent="0.2">
      <c r="A1543" t="str">
        <f>'Novia Web Query'!A1540</f>
        <v>GB0000407618</v>
      </c>
      <c r="B1543" t="str">
        <f>VLOOKUP(NoviaFunds[[#This Row],[ISIN]],'Novia Web Query'!$A:$E,2,FALSE)</f>
        <v>HSBC FTSE 100 Index Ret Inc TR in GB</v>
      </c>
      <c r="C1543" t="str">
        <f>VLOOKUP(NoviaFunds[[#This Row],[ISIN]],'Novia Web Query'!$A:$E,3,FALSE)</f>
        <v>UT UK All Companies</v>
      </c>
      <c r="D1543" s="139">
        <f>VLOOKUP(NoviaFunds[[#This Row],[ISIN]],'Novia Web Query'!$A:$E,4,FALSE)/100</f>
        <v>2.8000000000000004E-3</v>
      </c>
      <c r="E1543" s="3" t="str">
        <f>VLOOKUP(NoviaFunds[[#This Row],[ISIN]],'Novia Web Query'!$A:$E,5,FALSE)</f>
        <v>15/11/2020</v>
      </c>
      <c r="F1543" t="str">
        <f>VLOOKUP(NoviaFunds[[#This Row],[Sector]],Sectors[],2,FALSE)</f>
        <v>UK Equities</v>
      </c>
    </row>
    <row r="1544" spans="1:6" x14ac:dyDescent="0.2">
      <c r="A1544" t="str">
        <f>'Novia Web Query'!A1541</f>
        <v>GB00B80QG052</v>
      </c>
      <c r="B1544" t="str">
        <f>VLOOKUP(NoviaFunds[[#This Row],[ISIN]],'Novia Web Query'!$A:$E,2,FALSE)</f>
        <v>HSBC FTSE 250 Index C Acc in GB</v>
      </c>
      <c r="C1544" t="str">
        <f>VLOOKUP(NoviaFunds[[#This Row],[ISIN]],'Novia Web Query'!$A:$E,3,FALSE)</f>
        <v>UT UK All Companies</v>
      </c>
      <c r="D1544" s="139">
        <f>VLOOKUP(NoviaFunds[[#This Row],[ISIN]],'Novia Web Query'!$A:$E,4,FALSE)/100</f>
        <v>1.1999999999999999E-3</v>
      </c>
      <c r="E1544" s="3" t="str">
        <f>VLOOKUP(NoviaFunds[[#This Row],[ISIN]],'Novia Web Query'!$A:$E,5,FALSE)</f>
        <v>15/05/2021</v>
      </c>
      <c r="F1544" t="str">
        <f>VLOOKUP(NoviaFunds[[#This Row],[Sector]],Sectors[],2,FALSE)</f>
        <v>UK Equities</v>
      </c>
    </row>
    <row r="1545" spans="1:6" x14ac:dyDescent="0.2">
      <c r="A1545" t="str">
        <f>'Novia Web Query'!A1542</f>
        <v>GB00B80QFZ35</v>
      </c>
      <c r="B1545" t="str">
        <f>VLOOKUP(NoviaFunds[[#This Row],[ISIN]],'Novia Web Query'!$A:$E,2,FALSE)</f>
        <v>HSBC FTSE 250 Index C Inc TR in GB</v>
      </c>
      <c r="C1545" t="str">
        <f>VLOOKUP(NoviaFunds[[#This Row],[ISIN]],'Novia Web Query'!$A:$E,3,FALSE)</f>
        <v>UT UK All Companies</v>
      </c>
      <c r="D1545" s="139">
        <f>VLOOKUP(NoviaFunds[[#This Row],[ISIN]],'Novia Web Query'!$A:$E,4,FALSE)/100</f>
        <v>1.1999999999999999E-3</v>
      </c>
      <c r="E1545" s="3" t="str">
        <f>VLOOKUP(NoviaFunds[[#This Row],[ISIN]],'Novia Web Query'!$A:$E,5,FALSE)</f>
        <v>01/04/2020</v>
      </c>
      <c r="F1545" t="str">
        <f>VLOOKUP(NoviaFunds[[#This Row],[Sector]],Sectors[],2,FALSE)</f>
        <v>UK Equities</v>
      </c>
    </row>
    <row r="1546" spans="1:6" x14ac:dyDescent="0.2">
      <c r="A1546" t="str">
        <f>'Novia Web Query'!A1543</f>
        <v>GB0000467810</v>
      </c>
      <c r="B1546" t="str">
        <f>VLOOKUP(NoviaFunds[[#This Row],[ISIN]],'Novia Web Query'!$A:$E,2,FALSE)</f>
        <v>HSBC FTSE 250 Index Ret Acc in GB</v>
      </c>
      <c r="C1546" t="str">
        <f>VLOOKUP(NoviaFunds[[#This Row],[ISIN]],'Novia Web Query'!$A:$E,3,FALSE)</f>
        <v>UT UK All Companies</v>
      </c>
      <c r="D1546" s="139">
        <f>VLOOKUP(NoviaFunds[[#This Row],[ISIN]],'Novia Web Query'!$A:$E,4,FALSE)/100</f>
        <v>2.8000000000000004E-3</v>
      </c>
      <c r="E1546" s="3" t="str">
        <f>VLOOKUP(NoviaFunds[[#This Row],[ISIN]],'Novia Web Query'!$A:$E,5,FALSE)</f>
        <v>15/11/2020</v>
      </c>
      <c r="F1546" t="str">
        <f>VLOOKUP(NoviaFunds[[#This Row],[Sector]],Sectors[],2,FALSE)</f>
        <v>UK Equities</v>
      </c>
    </row>
    <row r="1547" spans="1:6" x14ac:dyDescent="0.2">
      <c r="A1547" t="str">
        <f>'Novia Web Query'!A1544</f>
        <v>GB0000467703</v>
      </c>
      <c r="B1547" t="str">
        <f>VLOOKUP(NoviaFunds[[#This Row],[ISIN]],'Novia Web Query'!$A:$E,2,FALSE)</f>
        <v>HSBC FTSE 250 Index Ret Inc TR in GB</v>
      </c>
      <c r="C1547" t="str">
        <f>VLOOKUP(NoviaFunds[[#This Row],[ISIN]],'Novia Web Query'!$A:$E,3,FALSE)</f>
        <v>UT UK All Companies</v>
      </c>
      <c r="D1547" s="139">
        <f>VLOOKUP(NoviaFunds[[#This Row],[ISIN]],'Novia Web Query'!$A:$E,4,FALSE)/100</f>
        <v>2.8000000000000004E-3</v>
      </c>
      <c r="E1547" s="3" t="str">
        <f>VLOOKUP(NoviaFunds[[#This Row],[ISIN]],'Novia Web Query'!$A:$E,5,FALSE)</f>
        <v>15/11/2020</v>
      </c>
      <c r="F1547" t="str">
        <f>VLOOKUP(NoviaFunds[[#This Row],[Sector]],Sectors[],2,FALSE)</f>
        <v>UK Equities</v>
      </c>
    </row>
    <row r="1548" spans="1:6" x14ac:dyDescent="0.2">
      <c r="A1548" t="str">
        <f>'Novia Web Query'!A1545</f>
        <v>GB00BV8VN686</v>
      </c>
      <c r="B1548" t="str">
        <f>VLOOKUP(NoviaFunds[[#This Row],[ISIN]],'Novia Web Query'!$A:$E,2,FALSE)</f>
        <v>HSBC FTSE 250 Index S Acc in GB</v>
      </c>
      <c r="C1548" t="str">
        <f>VLOOKUP(NoviaFunds[[#This Row],[ISIN]],'Novia Web Query'!$A:$E,3,FALSE)</f>
        <v>UT UK All Companies</v>
      </c>
      <c r="D1548" s="139">
        <f>VLOOKUP(NoviaFunds[[#This Row],[ISIN]],'Novia Web Query'!$A:$E,4,FALSE)/100</f>
        <v>8.0000000000000004E-4</v>
      </c>
      <c r="E1548" s="3" t="str">
        <f>VLOOKUP(NoviaFunds[[#This Row],[ISIN]],'Novia Web Query'!$A:$E,5,FALSE)</f>
        <v>15/11/2020</v>
      </c>
      <c r="F1548" t="str">
        <f>VLOOKUP(NoviaFunds[[#This Row],[Sector]],Sectors[],2,FALSE)</f>
        <v>UK Equities</v>
      </c>
    </row>
    <row r="1549" spans="1:6" x14ac:dyDescent="0.2">
      <c r="A1549" t="str">
        <f>'Novia Web Query'!A1546</f>
        <v>GB00BV8VN462</v>
      </c>
      <c r="B1549" t="str">
        <f>VLOOKUP(NoviaFunds[[#This Row],[ISIN]],'Novia Web Query'!$A:$E,2,FALSE)</f>
        <v>HSBC FTSE 250 Index S Inc TR in GB</v>
      </c>
      <c r="C1549" t="str">
        <f>VLOOKUP(NoviaFunds[[#This Row],[ISIN]],'Novia Web Query'!$A:$E,3,FALSE)</f>
        <v>UT UK All Companies</v>
      </c>
      <c r="D1549" s="139">
        <f>VLOOKUP(NoviaFunds[[#This Row],[ISIN]],'Novia Web Query'!$A:$E,4,FALSE)/100</f>
        <v>8.0000000000000004E-4</v>
      </c>
      <c r="E1549" s="3" t="str">
        <f>VLOOKUP(NoviaFunds[[#This Row],[ISIN]],'Novia Web Query'!$A:$E,5,FALSE)</f>
        <v>15/11/2020</v>
      </c>
      <c r="F1549" t="str">
        <f>VLOOKUP(NoviaFunds[[#This Row],[Sector]],Sectors[],2,FALSE)</f>
        <v>UK Equities</v>
      </c>
    </row>
    <row r="1550" spans="1:6" x14ac:dyDescent="0.2">
      <c r="A1550" t="str">
        <f>'Novia Web Query'!A1547</f>
        <v>GB00B80QFX11</v>
      </c>
      <c r="B1550" t="str">
        <f>VLOOKUP(NoviaFunds[[#This Row],[ISIN]],'Novia Web Query'!$A:$E,2,FALSE)</f>
        <v>HSBC FTSE All Share Index C Acc in GB</v>
      </c>
      <c r="C1550" t="str">
        <f>VLOOKUP(NoviaFunds[[#This Row],[ISIN]],'Novia Web Query'!$A:$E,3,FALSE)</f>
        <v>UT UK All Companies</v>
      </c>
      <c r="D1550" s="139">
        <f>VLOOKUP(NoviaFunds[[#This Row],[ISIN]],'Novia Web Query'!$A:$E,4,FALSE)/100</f>
        <v>5.9999999999999995E-4</v>
      </c>
      <c r="E1550" s="3" t="str">
        <f>VLOOKUP(NoviaFunds[[#This Row],[ISIN]],'Novia Web Query'!$A:$E,5,FALSE)</f>
        <v>15/11/2020</v>
      </c>
      <c r="F1550" t="str">
        <f>VLOOKUP(NoviaFunds[[#This Row],[Sector]],Sectors[],2,FALSE)</f>
        <v>UK Equities</v>
      </c>
    </row>
    <row r="1551" spans="1:6" x14ac:dyDescent="0.2">
      <c r="A1551" t="str">
        <f>'Novia Web Query'!A1548</f>
        <v>GB00B80QFW04</v>
      </c>
      <c r="B1551" t="str">
        <f>VLOOKUP(NoviaFunds[[#This Row],[ISIN]],'Novia Web Query'!$A:$E,2,FALSE)</f>
        <v>HSBC FTSE All Share Index C Inc TR in GB</v>
      </c>
      <c r="C1551" t="str">
        <f>VLOOKUP(NoviaFunds[[#This Row],[ISIN]],'Novia Web Query'!$A:$E,3,FALSE)</f>
        <v>UT UK All Companies</v>
      </c>
      <c r="D1551" s="139">
        <f>VLOOKUP(NoviaFunds[[#This Row],[ISIN]],'Novia Web Query'!$A:$E,4,FALSE)/100</f>
        <v>5.9999999999999995E-4</v>
      </c>
      <c r="E1551" s="3" t="str">
        <f>VLOOKUP(NoviaFunds[[#This Row],[ISIN]],'Novia Web Query'!$A:$E,5,FALSE)</f>
        <v>15/11/2020</v>
      </c>
      <c r="F1551" t="str">
        <f>VLOOKUP(NoviaFunds[[#This Row],[Sector]],Sectors[],2,FALSE)</f>
        <v>UK Equities</v>
      </c>
    </row>
    <row r="1552" spans="1:6" x14ac:dyDescent="0.2">
      <c r="A1552" t="str">
        <f>'Novia Web Query'!A1549</f>
        <v>GB0030334345</v>
      </c>
      <c r="B1552" t="str">
        <f>VLOOKUP(NoviaFunds[[#This Row],[ISIN]],'Novia Web Query'!$A:$E,2,FALSE)</f>
        <v>HSBC FTSE All Share Index Inst Acc in GB</v>
      </c>
      <c r="C1552" t="str">
        <f>VLOOKUP(NoviaFunds[[#This Row],[ISIN]],'Novia Web Query'!$A:$E,3,FALSE)</f>
        <v>UT UK All Companies</v>
      </c>
      <c r="D1552" s="139">
        <f>VLOOKUP(NoviaFunds[[#This Row],[ISIN]],'Novia Web Query'!$A:$E,4,FALSE)/100</f>
        <v>2.0000000000000001E-4</v>
      </c>
      <c r="E1552" s="3" t="str">
        <f>VLOOKUP(NoviaFunds[[#This Row],[ISIN]],'Novia Web Query'!$A:$E,5,FALSE)</f>
        <v>15/11/2020</v>
      </c>
      <c r="F1552" t="str">
        <f>VLOOKUP(NoviaFunds[[#This Row],[Sector]],Sectors[],2,FALSE)</f>
        <v>UK Equities</v>
      </c>
    </row>
    <row r="1553" spans="1:6" x14ac:dyDescent="0.2">
      <c r="A1553" t="str">
        <f>'Novia Web Query'!A1550</f>
        <v>GB0000438233</v>
      </c>
      <c r="B1553" t="str">
        <f>VLOOKUP(NoviaFunds[[#This Row],[ISIN]],'Novia Web Query'!$A:$E,2,FALSE)</f>
        <v>HSBC FTSE All Share Index Ret Acc in GB</v>
      </c>
      <c r="C1553" t="str">
        <f>VLOOKUP(NoviaFunds[[#This Row],[ISIN]],'Novia Web Query'!$A:$E,3,FALSE)</f>
        <v>UT UK All Companies</v>
      </c>
      <c r="D1553" s="139">
        <f>VLOOKUP(NoviaFunds[[#This Row],[ISIN]],'Novia Web Query'!$A:$E,4,FALSE)/100</f>
        <v>1.6000000000000001E-3</v>
      </c>
      <c r="E1553" s="3" t="str">
        <f>VLOOKUP(NoviaFunds[[#This Row],[ISIN]],'Novia Web Query'!$A:$E,5,FALSE)</f>
        <v>15/11/2020</v>
      </c>
      <c r="F1553" t="str">
        <f>VLOOKUP(NoviaFunds[[#This Row],[Sector]],Sectors[],2,FALSE)</f>
        <v>UK Equities</v>
      </c>
    </row>
    <row r="1554" spans="1:6" x14ac:dyDescent="0.2">
      <c r="A1554" t="str">
        <f>'Novia Web Query'!A1551</f>
        <v>GB0000424886</v>
      </c>
      <c r="B1554" t="str">
        <f>VLOOKUP(NoviaFunds[[#This Row],[ISIN]],'Novia Web Query'!$A:$E,2,FALSE)</f>
        <v>HSBC FTSE All Share Index Ret Inc TR in GB</v>
      </c>
      <c r="C1554" t="str">
        <f>VLOOKUP(NoviaFunds[[#This Row],[ISIN]],'Novia Web Query'!$A:$E,3,FALSE)</f>
        <v>UT UK All Companies</v>
      </c>
      <c r="D1554" s="139">
        <f>VLOOKUP(NoviaFunds[[#This Row],[ISIN]],'Novia Web Query'!$A:$E,4,FALSE)/100</f>
        <v>1.6000000000000001E-3</v>
      </c>
      <c r="E1554" s="3" t="str">
        <f>VLOOKUP(NoviaFunds[[#This Row],[ISIN]],'Novia Web Query'!$A:$E,5,FALSE)</f>
        <v>15/11/2020</v>
      </c>
      <c r="F1554" t="str">
        <f>VLOOKUP(NoviaFunds[[#This Row],[Sector]],Sectors[],2,FALSE)</f>
        <v>UK Equities</v>
      </c>
    </row>
    <row r="1555" spans="1:6" x14ac:dyDescent="0.2">
      <c r="A1555" t="str">
        <f>'Novia Web Query'!A1552</f>
        <v>GB00BMJJJF91</v>
      </c>
      <c r="B1555" t="str">
        <f>VLOOKUP(NoviaFunds[[#This Row],[ISIN]],'Novia Web Query'!$A:$E,2,FALSE)</f>
        <v>HSBC FTSE All World Index C Acc in GB</v>
      </c>
      <c r="C1555" t="str">
        <f>VLOOKUP(NoviaFunds[[#This Row],[ISIN]],'Novia Web Query'!$A:$E,3,FALSE)</f>
        <v>UT Global</v>
      </c>
      <c r="D1555" s="139">
        <f>VLOOKUP(NoviaFunds[[#This Row],[ISIN]],'Novia Web Query'!$A:$E,4,FALSE)/100</f>
        <v>1.2999999999999999E-3</v>
      </c>
      <c r="E1555" s="3" t="str">
        <f>VLOOKUP(NoviaFunds[[#This Row],[ISIN]],'Novia Web Query'!$A:$E,5,FALSE)</f>
        <v>01/04/2020</v>
      </c>
      <c r="F1555" t="str">
        <f>VLOOKUP(NoviaFunds[[#This Row],[Sector]],Sectors[],2,FALSE)</f>
        <v>Other Equities</v>
      </c>
    </row>
    <row r="1556" spans="1:6" x14ac:dyDescent="0.2">
      <c r="A1556" t="str">
        <f>'Novia Web Query'!A1553</f>
        <v>GB00BMJJJG09</v>
      </c>
      <c r="B1556" t="str">
        <f>VLOOKUP(NoviaFunds[[#This Row],[ISIN]],'Novia Web Query'!$A:$E,2,FALSE)</f>
        <v>HSBC FTSE All World Index C Inc TR in GB</v>
      </c>
      <c r="C1556" t="str">
        <f>VLOOKUP(NoviaFunds[[#This Row],[ISIN]],'Novia Web Query'!$A:$E,3,FALSE)</f>
        <v>UT Global</v>
      </c>
      <c r="D1556" s="139">
        <f>VLOOKUP(NoviaFunds[[#This Row],[ISIN]],'Novia Web Query'!$A:$E,4,FALSE)/100</f>
        <v>1.2999999999999999E-3</v>
      </c>
      <c r="E1556" s="3" t="str">
        <f>VLOOKUP(NoviaFunds[[#This Row],[ISIN]],'Novia Web Query'!$A:$E,5,FALSE)</f>
        <v>01/04/2020</v>
      </c>
      <c r="F1556" t="str">
        <f>VLOOKUP(NoviaFunds[[#This Row],[Sector]],Sectors[],2,FALSE)</f>
        <v>Other Equities</v>
      </c>
    </row>
    <row r="1557" spans="1:6" x14ac:dyDescent="0.2">
      <c r="A1557" t="str">
        <f>'Novia Web Query'!A1554</f>
        <v>GB00BMJJJJ30</v>
      </c>
      <c r="B1557" t="str">
        <f>VLOOKUP(NoviaFunds[[#This Row],[ISIN]],'Novia Web Query'!$A:$E,2,FALSE)</f>
        <v>HSBC FTSE All World Index Inst Acc in GB</v>
      </c>
      <c r="C1557" t="str">
        <f>VLOOKUP(NoviaFunds[[#This Row],[ISIN]],'Novia Web Query'!$A:$E,3,FALSE)</f>
        <v>UT Global</v>
      </c>
      <c r="D1557" s="139">
        <f>VLOOKUP(NoviaFunds[[#This Row],[ISIN]],'Novia Web Query'!$A:$E,4,FALSE)/100</f>
        <v>4.0000000000000002E-4</v>
      </c>
      <c r="E1557" s="3" t="str">
        <f>VLOOKUP(NoviaFunds[[#This Row],[ISIN]],'Novia Web Query'!$A:$E,5,FALSE)</f>
        <v>15/11/2020</v>
      </c>
      <c r="F1557" t="str">
        <f>VLOOKUP(NoviaFunds[[#This Row],[Sector]],Sectors[],2,FALSE)</f>
        <v>Other Equities</v>
      </c>
    </row>
    <row r="1558" spans="1:6" x14ac:dyDescent="0.2">
      <c r="A1558" t="str">
        <f>'Novia Web Query'!A1555</f>
        <v>GB00BF0GWY02</v>
      </c>
      <c r="B1558" t="str">
        <f>VLOOKUP(NoviaFunds[[#This Row],[ISIN]],'Novia Web Query'!$A:$E,2,FALSE)</f>
        <v>HSBC FTSE All World Index S Acc in GB**</v>
      </c>
      <c r="C1558" t="str">
        <f>VLOOKUP(NoviaFunds[[#This Row],[ISIN]],'Novia Web Query'!$A:$E,3,FALSE)</f>
        <v>UT Global</v>
      </c>
      <c r="D1558" s="139">
        <f>VLOOKUP(NoviaFunds[[#This Row],[ISIN]],'Novia Web Query'!$A:$E,4,FALSE)/100</f>
        <v>1.2999999999999999E-3</v>
      </c>
      <c r="E1558" s="3" t="str">
        <f>VLOOKUP(NoviaFunds[[#This Row],[ISIN]],'Novia Web Query'!$A:$E,5,FALSE)</f>
        <v>15/11/2020</v>
      </c>
      <c r="F1558" t="str">
        <f>VLOOKUP(NoviaFunds[[#This Row],[Sector]],Sectors[],2,FALSE)</f>
        <v>Other Equities</v>
      </c>
    </row>
    <row r="1559" spans="1:6" x14ac:dyDescent="0.2">
      <c r="A1559" t="str">
        <f>'Novia Web Query'!A1556</f>
        <v>GB00BF0GWX94</v>
      </c>
      <c r="B1559" t="str">
        <f>VLOOKUP(NoviaFunds[[#This Row],[ISIN]],'Novia Web Query'!$A:$E,2,FALSE)</f>
        <v>HSBC FTSE All World Index S Inc TR in GB**</v>
      </c>
      <c r="C1559" t="str">
        <f>VLOOKUP(NoviaFunds[[#This Row],[ISIN]],'Novia Web Query'!$A:$E,3,FALSE)</f>
        <v>UT Global</v>
      </c>
      <c r="D1559" s="139">
        <f>VLOOKUP(NoviaFunds[[#This Row],[ISIN]],'Novia Web Query'!$A:$E,4,FALSE)/100</f>
        <v>1.2999999999999999E-3</v>
      </c>
      <c r="E1559" s="3" t="str">
        <f>VLOOKUP(NoviaFunds[[#This Row],[ISIN]],'Novia Web Query'!$A:$E,5,FALSE)</f>
        <v>15/11/2020</v>
      </c>
      <c r="F1559" t="str">
        <f>VLOOKUP(NoviaFunds[[#This Row],[Sector]],Sectors[],2,FALSE)</f>
        <v>Other Equities</v>
      </c>
    </row>
    <row r="1560" spans="1:6" x14ac:dyDescent="0.2">
      <c r="A1560" t="str">
        <f>'Novia Web Query'!A1557</f>
        <v>GB00B28PPB60</v>
      </c>
      <c r="B1560" t="str">
        <f>VLOOKUP(NoviaFunds[[#This Row],[ISIN]],'Novia Web Query'!$A:$E,2,FALSE)</f>
        <v>HSBC Global Property A Inst Acc in GB**</v>
      </c>
      <c r="C1560" t="str">
        <f>VLOOKUP(NoviaFunds[[#This Row],[ISIN]],'Novia Web Query'!$A:$E,3,FALSE)</f>
        <v>UT Property Other</v>
      </c>
      <c r="D1560" s="139">
        <f>VLOOKUP(NoviaFunds[[#This Row],[ISIN]],'Novia Web Query'!$A:$E,4,FALSE)/100</f>
        <v>9.300000000000001E-3</v>
      </c>
      <c r="E1560" s="3" t="str">
        <f>VLOOKUP(NoviaFunds[[#This Row],[ISIN]],'Novia Web Query'!$A:$E,5,FALSE)</f>
        <v>01/10/2020</v>
      </c>
      <c r="F1560" t="e">
        <f>VLOOKUP(NoviaFunds[[#This Row],[Sector]],Sectors[],2,FALSE)</f>
        <v>#N/A</v>
      </c>
    </row>
    <row r="1561" spans="1:6" x14ac:dyDescent="0.2">
      <c r="A1561" t="str">
        <f>'Novia Web Query'!A1558</f>
        <v>GB00B84L7Q94</v>
      </c>
      <c r="B1561" t="str">
        <f>VLOOKUP(NoviaFunds[[#This Row],[ISIN]],'Novia Web Query'!$A:$E,2,FALSE)</f>
        <v>HSBC Global Property C Acc in GB</v>
      </c>
      <c r="C1561" t="str">
        <f>VLOOKUP(NoviaFunds[[#This Row],[ISIN]],'Novia Web Query'!$A:$E,3,FALSE)</f>
        <v>UT Property Other</v>
      </c>
      <c r="D1561" s="139">
        <f>VLOOKUP(NoviaFunds[[#This Row],[ISIN]],'Novia Web Query'!$A:$E,4,FALSE)/100</f>
        <v>1.15E-2</v>
      </c>
      <c r="E1561" s="3" t="str">
        <f>VLOOKUP(NoviaFunds[[#This Row],[ISIN]],'Novia Web Query'!$A:$E,5,FALSE)</f>
        <v>01/10/2020</v>
      </c>
      <c r="F1561" t="e">
        <f>VLOOKUP(NoviaFunds[[#This Row],[Sector]],Sectors[],2,FALSE)</f>
        <v>#N/A</v>
      </c>
    </row>
    <row r="1562" spans="1:6" x14ac:dyDescent="0.2">
      <c r="A1562" t="str">
        <f>'Novia Web Query'!A1559</f>
        <v>GB00B702WG47</v>
      </c>
      <c r="B1562" t="str">
        <f>VLOOKUP(NoviaFunds[[#This Row],[ISIN]],'Novia Web Query'!$A:$E,2,FALSE)</f>
        <v>HSBC Global Property C Inc TR in GB</v>
      </c>
      <c r="C1562" t="str">
        <f>VLOOKUP(NoviaFunds[[#This Row],[ISIN]],'Novia Web Query'!$A:$E,3,FALSE)</f>
        <v>UT Property Other</v>
      </c>
      <c r="D1562" s="139">
        <f>VLOOKUP(NoviaFunds[[#This Row],[ISIN]],'Novia Web Query'!$A:$E,4,FALSE)/100</f>
        <v>1.15E-2</v>
      </c>
      <c r="E1562" s="3" t="str">
        <f>VLOOKUP(NoviaFunds[[#This Row],[ISIN]],'Novia Web Query'!$A:$E,5,FALSE)</f>
        <v>01/10/2020</v>
      </c>
      <c r="F1562" t="e">
        <f>VLOOKUP(NoviaFunds[[#This Row],[Sector]],Sectors[],2,FALSE)</f>
        <v>#N/A</v>
      </c>
    </row>
    <row r="1563" spans="1:6" x14ac:dyDescent="0.2">
      <c r="A1563" t="str">
        <f>'Novia Web Query'!A1560</f>
        <v>GB00B28PP161</v>
      </c>
      <c r="B1563" t="str">
        <f>VLOOKUP(NoviaFunds[[#This Row],[ISIN]],'Novia Web Query'!$A:$E,2,FALSE)</f>
        <v>HSBC Global Property Ret Acc in GB</v>
      </c>
      <c r="C1563" t="str">
        <f>VLOOKUP(NoviaFunds[[#This Row],[ISIN]],'Novia Web Query'!$A:$E,3,FALSE)</f>
        <v>UT Property Other</v>
      </c>
      <c r="D1563" s="139">
        <f>VLOOKUP(NoviaFunds[[#This Row],[ISIN]],'Novia Web Query'!$A:$E,4,FALSE)/100</f>
        <v>1.8500000000000003E-2</v>
      </c>
      <c r="E1563" s="3" t="str">
        <f>VLOOKUP(NoviaFunds[[#This Row],[ISIN]],'Novia Web Query'!$A:$E,5,FALSE)</f>
        <v>01/10/2020</v>
      </c>
      <c r="F1563" t="e">
        <f>VLOOKUP(NoviaFunds[[#This Row],[Sector]],Sectors[],2,FALSE)</f>
        <v>#N/A</v>
      </c>
    </row>
    <row r="1564" spans="1:6" x14ac:dyDescent="0.2">
      <c r="A1564" t="str">
        <f>'Novia Web Query'!A1561</f>
        <v>GB00BYVXBH99</v>
      </c>
      <c r="B1564" t="str">
        <f>VLOOKUP(NoviaFunds[[#This Row],[ISIN]],'Novia Web Query'!$A:$E,2,FALSE)</f>
        <v>HSBC Global Strategy Adventurous Portfolio C Acc in GB</v>
      </c>
      <c r="C1564" t="str">
        <f>VLOOKUP(NoviaFunds[[#This Row],[ISIN]],'Novia Web Query'!$A:$E,3,FALSE)</f>
        <v>UT Volatility Managed</v>
      </c>
      <c r="D1564" s="139">
        <f>VLOOKUP(NoviaFunds[[#This Row],[ISIN]],'Novia Web Query'!$A:$E,4,FALSE)/100</f>
        <v>2.3E-3</v>
      </c>
      <c r="E1564" s="3" t="str">
        <f>VLOOKUP(NoviaFunds[[#This Row],[ISIN]],'Novia Web Query'!$A:$E,5,FALSE)</f>
        <v>01/10/2020</v>
      </c>
      <c r="F1564" t="e">
        <f>VLOOKUP(NoviaFunds[[#This Row],[Sector]],Sectors[],2,FALSE)</f>
        <v>#N/A</v>
      </c>
    </row>
    <row r="1565" spans="1:6" x14ac:dyDescent="0.2">
      <c r="A1565" t="str">
        <f>'Novia Web Query'!A1562</f>
        <v>GB00BYVXBG82</v>
      </c>
      <c r="B1565" t="str">
        <f>VLOOKUP(NoviaFunds[[#This Row],[ISIN]],'Novia Web Query'!$A:$E,2,FALSE)</f>
        <v>HSBC Global Strategy Adventurous Portfolio C Inc TR in GB</v>
      </c>
      <c r="C1565" t="str">
        <f>VLOOKUP(NoviaFunds[[#This Row],[ISIN]],'Novia Web Query'!$A:$E,3,FALSE)</f>
        <v>UT Volatility Managed</v>
      </c>
      <c r="D1565" s="139">
        <f>VLOOKUP(NoviaFunds[[#This Row],[ISIN]],'Novia Web Query'!$A:$E,4,FALSE)/100</f>
        <v>2.2000000000000001E-3</v>
      </c>
      <c r="E1565" s="3" t="str">
        <f>VLOOKUP(NoviaFunds[[#This Row],[ISIN]],'Novia Web Query'!$A:$E,5,FALSE)</f>
        <v>01/10/2020</v>
      </c>
      <c r="F1565" t="e">
        <f>VLOOKUP(NoviaFunds[[#This Row],[Sector]],Sectors[],2,FALSE)</f>
        <v>#N/A</v>
      </c>
    </row>
    <row r="1566" spans="1:6" x14ac:dyDescent="0.2">
      <c r="A1566" t="str">
        <f>'Novia Web Query'!A1563</f>
        <v>GB00B76WP695</v>
      </c>
      <c r="B1566" t="str">
        <f>VLOOKUP(NoviaFunds[[#This Row],[ISIN]],'Novia Web Query'!$A:$E,2,FALSE)</f>
        <v>HSBC Global Strategy Balanced Portfolio C Acc in GB</v>
      </c>
      <c r="C1566" t="str">
        <f>VLOOKUP(NoviaFunds[[#This Row],[ISIN]],'Novia Web Query'!$A:$E,3,FALSE)</f>
        <v>UT Volatility Managed</v>
      </c>
      <c r="D1566" s="139">
        <f>VLOOKUP(NoviaFunds[[#This Row],[ISIN]],'Novia Web Query'!$A:$E,4,FALSE)/100</f>
        <v>1.9E-3</v>
      </c>
      <c r="E1566" s="3" t="str">
        <f>VLOOKUP(NoviaFunds[[#This Row],[ISIN]],'Novia Web Query'!$A:$E,5,FALSE)</f>
        <v>01/10/2020</v>
      </c>
      <c r="F1566" t="e">
        <f>VLOOKUP(NoviaFunds[[#This Row],[Sector]],Sectors[],2,FALSE)</f>
        <v>#N/A</v>
      </c>
    </row>
    <row r="1567" spans="1:6" x14ac:dyDescent="0.2">
      <c r="A1567" t="str">
        <f>'Novia Web Query'!A1564</f>
        <v>GB00B7PHDP01</v>
      </c>
      <c r="B1567" t="str">
        <f>VLOOKUP(NoviaFunds[[#This Row],[ISIN]],'Novia Web Query'!$A:$E,2,FALSE)</f>
        <v>HSBC Global Strategy Balanced Portfolio C Inc TR in GB</v>
      </c>
      <c r="C1567" t="str">
        <f>VLOOKUP(NoviaFunds[[#This Row],[ISIN]],'Novia Web Query'!$A:$E,3,FALSE)</f>
        <v>UT Volatility Managed</v>
      </c>
      <c r="D1567" s="139">
        <f>VLOOKUP(NoviaFunds[[#This Row],[ISIN]],'Novia Web Query'!$A:$E,4,FALSE)/100</f>
        <v>1.9E-3</v>
      </c>
      <c r="E1567" s="3" t="str">
        <f>VLOOKUP(NoviaFunds[[#This Row],[ISIN]],'Novia Web Query'!$A:$E,5,FALSE)</f>
        <v>01/10/2020</v>
      </c>
      <c r="F1567" t="e">
        <f>VLOOKUP(NoviaFunds[[#This Row],[Sector]],Sectors[],2,FALSE)</f>
        <v>#N/A</v>
      </c>
    </row>
    <row r="1568" spans="1:6" x14ac:dyDescent="0.2">
      <c r="A1568" t="str">
        <f>'Novia Web Query'!A1565</f>
        <v>GB00B84DV184</v>
      </c>
      <c r="B1568" t="str">
        <f>VLOOKUP(NoviaFunds[[#This Row],[ISIN]],'Novia Web Query'!$A:$E,2,FALSE)</f>
        <v>HSBC Global Strategy Cautious Portfolio C Acc in GB</v>
      </c>
      <c r="C1568" t="str">
        <f>VLOOKUP(NoviaFunds[[#This Row],[ISIN]],'Novia Web Query'!$A:$E,3,FALSE)</f>
        <v>UT Volatility Managed</v>
      </c>
      <c r="D1568" s="139">
        <f>VLOOKUP(NoviaFunds[[#This Row],[ISIN]],'Novia Web Query'!$A:$E,4,FALSE)/100</f>
        <v>1.8E-3</v>
      </c>
      <c r="E1568" s="3" t="str">
        <f>VLOOKUP(NoviaFunds[[#This Row],[ISIN]],'Novia Web Query'!$A:$E,5,FALSE)</f>
        <v>01/10/2020</v>
      </c>
      <c r="F1568" t="e">
        <f>VLOOKUP(NoviaFunds[[#This Row],[Sector]],Sectors[],2,FALSE)</f>
        <v>#N/A</v>
      </c>
    </row>
    <row r="1569" spans="1:6" x14ac:dyDescent="0.2">
      <c r="A1569" t="str">
        <f>'Novia Web Query'!A1566</f>
        <v>GB00B84L8664</v>
      </c>
      <c r="B1569" t="str">
        <f>VLOOKUP(NoviaFunds[[#This Row],[ISIN]],'Novia Web Query'!$A:$E,2,FALSE)</f>
        <v>HSBC Global Strategy Cautious Portfolio C Inc TR in GB</v>
      </c>
      <c r="C1569" t="str">
        <f>VLOOKUP(NoviaFunds[[#This Row],[ISIN]],'Novia Web Query'!$A:$E,3,FALSE)</f>
        <v>UT Volatility Managed</v>
      </c>
      <c r="D1569" s="139">
        <f>VLOOKUP(NoviaFunds[[#This Row],[ISIN]],'Novia Web Query'!$A:$E,4,FALSE)/100</f>
        <v>1.8E-3</v>
      </c>
      <c r="E1569" s="3" t="str">
        <f>VLOOKUP(NoviaFunds[[#This Row],[ISIN]],'Novia Web Query'!$A:$E,5,FALSE)</f>
        <v>01/10/2020</v>
      </c>
      <c r="F1569" t="e">
        <f>VLOOKUP(NoviaFunds[[#This Row],[Sector]],Sectors[],2,FALSE)</f>
        <v>#N/A</v>
      </c>
    </row>
    <row r="1570" spans="1:6" x14ac:dyDescent="0.2">
      <c r="A1570" t="str">
        <f>'Novia Web Query'!A1567</f>
        <v>GB00B64T3D80</v>
      </c>
      <c r="B1570" t="str">
        <f>VLOOKUP(NoviaFunds[[#This Row],[ISIN]],'Novia Web Query'!$A:$E,2,FALSE)</f>
        <v>HSBC Global Strategy Cautious Portfolio X Ret Acc in GB</v>
      </c>
      <c r="C1570" t="str">
        <f>VLOOKUP(NoviaFunds[[#This Row],[ISIN]],'Novia Web Query'!$A:$E,3,FALSE)</f>
        <v>UT Volatility Managed</v>
      </c>
      <c r="D1570" s="139">
        <f>VLOOKUP(NoviaFunds[[#This Row],[ISIN]],'Novia Web Query'!$A:$E,4,FALSE)/100</f>
        <v>4.7999999999999996E-3</v>
      </c>
      <c r="E1570" s="3" t="str">
        <f>VLOOKUP(NoviaFunds[[#This Row],[ISIN]],'Novia Web Query'!$A:$E,5,FALSE)</f>
        <v>01/10/2020</v>
      </c>
      <c r="F1570" t="e">
        <f>VLOOKUP(NoviaFunds[[#This Row],[Sector]],Sectors[],2,FALSE)</f>
        <v>#N/A</v>
      </c>
    </row>
    <row r="1571" spans="1:6" x14ac:dyDescent="0.2">
      <c r="A1571" t="str">
        <f>'Novia Web Query'!A1568</f>
        <v>GB00BYVXBK29</v>
      </c>
      <c r="B1571" t="str">
        <f>VLOOKUP(NoviaFunds[[#This Row],[ISIN]],'Novia Web Query'!$A:$E,2,FALSE)</f>
        <v>HSBC Global Strategy Conservative Portfolio C Acc in GB</v>
      </c>
      <c r="C1571" t="str">
        <f>VLOOKUP(NoviaFunds[[#This Row],[ISIN]],'Novia Web Query'!$A:$E,3,FALSE)</f>
        <v>UT Volatility Managed</v>
      </c>
      <c r="D1571" s="139">
        <f>VLOOKUP(NoviaFunds[[#This Row],[ISIN]],'Novia Web Query'!$A:$E,4,FALSE)/100</f>
        <v>1.9E-3</v>
      </c>
      <c r="E1571" s="3" t="str">
        <f>VLOOKUP(NoviaFunds[[#This Row],[ISIN]],'Novia Web Query'!$A:$E,5,FALSE)</f>
        <v>01/10/2020</v>
      </c>
      <c r="F1571" t="e">
        <f>VLOOKUP(NoviaFunds[[#This Row],[Sector]],Sectors[],2,FALSE)</f>
        <v>#N/A</v>
      </c>
    </row>
    <row r="1572" spans="1:6" x14ac:dyDescent="0.2">
      <c r="A1572" t="str">
        <f>'Novia Web Query'!A1569</f>
        <v>GB00BYVXBJ14</v>
      </c>
      <c r="B1572" t="str">
        <f>VLOOKUP(NoviaFunds[[#This Row],[ISIN]],'Novia Web Query'!$A:$E,2,FALSE)</f>
        <v>HSBC Global Strategy Conservative Portfolio C Inc TR in GB</v>
      </c>
      <c r="C1572" t="str">
        <f>VLOOKUP(NoviaFunds[[#This Row],[ISIN]],'Novia Web Query'!$A:$E,3,FALSE)</f>
        <v>UT Volatility Managed</v>
      </c>
      <c r="D1572" s="139">
        <f>VLOOKUP(NoviaFunds[[#This Row],[ISIN]],'Novia Web Query'!$A:$E,4,FALSE)/100</f>
        <v>1.9E-3</v>
      </c>
      <c r="E1572" s="3" t="str">
        <f>VLOOKUP(NoviaFunds[[#This Row],[ISIN]],'Novia Web Query'!$A:$E,5,FALSE)</f>
        <v>01/10/2020</v>
      </c>
      <c r="F1572" t="e">
        <f>VLOOKUP(NoviaFunds[[#This Row],[Sector]],Sectors[],2,FALSE)</f>
        <v>#N/A</v>
      </c>
    </row>
    <row r="1573" spans="1:6" x14ac:dyDescent="0.2">
      <c r="A1573" t="str">
        <f>'Novia Web Query'!A1570</f>
        <v>GB00B849DT80</v>
      </c>
      <c r="B1573" t="str">
        <f>VLOOKUP(NoviaFunds[[#This Row],[ISIN]],'Novia Web Query'!$A:$E,2,FALSE)</f>
        <v>HSBC Global Strategy Dynamic Portfolio C Acc in GB</v>
      </c>
      <c r="C1573" t="str">
        <f>VLOOKUP(NoviaFunds[[#This Row],[ISIN]],'Novia Web Query'!$A:$E,3,FALSE)</f>
        <v>UT Volatility Managed</v>
      </c>
      <c r="D1573" s="139">
        <f>VLOOKUP(NoviaFunds[[#This Row],[ISIN]],'Novia Web Query'!$A:$E,4,FALSE)/100</f>
        <v>2E-3</v>
      </c>
      <c r="E1573" s="3" t="str">
        <f>VLOOKUP(NoviaFunds[[#This Row],[ISIN]],'Novia Web Query'!$A:$E,5,FALSE)</f>
        <v>01/10/2020</v>
      </c>
      <c r="F1573" t="e">
        <f>VLOOKUP(NoviaFunds[[#This Row],[Sector]],Sectors[],2,FALSE)</f>
        <v>#N/A</v>
      </c>
    </row>
    <row r="1574" spans="1:6" x14ac:dyDescent="0.2">
      <c r="A1574" t="str">
        <f>'Novia Web Query'!A1571</f>
        <v>GB00B7NM4986</v>
      </c>
      <c r="B1574" t="str">
        <f>VLOOKUP(NoviaFunds[[#This Row],[ISIN]],'Novia Web Query'!$A:$E,2,FALSE)</f>
        <v>HSBC Global Strategy Dynamic Portfolio C Inc TR in GB</v>
      </c>
      <c r="C1574" t="str">
        <f>VLOOKUP(NoviaFunds[[#This Row],[ISIN]],'Novia Web Query'!$A:$E,3,FALSE)</f>
        <v>UT Volatility Managed</v>
      </c>
      <c r="D1574" s="139">
        <f>VLOOKUP(NoviaFunds[[#This Row],[ISIN]],'Novia Web Query'!$A:$E,4,FALSE)/100</f>
        <v>2E-3</v>
      </c>
      <c r="E1574" s="3" t="str">
        <f>VLOOKUP(NoviaFunds[[#This Row],[ISIN]],'Novia Web Query'!$A:$E,5,FALSE)</f>
        <v>01/10/2020</v>
      </c>
      <c r="F1574" t="e">
        <f>VLOOKUP(NoviaFunds[[#This Row],[Sector]],Sectors[],2,FALSE)</f>
        <v>#N/A</v>
      </c>
    </row>
    <row r="1575" spans="1:6" x14ac:dyDescent="0.2">
      <c r="A1575" t="str">
        <f>'Novia Web Query'!A1572</f>
        <v>GB00BLKQCX12</v>
      </c>
      <c r="B1575" t="str">
        <f>VLOOKUP(NoviaFunds[[#This Row],[ISIN]],'Novia Web Query'!$A:$E,2,FALSE)</f>
        <v>HSBC Global Sustainable Multi-Asset Adventurous Portfolio C Acc in GB</v>
      </c>
      <c r="C1575" t="str">
        <f>VLOOKUP(NoviaFunds[[#This Row],[ISIN]],'Novia Web Query'!$A:$E,3,FALSE)</f>
        <v>UT Volatility Managed</v>
      </c>
      <c r="D1575" s="139">
        <f>VLOOKUP(NoviaFunds[[#This Row],[ISIN]],'Novia Web Query'!$A:$E,4,FALSE)/100</f>
        <v>7.7000000000000002E-3</v>
      </c>
      <c r="E1575" s="3" t="str">
        <f>VLOOKUP(NoviaFunds[[#This Row],[ISIN]],'Novia Web Query'!$A:$E,5,FALSE)</f>
        <v>01/10/2020</v>
      </c>
      <c r="F1575" t="e">
        <f>VLOOKUP(NoviaFunds[[#This Row],[Sector]],Sectors[],2,FALSE)</f>
        <v>#N/A</v>
      </c>
    </row>
    <row r="1576" spans="1:6" x14ac:dyDescent="0.2">
      <c r="A1576" t="str">
        <f>'Novia Web Query'!A1573</f>
        <v>GB00BF1H4F75</v>
      </c>
      <c r="B1576" t="str">
        <f>VLOOKUP(NoviaFunds[[#This Row],[ISIN]],'Novia Web Query'!$A:$E,2,FALSE)</f>
        <v>HSBC Global Sustainable Multi-Asset Balanced Portfolio C Acc in GB</v>
      </c>
      <c r="C1576" t="str">
        <f>VLOOKUP(NoviaFunds[[#This Row],[ISIN]],'Novia Web Query'!$A:$E,3,FALSE)</f>
        <v>UT Volatility Managed</v>
      </c>
      <c r="D1576" s="139">
        <f>VLOOKUP(NoviaFunds[[#This Row],[ISIN]],'Novia Web Query'!$A:$E,4,FALSE)/100</f>
        <v>6.8000000000000005E-3</v>
      </c>
      <c r="E1576" s="3" t="str">
        <f>VLOOKUP(NoviaFunds[[#This Row],[ISIN]],'Novia Web Query'!$A:$E,5,FALSE)</f>
        <v>01/10/2020</v>
      </c>
      <c r="F1576" t="e">
        <f>VLOOKUP(NoviaFunds[[#This Row],[Sector]],Sectors[],2,FALSE)</f>
        <v>#N/A</v>
      </c>
    </row>
    <row r="1577" spans="1:6" x14ac:dyDescent="0.2">
      <c r="A1577" t="str">
        <f>'Novia Web Query'!A1574</f>
        <v>GB00BLKQD051</v>
      </c>
      <c r="B1577" t="str">
        <f>VLOOKUP(NoviaFunds[[#This Row],[ISIN]],'Novia Web Query'!$A:$E,2,FALSE)</f>
        <v>HSBC Global Sustainable Multi-Asset Cautious Portfolio C Acc in GB</v>
      </c>
      <c r="C1577" t="str">
        <f>VLOOKUP(NoviaFunds[[#This Row],[ISIN]],'Novia Web Query'!$A:$E,3,FALSE)</f>
        <v>UT Volatility Managed</v>
      </c>
      <c r="D1577" s="139">
        <f>VLOOKUP(NoviaFunds[[#This Row],[ISIN]],'Novia Web Query'!$A:$E,4,FALSE)/100</f>
        <v>7.7000000000000002E-3</v>
      </c>
      <c r="E1577" s="3" t="str">
        <f>VLOOKUP(NoviaFunds[[#This Row],[ISIN]],'Novia Web Query'!$A:$E,5,FALSE)</f>
        <v>01/10/2020</v>
      </c>
      <c r="F1577" t="e">
        <f>VLOOKUP(NoviaFunds[[#This Row],[Sector]],Sectors[],2,FALSE)</f>
        <v>#N/A</v>
      </c>
    </row>
    <row r="1578" spans="1:6" x14ac:dyDescent="0.2">
      <c r="A1578" t="str">
        <f>'Novia Web Query'!A1575</f>
        <v>GB00BF1H4H99</v>
      </c>
      <c r="B1578" t="str">
        <f>VLOOKUP(NoviaFunds[[#This Row],[ISIN]],'Novia Web Query'!$A:$E,2,FALSE)</f>
        <v>HSBC Global Sustainable Multi-Asset Conservative Portfolio C Acc in GB</v>
      </c>
      <c r="C1578" t="str">
        <f>VLOOKUP(NoviaFunds[[#This Row],[ISIN]],'Novia Web Query'!$A:$E,3,FALSE)</f>
        <v>UT Volatility Managed</v>
      </c>
      <c r="D1578" s="139">
        <f>VLOOKUP(NoviaFunds[[#This Row],[ISIN]],'Novia Web Query'!$A:$E,4,FALSE)/100</f>
        <v>7.6E-3</v>
      </c>
      <c r="E1578" s="3" t="str">
        <f>VLOOKUP(NoviaFunds[[#This Row],[ISIN]],'Novia Web Query'!$A:$E,5,FALSE)</f>
        <v>01/10/2020</v>
      </c>
      <c r="F1578" t="e">
        <f>VLOOKUP(NoviaFunds[[#This Row],[Sector]],Sectors[],2,FALSE)</f>
        <v>#N/A</v>
      </c>
    </row>
    <row r="1579" spans="1:6" x14ac:dyDescent="0.2">
      <c r="A1579" t="str">
        <f>'Novia Web Query'!A1576</f>
        <v>GB00BLKQDC73</v>
      </c>
      <c r="B1579" t="str">
        <f>VLOOKUP(NoviaFunds[[#This Row],[ISIN]],'Novia Web Query'!$A:$E,2,FALSE)</f>
        <v>HSBC Global Sustainable Multi-Asset Dynamic Portfolio C Acc in GB</v>
      </c>
      <c r="C1579" t="str">
        <f>VLOOKUP(NoviaFunds[[#This Row],[ISIN]],'Novia Web Query'!$A:$E,3,FALSE)</f>
        <v>UT Volatility Managed</v>
      </c>
      <c r="D1579" s="139">
        <f>VLOOKUP(NoviaFunds[[#This Row],[ISIN]],'Novia Web Query'!$A:$E,4,FALSE)/100</f>
        <v>7.7000000000000002E-3</v>
      </c>
      <c r="E1579" s="3" t="str">
        <f>VLOOKUP(NoviaFunds[[#This Row],[ISIN]],'Novia Web Query'!$A:$E,5,FALSE)</f>
        <v>01/10/2020</v>
      </c>
      <c r="F1579" t="e">
        <f>VLOOKUP(NoviaFunds[[#This Row],[Sector]],Sectors[],2,FALSE)</f>
        <v>#N/A</v>
      </c>
    </row>
    <row r="1580" spans="1:6" x14ac:dyDescent="0.2">
      <c r="A1580" t="str">
        <f>'Novia Web Query'!A1577</f>
        <v>GB00B8FJ1598</v>
      </c>
      <c r="B1580" t="str">
        <f>VLOOKUP(NoviaFunds[[#This Row],[ISIN]],'Novia Web Query'!$A:$E,2,FALSE)</f>
        <v>HSBC Income C Acc in GB</v>
      </c>
      <c r="C1580" t="str">
        <f>VLOOKUP(NoviaFunds[[#This Row],[ISIN]],'Novia Web Query'!$A:$E,3,FALSE)</f>
        <v>UT UK Equity Income</v>
      </c>
      <c r="D1580" s="139">
        <f>VLOOKUP(NoviaFunds[[#This Row],[ISIN]],'Novia Web Query'!$A:$E,4,FALSE)/100</f>
        <v>8.3999999999999995E-3</v>
      </c>
      <c r="E1580" s="3" t="str">
        <f>VLOOKUP(NoviaFunds[[#This Row],[ISIN]],'Novia Web Query'!$A:$E,5,FALSE)</f>
        <v>01/10/2020</v>
      </c>
      <c r="F1580" t="str">
        <f>VLOOKUP(NoviaFunds[[#This Row],[Sector]],Sectors[],2,FALSE)</f>
        <v>UK Equities</v>
      </c>
    </row>
    <row r="1581" spans="1:6" x14ac:dyDescent="0.2">
      <c r="A1581" t="str">
        <f>'Novia Web Query'!A1578</f>
        <v>GB00B80L0G42</v>
      </c>
      <c r="B1581" t="str">
        <f>VLOOKUP(NoviaFunds[[#This Row],[ISIN]],'Novia Web Query'!$A:$E,2,FALSE)</f>
        <v>HSBC Income C Inc TR in GB</v>
      </c>
      <c r="C1581" t="str">
        <f>VLOOKUP(NoviaFunds[[#This Row],[ISIN]],'Novia Web Query'!$A:$E,3,FALSE)</f>
        <v>UT UK Equity Income</v>
      </c>
      <c r="D1581" s="139">
        <f>VLOOKUP(NoviaFunds[[#This Row],[ISIN]],'Novia Web Query'!$A:$E,4,FALSE)/100</f>
        <v>8.3999999999999995E-3</v>
      </c>
      <c r="E1581" s="3" t="str">
        <f>VLOOKUP(NoviaFunds[[#This Row],[ISIN]],'Novia Web Query'!$A:$E,5,FALSE)</f>
        <v>01/10/2020</v>
      </c>
      <c r="F1581" t="str">
        <f>VLOOKUP(NoviaFunds[[#This Row],[Sector]],Sectors[],2,FALSE)</f>
        <v>UK Equities</v>
      </c>
    </row>
    <row r="1582" spans="1:6" x14ac:dyDescent="0.2">
      <c r="A1582" t="str">
        <f>'Novia Web Query'!A1579</f>
        <v>GB0000156843</v>
      </c>
      <c r="B1582" t="str">
        <f>VLOOKUP(NoviaFunds[[#This Row],[ISIN]],'Novia Web Query'!$A:$E,2,FALSE)</f>
        <v>HSBC Income Ret Acc in GB</v>
      </c>
      <c r="C1582" t="str">
        <f>VLOOKUP(NoviaFunds[[#This Row],[ISIN]],'Novia Web Query'!$A:$E,3,FALSE)</f>
        <v>UT UK Equity Income</v>
      </c>
      <c r="D1582" s="139">
        <f>VLOOKUP(NoviaFunds[[#This Row],[ISIN]],'Novia Web Query'!$A:$E,4,FALSE)/100</f>
        <v>1.5300000000000001E-2</v>
      </c>
      <c r="E1582" s="3" t="str">
        <f>VLOOKUP(NoviaFunds[[#This Row],[ISIN]],'Novia Web Query'!$A:$E,5,FALSE)</f>
        <v>01/10/2020</v>
      </c>
      <c r="F1582" t="str">
        <f>VLOOKUP(NoviaFunds[[#This Row],[Sector]],Sectors[],2,FALSE)</f>
        <v>UK Equities</v>
      </c>
    </row>
    <row r="1583" spans="1:6" x14ac:dyDescent="0.2">
      <c r="A1583" t="str">
        <f>'Novia Web Query'!A1580</f>
        <v>GB0000154913</v>
      </c>
      <c r="B1583" t="str">
        <f>VLOOKUP(NoviaFunds[[#This Row],[ISIN]],'Novia Web Query'!$A:$E,2,FALSE)</f>
        <v>HSBC Income Ret Inc TR in GB</v>
      </c>
      <c r="C1583" t="str">
        <f>VLOOKUP(NoviaFunds[[#This Row],[ISIN]],'Novia Web Query'!$A:$E,3,FALSE)</f>
        <v>UT UK Equity Income</v>
      </c>
      <c r="D1583" s="139">
        <f>VLOOKUP(NoviaFunds[[#This Row],[ISIN]],'Novia Web Query'!$A:$E,4,FALSE)/100</f>
        <v>1.5300000000000001E-2</v>
      </c>
      <c r="E1583" s="3" t="str">
        <f>VLOOKUP(NoviaFunds[[#This Row],[ISIN]],'Novia Web Query'!$A:$E,5,FALSE)</f>
        <v>01/10/2020</v>
      </c>
      <c r="F1583" t="str">
        <f>VLOOKUP(NoviaFunds[[#This Row],[Sector]],Sectors[],2,FALSE)</f>
        <v>UK Equities</v>
      </c>
    </row>
    <row r="1584" spans="1:6" x14ac:dyDescent="0.2">
      <c r="A1584" t="str">
        <f>'Novia Web Query'!A1581</f>
        <v>GB00B80QGN87</v>
      </c>
      <c r="B1584" t="str">
        <f>VLOOKUP(NoviaFunds[[#This Row],[ISIN]],'Novia Web Query'!$A:$E,2,FALSE)</f>
        <v>HSBC Japan Index C Acc in GB</v>
      </c>
      <c r="C1584" t="str">
        <f>VLOOKUP(NoviaFunds[[#This Row],[ISIN]],'Novia Web Query'!$A:$E,3,FALSE)</f>
        <v>UT Japan</v>
      </c>
      <c r="D1584" s="139">
        <f>VLOOKUP(NoviaFunds[[#This Row],[ISIN]],'Novia Web Query'!$A:$E,4,FALSE)/100</f>
        <v>1.1999999999999999E-3</v>
      </c>
      <c r="E1584" s="3" t="str">
        <f>VLOOKUP(NoviaFunds[[#This Row],[ISIN]],'Novia Web Query'!$A:$E,5,FALSE)</f>
        <v>01/04/2020</v>
      </c>
      <c r="F1584" t="str">
        <f>VLOOKUP(NoviaFunds[[#This Row],[Sector]],Sectors[],2,FALSE)</f>
        <v>Japanese Equities</v>
      </c>
    </row>
    <row r="1585" spans="1:6" x14ac:dyDescent="0.2">
      <c r="A1585" t="str">
        <f>'Novia Web Query'!A1582</f>
        <v>GB00B80QGM70</v>
      </c>
      <c r="B1585" t="str">
        <f>VLOOKUP(NoviaFunds[[#This Row],[ISIN]],'Novia Web Query'!$A:$E,2,FALSE)</f>
        <v>HSBC Japan Index C Inc TR in GB</v>
      </c>
      <c r="C1585" t="str">
        <f>VLOOKUP(NoviaFunds[[#This Row],[ISIN]],'Novia Web Query'!$A:$E,3,FALSE)</f>
        <v>UT Japan</v>
      </c>
      <c r="D1585" s="139">
        <f>VLOOKUP(NoviaFunds[[#This Row],[ISIN]],'Novia Web Query'!$A:$E,4,FALSE)/100</f>
        <v>1.1999999999999999E-3</v>
      </c>
      <c r="E1585" s="3" t="str">
        <f>VLOOKUP(NoviaFunds[[#This Row],[ISIN]],'Novia Web Query'!$A:$E,5,FALSE)</f>
        <v>01/04/2020</v>
      </c>
      <c r="F1585" t="str">
        <f>VLOOKUP(NoviaFunds[[#This Row],[Sector]],Sectors[],2,FALSE)</f>
        <v>Japanese Equities</v>
      </c>
    </row>
    <row r="1586" spans="1:6" x14ac:dyDescent="0.2">
      <c r="A1586" t="str">
        <f>'Novia Web Query'!A1583</f>
        <v>GB0000150481</v>
      </c>
      <c r="B1586" t="str">
        <f>VLOOKUP(NoviaFunds[[#This Row],[ISIN]],'Novia Web Query'!$A:$E,2,FALSE)</f>
        <v>HSBC Japan Index Inst Acc in GB</v>
      </c>
      <c r="C1586" t="str">
        <f>VLOOKUP(NoviaFunds[[#This Row],[ISIN]],'Novia Web Query'!$A:$E,3,FALSE)</f>
        <v>UT Japan</v>
      </c>
      <c r="D1586" s="139">
        <f>VLOOKUP(NoviaFunds[[#This Row],[ISIN]],'Novia Web Query'!$A:$E,4,FALSE)/100</f>
        <v>4.0000000000000002E-4</v>
      </c>
      <c r="E1586" s="3" t="str">
        <f>VLOOKUP(NoviaFunds[[#This Row],[ISIN]],'Novia Web Query'!$A:$E,5,FALSE)</f>
        <v>15/11/2020</v>
      </c>
      <c r="F1586" t="str">
        <f>VLOOKUP(NoviaFunds[[#This Row],[Sector]],Sectors[],2,FALSE)</f>
        <v>Japanese Equities</v>
      </c>
    </row>
    <row r="1587" spans="1:6" x14ac:dyDescent="0.2">
      <c r="A1587" t="str">
        <f>'Novia Web Query'!A1584</f>
        <v>GB0000150374</v>
      </c>
      <c r="B1587" t="str">
        <f>VLOOKUP(NoviaFunds[[#This Row],[ISIN]],'Novia Web Query'!$A:$E,2,FALSE)</f>
        <v>HSBC Japan Index Ret Acc in GB</v>
      </c>
      <c r="C1587" t="str">
        <f>VLOOKUP(NoviaFunds[[#This Row],[ISIN]],'Novia Web Query'!$A:$E,3,FALSE)</f>
        <v>UT Japan</v>
      </c>
      <c r="D1587" s="139">
        <f>VLOOKUP(NoviaFunds[[#This Row],[ISIN]],'Novia Web Query'!$A:$E,4,FALSE)/100</f>
        <v>2.8999999999999998E-3</v>
      </c>
      <c r="E1587" s="3" t="str">
        <f>VLOOKUP(NoviaFunds[[#This Row],[ISIN]],'Novia Web Query'!$A:$E,5,FALSE)</f>
        <v>15/11/2020</v>
      </c>
      <c r="F1587" t="str">
        <f>VLOOKUP(NoviaFunds[[#This Row],[Sector]],Sectors[],2,FALSE)</f>
        <v>Japanese Equities</v>
      </c>
    </row>
    <row r="1588" spans="1:6" x14ac:dyDescent="0.2">
      <c r="A1588" t="str">
        <f>'Novia Web Query'!A1585</f>
        <v>GB0000150150</v>
      </c>
      <c r="B1588" t="str">
        <f>VLOOKUP(NoviaFunds[[#This Row],[ISIN]],'Novia Web Query'!$A:$E,2,FALSE)</f>
        <v>HSBC Japan Index Ret Inc TR in GB</v>
      </c>
      <c r="C1588" t="str">
        <f>VLOOKUP(NoviaFunds[[#This Row],[ISIN]],'Novia Web Query'!$A:$E,3,FALSE)</f>
        <v>UT Japan</v>
      </c>
      <c r="D1588" s="139">
        <f>VLOOKUP(NoviaFunds[[#This Row],[ISIN]],'Novia Web Query'!$A:$E,4,FALSE)/100</f>
        <v>2.8999999999999998E-3</v>
      </c>
      <c r="E1588" s="3" t="str">
        <f>VLOOKUP(NoviaFunds[[#This Row],[ISIN]],'Novia Web Query'!$A:$E,5,FALSE)</f>
        <v>15/11/2020</v>
      </c>
      <c r="F1588" t="str">
        <f>VLOOKUP(NoviaFunds[[#This Row],[Sector]],Sectors[],2,FALSE)</f>
        <v>Japanese Equities</v>
      </c>
    </row>
    <row r="1589" spans="1:6" x14ac:dyDescent="0.2">
      <c r="A1589" t="str">
        <f>'Novia Web Query'!A1586</f>
        <v>GB00BF0GX477</v>
      </c>
      <c r="B1589" t="str">
        <f>VLOOKUP(NoviaFunds[[#This Row],[ISIN]],'Novia Web Query'!$A:$E,2,FALSE)</f>
        <v>HSBC Japan Index S Acc in GB**</v>
      </c>
      <c r="C1589" t="str">
        <f>VLOOKUP(NoviaFunds[[#This Row],[ISIN]],'Novia Web Query'!$A:$E,3,FALSE)</f>
        <v>UT Japan</v>
      </c>
      <c r="D1589" s="139">
        <f>VLOOKUP(NoviaFunds[[#This Row],[ISIN]],'Novia Web Query'!$A:$E,4,FALSE)/100</f>
        <v>7.000000000000001E-4</v>
      </c>
      <c r="E1589" s="3" t="str">
        <f>VLOOKUP(NoviaFunds[[#This Row],[ISIN]],'Novia Web Query'!$A:$E,5,FALSE)</f>
        <v>15/11/2020</v>
      </c>
      <c r="F1589" t="str">
        <f>VLOOKUP(NoviaFunds[[#This Row],[Sector]],Sectors[],2,FALSE)</f>
        <v>Japanese Equities</v>
      </c>
    </row>
    <row r="1590" spans="1:6" x14ac:dyDescent="0.2">
      <c r="A1590" t="str">
        <f>'Novia Web Query'!A1587</f>
        <v>GB00BF0GX360</v>
      </c>
      <c r="B1590" t="str">
        <f>VLOOKUP(NoviaFunds[[#This Row],[ISIN]],'Novia Web Query'!$A:$E,2,FALSE)</f>
        <v>HSBC Japan Index S Inc TR in GB**</v>
      </c>
      <c r="C1590" t="str">
        <f>VLOOKUP(NoviaFunds[[#This Row],[ISIN]],'Novia Web Query'!$A:$E,3,FALSE)</f>
        <v>UT Japan</v>
      </c>
      <c r="D1590" s="139">
        <f>VLOOKUP(NoviaFunds[[#This Row],[ISIN]],'Novia Web Query'!$A:$E,4,FALSE)/100</f>
        <v>7.000000000000001E-4</v>
      </c>
      <c r="E1590" s="3" t="str">
        <f>VLOOKUP(NoviaFunds[[#This Row],[ISIN]],'Novia Web Query'!$A:$E,5,FALSE)</f>
        <v>15/11/2020</v>
      </c>
      <c r="F1590" t="str">
        <f>VLOOKUP(NoviaFunds[[#This Row],[Sector]],Sectors[],2,FALSE)</f>
        <v>Japanese Equities</v>
      </c>
    </row>
    <row r="1591" spans="1:6" x14ac:dyDescent="0.2">
      <c r="A1591" t="str">
        <f>'Novia Web Query'!A1588</f>
        <v>GB00B80H8680</v>
      </c>
      <c r="B1591" t="str">
        <f>VLOOKUP(NoviaFunds[[#This Row],[ISIN]],'Novia Web Query'!$A:$E,2,FALSE)</f>
        <v>HSBC Monthly Income C Acc in GB</v>
      </c>
      <c r="C1591" t="str">
        <f>VLOOKUP(NoviaFunds[[#This Row],[ISIN]],'Novia Web Query'!$A:$E,3,FALSE)</f>
        <v>UT Mixed Investment 40-85% Shares</v>
      </c>
      <c r="D1591" s="139">
        <f>VLOOKUP(NoviaFunds[[#This Row],[ISIN]],'Novia Web Query'!$A:$E,4,FALSE)/100</f>
        <v>6.4000000000000003E-3</v>
      </c>
      <c r="E1591" s="3" t="str">
        <f>VLOOKUP(NoviaFunds[[#This Row],[ISIN]],'Novia Web Query'!$A:$E,5,FALSE)</f>
        <v>01/10/2020</v>
      </c>
      <c r="F1591" t="str">
        <f>VLOOKUP(NoviaFunds[[#This Row],[Sector]],Sectors[],2,FALSE)</f>
        <v>Mixed 40%-85%</v>
      </c>
    </row>
    <row r="1592" spans="1:6" x14ac:dyDescent="0.2">
      <c r="A1592" t="str">
        <f>'Novia Web Query'!A1589</f>
        <v>GB00B8L2VM91</v>
      </c>
      <c r="B1592" t="str">
        <f>VLOOKUP(NoviaFunds[[#This Row],[ISIN]],'Novia Web Query'!$A:$E,2,FALSE)</f>
        <v>HSBC Monthly Income C Inc TR in GB</v>
      </c>
      <c r="C1592" t="str">
        <f>VLOOKUP(NoviaFunds[[#This Row],[ISIN]],'Novia Web Query'!$A:$E,3,FALSE)</f>
        <v>UT Mixed Investment 40-85% Shares</v>
      </c>
      <c r="D1592" s="139">
        <f>VLOOKUP(NoviaFunds[[#This Row],[ISIN]],'Novia Web Query'!$A:$E,4,FALSE)/100</f>
        <v>6.4000000000000003E-3</v>
      </c>
      <c r="E1592" s="3" t="str">
        <f>VLOOKUP(NoviaFunds[[#This Row],[ISIN]],'Novia Web Query'!$A:$E,5,FALSE)</f>
        <v>01/10/2020</v>
      </c>
      <c r="F1592" t="str">
        <f>VLOOKUP(NoviaFunds[[#This Row],[Sector]],Sectors[],2,FALSE)</f>
        <v>Mixed 40%-85%</v>
      </c>
    </row>
    <row r="1593" spans="1:6" x14ac:dyDescent="0.2">
      <c r="A1593" t="str">
        <f>'Novia Web Query'!A1590</f>
        <v>GB0000160639</v>
      </c>
      <c r="B1593" t="str">
        <f>VLOOKUP(NoviaFunds[[#This Row],[ISIN]],'Novia Web Query'!$A:$E,2,FALSE)</f>
        <v>HSBC Monthly Income Ret Acc in GB</v>
      </c>
      <c r="C1593" t="str">
        <f>VLOOKUP(NoviaFunds[[#This Row],[ISIN]],'Novia Web Query'!$A:$E,3,FALSE)</f>
        <v>UT Mixed Investment 40-85% Shares</v>
      </c>
      <c r="D1593" s="139">
        <f>VLOOKUP(NoviaFunds[[#This Row],[ISIN]],'Novia Web Query'!$A:$E,4,FALSE)/100</f>
        <v>1.34E-2</v>
      </c>
      <c r="E1593" s="3" t="str">
        <f>VLOOKUP(NoviaFunds[[#This Row],[ISIN]],'Novia Web Query'!$A:$E,5,FALSE)</f>
        <v>01/10/2020</v>
      </c>
      <c r="F1593" t="str">
        <f>VLOOKUP(NoviaFunds[[#This Row],[Sector]],Sectors[],2,FALSE)</f>
        <v>Mixed 40%-85%</v>
      </c>
    </row>
    <row r="1594" spans="1:6" x14ac:dyDescent="0.2">
      <c r="A1594" t="str">
        <f>'Novia Web Query'!A1591</f>
        <v>GB0000160308</v>
      </c>
      <c r="B1594" t="str">
        <f>VLOOKUP(NoviaFunds[[#This Row],[ISIN]],'Novia Web Query'!$A:$E,2,FALSE)</f>
        <v>HSBC Monthly Income Ret Inc TR in GB</v>
      </c>
      <c r="C1594" t="str">
        <f>VLOOKUP(NoviaFunds[[#This Row],[ISIN]],'Novia Web Query'!$A:$E,3,FALSE)</f>
        <v>UT Mixed Investment 40-85% Shares</v>
      </c>
      <c r="D1594" s="139">
        <f>VLOOKUP(NoviaFunds[[#This Row],[ISIN]],'Novia Web Query'!$A:$E,4,FALSE)/100</f>
        <v>1.34E-2</v>
      </c>
      <c r="E1594" s="3" t="str">
        <f>VLOOKUP(NoviaFunds[[#This Row],[ISIN]],'Novia Web Query'!$A:$E,5,FALSE)</f>
        <v>01/10/2020</v>
      </c>
      <c r="F1594" t="str">
        <f>VLOOKUP(NoviaFunds[[#This Row],[Sector]],Sectors[],2,FALSE)</f>
        <v>Mixed 40%-85%</v>
      </c>
    </row>
    <row r="1595" spans="1:6" x14ac:dyDescent="0.2">
      <c r="A1595" t="str">
        <f>'Novia Web Query'!A1592</f>
        <v>GB00B80QGT40</v>
      </c>
      <c r="B1595" t="str">
        <f>VLOOKUP(NoviaFunds[[#This Row],[ISIN]],'Novia Web Query'!$A:$E,2,FALSE)</f>
        <v>HSBC Pacific Index C Acc in GB</v>
      </c>
      <c r="C1595" t="str">
        <f>VLOOKUP(NoviaFunds[[#This Row],[ISIN]],'Novia Web Query'!$A:$E,3,FALSE)</f>
        <v>UT Asia Pacific Excluding Japan</v>
      </c>
      <c r="D1595" s="139">
        <f>VLOOKUP(NoviaFunds[[#This Row],[ISIN]],'Novia Web Query'!$A:$E,4,FALSE)/100</f>
        <v>1.5E-3</v>
      </c>
      <c r="E1595" s="3" t="str">
        <f>VLOOKUP(NoviaFunds[[#This Row],[ISIN]],'Novia Web Query'!$A:$E,5,FALSE)</f>
        <v>15/05/2021</v>
      </c>
      <c r="F1595" t="str">
        <f>VLOOKUP(NoviaFunds[[#This Row],[Sector]],Sectors[],2,FALSE)</f>
        <v>Asia Pacific</v>
      </c>
    </row>
    <row r="1596" spans="1:6" x14ac:dyDescent="0.2">
      <c r="A1596" t="str">
        <f>'Novia Web Query'!A1593</f>
        <v>GB00B80QGR26</v>
      </c>
      <c r="B1596" t="str">
        <f>VLOOKUP(NoviaFunds[[#This Row],[ISIN]],'Novia Web Query'!$A:$E,2,FALSE)</f>
        <v>HSBC Pacific Index C Inc TR in GB</v>
      </c>
      <c r="C1596" t="str">
        <f>VLOOKUP(NoviaFunds[[#This Row],[ISIN]],'Novia Web Query'!$A:$E,3,FALSE)</f>
        <v>UT Asia Pacific Excluding Japan</v>
      </c>
      <c r="D1596" s="139">
        <f>VLOOKUP(NoviaFunds[[#This Row],[ISIN]],'Novia Web Query'!$A:$E,4,FALSE)/100</f>
        <v>1.5E-3</v>
      </c>
      <c r="E1596" s="3" t="str">
        <f>VLOOKUP(NoviaFunds[[#This Row],[ISIN]],'Novia Web Query'!$A:$E,5,FALSE)</f>
        <v>15/05/2021</v>
      </c>
      <c r="F1596" t="str">
        <f>VLOOKUP(NoviaFunds[[#This Row],[Sector]],Sectors[],2,FALSE)</f>
        <v>Asia Pacific</v>
      </c>
    </row>
    <row r="1597" spans="1:6" x14ac:dyDescent="0.2">
      <c r="A1597" t="str">
        <f>'Novia Web Query'!A1594</f>
        <v>GB0000151018</v>
      </c>
      <c r="B1597" t="str">
        <f>VLOOKUP(NoviaFunds[[#This Row],[ISIN]],'Novia Web Query'!$A:$E,2,FALSE)</f>
        <v>HSBC Pacific Index Inst Acc in GB</v>
      </c>
      <c r="C1597" t="str">
        <f>VLOOKUP(NoviaFunds[[#This Row],[ISIN]],'Novia Web Query'!$A:$E,3,FALSE)</f>
        <v>UT Asia Pacific Excluding Japan</v>
      </c>
      <c r="D1597" s="139">
        <f>VLOOKUP(NoviaFunds[[#This Row],[ISIN]],'Novia Web Query'!$A:$E,4,FALSE)/100</f>
        <v>5.0000000000000001E-4</v>
      </c>
      <c r="E1597" s="3" t="str">
        <f>VLOOKUP(NoviaFunds[[#This Row],[ISIN]],'Novia Web Query'!$A:$E,5,FALSE)</f>
        <v>15/05/2021</v>
      </c>
      <c r="F1597" t="str">
        <f>VLOOKUP(NoviaFunds[[#This Row],[Sector]],Sectors[],2,FALSE)</f>
        <v>Asia Pacific</v>
      </c>
    </row>
    <row r="1598" spans="1:6" x14ac:dyDescent="0.2">
      <c r="A1598" t="str">
        <f>'Novia Web Query'!A1595</f>
        <v>GB0000150713</v>
      </c>
      <c r="B1598" t="str">
        <f>VLOOKUP(NoviaFunds[[#This Row],[ISIN]],'Novia Web Query'!$A:$E,2,FALSE)</f>
        <v>HSBC Pacific Index Ret Acc in GB</v>
      </c>
      <c r="C1598" t="str">
        <f>VLOOKUP(NoviaFunds[[#This Row],[ISIN]],'Novia Web Query'!$A:$E,3,FALSE)</f>
        <v>UT Asia Pacific Excluding Japan</v>
      </c>
      <c r="D1598" s="139">
        <f>VLOOKUP(NoviaFunds[[#This Row],[ISIN]],'Novia Web Query'!$A:$E,4,FALSE)/100</f>
        <v>3.0999999999999999E-3</v>
      </c>
      <c r="E1598" s="3" t="str">
        <f>VLOOKUP(NoviaFunds[[#This Row],[ISIN]],'Novia Web Query'!$A:$E,5,FALSE)</f>
        <v>15/05/2021</v>
      </c>
      <c r="F1598" t="str">
        <f>VLOOKUP(NoviaFunds[[#This Row],[Sector]],Sectors[],2,FALSE)</f>
        <v>Asia Pacific</v>
      </c>
    </row>
    <row r="1599" spans="1:6" x14ac:dyDescent="0.2">
      <c r="A1599" t="str">
        <f>'Novia Web Query'!A1596</f>
        <v>GB0000150606</v>
      </c>
      <c r="B1599" t="str">
        <f>VLOOKUP(NoviaFunds[[#This Row],[ISIN]],'Novia Web Query'!$A:$E,2,FALSE)</f>
        <v>HSBC Pacific Index Ret Inc TR in GB</v>
      </c>
      <c r="C1599" t="str">
        <f>VLOOKUP(NoviaFunds[[#This Row],[ISIN]],'Novia Web Query'!$A:$E,3,FALSE)</f>
        <v>UT Asia Pacific Excluding Japan</v>
      </c>
      <c r="D1599" s="139">
        <f>VLOOKUP(NoviaFunds[[#This Row],[ISIN]],'Novia Web Query'!$A:$E,4,FALSE)/100</f>
        <v>3.0999999999999999E-3</v>
      </c>
      <c r="E1599" s="3" t="str">
        <f>VLOOKUP(NoviaFunds[[#This Row],[ISIN]],'Novia Web Query'!$A:$E,5,FALSE)</f>
        <v>15/05/2021</v>
      </c>
      <c r="F1599" t="str">
        <f>VLOOKUP(NoviaFunds[[#This Row],[Sector]],Sectors[],2,FALSE)</f>
        <v>Asia Pacific</v>
      </c>
    </row>
    <row r="1600" spans="1:6" x14ac:dyDescent="0.2">
      <c r="A1600" t="str">
        <f>'Novia Web Query'!A1597</f>
        <v>GB00BYV9WC94</v>
      </c>
      <c r="B1600" t="str">
        <f>VLOOKUP(NoviaFunds[[#This Row],[ISIN]],'Novia Web Query'!$A:$E,2,FALSE)</f>
        <v>HSBC Sterling Corporate Bond Index C Acc in GB</v>
      </c>
      <c r="C1600" t="str">
        <f>VLOOKUP(NoviaFunds[[#This Row],[ISIN]],'Novia Web Query'!$A:$E,3,FALSE)</f>
        <v>UT Sterling Corporate Bond</v>
      </c>
      <c r="D1600" s="139">
        <f>VLOOKUP(NoviaFunds[[#This Row],[ISIN]],'Novia Web Query'!$A:$E,4,FALSE)/100</f>
        <v>1.4000000000000002E-3</v>
      </c>
      <c r="E1600" s="3" t="str">
        <f>VLOOKUP(NoviaFunds[[#This Row],[ISIN]],'Novia Web Query'!$A:$E,5,FALSE)</f>
        <v>01/11/2021</v>
      </c>
      <c r="F1600" t="str">
        <f>VLOOKUP(NoviaFunds[[#This Row],[Sector]],Sectors[],2,FALSE)</f>
        <v>Sterling Corporate Bonds</v>
      </c>
    </row>
    <row r="1601" spans="1:6" x14ac:dyDescent="0.2">
      <c r="A1601" t="str">
        <f>'Novia Web Query'!A1598</f>
        <v>GB00BYV9W854</v>
      </c>
      <c r="B1601" t="str">
        <f>VLOOKUP(NoviaFunds[[#This Row],[ISIN]],'Novia Web Query'!$A:$E,2,FALSE)</f>
        <v>HSBC Sterling Corporate Bond Index C Inc TR in GB</v>
      </c>
      <c r="C1601" t="str">
        <f>VLOOKUP(NoviaFunds[[#This Row],[ISIN]],'Novia Web Query'!$A:$E,3,FALSE)</f>
        <v>UT Sterling Corporate Bond</v>
      </c>
      <c r="D1601" s="139">
        <f>VLOOKUP(NoviaFunds[[#This Row],[ISIN]],'Novia Web Query'!$A:$E,4,FALSE)/100</f>
        <v>1.4000000000000002E-3</v>
      </c>
      <c r="E1601" s="3" t="str">
        <f>VLOOKUP(NoviaFunds[[#This Row],[ISIN]],'Novia Web Query'!$A:$E,5,FALSE)</f>
        <v>01/11/2021</v>
      </c>
      <c r="F1601" t="str">
        <f>VLOOKUP(NoviaFunds[[#This Row],[Sector]],Sectors[],2,FALSE)</f>
        <v>Sterling Corporate Bonds</v>
      </c>
    </row>
    <row r="1602" spans="1:6" x14ac:dyDescent="0.2">
      <c r="A1602" t="str">
        <f>'Novia Web Query'!A1599</f>
        <v>GB00BZ01ZG88</v>
      </c>
      <c r="B1602" t="str">
        <f>VLOOKUP(NoviaFunds[[#This Row],[ISIN]],'Novia Web Query'!$A:$E,2,FALSE)</f>
        <v>HSBC Sterling Corporate Bond Index S Acc in GB**</v>
      </c>
      <c r="C1602" t="str">
        <f>VLOOKUP(NoviaFunds[[#This Row],[ISIN]],'Novia Web Query'!$A:$E,3,FALSE)</f>
        <v>UT Sterling Corporate Bond</v>
      </c>
      <c r="D1602" s="139">
        <f>VLOOKUP(NoviaFunds[[#This Row],[ISIN]],'Novia Web Query'!$A:$E,4,FALSE)/100</f>
        <v>1.1000000000000001E-3</v>
      </c>
      <c r="E1602" s="3" t="str">
        <f>VLOOKUP(NoviaFunds[[#This Row],[ISIN]],'Novia Web Query'!$A:$E,5,FALSE)</f>
        <v>15/11/2020</v>
      </c>
      <c r="F1602" t="str">
        <f>VLOOKUP(NoviaFunds[[#This Row],[Sector]],Sectors[],2,FALSE)</f>
        <v>Sterling Corporate Bonds</v>
      </c>
    </row>
    <row r="1603" spans="1:6" x14ac:dyDescent="0.2">
      <c r="A1603" t="str">
        <f>'Novia Web Query'!A1600</f>
        <v>GB00BZ01ZD57</v>
      </c>
      <c r="B1603" t="str">
        <f>VLOOKUP(NoviaFunds[[#This Row],[ISIN]],'Novia Web Query'!$A:$E,2,FALSE)</f>
        <v>HSBC Sterling Corporate Bond Index S Inc TR in GB**</v>
      </c>
      <c r="C1603" t="str">
        <f>VLOOKUP(NoviaFunds[[#This Row],[ISIN]],'Novia Web Query'!$A:$E,3,FALSE)</f>
        <v>UT Sterling Corporate Bond</v>
      </c>
      <c r="D1603" s="139">
        <f>VLOOKUP(NoviaFunds[[#This Row],[ISIN]],'Novia Web Query'!$A:$E,4,FALSE)/100</f>
        <v>1.1000000000000001E-3</v>
      </c>
      <c r="E1603" s="3" t="str">
        <f>VLOOKUP(NoviaFunds[[#This Row],[ISIN]],'Novia Web Query'!$A:$E,5,FALSE)</f>
        <v>15/11/2020</v>
      </c>
      <c r="F1603" t="str">
        <f>VLOOKUP(NoviaFunds[[#This Row],[Sector]],Sectors[],2,FALSE)</f>
        <v>Sterling Corporate Bonds</v>
      </c>
    </row>
    <row r="1604" spans="1:6" x14ac:dyDescent="0.2">
      <c r="A1604" t="str">
        <f>'Novia Web Query'!A1601</f>
        <v>GB00B80QG383</v>
      </c>
      <c r="B1604" t="str">
        <f>VLOOKUP(NoviaFunds[[#This Row],[ISIN]],'Novia Web Query'!$A:$E,2,FALSE)</f>
        <v>HSBC UK Gilt Index C Acc in GB</v>
      </c>
      <c r="C1604" t="str">
        <f>VLOOKUP(NoviaFunds[[#This Row],[ISIN]],'Novia Web Query'!$A:$E,3,FALSE)</f>
        <v>UT UK Gilts</v>
      </c>
      <c r="D1604" s="139">
        <f>VLOOKUP(NoviaFunds[[#This Row],[ISIN]],'Novia Web Query'!$A:$E,4,FALSE)/100</f>
        <v>1.4000000000000002E-3</v>
      </c>
      <c r="E1604" s="3" t="str">
        <f>VLOOKUP(NoviaFunds[[#This Row],[ISIN]],'Novia Web Query'!$A:$E,5,FALSE)</f>
        <v>01/04/2020</v>
      </c>
      <c r="F1604" t="str">
        <f>VLOOKUP(NoviaFunds[[#This Row],[Sector]],Sectors[],2,FALSE)</f>
        <v>Gilts</v>
      </c>
    </row>
    <row r="1605" spans="1:6" x14ac:dyDescent="0.2">
      <c r="A1605" t="str">
        <f>'Novia Web Query'!A1602</f>
        <v>GB00B80QG276</v>
      </c>
      <c r="B1605" t="str">
        <f>VLOOKUP(NoviaFunds[[#This Row],[ISIN]],'Novia Web Query'!$A:$E,2,FALSE)</f>
        <v>HSBC UK Gilt Index C Inc TR in GB</v>
      </c>
      <c r="C1605" t="str">
        <f>VLOOKUP(NoviaFunds[[#This Row],[ISIN]],'Novia Web Query'!$A:$E,3,FALSE)</f>
        <v>UT UK Gilts</v>
      </c>
      <c r="D1605" s="139">
        <f>VLOOKUP(NoviaFunds[[#This Row],[ISIN]],'Novia Web Query'!$A:$E,4,FALSE)/100</f>
        <v>1.4000000000000002E-3</v>
      </c>
      <c r="E1605" s="3" t="str">
        <f>VLOOKUP(NoviaFunds[[#This Row],[ISIN]],'Novia Web Query'!$A:$E,5,FALSE)</f>
        <v>01/04/2020</v>
      </c>
      <c r="F1605" t="str">
        <f>VLOOKUP(NoviaFunds[[#This Row],[Sector]],Sectors[],2,FALSE)</f>
        <v>Gilts</v>
      </c>
    </row>
    <row r="1606" spans="1:6" x14ac:dyDescent="0.2">
      <c r="A1606" t="str">
        <f>'Novia Web Query'!A1603</f>
        <v>GB00B4581C50</v>
      </c>
      <c r="B1606" t="str">
        <f>VLOOKUP(NoviaFunds[[#This Row],[ISIN]],'Novia Web Query'!$A:$E,2,FALSE)</f>
        <v>HSBC UK Gilt Index Ret Acc in GB</v>
      </c>
      <c r="C1606" t="str">
        <f>VLOOKUP(NoviaFunds[[#This Row],[ISIN]],'Novia Web Query'!$A:$E,3,FALSE)</f>
        <v>UT UK Gilts</v>
      </c>
      <c r="D1606" s="139">
        <f>VLOOKUP(NoviaFunds[[#This Row],[ISIN]],'Novia Web Query'!$A:$E,4,FALSE)/100</f>
        <v>3.0999999999999999E-3</v>
      </c>
      <c r="E1606" s="3" t="str">
        <f>VLOOKUP(NoviaFunds[[#This Row],[ISIN]],'Novia Web Query'!$A:$E,5,FALSE)</f>
        <v>15/11/2020</v>
      </c>
      <c r="F1606" t="str">
        <f>VLOOKUP(NoviaFunds[[#This Row],[Sector]],Sectors[],2,FALSE)</f>
        <v>Gilts</v>
      </c>
    </row>
    <row r="1607" spans="1:6" x14ac:dyDescent="0.2">
      <c r="A1607" t="str">
        <f>'Novia Web Query'!A1604</f>
        <v>GB00B715G377</v>
      </c>
      <c r="B1607" t="str">
        <f>VLOOKUP(NoviaFunds[[#This Row],[ISIN]],'Novia Web Query'!$A:$E,2,FALSE)</f>
        <v>HSBC UK Growth &amp; Income C Acc in GB</v>
      </c>
      <c r="C1607" t="str">
        <f>VLOOKUP(NoviaFunds[[#This Row],[ISIN]],'Novia Web Query'!$A:$E,3,FALSE)</f>
        <v>UT UK All Companies</v>
      </c>
      <c r="D1607" s="139">
        <f>VLOOKUP(NoviaFunds[[#This Row],[ISIN]],'Novia Web Query'!$A:$E,4,FALSE)/100</f>
        <v>8.3000000000000001E-3</v>
      </c>
      <c r="E1607" s="3" t="str">
        <f>VLOOKUP(NoviaFunds[[#This Row],[ISIN]],'Novia Web Query'!$A:$E,5,FALSE)</f>
        <v>01/10/2020</v>
      </c>
      <c r="F1607" t="str">
        <f>VLOOKUP(NoviaFunds[[#This Row],[Sector]],Sectors[],2,FALSE)</f>
        <v>UK Equities</v>
      </c>
    </row>
    <row r="1608" spans="1:6" x14ac:dyDescent="0.2">
      <c r="A1608" t="str">
        <f>'Novia Web Query'!A1605</f>
        <v>GB00B86PKV52</v>
      </c>
      <c r="B1608" t="str">
        <f>VLOOKUP(NoviaFunds[[#This Row],[ISIN]],'Novia Web Query'!$A:$E,2,FALSE)</f>
        <v>HSBC UK Growth &amp; Income C Inc TR in GB</v>
      </c>
      <c r="C1608" t="str">
        <f>VLOOKUP(NoviaFunds[[#This Row],[ISIN]],'Novia Web Query'!$A:$E,3,FALSE)</f>
        <v>UT UK All Companies</v>
      </c>
      <c r="D1608" s="139">
        <f>VLOOKUP(NoviaFunds[[#This Row],[ISIN]],'Novia Web Query'!$A:$E,4,FALSE)/100</f>
        <v>8.3000000000000001E-3</v>
      </c>
      <c r="E1608" s="3" t="str">
        <f>VLOOKUP(NoviaFunds[[#This Row],[ISIN]],'Novia Web Query'!$A:$E,5,FALSE)</f>
        <v>01/10/2020</v>
      </c>
      <c r="F1608" t="str">
        <f>VLOOKUP(NoviaFunds[[#This Row],[Sector]],Sectors[],2,FALSE)</f>
        <v>UK Equities</v>
      </c>
    </row>
    <row r="1609" spans="1:6" x14ac:dyDescent="0.2">
      <c r="A1609" t="str">
        <f>'Novia Web Query'!A1606</f>
        <v>GB0000189950</v>
      </c>
      <c r="B1609" t="str">
        <f>VLOOKUP(NoviaFunds[[#This Row],[ISIN]],'Novia Web Query'!$A:$E,2,FALSE)</f>
        <v>HSBC UK Growth &amp; Income Ret Acc in GB</v>
      </c>
      <c r="C1609" t="str">
        <f>VLOOKUP(NoviaFunds[[#This Row],[ISIN]],'Novia Web Query'!$A:$E,3,FALSE)</f>
        <v>UT UK All Companies</v>
      </c>
      <c r="D1609" s="139">
        <f>VLOOKUP(NoviaFunds[[#This Row],[ISIN]],'Novia Web Query'!$A:$E,4,FALSE)/100</f>
        <v>1.5300000000000001E-2</v>
      </c>
      <c r="E1609" s="3" t="str">
        <f>VLOOKUP(NoviaFunds[[#This Row],[ISIN]],'Novia Web Query'!$A:$E,5,FALSE)</f>
        <v>01/10/2020</v>
      </c>
      <c r="F1609" t="str">
        <f>VLOOKUP(NoviaFunds[[#This Row],[Sector]],Sectors[],2,FALSE)</f>
        <v>UK Equities</v>
      </c>
    </row>
    <row r="1610" spans="1:6" x14ac:dyDescent="0.2">
      <c r="A1610" t="str">
        <f>'Novia Web Query'!A1607</f>
        <v>GB0000185313</v>
      </c>
      <c r="B1610" t="str">
        <f>VLOOKUP(NoviaFunds[[#This Row],[ISIN]],'Novia Web Query'!$A:$E,2,FALSE)</f>
        <v>HSBC UK Growth &amp; Income Ret Inc TR in GB</v>
      </c>
      <c r="C1610" t="str">
        <f>VLOOKUP(NoviaFunds[[#This Row],[ISIN]],'Novia Web Query'!$A:$E,3,FALSE)</f>
        <v>UT UK All Companies</v>
      </c>
      <c r="D1610" s="139">
        <f>VLOOKUP(NoviaFunds[[#This Row],[ISIN]],'Novia Web Query'!$A:$E,4,FALSE)/100</f>
        <v>1.5300000000000001E-2</v>
      </c>
      <c r="E1610" s="3" t="str">
        <f>VLOOKUP(NoviaFunds[[#This Row],[ISIN]],'Novia Web Query'!$A:$E,5,FALSE)</f>
        <v>01/10/2020</v>
      </c>
      <c r="F1610" t="str">
        <f>VLOOKUP(NoviaFunds[[#This Row],[Sector]],Sectors[],2,FALSE)</f>
        <v>UK Equities</v>
      </c>
    </row>
    <row r="1611" spans="1:6" x14ac:dyDescent="0.2">
      <c r="A1611" t="str">
        <f>'Novia Web Query'!A1608</f>
        <v>GB00B7JK0545</v>
      </c>
      <c r="B1611" t="str">
        <f>VLOOKUP(NoviaFunds[[#This Row],[ISIN]],'Novia Web Query'!$A:$E,2,FALSE)</f>
        <v>HSBC World Selection Dividend Distribution Portfolio C Acc in GB</v>
      </c>
      <c r="C1611" t="str">
        <f>VLOOKUP(NoviaFunds[[#This Row],[ISIN]],'Novia Web Query'!$A:$E,3,FALSE)</f>
        <v>UT Mixed Investment 20-60% Shares</v>
      </c>
      <c r="D1611" s="139">
        <f>VLOOKUP(NoviaFunds[[#This Row],[ISIN]],'Novia Web Query'!$A:$E,4,FALSE)/100</f>
        <v>7.4999999999999997E-3</v>
      </c>
      <c r="E1611" s="3" t="str">
        <f>VLOOKUP(NoviaFunds[[#This Row],[ISIN]],'Novia Web Query'!$A:$E,5,FALSE)</f>
        <v>01/10/2020</v>
      </c>
      <c r="F1611" t="str">
        <f>VLOOKUP(NoviaFunds[[#This Row],[Sector]],Sectors[],2,FALSE)</f>
        <v>Mixed 20%-60%</v>
      </c>
    </row>
    <row r="1612" spans="1:6" x14ac:dyDescent="0.2">
      <c r="A1612" t="str">
        <f>'Novia Web Query'!A1609</f>
        <v>GB00B84BZW11</v>
      </c>
      <c r="B1612" t="str">
        <f>VLOOKUP(NoviaFunds[[#This Row],[ISIN]],'Novia Web Query'!$A:$E,2,FALSE)</f>
        <v>HSBC World Selection Dividend Distribution Portfolio C Inc TR in GB</v>
      </c>
      <c r="C1612" t="str">
        <f>VLOOKUP(NoviaFunds[[#This Row],[ISIN]],'Novia Web Query'!$A:$E,3,FALSE)</f>
        <v>UT Mixed Investment 20-60% Shares</v>
      </c>
      <c r="D1612" s="139">
        <f>VLOOKUP(NoviaFunds[[#This Row],[ISIN]],'Novia Web Query'!$A:$E,4,FALSE)/100</f>
        <v>7.4999999999999997E-3</v>
      </c>
      <c r="E1612" s="3" t="str">
        <f>VLOOKUP(NoviaFunds[[#This Row],[ISIN]],'Novia Web Query'!$A:$E,5,FALSE)</f>
        <v>01/10/2020</v>
      </c>
      <c r="F1612" t="str">
        <f>VLOOKUP(NoviaFunds[[#This Row],[Sector]],Sectors[],2,FALSE)</f>
        <v>Mixed 20%-60%</v>
      </c>
    </row>
    <row r="1613" spans="1:6" x14ac:dyDescent="0.2">
      <c r="A1613" t="str">
        <f>'Novia Web Query'!A1610</f>
        <v>GB00B1G3FH19</v>
      </c>
      <c r="B1613" t="str">
        <f>VLOOKUP(NoviaFunds[[#This Row],[ISIN]],'Novia Web Query'!$A:$E,2,FALSE)</f>
        <v>HSBC World Selection Dividend Distribution Portfolio Ret Inc TR in GB</v>
      </c>
      <c r="C1613" t="str">
        <f>VLOOKUP(NoviaFunds[[#This Row],[ISIN]],'Novia Web Query'!$A:$E,3,FALSE)</f>
        <v>UT Mixed Investment 20-60% Shares</v>
      </c>
      <c r="D1613" s="139">
        <f>VLOOKUP(NoviaFunds[[#This Row],[ISIN]],'Novia Web Query'!$A:$E,4,FALSE)/100</f>
        <v>1.4499999999999999E-2</v>
      </c>
      <c r="E1613" s="3" t="str">
        <f>VLOOKUP(NoviaFunds[[#This Row],[ISIN]],'Novia Web Query'!$A:$E,5,FALSE)</f>
        <v>01/10/2020</v>
      </c>
      <c r="F1613" t="str">
        <f>VLOOKUP(NoviaFunds[[#This Row],[Sector]],Sectors[],2,FALSE)</f>
        <v>Mixed 20%-60%</v>
      </c>
    </row>
    <row r="1614" spans="1:6" x14ac:dyDescent="0.2">
      <c r="A1614" t="str">
        <f>'Novia Web Query'!A1611</f>
        <v>GB00B8QYPR36</v>
      </c>
      <c r="B1614" t="str">
        <f>VLOOKUP(NoviaFunds[[#This Row],[ISIN]],'Novia Web Query'!$A:$E,2,FALSE)</f>
        <v>HSBC World Selection Balanced Portfolio C Acc in GB</v>
      </c>
      <c r="C1614" t="str">
        <f>VLOOKUP(NoviaFunds[[#This Row],[ISIN]],'Novia Web Query'!$A:$E,3,FALSE)</f>
        <v>UT Unclassified</v>
      </c>
      <c r="D1614" s="139">
        <f>VLOOKUP(NoviaFunds[[#This Row],[ISIN]],'Novia Web Query'!$A:$E,4,FALSE)/100</f>
        <v>6.8000000000000005E-3</v>
      </c>
      <c r="E1614" s="3" t="str">
        <f>VLOOKUP(NoviaFunds[[#This Row],[ISIN]],'Novia Web Query'!$A:$E,5,FALSE)</f>
        <v>01/10/2020</v>
      </c>
      <c r="F1614" t="str">
        <f>VLOOKUP(NoviaFunds[[#This Row],[Sector]],Sectors[],2,FALSE)</f>
        <v>Unclassified</v>
      </c>
    </row>
    <row r="1615" spans="1:6" x14ac:dyDescent="0.2">
      <c r="A1615" t="str">
        <f>'Novia Web Query'!A1612</f>
        <v>GB00B8QYP513</v>
      </c>
      <c r="B1615" t="str">
        <f>VLOOKUP(NoviaFunds[[#This Row],[ISIN]],'Novia Web Query'!$A:$E,2,FALSE)</f>
        <v>HSBC World Selection Balanced Portfolio C Inc TR in GB</v>
      </c>
      <c r="C1615" t="str">
        <f>VLOOKUP(NoviaFunds[[#This Row],[ISIN]],'Novia Web Query'!$A:$E,3,FALSE)</f>
        <v>UT Unclassified</v>
      </c>
      <c r="D1615" s="139">
        <f>VLOOKUP(NoviaFunds[[#This Row],[ISIN]],'Novia Web Query'!$A:$E,4,FALSE)/100</f>
        <v>6.8000000000000005E-3</v>
      </c>
      <c r="E1615" s="3" t="str">
        <f>VLOOKUP(NoviaFunds[[#This Row],[ISIN]],'Novia Web Query'!$A:$E,5,FALSE)</f>
        <v>01/10/2020</v>
      </c>
      <c r="F1615" t="str">
        <f>VLOOKUP(NoviaFunds[[#This Row],[Sector]],Sectors[],2,FALSE)</f>
        <v>Unclassified</v>
      </c>
    </row>
    <row r="1616" spans="1:6" x14ac:dyDescent="0.2">
      <c r="A1616" t="str">
        <f>'Novia Web Query'!A1613</f>
        <v>GB00B886CK92</v>
      </c>
      <c r="B1616" t="str">
        <f>VLOOKUP(NoviaFunds[[#This Row],[ISIN]],'Novia Web Query'!$A:$E,2,FALSE)</f>
        <v>HSBC World Selection Dynamic Portfolio C Acc in GB</v>
      </c>
      <c r="C1616" t="str">
        <f>VLOOKUP(NoviaFunds[[#This Row],[ISIN]],'Novia Web Query'!$A:$E,3,FALSE)</f>
        <v>UT Unclassified</v>
      </c>
      <c r="D1616" s="139">
        <f>VLOOKUP(NoviaFunds[[#This Row],[ISIN]],'Novia Web Query'!$A:$E,4,FALSE)/100</f>
        <v>6.8000000000000005E-3</v>
      </c>
      <c r="E1616" s="3" t="str">
        <f>VLOOKUP(NoviaFunds[[#This Row],[ISIN]],'Novia Web Query'!$A:$E,5,FALSE)</f>
        <v>01/10/2020</v>
      </c>
      <c r="F1616" t="str">
        <f>VLOOKUP(NoviaFunds[[#This Row],[Sector]],Sectors[],2,FALSE)</f>
        <v>Unclassified</v>
      </c>
    </row>
    <row r="1617" spans="1:6" x14ac:dyDescent="0.2">
      <c r="A1617" t="str">
        <f>'Novia Web Query'!A1614</f>
        <v>GB00B84JBP02</v>
      </c>
      <c r="B1617" t="str">
        <f>VLOOKUP(NoviaFunds[[#This Row],[ISIN]],'Novia Web Query'!$A:$E,2,FALSE)</f>
        <v>HSBC World Selection Dynamic Portfolio C Inc TR in GB</v>
      </c>
      <c r="C1617" t="str">
        <f>VLOOKUP(NoviaFunds[[#This Row],[ISIN]],'Novia Web Query'!$A:$E,3,FALSE)</f>
        <v>UT Unclassified</v>
      </c>
      <c r="D1617" s="139">
        <f>VLOOKUP(NoviaFunds[[#This Row],[ISIN]],'Novia Web Query'!$A:$E,4,FALSE)/100</f>
        <v>6.8000000000000005E-3</v>
      </c>
      <c r="E1617" s="3" t="str">
        <f>VLOOKUP(NoviaFunds[[#This Row],[ISIN]],'Novia Web Query'!$A:$E,5,FALSE)</f>
        <v>01/10/2020</v>
      </c>
      <c r="F1617" t="str">
        <f>VLOOKUP(NoviaFunds[[#This Row],[Sector]],Sectors[],2,FALSE)</f>
        <v>Unclassified</v>
      </c>
    </row>
    <row r="1618" spans="1:6" x14ac:dyDescent="0.2">
      <c r="A1618" t="str">
        <f>'Novia Web Query'!A1615</f>
        <v>GB00BZ3T3P48</v>
      </c>
      <c r="B1618" t="str">
        <f>VLOOKUP(NoviaFunds[[#This Row],[ISIN]],'Novia Web Query'!$A:$E,2,FALSE)</f>
        <v>Huntress IFSL Ravenscroft Balanced A Acc in GB</v>
      </c>
      <c r="C1618" t="str">
        <f>VLOOKUP(NoviaFunds[[#This Row],[ISIN]],'Novia Web Query'!$A:$E,3,FALSE)</f>
        <v>UT Mixed Investment 20-60% Shares</v>
      </c>
      <c r="D1618" s="139">
        <f>VLOOKUP(NoviaFunds[[#This Row],[ISIN]],'Novia Web Query'!$A:$E,4,FALSE)/100</f>
        <v>1.49E-2</v>
      </c>
      <c r="E1618" s="3" t="str">
        <f>VLOOKUP(NoviaFunds[[#This Row],[ISIN]],'Novia Web Query'!$A:$E,5,FALSE)</f>
        <v>31/05/2021</v>
      </c>
      <c r="F1618" t="str">
        <f>VLOOKUP(NoviaFunds[[#This Row],[Sector]],Sectors[],2,FALSE)</f>
        <v>Mixed 20%-60%</v>
      </c>
    </row>
    <row r="1619" spans="1:6" x14ac:dyDescent="0.2">
      <c r="A1619" t="str">
        <f>'Novia Web Query'!A1616</f>
        <v>GB00BJXFL013</v>
      </c>
      <c r="B1619" t="str">
        <f>VLOOKUP(NoviaFunds[[#This Row],[ISIN]],'Novia Web Query'!$A:$E,2,FALSE)</f>
        <v>IFSL Avellemy 3 C Inc TR in GB</v>
      </c>
      <c r="C1619" t="str">
        <f>VLOOKUP(NoviaFunds[[#This Row],[ISIN]],'Novia Web Query'!$A:$E,3,FALSE)</f>
        <v>UT Volatility Managed</v>
      </c>
      <c r="D1619" s="139">
        <f>VLOOKUP(NoviaFunds[[#This Row],[ISIN]],'Novia Web Query'!$A:$E,4,FALSE)/100</f>
        <v>6.9999999999999993E-3</v>
      </c>
      <c r="E1619" s="3" t="str">
        <f>VLOOKUP(NoviaFunds[[#This Row],[ISIN]],'Novia Web Query'!$A:$E,5,FALSE)</f>
        <v>31/07/2021</v>
      </c>
      <c r="F1619" t="e">
        <f>VLOOKUP(NoviaFunds[[#This Row],[Sector]],Sectors[],2,FALSE)</f>
        <v>#N/A</v>
      </c>
    </row>
    <row r="1620" spans="1:6" x14ac:dyDescent="0.2">
      <c r="A1620" t="str">
        <f>'Novia Web Query'!A1617</f>
        <v>GB00BJXFZ328</v>
      </c>
      <c r="B1620" t="str">
        <f>VLOOKUP(NoviaFunds[[#This Row],[ISIN]],'Novia Web Query'!$A:$E,2,FALSE)</f>
        <v>IFSL Avellemy 4 C Inc TR in GB</v>
      </c>
      <c r="C1620" t="str">
        <f>VLOOKUP(NoviaFunds[[#This Row],[ISIN]],'Novia Web Query'!$A:$E,3,FALSE)</f>
        <v>UT Volatility Managed</v>
      </c>
      <c r="D1620" s="139">
        <f>VLOOKUP(NoviaFunds[[#This Row],[ISIN]],'Novia Web Query'!$A:$E,4,FALSE)/100</f>
        <v>6.9999999999999993E-3</v>
      </c>
      <c r="E1620" s="3" t="str">
        <f>VLOOKUP(NoviaFunds[[#This Row],[ISIN]],'Novia Web Query'!$A:$E,5,FALSE)</f>
        <v>31/07/2021</v>
      </c>
      <c r="F1620" t="e">
        <f>VLOOKUP(NoviaFunds[[#This Row],[Sector]],Sectors[],2,FALSE)</f>
        <v>#N/A</v>
      </c>
    </row>
    <row r="1621" spans="1:6" x14ac:dyDescent="0.2">
      <c r="A1621" t="str">
        <f>'Novia Web Query'!A1618</f>
        <v>GB00BJXFZ435</v>
      </c>
      <c r="B1621" t="str">
        <f>VLOOKUP(NoviaFunds[[#This Row],[ISIN]],'Novia Web Query'!$A:$E,2,FALSE)</f>
        <v>IFSL Avellemy 5 C Inc TR in GB</v>
      </c>
      <c r="C1621" t="str">
        <f>VLOOKUP(NoviaFunds[[#This Row],[ISIN]],'Novia Web Query'!$A:$E,3,FALSE)</f>
        <v>UT Volatility Managed</v>
      </c>
      <c r="D1621" s="139">
        <f>VLOOKUP(NoviaFunds[[#This Row],[ISIN]],'Novia Web Query'!$A:$E,4,FALSE)/100</f>
        <v>7.9000000000000008E-3</v>
      </c>
      <c r="E1621" s="3" t="str">
        <f>VLOOKUP(NoviaFunds[[#This Row],[ISIN]],'Novia Web Query'!$A:$E,5,FALSE)</f>
        <v>31/07/2021</v>
      </c>
      <c r="F1621" t="e">
        <f>VLOOKUP(NoviaFunds[[#This Row],[Sector]],Sectors[],2,FALSE)</f>
        <v>#N/A</v>
      </c>
    </row>
    <row r="1622" spans="1:6" x14ac:dyDescent="0.2">
      <c r="A1622" t="str">
        <f>'Novia Web Query'!A1619</f>
        <v>GB00BJXFRP82</v>
      </c>
      <c r="B1622" t="str">
        <f>VLOOKUP(NoviaFunds[[#This Row],[ISIN]],'Novia Web Query'!$A:$E,2,FALSE)</f>
        <v>IFSL Avellemy 6 C Inc TR in GB</v>
      </c>
      <c r="C1622" t="str">
        <f>VLOOKUP(NoviaFunds[[#This Row],[ISIN]],'Novia Web Query'!$A:$E,3,FALSE)</f>
        <v>UT Volatility Managed</v>
      </c>
      <c r="D1622" s="139">
        <f>VLOOKUP(NoviaFunds[[#This Row],[ISIN]],'Novia Web Query'!$A:$E,4,FALSE)/100</f>
        <v>8.6E-3</v>
      </c>
      <c r="E1622" s="3" t="str">
        <f>VLOOKUP(NoviaFunds[[#This Row],[ISIN]],'Novia Web Query'!$A:$E,5,FALSE)</f>
        <v>31/07/2021</v>
      </c>
      <c r="F1622" t="e">
        <f>VLOOKUP(NoviaFunds[[#This Row],[Sector]],Sectors[],2,FALSE)</f>
        <v>#N/A</v>
      </c>
    </row>
    <row r="1623" spans="1:6" x14ac:dyDescent="0.2">
      <c r="A1623" t="str">
        <f>'Novia Web Query'!A1620</f>
        <v>GB00BJXFRZ80</v>
      </c>
      <c r="B1623" t="str">
        <f>VLOOKUP(NoviaFunds[[#This Row],[ISIN]],'Novia Web Query'!$A:$E,2,FALSE)</f>
        <v>IFSL Avellemy 7 C Inc TR in GB</v>
      </c>
      <c r="C1623" t="str">
        <f>VLOOKUP(NoviaFunds[[#This Row],[ISIN]],'Novia Web Query'!$A:$E,3,FALSE)</f>
        <v>UT Volatility Managed</v>
      </c>
      <c r="D1623" s="139">
        <f>VLOOKUP(NoviaFunds[[#This Row],[ISIN]],'Novia Web Query'!$A:$E,4,FALSE)/100</f>
        <v>9.5999999999999992E-3</v>
      </c>
      <c r="E1623" s="3" t="str">
        <f>VLOOKUP(NoviaFunds[[#This Row],[ISIN]],'Novia Web Query'!$A:$E,5,FALSE)</f>
        <v>31/07/2021</v>
      </c>
      <c r="F1623" t="e">
        <f>VLOOKUP(NoviaFunds[[#This Row],[Sector]],Sectors[],2,FALSE)</f>
        <v>#N/A</v>
      </c>
    </row>
    <row r="1624" spans="1:6" x14ac:dyDescent="0.2">
      <c r="A1624" t="str">
        <f>'Novia Web Query'!A1621</f>
        <v>GB00BKVFFD14</v>
      </c>
      <c r="B1624" t="str">
        <f>VLOOKUP(NoviaFunds[[#This Row],[ISIN]],'Novia Web Query'!$A:$E,2,FALSE)</f>
        <v>IFSL Avellemy 8 C Inc TR in GB</v>
      </c>
      <c r="C1624" t="str">
        <f>VLOOKUP(NoviaFunds[[#This Row],[ISIN]],'Novia Web Query'!$A:$E,3,FALSE)</f>
        <v>UT Volatility Managed</v>
      </c>
      <c r="D1624" s="139">
        <f>VLOOKUP(NoviaFunds[[#This Row],[ISIN]],'Novia Web Query'!$A:$E,4,FALSE)/100</f>
        <v>9.7000000000000003E-3</v>
      </c>
      <c r="E1624" s="3" t="str">
        <f>VLOOKUP(NoviaFunds[[#This Row],[ISIN]],'Novia Web Query'!$A:$E,5,FALSE)</f>
        <v>31/07/2021</v>
      </c>
      <c r="F1624" t="e">
        <f>VLOOKUP(NoviaFunds[[#This Row],[Sector]],Sectors[],2,FALSE)</f>
        <v>#N/A</v>
      </c>
    </row>
    <row r="1625" spans="1:6" x14ac:dyDescent="0.2">
      <c r="A1625" t="str">
        <f>'Novia Web Query'!A1622</f>
        <v>GB0007148629</v>
      </c>
      <c r="B1625" t="str">
        <f>VLOOKUP(NoviaFunds[[#This Row],[ISIN]],'Novia Web Query'!$A:$E,2,FALSE)</f>
        <v>IFSL Marlborough Balanced A Acc in GB</v>
      </c>
      <c r="C1625" t="str">
        <f>VLOOKUP(NoviaFunds[[#This Row],[ISIN]],'Novia Web Query'!$A:$E,3,FALSE)</f>
        <v>UT Mixed Investment 40-85% Shares</v>
      </c>
      <c r="D1625" s="139">
        <f>VLOOKUP(NoviaFunds[[#This Row],[ISIN]],'Novia Web Query'!$A:$E,4,FALSE)/100</f>
        <v>2.18E-2</v>
      </c>
      <c r="E1625" s="3" t="str">
        <f>VLOOKUP(NoviaFunds[[#This Row],[ISIN]],'Novia Web Query'!$A:$E,5,FALSE)</f>
        <v>31/08/2021</v>
      </c>
      <c r="F1625" t="str">
        <f>VLOOKUP(NoviaFunds[[#This Row],[Sector]],Sectors[],2,FALSE)</f>
        <v>Mixed 40%-85%</v>
      </c>
    </row>
    <row r="1626" spans="1:6" x14ac:dyDescent="0.2">
      <c r="A1626" t="str">
        <f>'Novia Web Query'!A1623</f>
        <v>GB00B4LXDY07</v>
      </c>
      <c r="B1626" t="str">
        <f>VLOOKUP(NoviaFunds[[#This Row],[ISIN]],'Novia Web Query'!$A:$E,2,FALSE)</f>
        <v>IFSL Marlborough Balanced P Acc in GB</v>
      </c>
      <c r="C1626" t="str">
        <f>VLOOKUP(NoviaFunds[[#This Row],[ISIN]],'Novia Web Query'!$A:$E,3,FALSE)</f>
        <v>UT Mixed Investment 40-85% Shares</v>
      </c>
      <c r="D1626" s="139">
        <f>VLOOKUP(NoviaFunds[[#This Row],[ISIN]],'Novia Web Query'!$A:$E,4,FALSE)/100</f>
        <v>1.43E-2</v>
      </c>
      <c r="E1626" s="3" t="str">
        <f>VLOOKUP(NoviaFunds[[#This Row],[ISIN]],'Novia Web Query'!$A:$E,5,FALSE)</f>
        <v>31/08/2021</v>
      </c>
      <c r="F1626" t="str">
        <f>VLOOKUP(NoviaFunds[[#This Row],[Sector]],Sectors[],2,FALSE)</f>
        <v>Mixed 40%-85%</v>
      </c>
    </row>
    <row r="1627" spans="1:6" x14ac:dyDescent="0.2">
      <c r="A1627" t="str">
        <f>'Novia Web Query'!A1624</f>
        <v>GB0004326707</v>
      </c>
      <c r="B1627" t="str">
        <f>VLOOKUP(NoviaFunds[[#This Row],[ISIN]],'Novia Web Query'!$A:$E,2,FALSE)</f>
        <v>IFSL Marlborough Bond Income A TR in GB</v>
      </c>
      <c r="C1627" t="str">
        <f>VLOOKUP(NoviaFunds[[#This Row],[ISIN]],'Novia Web Query'!$A:$E,3,FALSE)</f>
        <v>UT Sterling Corporate Bond</v>
      </c>
      <c r="D1627" s="139">
        <f>VLOOKUP(NoviaFunds[[#This Row],[ISIN]],'Novia Web Query'!$A:$E,4,FALSE)/100</f>
        <v>1.6E-2</v>
      </c>
      <c r="E1627" s="3" t="str">
        <f>VLOOKUP(NoviaFunds[[#This Row],[ISIN]],'Novia Web Query'!$A:$E,5,FALSE)</f>
        <v>31/05/2021</v>
      </c>
      <c r="F1627" t="str">
        <f>VLOOKUP(NoviaFunds[[#This Row],[Sector]],Sectors[],2,FALSE)</f>
        <v>Sterling Corporate Bonds</v>
      </c>
    </row>
    <row r="1628" spans="1:6" x14ac:dyDescent="0.2">
      <c r="A1628" t="str">
        <f>'Novia Web Query'!A1625</f>
        <v>GB00B8P58897</v>
      </c>
      <c r="B1628" t="str">
        <f>VLOOKUP(NoviaFunds[[#This Row],[ISIN]],'Novia Web Query'!$A:$E,2,FALSE)</f>
        <v>IFSL Marlborough Bond Income P Inc TR in GB</v>
      </c>
      <c r="C1628" t="str">
        <f>VLOOKUP(NoviaFunds[[#This Row],[ISIN]],'Novia Web Query'!$A:$E,3,FALSE)</f>
        <v>UT Sterling Corporate Bond</v>
      </c>
      <c r="D1628" s="139">
        <f>VLOOKUP(NoviaFunds[[#This Row],[ISIN]],'Novia Web Query'!$A:$E,4,FALSE)/100</f>
        <v>8.5000000000000006E-3</v>
      </c>
      <c r="E1628" s="3" t="str">
        <f>VLOOKUP(NoviaFunds[[#This Row],[ISIN]],'Novia Web Query'!$A:$E,5,FALSE)</f>
        <v>31/05/2021</v>
      </c>
      <c r="F1628" t="str">
        <f>VLOOKUP(NoviaFunds[[#This Row],[Sector]],Sectors[],2,FALSE)</f>
        <v>Sterling Corporate Bonds</v>
      </c>
    </row>
    <row r="1629" spans="1:6" x14ac:dyDescent="0.2">
      <c r="A1629" t="str">
        <f>'Novia Web Query'!A1626</f>
        <v>GB0002257847</v>
      </c>
      <c r="B1629" t="str">
        <f>VLOOKUP(NoviaFunds[[#This Row],[ISIN]],'Novia Web Query'!$A:$E,2,FALSE)</f>
        <v>IFSL Marlborough Cautious A Acc in GB</v>
      </c>
      <c r="C1629" t="str">
        <f>VLOOKUP(NoviaFunds[[#This Row],[ISIN]],'Novia Web Query'!$A:$E,3,FALSE)</f>
        <v>UT Mixed Investment 20-60% Shares</v>
      </c>
      <c r="D1629" s="139">
        <f>VLOOKUP(NoviaFunds[[#This Row],[ISIN]],'Novia Web Query'!$A:$E,4,FALSE)/100</f>
        <v>2.2799999999999997E-2</v>
      </c>
      <c r="E1629" s="3" t="str">
        <f>VLOOKUP(NoviaFunds[[#This Row],[ISIN]],'Novia Web Query'!$A:$E,5,FALSE)</f>
        <v>30/04/2021</v>
      </c>
      <c r="F1629" t="str">
        <f>VLOOKUP(NoviaFunds[[#This Row],[Sector]],Sectors[],2,FALSE)</f>
        <v>Mixed 20%-60%</v>
      </c>
    </row>
    <row r="1630" spans="1:6" x14ac:dyDescent="0.2">
      <c r="A1630" t="str">
        <f>'Novia Web Query'!A1627</f>
        <v>GB0008542184</v>
      </c>
      <c r="B1630" t="str">
        <f>VLOOKUP(NoviaFunds[[#This Row],[ISIN]],'Novia Web Query'!$A:$E,2,FALSE)</f>
        <v>IFSL Marlborough Cautious A Inc TR in GB</v>
      </c>
      <c r="C1630" t="str">
        <f>VLOOKUP(NoviaFunds[[#This Row],[ISIN]],'Novia Web Query'!$A:$E,3,FALSE)</f>
        <v>UT Mixed Investment 20-60% Shares</v>
      </c>
      <c r="D1630" s="139">
        <f>VLOOKUP(NoviaFunds[[#This Row],[ISIN]],'Novia Web Query'!$A:$E,4,FALSE)/100</f>
        <v>2.2799999999999997E-2</v>
      </c>
      <c r="E1630" s="3" t="str">
        <f>VLOOKUP(NoviaFunds[[#This Row],[ISIN]],'Novia Web Query'!$A:$E,5,FALSE)</f>
        <v>30/04/2021</v>
      </c>
      <c r="F1630" t="str">
        <f>VLOOKUP(NoviaFunds[[#This Row],[Sector]],Sectors[],2,FALSE)</f>
        <v>Mixed 20%-60%</v>
      </c>
    </row>
    <row r="1631" spans="1:6" x14ac:dyDescent="0.2">
      <c r="A1631" t="str">
        <f>'Novia Web Query'!A1628</f>
        <v>GB00B83GXN44</v>
      </c>
      <c r="B1631" t="str">
        <f>VLOOKUP(NoviaFunds[[#This Row],[ISIN]],'Novia Web Query'!$A:$E,2,FALSE)</f>
        <v>IFSL Marlborough Cautious P Acc in GB</v>
      </c>
      <c r="C1631" t="str">
        <f>VLOOKUP(NoviaFunds[[#This Row],[ISIN]],'Novia Web Query'!$A:$E,3,FALSE)</f>
        <v>UT Mixed Investment 20-60% Shares</v>
      </c>
      <c r="D1631" s="139">
        <f>VLOOKUP(NoviaFunds[[#This Row],[ISIN]],'Novia Web Query'!$A:$E,4,FALSE)/100</f>
        <v>1.5300000000000001E-2</v>
      </c>
      <c r="E1631" s="3" t="str">
        <f>VLOOKUP(NoviaFunds[[#This Row],[ISIN]],'Novia Web Query'!$A:$E,5,FALSE)</f>
        <v>30/04/2021</v>
      </c>
      <c r="F1631" t="str">
        <f>VLOOKUP(NoviaFunds[[#This Row],[Sector]],Sectors[],2,FALSE)</f>
        <v>Mixed 20%-60%</v>
      </c>
    </row>
    <row r="1632" spans="1:6" x14ac:dyDescent="0.2">
      <c r="A1632" t="str">
        <f>'Novia Web Query'!A1629</f>
        <v>GB00B8T2QP98</v>
      </c>
      <c r="B1632" t="str">
        <f>VLOOKUP(NoviaFunds[[#This Row],[ISIN]],'Novia Web Query'!$A:$E,2,FALSE)</f>
        <v>IFSL Marlborough Cautious P Inc TR in GB</v>
      </c>
      <c r="C1632" t="str">
        <f>VLOOKUP(NoviaFunds[[#This Row],[ISIN]],'Novia Web Query'!$A:$E,3,FALSE)</f>
        <v>UT Mixed Investment 20-60% Shares</v>
      </c>
      <c r="D1632" s="139">
        <f>VLOOKUP(NoviaFunds[[#This Row],[ISIN]],'Novia Web Query'!$A:$E,4,FALSE)/100</f>
        <v>1.5300000000000001E-2</v>
      </c>
      <c r="E1632" s="3" t="str">
        <f>VLOOKUP(NoviaFunds[[#This Row],[ISIN]],'Novia Web Query'!$A:$E,5,FALSE)</f>
        <v>30/04/2021</v>
      </c>
      <c r="F1632" t="str">
        <f>VLOOKUP(NoviaFunds[[#This Row],[Sector]],Sectors[],2,FALSE)</f>
        <v>Mixed 20%-60%</v>
      </c>
    </row>
    <row r="1633" spans="1:6" x14ac:dyDescent="0.2">
      <c r="A1633" t="str">
        <f>'Novia Web Query'!A1630</f>
        <v>GB0034247048</v>
      </c>
      <c r="B1633" t="str">
        <f>VLOOKUP(NoviaFunds[[#This Row],[ISIN]],'Novia Web Query'!$A:$E,2,FALSE)</f>
        <v>IFSL Marlborough Emerging Markets Trust A TR in GB</v>
      </c>
      <c r="C1633" t="str">
        <f>VLOOKUP(NoviaFunds[[#This Row],[ISIN]],'Novia Web Query'!$A:$E,3,FALSE)</f>
        <v>UT Global Emerging Markets</v>
      </c>
      <c r="D1633" s="139">
        <f>VLOOKUP(NoviaFunds[[#This Row],[ISIN]],'Novia Web Query'!$A:$E,4,FALSE)/100</f>
        <v>2.1099999999999997E-2</v>
      </c>
      <c r="E1633" s="3" t="str">
        <f>VLOOKUP(NoviaFunds[[#This Row],[ISIN]],'Novia Web Query'!$A:$E,5,FALSE)</f>
        <v>10/09/2021</v>
      </c>
      <c r="F1633" t="str">
        <f>VLOOKUP(NoviaFunds[[#This Row],[Sector]],Sectors[],2,FALSE)</f>
        <v>Emerging Markets</v>
      </c>
    </row>
    <row r="1634" spans="1:6" x14ac:dyDescent="0.2">
      <c r="A1634" t="str">
        <f>'Novia Web Query'!A1631</f>
        <v>GB00B7FFMQ86</v>
      </c>
      <c r="B1634" t="str">
        <f>VLOOKUP(NoviaFunds[[#This Row],[ISIN]],'Novia Web Query'!$A:$E,2,FALSE)</f>
        <v>IFSL Marlborough Emerging Markets Trust P Inc TR in GB</v>
      </c>
      <c r="C1634" t="str">
        <f>VLOOKUP(NoviaFunds[[#This Row],[ISIN]],'Novia Web Query'!$A:$E,3,FALSE)</f>
        <v>UT Global Emerging Markets</v>
      </c>
      <c r="D1634" s="139">
        <f>VLOOKUP(NoviaFunds[[#This Row],[ISIN]],'Novia Web Query'!$A:$E,4,FALSE)/100</f>
        <v>1.3600000000000001E-2</v>
      </c>
      <c r="E1634" s="3" t="str">
        <f>VLOOKUP(NoviaFunds[[#This Row],[ISIN]],'Novia Web Query'!$A:$E,5,FALSE)</f>
        <v>10/09/2021</v>
      </c>
      <c r="F1634" t="str">
        <f>VLOOKUP(NoviaFunds[[#This Row],[Sector]],Sectors[],2,FALSE)</f>
        <v>Emerging Markets</v>
      </c>
    </row>
    <row r="1635" spans="1:6" x14ac:dyDescent="0.2">
      <c r="A1635" t="str">
        <f>'Novia Web Query'!A1632</f>
        <v>GB0001719730</v>
      </c>
      <c r="B1635" t="str">
        <f>VLOOKUP(NoviaFunds[[#This Row],[ISIN]],'Novia Web Query'!$A:$E,2,FALSE)</f>
        <v>IFSL Marlborough European Special Situations A TR in GB</v>
      </c>
      <c r="C1635" t="str">
        <f>VLOOKUP(NoviaFunds[[#This Row],[ISIN]],'Novia Web Query'!$A:$E,3,FALSE)</f>
        <v>UT Europe Excluding UK</v>
      </c>
      <c r="D1635" s="139">
        <f>VLOOKUP(NoviaFunds[[#This Row],[ISIN]],'Novia Web Query'!$A:$E,4,FALSE)/100</f>
        <v>1.5600000000000001E-2</v>
      </c>
      <c r="E1635" s="3" t="str">
        <f>VLOOKUP(NoviaFunds[[#This Row],[ISIN]],'Novia Web Query'!$A:$E,5,FALSE)</f>
        <v>10/09/2021</v>
      </c>
      <c r="F1635" t="str">
        <f>VLOOKUP(NoviaFunds[[#This Row],[Sector]],Sectors[],2,FALSE)</f>
        <v>European Equities</v>
      </c>
    </row>
    <row r="1636" spans="1:6" x14ac:dyDescent="0.2">
      <c r="A1636" t="str">
        <f>'Novia Web Query'!A1633</f>
        <v>GB00B90VHJ34</v>
      </c>
      <c r="B1636" t="str">
        <f>VLOOKUP(NoviaFunds[[#This Row],[ISIN]],'Novia Web Query'!$A:$E,2,FALSE)</f>
        <v>IFSL Marlborough European Special Situations P Inc TR in GB</v>
      </c>
      <c r="C1636" t="str">
        <f>VLOOKUP(NoviaFunds[[#This Row],[ISIN]],'Novia Web Query'!$A:$E,3,FALSE)</f>
        <v>UT Europe Excluding UK</v>
      </c>
      <c r="D1636" s="139">
        <f>VLOOKUP(NoviaFunds[[#This Row],[ISIN]],'Novia Web Query'!$A:$E,4,FALSE)/100</f>
        <v>8.1000000000000013E-3</v>
      </c>
      <c r="E1636" s="3" t="str">
        <f>VLOOKUP(NoviaFunds[[#This Row],[ISIN]],'Novia Web Query'!$A:$E,5,FALSE)</f>
        <v>10/09/2021</v>
      </c>
      <c r="F1636" t="str">
        <f>VLOOKUP(NoviaFunds[[#This Row],[Sector]],Sectors[],2,FALSE)</f>
        <v>European Equities</v>
      </c>
    </row>
    <row r="1637" spans="1:6" x14ac:dyDescent="0.2">
      <c r="A1637" t="str">
        <f>'Novia Web Query'!A1634</f>
        <v>GB0005662894</v>
      </c>
      <c r="B1637" t="str">
        <f>VLOOKUP(NoviaFunds[[#This Row],[ISIN]],'Novia Web Query'!$A:$E,2,FALSE)</f>
        <v>IFSL Marlborough Extra Income A TR in GB</v>
      </c>
      <c r="C1637" t="str">
        <f>VLOOKUP(NoviaFunds[[#This Row],[ISIN]],'Novia Web Query'!$A:$E,3,FALSE)</f>
        <v>UT Mixed Investment 40-85% Shares</v>
      </c>
      <c r="D1637" s="139">
        <f>VLOOKUP(NoviaFunds[[#This Row],[ISIN]],'Novia Web Query'!$A:$E,4,FALSE)/100</f>
        <v>1.72E-2</v>
      </c>
      <c r="E1637" s="3" t="str">
        <f>VLOOKUP(NoviaFunds[[#This Row],[ISIN]],'Novia Web Query'!$A:$E,5,FALSE)</f>
        <v>20/04/2021</v>
      </c>
      <c r="F1637" t="str">
        <f>VLOOKUP(NoviaFunds[[#This Row],[Sector]],Sectors[],2,FALSE)</f>
        <v>Mixed 40%-85%</v>
      </c>
    </row>
    <row r="1638" spans="1:6" x14ac:dyDescent="0.2">
      <c r="A1638" t="str">
        <f>'Novia Web Query'!A1635</f>
        <v>GB00B8DGH325</v>
      </c>
      <c r="B1638" t="str">
        <f>VLOOKUP(NoviaFunds[[#This Row],[ISIN]],'Novia Web Query'!$A:$E,2,FALSE)</f>
        <v>IFSL Marlborough Extra Income P Inc TR in GB</v>
      </c>
      <c r="C1638" t="str">
        <f>VLOOKUP(NoviaFunds[[#This Row],[ISIN]],'Novia Web Query'!$A:$E,3,FALSE)</f>
        <v>UT Mixed Investment 40-85% Shares</v>
      </c>
      <c r="D1638" s="139">
        <f>VLOOKUP(NoviaFunds[[#This Row],[ISIN]],'Novia Web Query'!$A:$E,4,FALSE)/100</f>
        <v>9.7000000000000003E-3</v>
      </c>
      <c r="E1638" s="3" t="str">
        <f>VLOOKUP(NoviaFunds[[#This Row],[ISIN]],'Novia Web Query'!$A:$E,5,FALSE)</f>
        <v>20/04/2021</v>
      </c>
      <c r="F1638" t="str">
        <f>VLOOKUP(NoviaFunds[[#This Row],[Sector]],Sectors[],2,FALSE)</f>
        <v>Mixed 40%-85%</v>
      </c>
    </row>
    <row r="1639" spans="1:6" x14ac:dyDescent="0.2">
      <c r="A1639" t="str">
        <f>'Novia Web Query'!A1636</f>
        <v>GB00B0NVCN62</v>
      </c>
      <c r="B1639" t="str">
        <f>VLOOKUP(NoviaFunds[[#This Row],[ISIN]],'Novia Web Query'!$A:$E,2,FALSE)</f>
        <v>IFSL Marlborough Far East Growth A Acc in GB</v>
      </c>
      <c r="C1639" t="str">
        <f>VLOOKUP(NoviaFunds[[#This Row],[ISIN]],'Novia Web Query'!$A:$E,3,FALSE)</f>
        <v>UT Asia Pacific Excluding Japan</v>
      </c>
      <c r="D1639" s="139">
        <f>VLOOKUP(NoviaFunds[[#This Row],[ISIN]],'Novia Web Query'!$A:$E,4,FALSE)/100</f>
        <v>1.67E-2</v>
      </c>
      <c r="E1639" s="3" t="str">
        <f>VLOOKUP(NoviaFunds[[#This Row],[ISIN]],'Novia Web Query'!$A:$E,5,FALSE)</f>
        <v>31/07/2021</v>
      </c>
      <c r="F1639" t="str">
        <f>VLOOKUP(NoviaFunds[[#This Row],[Sector]],Sectors[],2,FALSE)</f>
        <v>Asia Pacific</v>
      </c>
    </row>
    <row r="1640" spans="1:6" x14ac:dyDescent="0.2">
      <c r="A1640" t="str">
        <f>'Novia Web Query'!A1637</f>
        <v>GB00B0NVC693</v>
      </c>
      <c r="B1640" t="str">
        <f>VLOOKUP(NoviaFunds[[#This Row],[ISIN]],'Novia Web Query'!$A:$E,2,FALSE)</f>
        <v>IFSL Marlborough Far East Growth A Inc TR in GB</v>
      </c>
      <c r="C1640" t="str">
        <f>VLOOKUP(NoviaFunds[[#This Row],[ISIN]],'Novia Web Query'!$A:$E,3,FALSE)</f>
        <v>UT Asia Pacific Excluding Japan</v>
      </c>
      <c r="D1640" s="139">
        <f>VLOOKUP(NoviaFunds[[#This Row],[ISIN]],'Novia Web Query'!$A:$E,4,FALSE)/100</f>
        <v>1.67E-2</v>
      </c>
      <c r="E1640" s="3" t="str">
        <f>VLOOKUP(NoviaFunds[[#This Row],[ISIN]],'Novia Web Query'!$A:$E,5,FALSE)</f>
        <v>31/07/2021</v>
      </c>
      <c r="F1640" t="str">
        <f>VLOOKUP(NoviaFunds[[#This Row],[Sector]],Sectors[],2,FALSE)</f>
        <v>Asia Pacific</v>
      </c>
    </row>
    <row r="1641" spans="1:6" x14ac:dyDescent="0.2">
      <c r="A1641" t="str">
        <f>'Novia Web Query'!A1638</f>
        <v>GB00B8N9CJ23</v>
      </c>
      <c r="B1641" t="str">
        <f>VLOOKUP(NoviaFunds[[#This Row],[ISIN]],'Novia Web Query'!$A:$E,2,FALSE)</f>
        <v>IFSL Marlborough Far East Growth P Acc in GB</v>
      </c>
      <c r="C1641" t="str">
        <f>VLOOKUP(NoviaFunds[[#This Row],[ISIN]],'Novia Web Query'!$A:$E,3,FALSE)</f>
        <v>UT Asia Pacific Excluding Japan</v>
      </c>
      <c r="D1641" s="139">
        <f>VLOOKUP(NoviaFunds[[#This Row],[ISIN]],'Novia Web Query'!$A:$E,4,FALSE)/100</f>
        <v>9.1999999999999998E-3</v>
      </c>
      <c r="E1641" s="3" t="str">
        <f>VLOOKUP(NoviaFunds[[#This Row],[ISIN]],'Novia Web Query'!$A:$E,5,FALSE)</f>
        <v>31/07/2021</v>
      </c>
      <c r="F1641" t="str">
        <f>VLOOKUP(NoviaFunds[[#This Row],[Sector]],Sectors[],2,FALSE)</f>
        <v>Asia Pacific</v>
      </c>
    </row>
    <row r="1642" spans="1:6" x14ac:dyDescent="0.2">
      <c r="A1642" t="str">
        <f>'Novia Web Query'!A1639</f>
        <v>GB00B3Q6QH18</v>
      </c>
      <c r="B1642" t="str">
        <f>VLOOKUP(NoviaFunds[[#This Row],[ISIN]],'Novia Web Query'!$A:$E,2,FALSE)</f>
        <v>IFSL Marlborough Far East Growth P Inc TR in GB</v>
      </c>
      <c r="C1642" t="str">
        <f>VLOOKUP(NoviaFunds[[#This Row],[ISIN]],'Novia Web Query'!$A:$E,3,FALSE)</f>
        <v>UT Asia Pacific Excluding Japan</v>
      </c>
      <c r="D1642" s="139">
        <f>VLOOKUP(NoviaFunds[[#This Row],[ISIN]],'Novia Web Query'!$A:$E,4,FALSE)/100</f>
        <v>9.1999999999999998E-3</v>
      </c>
      <c r="E1642" s="3" t="str">
        <f>VLOOKUP(NoviaFunds[[#This Row],[ISIN]],'Novia Web Query'!$A:$E,5,FALSE)</f>
        <v>31/07/2021</v>
      </c>
      <c r="F1642" t="str">
        <f>VLOOKUP(NoviaFunds[[#This Row],[Sector]],Sectors[],2,FALSE)</f>
        <v>Asia Pacific</v>
      </c>
    </row>
    <row r="1643" spans="1:6" x14ac:dyDescent="0.2">
      <c r="A1643" t="str">
        <f>'Novia Web Query'!A1640</f>
        <v>GB0008626979</v>
      </c>
      <c r="B1643" t="str">
        <f>VLOOKUP(NoviaFunds[[#This Row],[ISIN]],'Novia Web Query'!$A:$E,2,FALSE)</f>
        <v>IFSL Marlborough Global A Acc in GB</v>
      </c>
      <c r="C1643" t="str">
        <f>VLOOKUP(NoviaFunds[[#This Row],[ISIN]],'Novia Web Query'!$A:$E,3,FALSE)</f>
        <v>UT Global</v>
      </c>
      <c r="D1643" s="139">
        <f>VLOOKUP(NoviaFunds[[#This Row],[ISIN]],'Novia Web Query'!$A:$E,4,FALSE)/100</f>
        <v>2.18E-2</v>
      </c>
      <c r="E1643" s="3" t="str">
        <f>VLOOKUP(NoviaFunds[[#This Row],[ISIN]],'Novia Web Query'!$A:$E,5,FALSE)</f>
        <v>30/06/2021</v>
      </c>
      <c r="F1643" t="str">
        <f>VLOOKUP(NoviaFunds[[#This Row],[Sector]],Sectors[],2,FALSE)</f>
        <v>Other Equities</v>
      </c>
    </row>
    <row r="1644" spans="1:6" x14ac:dyDescent="0.2">
      <c r="A1644" t="str">
        <f>'Novia Web Query'!A1641</f>
        <v>GB0031544876</v>
      </c>
      <c r="B1644" t="str">
        <f>VLOOKUP(NoviaFunds[[#This Row],[ISIN]],'Novia Web Query'!$A:$E,2,FALSE)</f>
        <v>IFSL Marlborough Global Bond A Acc in GB</v>
      </c>
      <c r="C1644" t="str">
        <f>VLOOKUP(NoviaFunds[[#This Row],[ISIN]],'Novia Web Query'!$A:$E,3,FALSE)</f>
        <v>UT Global Bonds</v>
      </c>
      <c r="D1644" s="139">
        <f>VLOOKUP(NoviaFunds[[#This Row],[ISIN]],'Novia Web Query'!$A:$E,4,FALSE)/100</f>
        <v>1.1699999999999999E-2</v>
      </c>
      <c r="E1644" s="3" t="str">
        <f>VLOOKUP(NoviaFunds[[#This Row],[ISIN]],'Novia Web Query'!$A:$E,5,FALSE)</f>
        <v>20/08/2021</v>
      </c>
      <c r="F1644" t="str">
        <f>VLOOKUP(NoviaFunds[[#This Row],[Sector]],Sectors[],2,FALSE)</f>
        <v>Global Investment Grade</v>
      </c>
    </row>
    <row r="1645" spans="1:6" x14ac:dyDescent="0.2">
      <c r="A1645" t="str">
        <f>'Novia Web Query'!A1642</f>
        <v>GB0003474730</v>
      </c>
      <c r="B1645" t="str">
        <f>VLOOKUP(NoviaFunds[[#This Row],[ISIN]],'Novia Web Query'!$A:$E,2,FALSE)</f>
        <v>IFSL Marlborough Global Bond A Inc TR in GB</v>
      </c>
      <c r="C1645" t="str">
        <f>VLOOKUP(NoviaFunds[[#This Row],[ISIN]],'Novia Web Query'!$A:$E,3,FALSE)</f>
        <v>UT Global Bonds</v>
      </c>
      <c r="D1645" s="139">
        <f>VLOOKUP(NoviaFunds[[#This Row],[ISIN]],'Novia Web Query'!$A:$E,4,FALSE)/100</f>
        <v>1.1699999999999999E-2</v>
      </c>
      <c r="E1645" s="3" t="str">
        <f>VLOOKUP(NoviaFunds[[#This Row],[ISIN]],'Novia Web Query'!$A:$E,5,FALSE)</f>
        <v>20/08/2021</v>
      </c>
      <c r="F1645" t="str">
        <f>VLOOKUP(NoviaFunds[[#This Row],[Sector]],Sectors[],2,FALSE)</f>
        <v>Global Investment Grade</v>
      </c>
    </row>
    <row r="1646" spans="1:6" x14ac:dyDescent="0.2">
      <c r="A1646" t="str">
        <f>'Novia Web Query'!A1643</f>
        <v>GB00B6ZDFJ91</v>
      </c>
      <c r="B1646" t="str">
        <f>VLOOKUP(NoviaFunds[[#This Row],[ISIN]],'Novia Web Query'!$A:$E,2,FALSE)</f>
        <v>IFSL Marlborough Global Bond P Acc in GB</v>
      </c>
      <c r="C1646" t="str">
        <f>VLOOKUP(NoviaFunds[[#This Row],[ISIN]],'Novia Web Query'!$A:$E,3,FALSE)</f>
        <v>UT Global Bonds</v>
      </c>
      <c r="D1646" s="139">
        <f>VLOOKUP(NoviaFunds[[#This Row],[ISIN]],'Novia Web Query'!$A:$E,4,FALSE)/100</f>
        <v>4.1999999999999997E-3</v>
      </c>
      <c r="E1646" s="3" t="str">
        <f>VLOOKUP(NoviaFunds[[#This Row],[ISIN]],'Novia Web Query'!$A:$E,5,FALSE)</f>
        <v>20/08/2021</v>
      </c>
      <c r="F1646" t="str">
        <f>VLOOKUP(NoviaFunds[[#This Row],[Sector]],Sectors[],2,FALSE)</f>
        <v>Global Investment Grade</v>
      </c>
    </row>
    <row r="1647" spans="1:6" x14ac:dyDescent="0.2">
      <c r="A1647" t="str">
        <f>'Novia Web Query'!A1644</f>
        <v>GB00B8H7D001</v>
      </c>
      <c r="B1647" t="str">
        <f>VLOOKUP(NoviaFunds[[#This Row],[ISIN]],'Novia Web Query'!$A:$E,2,FALSE)</f>
        <v>IFSL Marlborough Global Bond P Inc TR in GB</v>
      </c>
      <c r="C1647" t="str">
        <f>VLOOKUP(NoviaFunds[[#This Row],[ISIN]],'Novia Web Query'!$A:$E,3,FALSE)</f>
        <v>UT Global Bonds</v>
      </c>
      <c r="D1647" s="139">
        <f>VLOOKUP(NoviaFunds[[#This Row],[ISIN]],'Novia Web Query'!$A:$E,4,FALSE)/100</f>
        <v>4.1999999999999997E-3</v>
      </c>
      <c r="E1647" s="3" t="str">
        <f>VLOOKUP(NoviaFunds[[#This Row],[ISIN]],'Novia Web Query'!$A:$E,5,FALSE)</f>
        <v>20/08/2021</v>
      </c>
      <c r="F1647" t="str">
        <f>VLOOKUP(NoviaFunds[[#This Row],[Sector]],Sectors[],2,FALSE)</f>
        <v>Global Investment Grade</v>
      </c>
    </row>
    <row r="1648" spans="1:6" x14ac:dyDescent="0.2">
      <c r="A1648" t="str">
        <f>'Novia Web Query'!A1645</f>
        <v>GB00B84KX912</v>
      </c>
      <c r="B1648" t="str">
        <f>VLOOKUP(NoviaFunds[[#This Row],[ISIN]],'Novia Web Query'!$A:$E,2,FALSE)</f>
        <v>IFSL Marlborough Global P Acc in GB</v>
      </c>
      <c r="C1648" t="str">
        <f>VLOOKUP(NoviaFunds[[#This Row],[ISIN]],'Novia Web Query'!$A:$E,3,FALSE)</f>
        <v>UT Global</v>
      </c>
      <c r="D1648" s="139">
        <f>VLOOKUP(NoviaFunds[[#This Row],[ISIN]],'Novia Web Query'!$A:$E,4,FALSE)/100</f>
        <v>1.43E-2</v>
      </c>
      <c r="E1648" s="3" t="str">
        <f>VLOOKUP(NoviaFunds[[#This Row],[ISIN]],'Novia Web Query'!$A:$E,5,FALSE)</f>
        <v>30/06/2021</v>
      </c>
      <c r="F1648" t="str">
        <f>VLOOKUP(NoviaFunds[[#This Row],[Sector]],Sectors[],2,FALSE)</f>
        <v>Other Equities</v>
      </c>
    </row>
    <row r="1649" spans="1:6" x14ac:dyDescent="0.2">
      <c r="A1649" t="str">
        <f>'Novia Web Query'!A1646</f>
        <v>GB00B03TN153</v>
      </c>
      <c r="B1649" t="str">
        <f>VLOOKUP(NoviaFunds[[#This Row],[ISIN]],'Novia Web Query'!$A:$E,2,FALSE)</f>
        <v>IFSL Marlborough High Yield Fixed Interest A TR in GB</v>
      </c>
      <c r="C1649" t="str">
        <f>VLOOKUP(NoviaFunds[[#This Row],[ISIN]],'Novia Web Query'!$A:$E,3,FALSE)</f>
        <v>UT Sterling High Yield</v>
      </c>
      <c r="D1649" s="139">
        <f>VLOOKUP(NoviaFunds[[#This Row],[ISIN]],'Novia Web Query'!$A:$E,4,FALSE)/100</f>
        <v>1.5900000000000001E-2</v>
      </c>
      <c r="E1649" s="3" t="str">
        <f>VLOOKUP(NoviaFunds[[#This Row],[ISIN]],'Novia Web Query'!$A:$E,5,FALSE)</f>
        <v>30/06/2021</v>
      </c>
      <c r="F1649" t="str">
        <f>VLOOKUP(NoviaFunds[[#This Row],[Sector]],Sectors[],2,FALSE)</f>
        <v>High Yield</v>
      </c>
    </row>
    <row r="1650" spans="1:6" x14ac:dyDescent="0.2">
      <c r="A1650" t="str">
        <f>'Novia Web Query'!A1647</f>
        <v>GB00B8L7D393</v>
      </c>
      <c r="B1650" t="str">
        <f>VLOOKUP(NoviaFunds[[#This Row],[ISIN]],'Novia Web Query'!$A:$E,2,FALSE)</f>
        <v>IFSL Marlborough High Yield Fixed Interest P Inc TR in GB</v>
      </c>
      <c r="C1650" t="str">
        <f>VLOOKUP(NoviaFunds[[#This Row],[ISIN]],'Novia Web Query'!$A:$E,3,FALSE)</f>
        <v>UT Sterling High Yield</v>
      </c>
      <c r="D1650" s="139">
        <f>VLOOKUP(NoviaFunds[[#This Row],[ISIN]],'Novia Web Query'!$A:$E,4,FALSE)/100</f>
        <v>8.3999999999999995E-3</v>
      </c>
      <c r="E1650" s="3" t="str">
        <f>VLOOKUP(NoviaFunds[[#This Row],[ISIN]],'Novia Web Query'!$A:$E,5,FALSE)</f>
        <v>30/06/2021</v>
      </c>
      <c r="F1650" t="str">
        <f>VLOOKUP(NoviaFunds[[#This Row],[Sector]],Sectors[],2,FALSE)</f>
        <v>High Yield</v>
      </c>
    </row>
    <row r="1651" spans="1:6" x14ac:dyDescent="0.2">
      <c r="A1651" t="str">
        <f>'Novia Web Query'!A1648</f>
        <v>GB00B5L8VH15</v>
      </c>
      <c r="B1651" t="str">
        <f>VLOOKUP(NoviaFunds[[#This Row],[ISIN]],'Novia Web Query'!$A:$E,2,FALSE)</f>
        <v>IFSL Marlborough Multi Cap Income A Acc in GB</v>
      </c>
      <c r="C1651" t="str">
        <f>VLOOKUP(NoviaFunds[[#This Row],[ISIN]],'Novia Web Query'!$A:$E,3,FALSE)</f>
        <v>UT UK Equity Income</v>
      </c>
      <c r="D1651" s="139">
        <f>VLOOKUP(NoviaFunds[[#This Row],[ISIN]],'Novia Web Query'!$A:$E,4,FALSE)/100</f>
        <v>1.6200000000000003E-2</v>
      </c>
      <c r="E1651" s="3" t="str">
        <f>VLOOKUP(NoviaFunds[[#This Row],[ISIN]],'Novia Web Query'!$A:$E,5,FALSE)</f>
        <v>31/07/2021</v>
      </c>
      <c r="F1651" t="str">
        <f>VLOOKUP(NoviaFunds[[#This Row],[Sector]],Sectors[],2,FALSE)</f>
        <v>UK Equities</v>
      </c>
    </row>
    <row r="1652" spans="1:6" x14ac:dyDescent="0.2">
      <c r="A1652" t="str">
        <f>'Novia Web Query'!A1649</f>
        <v>GB00B42TBF45</v>
      </c>
      <c r="B1652" t="str">
        <f>VLOOKUP(NoviaFunds[[#This Row],[ISIN]],'Novia Web Query'!$A:$E,2,FALSE)</f>
        <v>IFSL Marlborough Multi Cap Income A Inc TR in GB</v>
      </c>
      <c r="C1652" t="str">
        <f>VLOOKUP(NoviaFunds[[#This Row],[ISIN]],'Novia Web Query'!$A:$E,3,FALSE)</f>
        <v>UT UK Equity Income</v>
      </c>
      <c r="D1652" s="139">
        <f>VLOOKUP(NoviaFunds[[#This Row],[ISIN]],'Novia Web Query'!$A:$E,4,FALSE)/100</f>
        <v>1.6200000000000003E-2</v>
      </c>
      <c r="E1652" s="3" t="str">
        <f>VLOOKUP(NoviaFunds[[#This Row],[ISIN]],'Novia Web Query'!$A:$E,5,FALSE)</f>
        <v>31/07/2021</v>
      </c>
      <c r="F1652" t="str">
        <f>VLOOKUP(NoviaFunds[[#This Row],[Sector]],Sectors[],2,FALSE)</f>
        <v>UK Equities</v>
      </c>
    </row>
    <row r="1653" spans="1:6" x14ac:dyDescent="0.2">
      <c r="A1653" t="str">
        <f>'Novia Web Query'!A1650</f>
        <v>GB00B907VX32</v>
      </c>
      <c r="B1653" t="str">
        <f>VLOOKUP(NoviaFunds[[#This Row],[ISIN]],'Novia Web Query'!$A:$E,2,FALSE)</f>
        <v>IFSL Marlborough Multi Cap Income P Acc in GB</v>
      </c>
      <c r="C1653" t="str">
        <f>VLOOKUP(NoviaFunds[[#This Row],[ISIN]],'Novia Web Query'!$A:$E,3,FALSE)</f>
        <v>UT UK Equity Income</v>
      </c>
      <c r="D1653" s="139">
        <f>VLOOKUP(NoviaFunds[[#This Row],[ISIN]],'Novia Web Query'!$A:$E,4,FALSE)/100</f>
        <v>8.6999999999999994E-3</v>
      </c>
      <c r="E1653" s="3" t="str">
        <f>VLOOKUP(NoviaFunds[[#This Row],[ISIN]],'Novia Web Query'!$A:$E,5,FALSE)</f>
        <v>31/07/2021</v>
      </c>
      <c r="F1653" t="str">
        <f>VLOOKUP(NoviaFunds[[#This Row],[Sector]],Sectors[],2,FALSE)</f>
        <v>UK Equities</v>
      </c>
    </row>
    <row r="1654" spans="1:6" x14ac:dyDescent="0.2">
      <c r="A1654" t="str">
        <f>'Novia Web Query'!A1651</f>
        <v>GB00B908BY75</v>
      </c>
      <c r="B1654" t="str">
        <f>VLOOKUP(NoviaFunds[[#This Row],[ISIN]],'Novia Web Query'!$A:$E,2,FALSE)</f>
        <v>IFSL Marlborough Multi Cap Income P Inc TR in GB</v>
      </c>
      <c r="C1654" t="str">
        <f>VLOOKUP(NoviaFunds[[#This Row],[ISIN]],'Novia Web Query'!$A:$E,3,FALSE)</f>
        <v>UT UK Equity Income</v>
      </c>
      <c r="D1654" s="139">
        <f>VLOOKUP(NoviaFunds[[#This Row],[ISIN]],'Novia Web Query'!$A:$E,4,FALSE)/100</f>
        <v>8.6999999999999994E-3</v>
      </c>
      <c r="E1654" s="3" t="str">
        <f>VLOOKUP(NoviaFunds[[#This Row],[ISIN]],'Novia Web Query'!$A:$E,5,FALSE)</f>
        <v>31/07/2021</v>
      </c>
      <c r="F1654" t="str">
        <f>VLOOKUP(NoviaFunds[[#This Row],[Sector]],Sectors[],2,FALSE)</f>
        <v>UK Equities</v>
      </c>
    </row>
    <row r="1655" spans="1:6" x14ac:dyDescent="0.2">
      <c r="A1655" t="str">
        <f>'Novia Web Query'!A1652</f>
        <v>GB0005662787</v>
      </c>
      <c r="B1655" t="str">
        <f>VLOOKUP(NoviaFunds[[#This Row],[ISIN]],'Novia Web Query'!$A:$E,2,FALSE)</f>
        <v>IFSL Marlborough Multi-Cap Growth A Inc TR in GB</v>
      </c>
      <c r="C1655" t="str">
        <f>VLOOKUP(NoviaFunds[[#This Row],[ISIN]],'Novia Web Query'!$A:$E,3,FALSE)</f>
        <v>UT UK All Companies</v>
      </c>
      <c r="D1655" s="139">
        <f>VLOOKUP(NoviaFunds[[#This Row],[ISIN]],'Novia Web Query'!$A:$E,4,FALSE)/100</f>
        <v>1.55E-2</v>
      </c>
      <c r="E1655" s="3" t="str">
        <f>VLOOKUP(NoviaFunds[[#This Row],[ISIN]],'Novia Web Query'!$A:$E,5,FALSE)</f>
        <v>20/09/2021</v>
      </c>
      <c r="F1655" t="str">
        <f>VLOOKUP(NoviaFunds[[#This Row],[Sector]],Sectors[],2,FALSE)</f>
        <v>UK Equities</v>
      </c>
    </row>
    <row r="1656" spans="1:6" x14ac:dyDescent="0.2">
      <c r="A1656" t="str">
        <f>'Novia Web Query'!A1653</f>
        <v>GB00B8CQP956</v>
      </c>
      <c r="B1656" t="str">
        <f>VLOOKUP(NoviaFunds[[#This Row],[ISIN]],'Novia Web Query'!$A:$E,2,FALSE)</f>
        <v>IFSL Marlborough Multi-Cap Growth P Inc TR in GB</v>
      </c>
      <c r="C1656" t="str">
        <f>VLOOKUP(NoviaFunds[[#This Row],[ISIN]],'Novia Web Query'!$A:$E,3,FALSE)</f>
        <v>UT UK All Companies</v>
      </c>
      <c r="D1656" s="139">
        <f>VLOOKUP(NoviaFunds[[#This Row],[ISIN]],'Novia Web Query'!$A:$E,4,FALSE)/100</f>
        <v>8.0000000000000002E-3</v>
      </c>
      <c r="E1656" s="3" t="str">
        <f>VLOOKUP(NoviaFunds[[#This Row],[ISIN]],'Novia Web Query'!$A:$E,5,FALSE)</f>
        <v>20/09/2021</v>
      </c>
      <c r="F1656" t="str">
        <f>VLOOKUP(NoviaFunds[[#This Row],[Sector]],Sectors[],2,FALSE)</f>
        <v>UK Equities</v>
      </c>
    </row>
    <row r="1657" spans="1:6" x14ac:dyDescent="0.2">
      <c r="A1657" t="str">
        <f>'Novia Web Query'!A1654</f>
        <v>GB00BF2ZV048</v>
      </c>
      <c r="B1657" t="str">
        <f>VLOOKUP(NoviaFunds[[#This Row],[ISIN]],'Novia Web Query'!$A:$E,2,FALSE)</f>
        <v>IFSL Marlborough Nano-Cap Growth P in GB</v>
      </c>
      <c r="C1657" t="str">
        <f>VLOOKUP(NoviaFunds[[#This Row],[ISIN]],'Novia Web Query'!$A:$E,3,FALSE)</f>
        <v>UT UK Smaller Companies</v>
      </c>
      <c r="D1657" s="139">
        <f>VLOOKUP(NoviaFunds[[#This Row],[ISIN]],'Novia Web Query'!$A:$E,4,FALSE)/100</f>
        <v>8.1000000000000013E-3</v>
      </c>
      <c r="E1657" s="3" t="str">
        <f>VLOOKUP(NoviaFunds[[#This Row],[ISIN]],'Novia Web Query'!$A:$E,5,FALSE)</f>
        <v>31/07/2021</v>
      </c>
      <c r="F1657" t="str">
        <f>VLOOKUP(NoviaFunds[[#This Row],[Sector]],Sectors[],2,FALSE)</f>
        <v>UK Equities</v>
      </c>
    </row>
    <row r="1658" spans="1:6" x14ac:dyDescent="0.2">
      <c r="A1658" t="str">
        <f>'Novia Web Query'!A1655</f>
        <v>GB00B659XQ05</v>
      </c>
      <c r="B1658" t="str">
        <f>VLOOKUP(NoviaFunds[[#This Row],[ISIN]],'Novia Web Query'!$A:$E,2,FALSE)</f>
        <v>IFSL Marlborough Special Situations A Acc in GB</v>
      </c>
      <c r="C1658" t="str">
        <f>VLOOKUP(NoviaFunds[[#This Row],[ISIN]],'Novia Web Query'!$A:$E,3,FALSE)</f>
        <v>UT UK All Companies</v>
      </c>
      <c r="D1658" s="139">
        <f>VLOOKUP(NoviaFunds[[#This Row],[ISIN]],'Novia Web Query'!$A:$E,4,FALSE)/100</f>
        <v>1.54E-2</v>
      </c>
      <c r="E1658" s="3" t="str">
        <f>VLOOKUP(NoviaFunds[[#This Row],[ISIN]],'Novia Web Query'!$A:$E,5,FALSE)</f>
        <v>20/06/2021</v>
      </c>
      <c r="F1658" t="str">
        <f>VLOOKUP(NoviaFunds[[#This Row],[Sector]],Sectors[],2,FALSE)</f>
        <v>UK Equities</v>
      </c>
    </row>
    <row r="1659" spans="1:6" x14ac:dyDescent="0.2">
      <c r="A1659" t="str">
        <f>'Novia Web Query'!A1656</f>
        <v>GB00B907GH23</v>
      </c>
      <c r="B1659" t="str">
        <f>VLOOKUP(NoviaFunds[[#This Row],[ISIN]],'Novia Web Query'!$A:$E,2,FALSE)</f>
        <v>IFSL Marlborough Special Situations P Acc in GB</v>
      </c>
      <c r="C1659" t="str">
        <f>VLOOKUP(NoviaFunds[[#This Row],[ISIN]],'Novia Web Query'!$A:$E,3,FALSE)</f>
        <v>UT UK All Companies</v>
      </c>
      <c r="D1659" s="139">
        <f>VLOOKUP(NoviaFunds[[#This Row],[ISIN]],'Novia Web Query'!$A:$E,4,FALSE)/100</f>
        <v>7.9000000000000008E-3</v>
      </c>
      <c r="E1659" s="3" t="str">
        <f>VLOOKUP(NoviaFunds[[#This Row],[ISIN]],'Novia Web Query'!$A:$E,5,FALSE)</f>
        <v>20/06/2021</v>
      </c>
      <c r="F1659" t="str">
        <f>VLOOKUP(NoviaFunds[[#This Row],[Sector]],Sectors[],2,FALSE)</f>
        <v>UK Equities</v>
      </c>
    </row>
    <row r="1660" spans="1:6" x14ac:dyDescent="0.2">
      <c r="A1660" t="str">
        <f>'Novia Web Query'!A1657</f>
        <v>GB00B02TPH60</v>
      </c>
      <c r="B1660" t="str">
        <f>VLOOKUP(NoviaFunds[[#This Row],[ISIN]],'Novia Web Query'!$A:$E,2,FALSE)</f>
        <v>IFSL Marlborough UK Micro-Cap Growth A in GB</v>
      </c>
      <c r="C1660" t="str">
        <f>VLOOKUP(NoviaFunds[[#This Row],[ISIN]],'Novia Web Query'!$A:$E,3,FALSE)</f>
        <v>UT UK Smaller Companies</v>
      </c>
      <c r="D1660" s="139">
        <f>VLOOKUP(NoviaFunds[[#This Row],[ISIN]],'Novia Web Query'!$A:$E,4,FALSE)/100</f>
        <v>1.5600000000000001E-2</v>
      </c>
      <c r="E1660" s="3" t="str">
        <f>VLOOKUP(NoviaFunds[[#This Row],[ISIN]],'Novia Web Query'!$A:$E,5,FALSE)</f>
        <v>31/07/2021</v>
      </c>
      <c r="F1660" t="str">
        <f>VLOOKUP(NoviaFunds[[#This Row],[Sector]],Sectors[],2,FALSE)</f>
        <v>UK Equities</v>
      </c>
    </row>
    <row r="1661" spans="1:6" x14ac:dyDescent="0.2">
      <c r="A1661" t="str">
        <f>'Novia Web Query'!A1658</f>
        <v>GB00B8F8YX59</v>
      </c>
      <c r="B1661" t="str">
        <f>VLOOKUP(NoviaFunds[[#This Row],[ISIN]],'Novia Web Query'!$A:$E,2,FALSE)</f>
        <v>IFSL Marlborough UK Micro-Cap Growth P Acc in GB</v>
      </c>
      <c r="C1661" t="str">
        <f>VLOOKUP(NoviaFunds[[#This Row],[ISIN]],'Novia Web Query'!$A:$E,3,FALSE)</f>
        <v>UT UK Smaller Companies</v>
      </c>
      <c r="D1661" s="139">
        <f>VLOOKUP(NoviaFunds[[#This Row],[ISIN]],'Novia Web Query'!$A:$E,4,FALSE)/100</f>
        <v>8.1000000000000013E-3</v>
      </c>
      <c r="E1661" s="3" t="str">
        <f>VLOOKUP(NoviaFunds[[#This Row],[ISIN]],'Novia Web Query'!$A:$E,5,FALSE)</f>
        <v>31/07/2021</v>
      </c>
      <c r="F1661" t="str">
        <f>VLOOKUP(NoviaFunds[[#This Row],[Sector]],Sectors[],2,FALSE)</f>
        <v>UK Equities</v>
      </c>
    </row>
    <row r="1662" spans="1:6" x14ac:dyDescent="0.2">
      <c r="A1662" t="str">
        <f>'Novia Web Query'!A1659</f>
        <v>GB0001722882</v>
      </c>
      <c r="B1662" t="str">
        <f>VLOOKUP(NoviaFunds[[#This Row],[ISIN]],'Novia Web Query'!$A:$E,2,FALSE)</f>
        <v>IFSL Marlborough US Multi-Cap Income A TR in GB</v>
      </c>
      <c r="C1662" t="str">
        <f>VLOOKUP(NoviaFunds[[#This Row],[ISIN]],'Novia Web Query'!$A:$E,3,FALSE)</f>
        <v>UT North America</v>
      </c>
      <c r="D1662" s="139">
        <f>VLOOKUP(NoviaFunds[[#This Row],[ISIN]],'Novia Web Query'!$A:$E,4,FALSE)/100</f>
        <v>1.5800000000000002E-2</v>
      </c>
      <c r="E1662" s="3" t="str">
        <f>VLOOKUP(NoviaFunds[[#This Row],[ISIN]],'Novia Web Query'!$A:$E,5,FALSE)</f>
        <v>10/09/2021</v>
      </c>
      <c r="F1662" t="str">
        <f>VLOOKUP(NoviaFunds[[#This Row],[Sector]],Sectors[],2,FALSE)</f>
        <v>USA Equities</v>
      </c>
    </row>
    <row r="1663" spans="1:6" x14ac:dyDescent="0.2">
      <c r="A1663" t="str">
        <f>'Novia Web Query'!A1660</f>
        <v>GB00B906QV32</v>
      </c>
      <c r="B1663" t="str">
        <f>VLOOKUP(NoviaFunds[[#This Row],[ISIN]],'Novia Web Query'!$A:$E,2,FALSE)</f>
        <v>IFSL Marlborough US Multi-Cap Income P Inc TR in GB</v>
      </c>
      <c r="C1663" t="str">
        <f>VLOOKUP(NoviaFunds[[#This Row],[ISIN]],'Novia Web Query'!$A:$E,3,FALSE)</f>
        <v>UT North America</v>
      </c>
      <c r="D1663" s="139">
        <f>VLOOKUP(NoviaFunds[[#This Row],[ISIN]],'Novia Web Query'!$A:$E,4,FALSE)/100</f>
        <v>8.3000000000000001E-3</v>
      </c>
      <c r="E1663" s="3" t="str">
        <f>VLOOKUP(NoviaFunds[[#This Row],[ISIN]],'Novia Web Query'!$A:$E,5,FALSE)</f>
        <v>10/09/2021</v>
      </c>
      <c r="F1663" t="str">
        <f>VLOOKUP(NoviaFunds[[#This Row],[Sector]],Sectors[],2,FALSE)</f>
        <v>USA Equities</v>
      </c>
    </row>
    <row r="1664" spans="1:6" x14ac:dyDescent="0.2">
      <c r="A1664" t="str">
        <f>'Novia Web Query'!A1661</f>
        <v>GB00BGGJHT07</v>
      </c>
      <c r="B1664" t="str">
        <f>VLOOKUP(NoviaFunds[[#This Row],[ISIN]],'Novia Web Query'!$A:$E,2,FALSE)</f>
        <v>IFSL Mazarin Balanced A Acc GBP in GB</v>
      </c>
      <c r="C1664" t="str">
        <f>VLOOKUP(NoviaFunds[[#This Row],[ISIN]],'Novia Web Query'!$A:$E,3,FALSE)</f>
        <v>UT Mixed Investment 40-85% Shares</v>
      </c>
      <c r="D1664" s="139">
        <f>VLOOKUP(NoviaFunds[[#This Row],[ISIN]],'Novia Web Query'!$A:$E,4,FALSE)/100</f>
        <v>1.47E-2</v>
      </c>
      <c r="E1664" s="3" t="str">
        <f>VLOOKUP(NoviaFunds[[#This Row],[ISIN]],'Novia Web Query'!$A:$E,5,FALSE)</f>
        <v>31/05/2021</v>
      </c>
      <c r="F1664" t="str">
        <f>VLOOKUP(NoviaFunds[[#This Row],[Sector]],Sectors[],2,FALSE)</f>
        <v>Mixed 40%-85%</v>
      </c>
    </row>
    <row r="1665" spans="1:6" x14ac:dyDescent="0.2">
      <c r="A1665" t="str">
        <f>'Novia Web Query'!A1662</f>
        <v>GB00BGGJHR82</v>
      </c>
      <c r="B1665" t="str">
        <f>VLOOKUP(NoviaFunds[[#This Row],[ISIN]],'Novia Web Query'!$A:$E,2,FALSE)</f>
        <v>IFSL Mazarin Cautious A Acc GBP in GB</v>
      </c>
      <c r="C1665" t="str">
        <f>VLOOKUP(NoviaFunds[[#This Row],[ISIN]],'Novia Web Query'!$A:$E,3,FALSE)</f>
        <v>UT Mixed Investment 20-60% Shares</v>
      </c>
      <c r="D1665" s="139">
        <f>VLOOKUP(NoviaFunds[[#This Row],[ISIN]],'Novia Web Query'!$A:$E,4,FALSE)/100</f>
        <v>1.4800000000000001E-2</v>
      </c>
      <c r="E1665" s="3" t="str">
        <f>VLOOKUP(NoviaFunds[[#This Row],[ISIN]],'Novia Web Query'!$A:$E,5,FALSE)</f>
        <v>31/05/2021</v>
      </c>
      <c r="F1665" t="str">
        <f>VLOOKUP(NoviaFunds[[#This Row],[Sector]],Sectors[],2,FALSE)</f>
        <v>Mixed 20%-60%</v>
      </c>
    </row>
    <row r="1666" spans="1:6" x14ac:dyDescent="0.2">
      <c r="A1666" t="str">
        <f>'Novia Web Query'!A1663</f>
        <v>GB0009606988</v>
      </c>
      <c r="B1666" t="str">
        <f>VLOOKUP(NoviaFunds[[#This Row],[ISIN]],'Novia Web Query'!$A:$E,2,FALSE)</f>
        <v>IFSL RC Brown UK Primary Opportunities A Acc in GB</v>
      </c>
      <c r="C1666" t="str">
        <f>VLOOKUP(NoviaFunds[[#This Row],[ISIN]],'Novia Web Query'!$A:$E,3,FALSE)</f>
        <v>UT UK All Companies</v>
      </c>
      <c r="D1666" s="139">
        <f>VLOOKUP(NoviaFunds[[#This Row],[ISIN]],'Novia Web Query'!$A:$E,4,FALSE)/100</f>
        <v>1.6200000000000003E-2</v>
      </c>
      <c r="E1666" s="3" t="str">
        <f>VLOOKUP(NoviaFunds[[#This Row],[ISIN]],'Novia Web Query'!$A:$E,5,FALSE)</f>
        <v>31/07/2021</v>
      </c>
      <c r="F1666" t="str">
        <f>VLOOKUP(NoviaFunds[[#This Row],[Sector]],Sectors[],2,FALSE)</f>
        <v>UK Equities</v>
      </c>
    </row>
    <row r="1667" spans="1:6" x14ac:dyDescent="0.2">
      <c r="A1667" t="str">
        <f>'Novia Web Query'!A1664</f>
        <v>GB0009607069</v>
      </c>
      <c r="B1667" t="str">
        <f>VLOOKUP(NoviaFunds[[#This Row],[ISIN]],'Novia Web Query'!$A:$E,2,FALSE)</f>
        <v>IFSL RC Brown UK Primary Opportunities A Inc TR in GB</v>
      </c>
      <c r="C1667" t="str">
        <f>VLOOKUP(NoviaFunds[[#This Row],[ISIN]],'Novia Web Query'!$A:$E,3,FALSE)</f>
        <v>UT UK All Companies</v>
      </c>
      <c r="D1667" s="139">
        <f>VLOOKUP(NoviaFunds[[#This Row],[ISIN]],'Novia Web Query'!$A:$E,4,FALSE)/100</f>
        <v>1.6200000000000003E-2</v>
      </c>
      <c r="E1667" s="3" t="str">
        <f>VLOOKUP(NoviaFunds[[#This Row],[ISIN]],'Novia Web Query'!$A:$E,5,FALSE)</f>
        <v>31/07/2021</v>
      </c>
      <c r="F1667" t="str">
        <f>VLOOKUP(NoviaFunds[[#This Row],[Sector]],Sectors[],2,FALSE)</f>
        <v>UK Equities</v>
      </c>
    </row>
    <row r="1668" spans="1:6" x14ac:dyDescent="0.2">
      <c r="A1668" t="str">
        <f>'Novia Web Query'!A1665</f>
        <v>GB00B905T773</v>
      </c>
      <c r="B1668" t="str">
        <f>VLOOKUP(NoviaFunds[[#This Row],[ISIN]],'Novia Web Query'!$A:$E,2,FALSE)</f>
        <v>IFSL RC Brown UK Primary Opportunities P Acc in GB</v>
      </c>
      <c r="C1668" t="str">
        <f>VLOOKUP(NoviaFunds[[#This Row],[ISIN]],'Novia Web Query'!$A:$E,3,FALSE)</f>
        <v>UT UK All Companies</v>
      </c>
      <c r="D1668" s="139">
        <f>VLOOKUP(NoviaFunds[[#This Row],[ISIN]],'Novia Web Query'!$A:$E,4,FALSE)/100</f>
        <v>8.6999999999999994E-3</v>
      </c>
      <c r="E1668" s="3" t="str">
        <f>VLOOKUP(NoviaFunds[[#This Row],[ISIN]],'Novia Web Query'!$A:$E,5,FALSE)</f>
        <v>31/07/2021</v>
      </c>
      <c r="F1668" t="str">
        <f>VLOOKUP(NoviaFunds[[#This Row],[Sector]],Sectors[],2,FALSE)</f>
        <v>UK Equities</v>
      </c>
    </row>
    <row r="1669" spans="1:6" x14ac:dyDescent="0.2">
      <c r="A1669" t="str">
        <f>'Novia Web Query'!A1666</f>
        <v>GB00B8HGN522</v>
      </c>
      <c r="B1669" t="str">
        <f>VLOOKUP(NoviaFunds[[#This Row],[ISIN]],'Novia Web Query'!$A:$E,2,FALSE)</f>
        <v>IFSL RC Brown UK Primary Opportunities P Inc TR in GB</v>
      </c>
      <c r="C1669" t="str">
        <f>VLOOKUP(NoviaFunds[[#This Row],[ISIN]],'Novia Web Query'!$A:$E,3,FALSE)</f>
        <v>UT UK All Companies</v>
      </c>
      <c r="D1669" s="139">
        <f>VLOOKUP(NoviaFunds[[#This Row],[ISIN]],'Novia Web Query'!$A:$E,4,FALSE)/100</f>
        <v>8.6999999999999994E-3</v>
      </c>
      <c r="E1669" s="3" t="str">
        <f>VLOOKUP(NoviaFunds[[#This Row],[ISIN]],'Novia Web Query'!$A:$E,5,FALSE)</f>
        <v>31/07/2021</v>
      </c>
      <c r="F1669" t="str">
        <f>VLOOKUP(NoviaFunds[[#This Row],[Sector]],Sectors[],2,FALSE)</f>
        <v>UK Equities</v>
      </c>
    </row>
    <row r="1670" spans="1:6" x14ac:dyDescent="0.2">
      <c r="A1670" t="str">
        <f>'Novia Web Query'!A1667</f>
        <v>GB00BHZ0CY14</v>
      </c>
      <c r="B1670" t="str">
        <f>VLOOKUP(NoviaFunds[[#This Row],[ISIN]],'Novia Web Query'!$A:$E,2,FALSE)</f>
        <v>IFSL Sanlam Balanced A Acc in GB</v>
      </c>
      <c r="C1670" t="str">
        <f>VLOOKUP(NoviaFunds[[#This Row],[ISIN]],'Novia Web Query'!$A:$E,3,FALSE)</f>
        <v>UT Mixed Investment 40-85% Shares</v>
      </c>
      <c r="D1670" s="139">
        <f>VLOOKUP(NoviaFunds[[#This Row],[ISIN]],'Novia Web Query'!$A:$E,4,FALSE)/100</f>
        <v>8.3999999999999995E-3</v>
      </c>
      <c r="E1670" s="3" t="str">
        <f>VLOOKUP(NoviaFunds[[#This Row],[ISIN]],'Novia Web Query'!$A:$E,5,FALSE)</f>
        <v>31/07/2021</v>
      </c>
      <c r="F1670" t="str">
        <f>VLOOKUP(NoviaFunds[[#This Row],[Sector]],Sectors[],2,FALSE)</f>
        <v>Mixed 40%-85%</v>
      </c>
    </row>
    <row r="1671" spans="1:6" x14ac:dyDescent="0.2">
      <c r="A1671" t="str">
        <f>'Novia Web Query'!A1668</f>
        <v>GB00BHZ0CZ21</v>
      </c>
      <c r="B1671" t="str">
        <f>VLOOKUP(NoviaFunds[[#This Row],[ISIN]],'Novia Web Query'!$A:$E,2,FALSE)</f>
        <v>IFSL Sanlam Balanced A Inc TR in GB</v>
      </c>
      <c r="C1671" t="str">
        <f>VLOOKUP(NoviaFunds[[#This Row],[ISIN]],'Novia Web Query'!$A:$E,3,FALSE)</f>
        <v>UT Mixed Investment 40-85% Shares</v>
      </c>
      <c r="D1671" s="139">
        <f>VLOOKUP(NoviaFunds[[#This Row],[ISIN]],'Novia Web Query'!$A:$E,4,FALSE)/100</f>
        <v>8.3999999999999995E-3</v>
      </c>
      <c r="E1671" s="3" t="str">
        <f>VLOOKUP(NoviaFunds[[#This Row],[ISIN]],'Novia Web Query'!$A:$E,5,FALSE)</f>
        <v>31/07/2021</v>
      </c>
      <c r="F1671" t="str">
        <f>VLOOKUP(NoviaFunds[[#This Row],[Sector]],Sectors[],2,FALSE)</f>
        <v>Mixed 40%-85%</v>
      </c>
    </row>
    <row r="1672" spans="1:6" x14ac:dyDescent="0.2">
      <c r="A1672" t="str">
        <f>'Novia Web Query'!A1669</f>
        <v>GB00BHZ0D488</v>
      </c>
      <c r="B1672" t="str">
        <f>VLOOKUP(NoviaFunds[[#This Row],[ISIN]],'Novia Web Query'!$A:$E,2,FALSE)</f>
        <v>IFSL Sanlam Cautious A Acc in GB</v>
      </c>
      <c r="C1672" t="str">
        <f>VLOOKUP(NoviaFunds[[#This Row],[ISIN]],'Novia Web Query'!$A:$E,3,FALSE)</f>
        <v>UT Mixed Investment 20-60% Shares</v>
      </c>
      <c r="D1672" s="139">
        <f>VLOOKUP(NoviaFunds[[#This Row],[ISIN]],'Novia Web Query'!$A:$E,4,FALSE)/100</f>
        <v>8.3000000000000001E-3</v>
      </c>
      <c r="E1672" s="3" t="str">
        <f>VLOOKUP(NoviaFunds[[#This Row],[ISIN]],'Novia Web Query'!$A:$E,5,FALSE)</f>
        <v>31/07/2021</v>
      </c>
      <c r="F1672" t="str">
        <f>VLOOKUP(NoviaFunds[[#This Row],[Sector]],Sectors[],2,FALSE)</f>
        <v>Mixed 20%-60%</v>
      </c>
    </row>
    <row r="1673" spans="1:6" x14ac:dyDescent="0.2">
      <c r="A1673" t="str">
        <f>'Novia Web Query'!A1670</f>
        <v>GB00BHZ0D595</v>
      </c>
      <c r="B1673" t="str">
        <f>VLOOKUP(NoviaFunds[[#This Row],[ISIN]],'Novia Web Query'!$A:$E,2,FALSE)</f>
        <v>IFSL Sanlam Cautious A Inc TR in GB</v>
      </c>
      <c r="C1673" t="str">
        <f>VLOOKUP(NoviaFunds[[#This Row],[ISIN]],'Novia Web Query'!$A:$E,3,FALSE)</f>
        <v>UT Mixed Investment 20-60% Shares</v>
      </c>
      <c r="D1673" s="139">
        <f>VLOOKUP(NoviaFunds[[#This Row],[ISIN]],'Novia Web Query'!$A:$E,4,FALSE)/100</f>
        <v>8.3000000000000001E-3</v>
      </c>
      <c r="E1673" s="3" t="str">
        <f>VLOOKUP(NoviaFunds[[#This Row],[ISIN]],'Novia Web Query'!$A:$E,5,FALSE)</f>
        <v>31/07/2021</v>
      </c>
      <c r="F1673" t="str">
        <f>VLOOKUP(NoviaFunds[[#This Row],[Sector]],Sectors[],2,FALSE)</f>
        <v>Mixed 20%-60%</v>
      </c>
    </row>
    <row r="1674" spans="1:6" x14ac:dyDescent="0.2">
      <c r="A1674" t="str">
        <f>'Novia Web Query'!A1671</f>
        <v>GB00BK8VGD91</v>
      </c>
      <c r="B1674" t="str">
        <f>VLOOKUP(NoviaFunds[[#This Row],[ISIN]],'Novia Web Query'!$A:$E,2,FALSE)</f>
        <v>IFSL Sanlam Defensive A Acc in GB</v>
      </c>
      <c r="C1674" t="str">
        <f>VLOOKUP(NoviaFunds[[#This Row],[ISIN]],'Novia Web Query'!$A:$E,3,FALSE)</f>
        <v>UT Mixed Investment 20-60% Shares</v>
      </c>
      <c r="D1674" s="139">
        <f>VLOOKUP(NoviaFunds[[#This Row],[ISIN]],'Novia Web Query'!$A:$E,4,FALSE)/100</f>
        <v>8.3999999999999995E-3</v>
      </c>
      <c r="E1674" s="3" t="str">
        <f>VLOOKUP(NoviaFunds[[#This Row],[ISIN]],'Novia Web Query'!$A:$E,5,FALSE)</f>
        <v>31/07/2021</v>
      </c>
      <c r="F1674" t="str">
        <f>VLOOKUP(NoviaFunds[[#This Row],[Sector]],Sectors[],2,FALSE)</f>
        <v>Mixed 20%-60%</v>
      </c>
    </row>
    <row r="1675" spans="1:6" x14ac:dyDescent="0.2">
      <c r="A1675" t="str">
        <f>'Novia Web Query'!A1672</f>
        <v>GB00BK8VGF16</v>
      </c>
      <c r="B1675" t="str">
        <f>VLOOKUP(NoviaFunds[[#This Row],[ISIN]],'Novia Web Query'!$A:$E,2,FALSE)</f>
        <v>IFSL Sanlam Defensive A Inc TR in GB</v>
      </c>
      <c r="C1675" t="str">
        <f>VLOOKUP(NoviaFunds[[#This Row],[ISIN]],'Novia Web Query'!$A:$E,3,FALSE)</f>
        <v>UT Mixed Investment 20-60% Shares</v>
      </c>
      <c r="D1675" s="139">
        <f>VLOOKUP(NoviaFunds[[#This Row],[ISIN]],'Novia Web Query'!$A:$E,4,FALSE)/100</f>
        <v>8.3999999999999995E-3</v>
      </c>
      <c r="E1675" s="3" t="str">
        <f>VLOOKUP(NoviaFunds[[#This Row],[ISIN]],'Novia Web Query'!$A:$E,5,FALSE)</f>
        <v>31/07/2021</v>
      </c>
      <c r="F1675" t="str">
        <f>VLOOKUP(NoviaFunds[[#This Row],[Sector]],Sectors[],2,FALSE)</f>
        <v>Mixed 20%-60%</v>
      </c>
    </row>
    <row r="1676" spans="1:6" x14ac:dyDescent="0.2">
      <c r="A1676" t="str">
        <f>'Novia Web Query'!A1673</f>
        <v>GB00BHZ0CW99</v>
      </c>
      <c r="B1676" t="str">
        <f>VLOOKUP(NoviaFunds[[#This Row],[ISIN]],'Novia Web Query'!$A:$E,2,FALSE)</f>
        <v>IFSL Sanlam Growth A Acc in GB</v>
      </c>
      <c r="C1676" t="str">
        <f>VLOOKUP(NoviaFunds[[#This Row],[ISIN]],'Novia Web Query'!$A:$E,3,FALSE)</f>
        <v>UT Flexible Investment</v>
      </c>
      <c r="D1676" s="139">
        <f>VLOOKUP(NoviaFunds[[#This Row],[ISIN]],'Novia Web Query'!$A:$E,4,FALSE)/100</f>
        <v>8.3000000000000001E-3</v>
      </c>
      <c r="E1676" s="3" t="str">
        <f>VLOOKUP(NoviaFunds[[#This Row],[ISIN]],'Novia Web Query'!$A:$E,5,FALSE)</f>
        <v>31/07/2021</v>
      </c>
      <c r="F1676" t="str">
        <f>VLOOKUP(NoviaFunds[[#This Row],[Sector]],Sectors[],2,FALSE)</f>
        <v>Flexible</v>
      </c>
    </row>
    <row r="1677" spans="1:6" x14ac:dyDescent="0.2">
      <c r="A1677" t="str">
        <f>'Novia Web Query'!A1674</f>
        <v>GB00BHZ0CX07</v>
      </c>
      <c r="B1677" t="str">
        <f>VLOOKUP(NoviaFunds[[#This Row],[ISIN]],'Novia Web Query'!$A:$E,2,FALSE)</f>
        <v>IFSL Sanlam Growth A Inc TR in GB</v>
      </c>
      <c r="C1677" t="str">
        <f>VLOOKUP(NoviaFunds[[#This Row],[ISIN]],'Novia Web Query'!$A:$E,3,FALSE)</f>
        <v>UT Flexible Investment</v>
      </c>
      <c r="D1677" s="139">
        <f>VLOOKUP(NoviaFunds[[#This Row],[ISIN]],'Novia Web Query'!$A:$E,4,FALSE)/100</f>
        <v>8.3000000000000001E-3</v>
      </c>
      <c r="E1677" s="3" t="str">
        <f>VLOOKUP(NoviaFunds[[#This Row],[ISIN]],'Novia Web Query'!$A:$E,5,FALSE)</f>
        <v>31/07/2021</v>
      </c>
      <c r="F1677" t="str">
        <f>VLOOKUP(NoviaFunds[[#This Row],[Sector]],Sectors[],2,FALSE)</f>
        <v>Flexible</v>
      </c>
    </row>
    <row r="1678" spans="1:6" x14ac:dyDescent="0.2">
      <c r="A1678" t="str">
        <f>'Novia Web Query'!A1675</f>
        <v>GB0033028225</v>
      </c>
      <c r="B1678" t="str">
        <f>VLOOKUP(NoviaFunds[[#This Row],[ISIN]],'Novia Web Query'!$A:$E,2,FALSE)</f>
        <v>Invesco Asian (UK) Acc TR in GB</v>
      </c>
      <c r="C1678" t="str">
        <f>VLOOKUP(NoviaFunds[[#This Row],[ISIN]],'Novia Web Query'!$A:$E,3,FALSE)</f>
        <v>UT Asia Pacific Excluding Japan</v>
      </c>
      <c r="D1678" s="139">
        <f>VLOOKUP(NoviaFunds[[#This Row],[ISIN]],'Novia Web Query'!$A:$E,4,FALSE)/100</f>
        <v>1.7000000000000001E-2</v>
      </c>
      <c r="E1678" s="3" t="str">
        <f>VLOOKUP(NoviaFunds[[#This Row],[ISIN]],'Novia Web Query'!$A:$E,5,FALSE)</f>
        <v>17/02/2021</v>
      </c>
      <c r="F1678" t="str">
        <f>VLOOKUP(NoviaFunds[[#This Row],[Sector]],Sectors[],2,FALSE)</f>
        <v>Asia Pacific</v>
      </c>
    </row>
    <row r="1679" spans="1:6" x14ac:dyDescent="0.2">
      <c r="A1679" t="str">
        <f>'Novia Web Query'!A1676</f>
        <v>GB0033049031</v>
      </c>
      <c r="B1679" t="str">
        <f>VLOOKUP(NoviaFunds[[#This Row],[ISIN]],'Novia Web Query'!$A:$E,2,FALSE)</f>
        <v>Invesco Asian (UK) Inc TR in GB</v>
      </c>
      <c r="C1679" t="str">
        <f>VLOOKUP(NoviaFunds[[#This Row],[ISIN]],'Novia Web Query'!$A:$E,3,FALSE)</f>
        <v>UT Asia Pacific Excluding Japan</v>
      </c>
      <c r="D1679" s="139">
        <f>VLOOKUP(NoviaFunds[[#This Row],[ISIN]],'Novia Web Query'!$A:$E,4,FALSE)/100</f>
        <v>1.7000000000000001E-2</v>
      </c>
      <c r="E1679" s="3" t="str">
        <f>VLOOKUP(NoviaFunds[[#This Row],[ISIN]],'Novia Web Query'!$A:$E,5,FALSE)</f>
        <v>17/02/2021</v>
      </c>
      <c r="F1679" t="str">
        <f>VLOOKUP(NoviaFunds[[#This Row],[Sector]],Sectors[],2,FALSE)</f>
        <v>Asia Pacific</v>
      </c>
    </row>
    <row r="1680" spans="1:6" x14ac:dyDescent="0.2">
      <c r="A1680" t="str">
        <f>'Novia Web Query'!A1677</f>
        <v>GB00B8N44Q86</v>
      </c>
      <c r="B1680" t="str">
        <f>VLOOKUP(NoviaFunds[[#This Row],[ISIN]],'Novia Web Query'!$A:$E,2,FALSE)</f>
        <v>Invesco Asian (UK) Z Acc TR in GB</v>
      </c>
      <c r="C1680" t="str">
        <f>VLOOKUP(NoviaFunds[[#This Row],[ISIN]],'Novia Web Query'!$A:$E,3,FALSE)</f>
        <v>UT Asia Pacific Excluding Japan</v>
      </c>
      <c r="D1680" s="139">
        <f>VLOOKUP(NoviaFunds[[#This Row],[ISIN]],'Novia Web Query'!$A:$E,4,FALSE)/100</f>
        <v>9.4999999999999998E-3</v>
      </c>
      <c r="E1680" s="3" t="str">
        <f>VLOOKUP(NoviaFunds[[#This Row],[ISIN]],'Novia Web Query'!$A:$E,5,FALSE)</f>
        <v>17/02/2021</v>
      </c>
      <c r="F1680" t="str">
        <f>VLOOKUP(NoviaFunds[[#This Row],[Sector]],Sectors[],2,FALSE)</f>
        <v>Asia Pacific</v>
      </c>
    </row>
    <row r="1681" spans="1:6" x14ac:dyDescent="0.2">
      <c r="A1681" t="str">
        <f>'Novia Web Query'!A1678</f>
        <v>GB00B8N44R93</v>
      </c>
      <c r="B1681" t="str">
        <f>VLOOKUP(NoviaFunds[[#This Row],[ISIN]],'Novia Web Query'!$A:$E,2,FALSE)</f>
        <v>Invesco Asian (UK) Z Inc TR in GB**</v>
      </c>
      <c r="C1681" t="str">
        <f>VLOOKUP(NoviaFunds[[#This Row],[ISIN]],'Novia Web Query'!$A:$E,3,FALSE)</f>
        <v>UT Asia Pacific Excluding Japan</v>
      </c>
      <c r="D1681" s="139">
        <f>VLOOKUP(NoviaFunds[[#This Row],[ISIN]],'Novia Web Query'!$A:$E,4,FALSE)/100</f>
        <v>9.4999999999999998E-3</v>
      </c>
      <c r="E1681" s="3" t="str">
        <f>VLOOKUP(NoviaFunds[[#This Row],[ISIN]],'Novia Web Query'!$A:$E,5,FALSE)</f>
        <v>17/02/2021</v>
      </c>
      <c r="F1681" t="str">
        <f>VLOOKUP(NoviaFunds[[#This Row],[Sector]],Sectors[],2,FALSE)</f>
        <v>Asia Pacific</v>
      </c>
    </row>
    <row r="1682" spans="1:6" x14ac:dyDescent="0.2">
      <c r="A1682" t="str">
        <f>'Novia Web Query'!A1679</f>
        <v>GB00B8N44S01</v>
      </c>
      <c r="B1682" t="str">
        <f>VLOOKUP(NoviaFunds[[#This Row],[ISIN]],'Novia Web Query'!$A:$E,2,FALSE)</f>
        <v>Invesco Asian Equity Income (UK) Z Acc TR in GB</v>
      </c>
      <c r="C1682" t="str">
        <f>VLOOKUP(NoviaFunds[[#This Row],[ISIN]],'Novia Web Query'!$A:$E,3,FALSE)</f>
        <v>UT Asia Pacific Excluding Japan</v>
      </c>
      <c r="D1682" s="139">
        <f>VLOOKUP(NoviaFunds[[#This Row],[ISIN]],'Novia Web Query'!$A:$E,4,FALSE)/100</f>
        <v>8.5000000000000006E-3</v>
      </c>
      <c r="E1682" s="3" t="str">
        <f>VLOOKUP(NoviaFunds[[#This Row],[ISIN]],'Novia Web Query'!$A:$E,5,FALSE)</f>
        <v>17/02/2021</v>
      </c>
      <c r="F1682" t="str">
        <f>VLOOKUP(NoviaFunds[[#This Row],[Sector]],Sectors[],2,FALSE)</f>
        <v>Asia Pacific</v>
      </c>
    </row>
    <row r="1683" spans="1:6" x14ac:dyDescent="0.2">
      <c r="A1683" t="str">
        <f>'Novia Web Query'!A1680</f>
        <v>GB00B8N44T18</v>
      </c>
      <c r="B1683" t="str">
        <f>VLOOKUP(NoviaFunds[[#This Row],[ISIN]],'Novia Web Query'!$A:$E,2,FALSE)</f>
        <v>Invesco Asian Equity Income (UK) Z Inc TR in GB**</v>
      </c>
      <c r="C1683" t="str">
        <f>VLOOKUP(NoviaFunds[[#This Row],[ISIN]],'Novia Web Query'!$A:$E,3,FALSE)</f>
        <v>UT Asia Pacific Excluding Japan</v>
      </c>
      <c r="D1683" s="139">
        <f>VLOOKUP(NoviaFunds[[#This Row],[ISIN]],'Novia Web Query'!$A:$E,4,FALSE)/100</f>
        <v>8.5000000000000006E-3</v>
      </c>
      <c r="E1683" s="3" t="str">
        <f>VLOOKUP(NoviaFunds[[#This Row],[ISIN]],'Novia Web Query'!$A:$E,5,FALSE)</f>
        <v>17/02/2021</v>
      </c>
      <c r="F1683" t="str">
        <f>VLOOKUP(NoviaFunds[[#This Row],[Sector]],Sectors[],2,FALSE)</f>
        <v>Asia Pacific</v>
      </c>
    </row>
    <row r="1684" spans="1:6" x14ac:dyDescent="0.2">
      <c r="A1684" t="str">
        <f>'Novia Web Query'!A1681</f>
        <v>GB00B8N44H95</v>
      </c>
      <c r="B1684" t="str">
        <f>VLOOKUP(NoviaFunds[[#This Row],[ISIN]],'Novia Web Query'!$A:$E,2,FALSE)</f>
        <v>Invesco Balanced Risk 10 (UK) Z Acc in GB</v>
      </c>
      <c r="C1684" t="str">
        <f>VLOOKUP(NoviaFunds[[#This Row],[ISIN]],'Novia Web Query'!$A:$E,3,FALSE)</f>
        <v>UT Volatility Managed</v>
      </c>
      <c r="D1684" s="139">
        <f>VLOOKUP(NoviaFunds[[#This Row],[ISIN]],'Novia Web Query'!$A:$E,4,FALSE)/100</f>
        <v>7.7000000000000002E-3</v>
      </c>
      <c r="E1684" s="3" t="str">
        <f>VLOOKUP(NoviaFunds[[#This Row],[ISIN]],'Novia Web Query'!$A:$E,5,FALSE)</f>
        <v>17/02/2021</v>
      </c>
      <c r="F1684" t="e">
        <f>VLOOKUP(NoviaFunds[[#This Row],[Sector]],Sectors[],2,FALSE)</f>
        <v>#N/A</v>
      </c>
    </row>
    <row r="1685" spans="1:6" x14ac:dyDescent="0.2">
      <c r="A1685" t="str">
        <f>'Novia Web Query'!A1682</f>
        <v>GB00B50P2K30</v>
      </c>
      <c r="B1685" t="str">
        <f>VLOOKUP(NoviaFunds[[#This Row],[ISIN]],'Novia Web Query'!$A:$E,2,FALSE)</f>
        <v>Invesco Balanced Risk 8 (UK) Acc in GB</v>
      </c>
      <c r="C1685" t="str">
        <f>VLOOKUP(NoviaFunds[[#This Row],[ISIN]],'Novia Web Query'!$A:$E,3,FALSE)</f>
        <v>UT Volatility Managed</v>
      </c>
      <c r="D1685" s="139">
        <f>VLOOKUP(NoviaFunds[[#This Row],[ISIN]],'Novia Web Query'!$A:$E,4,FALSE)/100</f>
        <v>1.4199999999999999E-2</v>
      </c>
      <c r="E1685" s="3" t="str">
        <f>VLOOKUP(NoviaFunds[[#This Row],[ISIN]],'Novia Web Query'!$A:$E,5,FALSE)</f>
        <v>17/02/2021</v>
      </c>
      <c r="F1685" t="e">
        <f>VLOOKUP(NoviaFunds[[#This Row],[Sector]],Sectors[],2,FALSE)</f>
        <v>#N/A</v>
      </c>
    </row>
    <row r="1686" spans="1:6" x14ac:dyDescent="0.2">
      <c r="A1686" t="str">
        <f>'Novia Web Query'!A1683</f>
        <v>GB00B8N44G88</v>
      </c>
      <c r="B1686" t="str">
        <f>VLOOKUP(NoviaFunds[[#This Row],[ISIN]],'Novia Web Query'!$A:$E,2,FALSE)</f>
        <v>Invesco Balanced Risk 8 (UK) Z Acc in GB</v>
      </c>
      <c r="C1686" t="str">
        <f>VLOOKUP(NoviaFunds[[#This Row],[ISIN]],'Novia Web Query'!$A:$E,3,FALSE)</f>
        <v>UT Volatility Managed</v>
      </c>
      <c r="D1686" s="139">
        <f>VLOOKUP(NoviaFunds[[#This Row],[ISIN]],'Novia Web Query'!$A:$E,4,FALSE)/100</f>
        <v>7.3000000000000001E-3</v>
      </c>
      <c r="E1686" s="3" t="str">
        <f>VLOOKUP(NoviaFunds[[#This Row],[ISIN]],'Novia Web Query'!$A:$E,5,FALSE)</f>
        <v>17/02/2021</v>
      </c>
      <c r="F1686" t="e">
        <f>VLOOKUP(NoviaFunds[[#This Row],[Sector]],Sectors[],2,FALSE)</f>
        <v>#N/A</v>
      </c>
    </row>
    <row r="1687" spans="1:6" x14ac:dyDescent="0.2">
      <c r="A1687" t="str">
        <f>'Novia Web Query'!A1684</f>
        <v>GB00B8N44V30</v>
      </c>
      <c r="B1687" t="str">
        <f>VLOOKUP(NoviaFunds[[#This Row],[ISIN]],'Novia Web Query'!$A:$E,2,FALSE)</f>
        <v>Invesco China Equity (UK) Z Acc in GB</v>
      </c>
      <c r="C1687" t="str">
        <f>VLOOKUP(NoviaFunds[[#This Row],[ISIN]],'Novia Web Query'!$A:$E,3,FALSE)</f>
        <v>UT China/Greater China</v>
      </c>
      <c r="D1687" s="139">
        <f>VLOOKUP(NoviaFunds[[#This Row],[ISIN]],'Novia Web Query'!$A:$E,4,FALSE)/100</f>
        <v>9.3999999999999986E-3</v>
      </c>
      <c r="E1687" s="3" t="str">
        <f>VLOOKUP(NoviaFunds[[#This Row],[ISIN]],'Novia Web Query'!$A:$E,5,FALSE)</f>
        <v>17/02/2021</v>
      </c>
      <c r="F1687" t="str">
        <f>VLOOKUP(NoviaFunds[[#This Row],[Sector]],Sectors[],2,FALSE)</f>
        <v>Asia Pacific</v>
      </c>
    </row>
    <row r="1688" spans="1:6" x14ac:dyDescent="0.2">
      <c r="A1688" t="str">
        <f>'Novia Web Query'!A1685</f>
        <v>GB0033028779</v>
      </c>
      <c r="B1688" t="str">
        <f>VLOOKUP(NoviaFunds[[#This Row],[ISIN]],'Novia Web Query'!$A:$E,2,FALSE)</f>
        <v>Invesco Corporate Bond (UK) Acc in GB</v>
      </c>
      <c r="C1688" t="str">
        <f>VLOOKUP(NoviaFunds[[#This Row],[ISIN]],'Novia Web Query'!$A:$E,3,FALSE)</f>
        <v>UT Sterling Corporate Bond</v>
      </c>
      <c r="D1688" s="139">
        <f>VLOOKUP(NoviaFunds[[#This Row],[ISIN]],'Novia Web Query'!$A:$E,4,FALSE)/100</f>
        <v>1.0500000000000001E-2</v>
      </c>
      <c r="E1688" s="3" t="str">
        <f>VLOOKUP(NoviaFunds[[#This Row],[ISIN]],'Novia Web Query'!$A:$E,5,FALSE)</f>
        <v>17/02/2021</v>
      </c>
      <c r="F1688" t="str">
        <f>VLOOKUP(NoviaFunds[[#This Row],[Sector]],Sectors[],2,FALSE)</f>
        <v>Sterling Corporate Bonds</v>
      </c>
    </row>
    <row r="1689" spans="1:6" x14ac:dyDescent="0.2">
      <c r="A1689" t="str">
        <f>'Novia Web Query'!A1686</f>
        <v>GB0033050690</v>
      </c>
      <c r="B1689" t="str">
        <f>VLOOKUP(NoviaFunds[[#This Row],[ISIN]],'Novia Web Query'!$A:$E,2,FALSE)</f>
        <v>Invesco Corporate Bond (UK) Inc TR in GB</v>
      </c>
      <c r="C1689" t="str">
        <f>VLOOKUP(NoviaFunds[[#This Row],[ISIN]],'Novia Web Query'!$A:$E,3,FALSE)</f>
        <v>UT Sterling Corporate Bond</v>
      </c>
      <c r="D1689" s="139">
        <f>VLOOKUP(NoviaFunds[[#This Row],[ISIN]],'Novia Web Query'!$A:$E,4,FALSE)/100</f>
        <v>1.0500000000000001E-2</v>
      </c>
      <c r="E1689" s="3" t="str">
        <f>VLOOKUP(NoviaFunds[[#This Row],[ISIN]],'Novia Web Query'!$A:$E,5,FALSE)</f>
        <v>17/02/2021</v>
      </c>
      <c r="F1689" t="str">
        <f>VLOOKUP(NoviaFunds[[#This Row],[Sector]],Sectors[],2,FALSE)</f>
        <v>Sterling Corporate Bonds</v>
      </c>
    </row>
    <row r="1690" spans="1:6" x14ac:dyDescent="0.2">
      <c r="A1690" t="str">
        <f>'Novia Web Query'!A1687</f>
        <v>GB00B1W7HY84</v>
      </c>
      <c r="B1690" t="str">
        <f>VLOOKUP(NoviaFunds[[#This Row],[ISIN]],'Novia Web Query'!$A:$E,2,FALSE)</f>
        <v>Invesco Corporate Bond (UK) No Trail Acc TR in GB**</v>
      </c>
      <c r="C1690" t="str">
        <f>VLOOKUP(NoviaFunds[[#This Row],[ISIN]],'Novia Web Query'!$A:$E,3,FALSE)</f>
        <v>UT Sterling Corporate Bond</v>
      </c>
      <c r="D1690" s="139">
        <f>VLOOKUP(NoviaFunds[[#This Row],[ISIN]],'Novia Web Query'!$A:$E,4,FALSE)/100</f>
        <v>8.0000000000000002E-3</v>
      </c>
      <c r="E1690" s="3" t="str">
        <f>VLOOKUP(NoviaFunds[[#This Row],[ISIN]],'Novia Web Query'!$A:$E,5,FALSE)</f>
        <v>17/02/2021</v>
      </c>
      <c r="F1690" t="str">
        <f>VLOOKUP(NoviaFunds[[#This Row],[Sector]],Sectors[],2,FALSE)</f>
        <v>Sterling Corporate Bonds</v>
      </c>
    </row>
    <row r="1691" spans="1:6" x14ac:dyDescent="0.2">
      <c r="A1691" t="str">
        <f>'Novia Web Query'!A1688</f>
        <v>GB00B1W7HZ91</v>
      </c>
      <c r="B1691" t="str">
        <f>VLOOKUP(NoviaFunds[[#This Row],[ISIN]],'Novia Web Query'!$A:$E,2,FALSE)</f>
        <v>Invesco Corporate Bond (UK) No Trail Inc TR in GB**</v>
      </c>
      <c r="C1691" t="str">
        <f>VLOOKUP(NoviaFunds[[#This Row],[ISIN]],'Novia Web Query'!$A:$E,3,FALSE)</f>
        <v>UT Sterling Corporate Bond</v>
      </c>
      <c r="D1691" s="139">
        <f>VLOOKUP(NoviaFunds[[#This Row],[ISIN]],'Novia Web Query'!$A:$E,4,FALSE)/100</f>
        <v>8.0000000000000002E-3</v>
      </c>
      <c r="E1691" s="3" t="str">
        <f>VLOOKUP(NoviaFunds[[#This Row],[ISIN]],'Novia Web Query'!$A:$E,5,FALSE)</f>
        <v>17/02/2021</v>
      </c>
      <c r="F1691" t="str">
        <f>VLOOKUP(NoviaFunds[[#This Row],[Sector]],Sectors[],2,FALSE)</f>
        <v>Sterling Corporate Bonds</v>
      </c>
    </row>
    <row r="1692" spans="1:6" x14ac:dyDescent="0.2">
      <c r="A1692" t="str">
        <f>'Novia Web Query'!A1689</f>
        <v>GB00B8N44Z77</v>
      </c>
      <c r="B1692" t="str">
        <f>VLOOKUP(NoviaFunds[[#This Row],[ISIN]],'Novia Web Query'!$A:$E,2,FALSE)</f>
        <v>Invesco Corporate Bond (UK) Z Acc TR in GB</v>
      </c>
      <c r="C1692" t="str">
        <f>VLOOKUP(NoviaFunds[[#This Row],[ISIN]],'Novia Web Query'!$A:$E,3,FALSE)</f>
        <v>UT Sterling Corporate Bond</v>
      </c>
      <c r="D1692" s="139">
        <f>VLOOKUP(NoviaFunds[[#This Row],[ISIN]],'Novia Web Query'!$A:$E,4,FALSE)/100</f>
        <v>5.5000000000000005E-3</v>
      </c>
      <c r="E1692" s="3" t="str">
        <f>VLOOKUP(NoviaFunds[[#This Row],[ISIN]],'Novia Web Query'!$A:$E,5,FALSE)</f>
        <v>17/02/2021</v>
      </c>
      <c r="F1692" t="str">
        <f>VLOOKUP(NoviaFunds[[#This Row],[Sector]],Sectors[],2,FALSE)</f>
        <v>Sterling Corporate Bonds</v>
      </c>
    </row>
    <row r="1693" spans="1:6" x14ac:dyDescent="0.2">
      <c r="A1693" t="str">
        <f>'Novia Web Query'!A1690</f>
        <v>GB00B8N45097</v>
      </c>
      <c r="B1693" t="str">
        <f>VLOOKUP(NoviaFunds[[#This Row],[ISIN]],'Novia Web Query'!$A:$E,2,FALSE)</f>
        <v>Invesco Corporate Bond (UK) Z Inc TR in GB**</v>
      </c>
      <c r="C1693" t="str">
        <f>VLOOKUP(NoviaFunds[[#This Row],[ISIN]],'Novia Web Query'!$A:$E,3,FALSE)</f>
        <v>UT Sterling Corporate Bond</v>
      </c>
      <c r="D1693" s="139">
        <f>VLOOKUP(NoviaFunds[[#This Row],[ISIN]],'Novia Web Query'!$A:$E,4,FALSE)/100</f>
        <v>5.5000000000000005E-3</v>
      </c>
      <c r="E1693" s="3" t="str">
        <f>VLOOKUP(NoviaFunds[[#This Row],[ISIN]],'Novia Web Query'!$A:$E,5,FALSE)</f>
        <v>17/02/2021</v>
      </c>
      <c r="F1693" t="str">
        <f>VLOOKUP(NoviaFunds[[#This Row],[Sector]],Sectors[],2,FALSE)</f>
        <v>Sterling Corporate Bonds</v>
      </c>
    </row>
    <row r="1694" spans="1:6" x14ac:dyDescent="0.2">
      <c r="A1694" t="str">
        <f>'Novia Web Query'!A1691</f>
        <v>GB0033947226</v>
      </c>
      <c r="B1694" t="str">
        <f>VLOOKUP(NoviaFunds[[#This Row],[ISIN]],'Novia Web Query'!$A:$E,2,FALSE)</f>
        <v>Invesco Distribution (UK) Acc TR in GB</v>
      </c>
      <c r="C1694" t="str">
        <f>VLOOKUP(NoviaFunds[[#This Row],[ISIN]],'Novia Web Query'!$A:$E,3,FALSE)</f>
        <v>UT Mixed Investment 20-60% Shares</v>
      </c>
      <c r="D1694" s="139">
        <f>VLOOKUP(NoviaFunds[[#This Row],[ISIN]],'Novia Web Query'!$A:$E,4,FALSE)/100</f>
        <v>1.54E-2</v>
      </c>
      <c r="E1694" s="3" t="str">
        <f>VLOOKUP(NoviaFunds[[#This Row],[ISIN]],'Novia Web Query'!$A:$E,5,FALSE)</f>
        <v>17/02/2021</v>
      </c>
      <c r="F1694" t="str">
        <f>VLOOKUP(NoviaFunds[[#This Row],[Sector]],Sectors[],2,FALSE)</f>
        <v>Mixed 20%-60%</v>
      </c>
    </row>
    <row r="1695" spans="1:6" x14ac:dyDescent="0.2">
      <c r="A1695" t="str">
        <f>'Novia Web Query'!A1692</f>
        <v>GB0033947333</v>
      </c>
      <c r="B1695" t="str">
        <f>VLOOKUP(NoviaFunds[[#This Row],[ISIN]],'Novia Web Query'!$A:$E,2,FALSE)</f>
        <v>Invesco Distribution (UK) Inc TR in GB</v>
      </c>
      <c r="C1695" t="str">
        <f>VLOOKUP(NoviaFunds[[#This Row],[ISIN]],'Novia Web Query'!$A:$E,3,FALSE)</f>
        <v>UT Mixed Investment 20-60% Shares</v>
      </c>
      <c r="D1695" s="139">
        <f>VLOOKUP(NoviaFunds[[#This Row],[ISIN]],'Novia Web Query'!$A:$E,4,FALSE)/100</f>
        <v>1.54E-2</v>
      </c>
      <c r="E1695" s="3" t="str">
        <f>VLOOKUP(NoviaFunds[[#This Row],[ISIN]],'Novia Web Query'!$A:$E,5,FALSE)</f>
        <v>17/02/2021</v>
      </c>
      <c r="F1695" t="str">
        <f>VLOOKUP(NoviaFunds[[#This Row],[Sector]],Sectors[],2,FALSE)</f>
        <v>Mixed 20%-60%</v>
      </c>
    </row>
    <row r="1696" spans="1:6" x14ac:dyDescent="0.2">
      <c r="A1696" t="str">
        <f>'Novia Web Query'!A1693</f>
        <v>GB00B8N45329</v>
      </c>
      <c r="B1696" t="str">
        <f>VLOOKUP(NoviaFunds[[#This Row],[ISIN]],'Novia Web Query'!$A:$E,2,FALSE)</f>
        <v>Invesco Distribution (UK) Z Acc TR in GB</v>
      </c>
      <c r="C1696" t="str">
        <f>VLOOKUP(NoviaFunds[[#This Row],[ISIN]],'Novia Web Query'!$A:$E,3,FALSE)</f>
        <v>UT Mixed Investment 20-60% Shares</v>
      </c>
      <c r="D1696" s="139">
        <f>VLOOKUP(NoviaFunds[[#This Row],[ISIN]],'Novia Web Query'!$A:$E,4,FALSE)/100</f>
        <v>8.199999999999999E-3</v>
      </c>
      <c r="E1696" s="3" t="str">
        <f>VLOOKUP(NoviaFunds[[#This Row],[ISIN]],'Novia Web Query'!$A:$E,5,FALSE)</f>
        <v>17/02/2021</v>
      </c>
      <c r="F1696" t="str">
        <f>VLOOKUP(NoviaFunds[[#This Row],[Sector]],Sectors[],2,FALSE)</f>
        <v>Mixed 20%-60%</v>
      </c>
    </row>
    <row r="1697" spans="1:6" x14ac:dyDescent="0.2">
      <c r="A1697" t="str">
        <f>'Novia Web Query'!A1694</f>
        <v>GB00B8N45436</v>
      </c>
      <c r="B1697" t="str">
        <f>VLOOKUP(NoviaFunds[[#This Row],[ISIN]],'Novia Web Query'!$A:$E,2,FALSE)</f>
        <v>Invesco Distribution (UK) Z Inc TR in GB**</v>
      </c>
      <c r="C1697" t="str">
        <f>VLOOKUP(NoviaFunds[[#This Row],[ISIN]],'Novia Web Query'!$A:$E,3,FALSE)</f>
        <v>UT Mixed Investment 20-60% Shares</v>
      </c>
      <c r="D1697" s="139">
        <f>VLOOKUP(NoviaFunds[[#This Row],[ISIN]],'Novia Web Query'!$A:$E,4,FALSE)/100</f>
        <v>8.199999999999999E-3</v>
      </c>
      <c r="E1697" s="3" t="str">
        <f>VLOOKUP(NoviaFunds[[#This Row],[ISIN]],'Novia Web Query'!$A:$E,5,FALSE)</f>
        <v>17/02/2021</v>
      </c>
      <c r="F1697" t="str">
        <f>VLOOKUP(NoviaFunds[[#This Row],[Sector]],Sectors[],2,FALSE)</f>
        <v>Mixed 20%-60%</v>
      </c>
    </row>
    <row r="1698" spans="1:6" x14ac:dyDescent="0.2">
      <c r="A1698" t="str">
        <f>'Novia Web Query'!A1695</f>
        <v>GB00B28J0X51</v>
      </c>
      <c r="B1698" t="str">
        <f>VLOOKUP(NoviaFunds[[#This Row],[ISIN]],'Novia Web Query'!$A:$E,2,FALSE)</f>
        <v>Invesco Emerging European (UK) Acc TR in GB</v>
      </c>
      <c r="C1698" t="str">
        <f>VLOOKUP(NoviaFunds[[#This Row],[ISIN]],'Novia Web Query'!$A:$E,3,FALSE)</f>
        <v>UT Specialist</v>
      </c>
      <c r="D1698" s="139">
        <f>VLOOKUP(NoviaFunds[[#This Row],[ISIN]],'Novia Web Query'!$A:$E,4,FALSE)/100</f>
        <v>1.9199999999999998E-2</v>
      </c>
      <c r="E1698" s="3" t="str">
        <f>VLOOKUP(NoviaFunds[[#This Row],[ISIN]],'Novia Web Query'!$A:$E,5,FALSE)</f>
        <v>17/02/2021</v>
      </c>
      <c r="F1698" t="str">
        <f>VLOOKUP(NoviaFunds[[#This Row],[Sector]],Sectors[],2,FALSE)</f>
        <v>Specialist</v>
      </c>
    </row>
    <row r="1699" spans="1:6" x14ac:dyDescent="0.2">
      <c r="A1699" t="str">
        <f>'Novia Web Query'!A1696</f>
        <v>GB00B28J0Y68</v>
      </c>
      <c r="B1699" t="str">
        <f>VLOOKUP(NoviaFunds[[#This Row],[ISIN]],'Novia Web Query'!$A:$E,2,FALSE)</f>
        <v>Invesco Emerging European (UK) Inc TR in GB</v>
      </c>
      <c r="C1699" t="str">
        <f>VLOOKUP(NoviaFunds[[#This Row],[ISIN]],'Novia Web Query'!$A:$E,3,FALSE)</f>
        <v>UT Specialist</v>
      </c>
      <c r="D1699" s="139">
        <f>VLOOKUP(NoviaFunds[[#This Row],[ISIN]],'Novia Web Query'!$A:$E,4,FALSE)/100</f>
        <v>1.9199999999999998E-2</v>
      </c>
      <c r="E1699" s="3" t="str">
        <f>VLOOKUP(NoviaFunds[[#This Row],[ISIN]],'Novia Web Query'!$A:$E,5,FALSE)</f>
        <v>17/02/2021</v>
      </c>
      <c r="F1699" t="str">
        <f>VLOOKUP(NoviaFunds[[#This Row],[Sector]],Sectors[],2,FALSE)</f>
        <v>Specialist</v>
      </c>
    </row>
    <row r="1700" spans="1:6" x14ac:dyDescent="0.2">
      <c r="A1700" t="str">
        <f>'Novia Web Query'!A1697</f>
        <v>GB00B8N46954</v>
      </c>
      <c r="B1700" t="str">
        <f>VLOOKUP(NoviaFunds[[#This Row],[ISIN]],'Novia Web Query'!$A:$E,2,FALSE)</f>
        <v>Invesco Emerging European (UK) Z Acc in GB</v>
      </c>
      <c r="C1700" t="str">
        <f>VLOOKUP(NoviaFunds[[#This Row],[ISIN]],'Novia Web Query'!$A:$E,3,FALSE)</f>
        <v>UT Specialist</v>
      </c>
      <c r="D1700" s="139">
        <f>VLOOKUP(NoviaFunds[[#This Row],[ISIN]],'Novia Web Query'!$A:$E,4,FALSE)/100</f>
        <v>1.1699999999999999E-2</v>
      </c>
      <c r="E1700" s="3" t="str">
        <f>VLOOKUP(NoviaFunds[[#This Row],[ISIN]],'Novia Web Query'!$A:$E,5,FALSE)</f>
        <v>17/02/2021</v>
      </c>
      <c r="F1700" t="str">
        <f>VLOOKUP(NoviaFunds[[#This Row],[Sector]],Sectors[],2,FALSE)</f>
        <v>Specialist</v>
      </c>
    </row>
    <row r="1701" spans="1:6" x14ac:dyDescent="0.2">
      <c r="A1701" t="str">
        <f>'Novia Web Query'!A1698</f>
        <v>GB00B8N46B73</v>
      </c>
      <c r="B1701" t="str">
        <f>VLOOKUP(NoviaFunds[[#This Row],[ISIN]],'Novia Web Query'!$A:$E,2,FALSE)</f>
        <v>Invesco Emerging European (UK) Z Inc TR in GB**</v>
      </c>
      <c r="C1701" t="str">
        <f>VLOOKUP(NoviaFunds[[#This Row],[ISIN]],'Novia Web Query'!$A:$E,3,FALSE)</f>
        <v>UT Specialist</v>
      </c>
      <c r="D1701" s="139">
        <f>VLOOKUP(NoviaFunds[[#This Row],[ISIN]],'Novia Web Query'!$A:$E,4,FALSE)/100</f>
        <v>1.1699999999999999E-2</v>
      </c>
      <c r="E1701" s="3" t="str">
        <f>VLOOKUP(NoviaFunds[[#This Row],[ISIN]],'Novia Web Query'!$A:$E,5,FALSE)</f>
        <v>17/02/2021</v>
      </c>
      <c r="F1701" t="str">
        <f>VLOOKUP(NoviaFunds[[#This Row],[Sector]],Sectors[],2,FALSE)</f>
        <v>Specialist</v>
      </c>
    </row>
    <row r="1702" spans="1:6" x14ac:dyDescent="0.2">
      <c r="A1702" t="str">
        <f>'Novia Web Query'!A1699</f>
        <v>GB0033028001</v>
      </c>
      <c r="B1702" t="str">
        <f>VLOOKUP(NoviaFunds[[#This Row],[ISIN]],'Novia Web Query'!$A:$E,2,FALSE)</f>
        <v>Invesco European Equity (UK) Acc TR in GB**</v>
      </c>
      <c r="C1702" t="str">
        <f>VLOOKUP(NoviaFunds[[#This Row],[ISIN]],'Novia Web Query'!$A:$E,3,FALSE)</f>
        <v>UT Europe Excluding UK</v>
      </c>
      <c r="D1702" s="139">
        <f>VLOOKUP(NoviaFunds[[#This Row],[ISIN]],'Novia Web Query'!$A:$E,4,FALSE)/100</f>
        <v>1.6799999999999999E-2</v>
      </c>
      <c r="E1702" s="3" t="str">
        <f>VLOOKUP(NoviaFunds[[#This Row],[ISIN]],'Novia Web Query'!$A:$E,5,FALSE)</f>
        <v>17/02/2021</v>
      </c>
      <c r="F1702" t="str">
        <f>VLOOKUP(NoviaFunds[[#This Row],[Sector]],Sectors[],2,FALSE)</f>
        <v>European Equities</v>
      </c>
    </row>
    <row r="1703" spans="1:6" x14ac:dyDescent="0.2">
      <c r="A1703" t="str">
        <f>'Novia Web Query'!A1700</f>
        <v>GB0033048843</v>
      </c>
      <c r="B1703" t="str">
        <f>VLOOKUP(NoviaFunds[[#This Row],[ISIN]],'Novia Web Query'!$A:$E,2,FALSE)</f>
        <v>Invesco European Equity (UK) Inc TR in GB</v>
      </c>
      <c r="C1703" t="str">
        <f>VLOOKUP(NoviaFunds[[#This Row],[ISIN]],'Novia Web Query'!$A:$E,3,FALSE)</f>
        <v>UT Europe Excluding UK</v>
      </c>
      <c r="D1703" s="139">
        <f>VLOOKUP(NoviaFunds[[#This Row],[ISIN]],'Novia Web Query'!$A:$E,4,FALSE)/100</f>
        <v>1.6799999999999999E-2</v>
      </c>
      <c r="E1703" s="3" t="str">
        <f>VLOOKUP(NoviaFunds[[#This Row],[ISIN]],'Novia Web Query'!$A:$E,5,FALSE)</f>
        <v>17/02/2021</v>
      </c>
      <c r="F1703" t="str">
        <f>VLOOKUP(NoviaFunds[[#This Row],[Sector]],Sectors[],2,FALSE)</f>
        <v>European Equities</v>
      </c>
    </row>
    <row r="1704" spans="1:6" x14ac:dyDescent="0.2">
      <c r="A1704" t="str">
        <f>'Novia Web Query'!A1701</f>
        <v>GB00B8N44J10</v>
      </c>
      <c r="B1704" t="str">
        <f>VLOOKUP(NoviaFunds[[#This Row],[ISIN]],'Novia Web Query'!$A:$E,2,FALSE)</f>
        <v>Invesco European Equity (UK) Z Acc in GB</v>
      </c>
      <c r="C1704" t="str">
        <f>VLOOKUP(NoviaFunds[[#This Row],[ISIN]],'Novia Web Query'!$A:$E,3,FALSE)</f>
        <v>UT Europe Excluding UK</v>
      </c>
      <c r="D1704" s="139">
        <f>VLOOKUP(NoviaFunds[[#This Row],[ISIN]],'Novia Web Query'!$A:$E,4,FALSE)/100</f>
        <v>9.300000000000001E-3</v>
      </c>
      <c r="E1704" s="3" t="str">
        <f>VLOOKUP(NoviaFunds[[#This Row],[ISIN]],'Novia Web Query'!$A:$E,5,FALSE)</f>
        <v>17/02/2021</v>
      </c>
      <c r="F1704" t="str">
        <f>VLOOKUP(NoviaFunds[[#This Row],[Sector]],Sectors[],2,FALSE)</f>
        <v>European Equities</v>
      </c>
    </row>
    <row r="1705" spans="1:6" x14ac:dyDescent="0.2">
      <c r="A1705" t="str">
        <f>'Novia Web Query'!A1702</f>
        <v>GB00B8N44K25</v>
      </c>
      <c r="B1705" t="str">
        <f>VLOOKUP(NoviaFunds[[#This Row],[ISIN]],'Novia Web Query'!$A:$E,2,FALSE)</f>
        <v>Invesco European Equity (UK) Z Inc TR in GB**</v>
      </c>
      <c r="C1705" t="str">
        <f>VLOOKUP(NoviaFunds[[#This Row],[ISIN]],'Novia Web Query'!$A:$E,3,FALSE)</f>
        <v>UT Europe Excluding UK</v>
      </c>
      <c r="D1705" s="139">
        <f>VLOOKUP(NoviaFunds[[#This Row],[ISIN]],'Novia Web Query'!$A:$E,4,FALSE)/100</f>
        <v>9.300000000000001E-3</v>
      </c>
      <c r="E1705" s="3" t="str">
        <f>VLOOKUP(NoviaFunds[[#This Row],[ISIN]],'Novia Web Query'!$A:$E,5,FALSE)</f>
        <v>17/02/2021</v>
      </c>
      <c r="F1705" t="str">
        <f>VLOOKUP(NoviaFunds[[#This Row],[Sector]],Sectors[],2,FALSE)</f>
        <v>European Equities</v>
      </c>
    </row>
    <row r="1706" spans="1:6" x14ac:dyDescent="0.2">
      <c r="A1706" t="str">
        <f>'Novia Web Query'!A1703</f>
        <v>GB00B28J0S09</v>
      </c>
      <c r="B1706" t="str">
        <f>VLOOKUP(NoviaFunds[[#This Row],[ISIN]],'Novia Web Query'!$A:$E,2,FALSE)</f>
        <v>Invesco European Equity Income (UK) Acc GBP TR in GB</v>
      </c>
      <c r="C1706" t="str">
        <f>VLOOKUP(NoviaFunds[[#This Row],[ISIN]],'Novia Web Query'!$A:$E,3,FALSE)</f>
        <v>UT Europe Excluding UK</v>
      </c>
      <c r="D1706" s="139">
        <f>VLOOKUP(NoviaFunds[[#This Row],[ISIN]],'Novia Web Query'!$A:$E,4,FALSE)/100</f>
        <v>1.6899999999999998E-2</v>
      </c>
      <c r="E1706" s="3" t="str">
        <f>VLOOKUP(NoviaFunds[[#This Row],[ISIN]],'Novia Web Query'!$A:$E,5,FALSE)</f>
        <v>17/02/2021</v>
      </c>
      <c r="F1706" t="str">
        <f>VLOOKUP(NoviaFunds[[#This Row],[Sector]],Sectors[],2,FALSE)</f>
        <v>European Equities</v>
      </c>
    </row>
    <row r="1707" spans="1:6" x14ac:dyDescent="0.2">
      <c r="A1707" t="str">
        <f>'Novia Web Query'!A1704</f>
        <v>GB00B28J0T16</v>
      </c>
      <c r="B1707" t="str">
        <f>VLOOKUP(NoviaFunds[[#This Row],[ISIN]],'Novia Web Query'!$A:$E,2,FALSE)</f>
        <v>Invesco European Equity Income (UK) Inc GBP TR in GB</v>
      </c>
      <c r="C1707" t="str">
        <f>VLOOKUP(NoviaFunds[[#This Row],[ISIN]],'Novia Web Query'!$A:$E,3,FALSE)</f>
        <v>UT Europe Excluding UK</v>
      </c>
      <c r="D1707" s="139">
        <f>VLOOKUP(NoviaFunds[[#This Row],[ISIN]],'Novia Web Query'!$A:$E,4,FALSE)/100</f>
        <v>1.6899999999999998E-2</v>
      </c>
      <c r="E1707" s="3" t="str">
        <f>VLOOKUP(NoviaFunds[[#This Row],[ISIN]],'Novia Web Query'!$A:$E,5,FALSE)</f>
        <v>17/02/2021</v>
      </c>
      <c r="F1707" t="str">
        <f>VLOOKUP(NoviaFunds[[#This Row],[Sector]],Sectors[],2,FALSE)</f>
        <v>European Equities</v>
      </c>
    </row>
    <row r="1708" spans="1:6" x14ac:dyDescent="0.2">
      <c r="A1708" t="str">
        <f>'Novia Web Query'!A1705</f>
        <v>GB00B8N44L32</v>
      </c>
      <c r="B1708" t="str">
        <f>VLOOKUP(NoviaFunds[[#This Row],[ISIN]],'Novia Web Query'!$A:$E,2,FALSE)</f>
        <v>Invesco European Equity Income (UK) Z Acc TR in GB</v>
      </c>
      <c r="C1708" t="str">
        <f>VLOOKUP(NoviaFunds[[#This Row],[ISIN]],'Novia Web Query'!$A:$E,3,FALSE)</f>
        <v>UT Europe Excluding UK</v>
      </c>
      <c r="D1708" s="139">
        <f>VLOOKUP(NoviaFunds[[#This Row],[ISIN]],'Novia Web Query'!$A:$E,4,FALSE)/100</f>
        <v>9.3999999999999986E-3</v>
      </c>
      <c r="E1708" s="3" t="str">
        <f>VLOOKUP(NoviaFunds[[#This Row],[ISIN]],'Novia Web Query'!$A:$E,5,FALSE)</f>
        <v>17/02/2021</v>
      </c>
      <c r="F1708" t="str">
        <f>VLOOKUP(NoviaFunds[[#This Row],[Sector]],Sectors[],2,FALSE)</f>
        <v>European Equities</v>
      </c>
    </row>
    <row r="1709" spans="1:6" x14ac:dyDescent="0.2">
      <c r="A1709" t="str">
        <f>'Novia Web Query'!A1706</f>
        <v>GB00B8N44M49</v>
      </c>
      <c r="B1709" t="str">
        <f>VLOOKUP(NoviaFunds[[#This Row],[ISIN]],'Novia Web Query'!$A:$E,2,FALSE)</f>
        <v>Invesco European Equity Income (UK) Z Inc TR in GB**</v>
      </c>
      <c r="C1709" t="str">
        <f>VLOOKUP(NoviaFunds[[#This Row],[ISIN]],'Novia Web Query'!$A:$E,3,FALSE)</f>
        <v>UT Europe Excluding UK</v>
      </c>
      <c r="D1709" s="139">
        <f>VLOOKUP(NoviaFunds[[#This Row],[ISIN]],'Novia Web Query'!$A:$E,4,FALSE)/100</f>
        <v>9.3999999999999986E-3</v>
      </c>
      <c r="E1709" s="3" t="str">
        <f>VLOOKUP(NoviaFunds[[#This Row],[ISIN]],'Novia Web Query'!$A:$E,5,FALSE)</f>
        <v>17/02/2021</v>
      </c>
      <c r="F1709" t="str">
        <f>VLOOKUP(NoviaFunds[[#This Row],[Sector]],Sectors[],2,FALSE)</f>
        <v>European Equities</v>
      </c>
    </row>
    <row r="1710" spans="1:6" x14ac:dyDescent="0.2">
      <c r="A1710" t="str">
        <f>'Novia Web Query'!A1707</f>
        <v>GB00B28J0N53</v>
      </c>
      <c r="B1710" t="str">
        <f>VLOOKUP(NoviaFunds[[#This Row],[ISIN]],'Novia Web Query'!$A:$E,2,FALSE)</f>
        <v>Invesco European Focus (UK) Acc in GB</v>
      </c>
      <c r="C1710" t="str">
        <f>VLOOKUP(NoviaFunds[[#This Row],[ISIN]],'Novia Web Query'!$A:$E,3,FALSE)</f>
        <v>UT Europe Excluding UK</v>
      </c>
      <c r="D1710" s="139">
        <f>VLOOKUP(NoviaFunds[[#This Row],[ISIN]],'Novia Web Query'!$A:$E,4,FALSE)/100</f>
        <v>1.6E-2</v>
      </c>
      <c r="E1710" s="3" t="str">
        <f>VLOOKUP(NoviaFunds[[#This Row],[ISIN]],'Novia Web Query'!$A:$E,5,FALSE)</f>
        <v>17/02/2021</v>
      </c>
      <c r="F1710" t="str">
        <f>VLOOKUP(NoviaFunds[[#This Row],[Sector]],Sectors[],2,FALSE)</f>
        <v>European Equities</v>
      </c>
    </row>
    <row r="1711" spans="1:6" x14ac:dyDescent="0.2">
      <c r="A1711" t="str">
        <f>'Novia Web Query'!A1708</f>
        <v>GB00B28J0P77</v>
      </c>
      <c r="B1711" t="str">
        <f>VLOOKUP(NoviaFunds[[#This Row],[ISIN]],'Novia Web Query'!$A:$E,2,FALSE)</f>
        <v>Invesco European Focus (UK) Inc TR in GB</v>
      </c>
      <c r="C1711" t="str">
        <f>VLOOKUP(NoviaFunds[[#This Row],[ISIN]],'Novia Web Query'!$A:$E,3,FALSE)</f>
        <v>UT Europe Excluding UK</v>
      </c>
      <c r="D1711" s="139">
        <f>VLOOKUP(NoviaFunds[[#This Row],[ISIN]],'Novia Web Query'!$A:$E,4,FALSE)/100</f>
        <v>1.6E-2</v>
      </c>
      <c r="E1711" s="3" t="str">
        <f>VLOOKUP(NoviaFunds[[#This Row],[ISIN]],'Novia Web Query'!$A:$E,5,FALSE)</f>
        <v>17/02/2021</v>
      </c>
      <c r="F1711" t="str">
        <f>VLOOKUP(NoviaFunds[[#This Row],[Sector]],Sectors[],2,FALSE)</f>
        <v>European Equities</v>
      </c>
    </row>
    <row r="1712" spans="1:6" x14ac:dyDescent="0.2">
      <c r="A1712" t="str">
        <f>'Novia Web Query'!A1709</f>
        <v>GB00B8N44N55</v>
      </c>
      <c r="B1712" t="str">
        <f>VLOOKUP(NoviaFunds[[#This Row],[ISIN]],'Novia Web Query'!$A:$E,2,FALSE)</f>
        <v>Invesco European Focus (UK) Z Acc in GB</v>
      </c>
      <c r="C1712" t="str">
        <f>VLOOKUP(NoviaFunds[[#This Row],[ISIN]],'Novia Web Query'!$A:$E,3,FALSE)</f>
        <v>UT Europe Excluding UK</v>
      </c>
      <c r="D1712" s="139">
        <f>VLOOKUP(NoviaFunds[[#This Row],[ISIN]],'Novia Web Query'!$A:$E,4,FALSE)/100</f>
        <v>8.5000000000000006E-3</v>
      </c>
      <c r="E1712" s="3" t="str">
        <f>VLOOKUP(NoviaFunds[[#This Row],[ISIN]],'Novia Web Query'!$A:$E,5,FALSE)</f>
        <v>17/02/2021</v>
      </c>
      <c r="F1712" t="str">
        <f>VLOOKUP(NoviaFunds[[#This Row],[Sector]],Sectors[],2,FALSE)</f>
        <v>European Equities</v>
      </c>
    </row>
    <row r="1713" spans="1:6" x14ac:dyDescent="0.2">
      <c r="A1713" t="str">
        <f>'Novia Web Query'!A1710</f>
        <v>GB00B8N44P79</v>
      </c>
      <c r="B1713" t="str">
        <f>VLOOKUP(NoviaFunds[[#This Row],[ISIN]],'Novia Web Query'!$A:$E,2,FALSE)</f>
        <v>Invesco European Focus (UK) Z Inc TR in GB**</v>
      </c>
      <c r="C1713" t="str">
        <f>VLOOKUP(NoviaFunds[[#This Row],[ISIN]],'Novia Web Query'!$A:$E,3,FALSE)</f>
        <v>UT Europe Excluding UK</v>
      </c>
      <c r="D1713" s="139">
        <f>VLOOKUP(NoviaFunds[[#This Row],[ISIN]],'Novia Web Query'!$A:$E,4,FALSE)/100</f>
        <v>8.5000000000000006E-3</v>
      </c>
      <c r="E1713" s="3" t="str">
        <f>VLOOKUP(NoviaFunds[[#This Row],[ISIN]],'Novia Web Query'!$A:$E,5,FALSE)</f>
        <v>17/02/2021</v>
      </c>
      <c r="F1713" t="str">
        <f>VLOOKUP(NoviaFunds[[#This Row],[Sector]],Sectors[],2,FALSE)</f>
        <v>European Equities</v>
      </c>
    </row>
    <row r="1714" spans="1:6" x14ac:dyDescent="0.2">
      <c r="A1714" t="str">
        <f>'Novia Web Query'!A1711</f>
        <v>GB00B2PZXX75</v>
      </c>
      <c r="B1714" t="str">
        <f>VLOOKUP(NoviaFunds[[#This Row],[ISIN]],'Novia Web Query'!$A:$E,2,FALSE)</f>
        <v>Invesco European High Income (UK) Acc TR in GB</v>
      </c>
      <c r="C1714" t="str">
        <f>VLOOKUP(NoviaFunds[[#This Row],[ISIN]],'Novia Web Query'!$A:$E,3,FALSE)</f>
        <v>UT Mixed Investment 20-60% Shares</v>
      </c>
      <c r="D1714" s="139">
        <f>VLOOKUP(NoviaFunds[[#This Row],[ISIN]],'Novia Web Query'!$A:$E,4,FALSE)/100</f>
        <v>1.52E-2</v>
      </c>
      <c r="E1714" s="3" t="str">
        <f>VLOOKUP(NoviaFunds[[#This Row],[ISIN]],'Novia Web Query'!$A:$E,5,FALSE)</f>
        <v>17/02/2021</v>
      </c>
      <c r="F1714" t="str">
        <f>VLOOKUP(NoviaFunds[[#This Row],[Sector]],Sectors[],2,FALSE)</f>
        <v>Mixed 20%-60%</v>
      </c>
    </row>
    <row r="1715" spans="1:6" x14ac:dyDescent="0.2">
      <c r="A1715" t="str">
        <f>'Novia Web Query'!A1712</f>
        <v>GB00B2PZXY82</v>
      </c>
      <c r="B1715" t="str">
        <f>VLOOKUP(NoviaFunds[[#This Row],[ISIN]],'Novia Web Query'!$A:$E,2,FALSE)</f>
        <v>Invesco European High Income (UK) Inc TR in GB</v>
      </c>
      <c r="C1715" t="str">
        <f>VLOOKUP(NoviaFunds[[#This Row],[ISIN]],'Novia Web Query'!$A:$E,3,FALSE)</f>
        <v>UT Mixed Investment 20-60% Shares</v>
      </c>
      <c r="D1715" s="139">
        <f>VLOOKUP(NoviaFunds[[#This Row],[ISIN]],'Novia Web Query'!$A:$E,4,FALSE)/100</f>
        <v>1.52E-2</v>
      </c>
      <c r="E1715" s="3" t="str">
        <f>VLOOKUP(NoviaFunds[[#This Row],[ISIN]],'Novia Web Query'!$A:$E,5,FALSE)</f>
        <v>17/02/2021</v>
      </c>
      <c r="F1715" t="str">
        <f>VLOOKUP(NoviaFunds[[#This Row],[Sector]],Sectors[],2,FALSE)</f>
        <v>Mixed 20%-60%</v>
      </c>
    </row>
    <row r="1716" spans="1:6" x14ac:dyDescent="0.2">
      <c r="A1716" t="str">
        <f>'Novia Web Query'!A1713</f>
        <v>GB00B8N45766</v>
      </c>
      <c r="B1716" t="str">
        <f>VLOOKUP(NoviaFunds[[#This Row],[ISIN]],'Novia Web Query'!$A:$E,2,FALSE)</f>
        <v>Invesco European High Income (UK) Z Acc TR in GB</v>
      </c>
      <c r="C1716" t="str">
        <f>VLOOKUP(NoviaFunds[[#This Row],[ISIN]],'Novia Web Query'!$A:$E,3,FALSE)</f>
        <v>UT Mixed Investment 20-60% Shares</v>
      </c>
      <c r="D1716" s="139">
        <f>VLOOKUP(NoviaFunds[[#This Row],[ISIN]],'Novia Web Query'!$A:$E,4,FALSE)/100</f>
        <v>8.3000000000000001E-3</v>
      </c>
      <c r="E1716" s="3" t="str">
        <f>VLOOKUP(NoviaFunds[[#This Row],[ISIN]],'Novia Web Query'!$A:$E,5,FALSE)</f>
        <v>17/02/2021</v>
      </c>
      <c r="F1716" t="str">
        <f>VLOOKUP(NoviaFunds[[#This Row],[Sector]],Sectors[],2,FALSE)</f>
        <v>Mixed 20%-60%</v>
      </c>
    </row>
    <row r="1717" spans="1:6" x14ac:dyDescent="0.2">
      <c r="A1717" t="str">
        <f>'Novia Web Query'!A1714</f>
        <v>GB00B8N45873</v>
      </c>
      <c r="B1717" t="str">
        <f>VLOOKUP(NoviaFunds[[#This Row],[ISIN]],'Novia Web Query'!$A:$E,2,FALSE)</f>
        <v>Invesco European High Income (UK) Z Inc TR in GB**</v>
      </c>
      <c r="C1717" t="str">
        <f>VLOOKUP(NoviaFunds[[#This Row],[ISIN]],'Novia Web Query'!$A:$E,3,FALSE)</f>
        <v>UT Mixed Investment 20-60% Shares</v>
      </c>
      <c r="D1717" s="139">
        <f>VLOOKUP(NoviaFunds[[#This Row],[ISIN]],'Novia Web Query'!$A:$E,4,FALSE)/100</f>
        <v>8.3000000000000001E-3</v>
      </c>
      <c r="E1717" s="3" t="str">
        <f>VLOOKUP(NoviaFunds[[#This Row],[ISIN]],'Novia Web Query'!$A:$E,5,FALSE)</f>
        <v>17/02/2021</v>
      </c>
      <c r="F1717" t="str">
        <f>VLOOKUP(NoviaFunds[[#This Row],[Sector]],Sectors[],2,FALSE)</f>
        <v>Mixed 20%-60%</v>
      </c>
    </row>
    <row r="1718" spans="1:6" x14ac:dyDescent="0.2">
      <c r="A1718" t="str">
        <f>'Novia Web Query'!A1715</f>
        <v>GB0033030189</v>
      </c>
      <c r="B1718" t="str">
        <f>VLOOKUP(NoviaFunds[[#This Row],[ISIN]],'Novia Web Query'!$A:$E,2,FALSE)</f>
        <v>Invesco European Smaller Companies (UK) in GB</v>
      </c>
      <c r="C1718" t="str">
        <f>VLOOKUP(NoviaFunds[[#This Row],[ISIN]],'Novia Web Query'!$A:$E,3,FALSE)</f>
        <v>UT European Smaller Companies</v>
      </c>
      <c r="D1718" s="139">
        <f>VLOOKUP(NoviaFunds[[#This Row],[ISIN]],'Novia Web Query'!$A:$E,4,FALSE)/100</f>
        <v>1.6E-2</v>
      </c>
      <c r="E1718" s="3" t="str">
        <f>VLOOKUP(NoviaFunds[[#This Row],[ISIN]],'Novia Web Query'!$A:$E,5,FALSE)</f>
        <v>17/02/2021</v>
      </c>
      <c r="F1718" t="str">
        <f>VLOOKUP(NoviaFunds[[#This Row],[Sector]],Sectors[],2,FALSE)</f>
        <v>European Equities</v>
      </c>
    </row>
    <row r="1719" spans="1:6" x14ac:dyDescent="0.2">
      <c r="A1719" t="str">
        <f>'Novia Web Query'!A1716</f>
        <v>GB00B8N46C80</v>
      </c>
      <c r="B1719" t="str">
        <f>VLOOKUP(NoviaFunds[[#This Row],[ISIN]],'Novia Web Query'!$A:$E,2,FALSE)</f>
        <v>Invesco European Smaller Companies (UK) Z Acc in GB</v>
      </c>
      <c r="C1719" t="str">
        <f>VLOOKUP(NoviaFunds[[#This Row],[ISIN]],'Novia Web Query'!$A:$E,3,FALSE)</f>
        <v>UT European Smaller Companies</v>
      </c>
      <c r="D1719" s="139">
        <f>VLOOKUP(NoviaFunds[[#This Row],[ISIN]],'Novia Web Query'!$A:$E,4,FALSE)/100</f>
        <v>8.5000000000000006E-3</v>
      </c>
      <c r="E1719" s="3" t="str">
        <f>VLOOKUP(NoviaFunds[[#This Row],[ISIN]],'Novia Web Query'!$A:$E,5,FALSE)</f>
        <v>17/02/2021</v>
      </c>
      <c r="F1719" t="str">
        <f>VLOOKUP(NoviaFunds[[#This Row],[Sector]],Sectors[],2,FALSE)</f>
        <v>European Equities</v>
      </c>
    </row>
    <row r="1720" spans="1:6" x14ac:dyDescent="0.2">
      <c r="A1720" t="str">
        <f>'Novia Web Query'!A1717</f>
        <v>GB0033028662</v>
      </c>
      <c r="B1720" t="str">
        <f>VLOOKUP(NoviaFunds[[#This Row],[ISIN]],'Novia Web Query'!$A:$E,2,FALSE)</f>
        <v>Invesco Global Bond (UK) Acc in GB</v>
      </c>
      <c r="C1720" t="str">
        <f>VLOOKUP(NoviaFunds[[#This Row],[ISIN]],'Novia Web Query'!$A:$E,3,FALSE)</f>
        <v>UT Global Bonds</v>
      </c>
      <c r="D1720" s="139">
        <f>VLOOKUP(NoviaFunds[[#This Row],[ISIN]],'Novia Web Query'!$A:$E,4,FALSE)/100</f>
        <v>1.1699999999999999E-2</v>
      </c>
      <c r="E1720" s="3" t="str">
        <f>VLOOKUP(NoviaFunds[[#This Row],[ISIN]],'Novia Web Query'!$A:$E,5,FALSE)</f>
        <v>17/02/2021</v>
      </c>
      <c r="F1720" t="str">
        <f>VLOOKUP(NoviaFunds[[#This Row],[Sector]],Sectors[],2,FALSE)</f>
        <v>Global Investment Grade</v>
      </c>
    </row>
    <row r="1721" spans="1:6" x14ac:dyDescent="0.2">
      <c r="A1721" t="str">
        <f>'Novia Web Query'!A1718</f>
        <v>GB0033049692</v>
      </c>
      <c r="B1721" t="str">
        <f>VLOOKUP(NoviaFunds[[#This Row],[ISIN]],'Novia Web Query'!$A:$E,2,FALSE)</f>
        <v>Invesco Global Bond (UK) Inc TR in GB</v>
      </c>
      <c r="C1721" t="str">
        <f>VLOOKUP(NoviaFunds[[#This Row],[ISIN]],'Novia Web Query'!$A:$E,3,FALSE)</f>
        <v>UT Global Bonds</v>
      </c>
      <c r="D1721" s="139">
        <f>VLOOKUP(NoviaFunds[[#This Row],[ISIN]],'Novia Web Query'!$A:$E,4,FALSE)/100</f>
        <v>1.1699999999999999E-2</v>
      </c>
      <c r="E1721" s="3" t="str">
        <f>VLOOKUP(NoviaFunds[[#This Row],[ISIN]],'Novia Web Query'!$A:$E,5,FALSE)</f>
        <v>17/02/2021</v>
      </c>
      <c r="F1721" t="str">
        <f>VLOOKUP(NoviaFunds[[#This Row],[Sector]],Sectors[],2,FALSE)</f>
        <v>Global Investment Grade</v>
      </c>
    </row>
    <row r="1722" spans="1:6" x14ac:dyDescent="0.2">
      <c r="A1722" t="str">
        <f>'Novia Web Query'!A1719</f>
        <v>GB00B3RW7B97</v>
      </c>
      <c r="B1722" t="str">
        <f>VLOOKUP(NoviaFunds[[#This Row],[ISIN]],'Novia Web Query'!$A:$E,2,FALSE)</f>
        <v>Invesco Global Bond (UK) No Trail Acc TR in GB**</v>
      </c>
      <c r="C1722" t="str">
        <f>VLOOKUP(NoviaFunds[[#This Row],[ISIN]],'Novia Web Query'!$A:$E,3,FALSE)</f>
        <v>UT Global Bonds</v>
      </c>
      <c r="D1722" s="139">
        <f>VLOOKUP(NoviaFunds[[#This Row],[ISIN]],'Novia Web Query'!$A:$E,4,FALSE)/100</f>
        <v>9.1999999999999998E-3</v>
      </c>
      <c r="E1722" s="3" t="str">
        <f>VLOOKUP(NoviaFunds[[#This Row],[ISIN]],'Novia Web Query'!$A:$E,5,FALSE)</f>
        <v>17/02/2021</v>
      </c>
      <c r="F1722" t="str">
        <f>VLOOKUP(NoviaFunds[[#This Row],[Sector]],Sectors[],2,FALSE)</f>
        <v>Global Investment Grade</v>
      </c>
    </row>
    <row r="1723" spans="1:6" x14ac:dyDescent="0.2">
      <c r="A1723" t="str">
        <f>'Novia Web Query'!A1720</f>
        <v>GB00B3RW7R57</v>
      </c>
      <c r="B1723" t="str">
        <f>VLOOKUP(NoviaFunds[[#This Row],[ISIN]],'Novia Web Query'!$A:$E,2,FALSE)</f>
        <v>Invesco Global Bond (UK) No Trail Inc TR in GB**</v>
      </c>
      <c r="C1723" t="str">
        <f>VLOOKUP(NoviaFunds[[#This Row],[ISIN]],'Novia Web Query'!$A:$E,3,FALSE)</f>
        <v>UT Global Bonds</v>
      </c>
      <c r="D1723" s="139">
        <f>VLOOKUP(NoviaFunds[[#This Row],[ISIN]],'Novia Web Query'!$A:$E,4,FALSE)/100</f>
        <v>9.1999999999999998E-3</v>
      </c>
      <c r="E1723" s="3" t="str">
        <f>VLOOKUP(NoviaFunds[[#This Row],[ISIN]],'Novia Web Query'!$A:$E,5,FALSE)</f>
        <v>17/02/2021</v>
      </c>
      <c r="F1723" t="str">
        <f>VLOOKUP(NoviaFunds[[#This Row],[Sector]],Sectors[],2,FALSE)</f>
        <v>Global Investment Grade</v>
      </c>
    </row>
    <row r="1724" spans="1:6" x14ac:dyDescent="0.2">
      <c r="A1724" t="str">
        <f>'Novia Web Query'!A1721</f>
        <v>GB00B8N45F47</v>
      </c>
      <c r="B1724" t="str">
        <f>VLOOKUP(NoviaFunds[[#This Row],[ISIN]],'Novia Web Query'!$A:$E,2,FALSE)</f>
        <v>Invesco Global Bond (UK) Z Acc TR in GB</v>
      </c>
      <c r="C1724" t="str">
        <f>VLOOKUP(NoviaFunds[[#This Row],[ISIN]],'Novia Web Query'!$A:$E,3,FALSE)</f>
        <v>UT Global Bonds</v>
      </c>
      <c r="D1724" s="139">
        <f>VLOOKUP(NoviaFunds[[#This Row],[ISIN]],'Novia Web Query'!$A:$E,4,FALSE)/100</f>
        <v>6.7000000000000002E-3</v>
      </c>
      <c r="E1724" s="3" t="str">
        <f>VLOOKUP(NoviaFunds[[#This Row],[ISIN]],'Novia Web Query'!$A:$E,5,FALSE)</f>
        <v>17/02/2021</v>
      </c>
      <c r="F1724" t="str">
        <f>VLOOKUP(NoviaFunds[[#This Row],[Sector]],Sectors[],2,FALSE)</f>
        <v>Global Investment Grade</v>
      </c>
    </row>
    <row r="1725" spans="1:6" x14ac:dyDescent="0.2">
      <c r="A1725" t="str">
        <f>'Novia Web Query'!A1722</f>
        <v>GB00B8N45G53</v>
      </c>
      <c r="B1725" t="str">
        <f>VLOOKUP(NoviaFunds[[#This Row],[ISIN]],'Novia Web Query'!$A:$E,2,FALSE)</f>
        <v>Invesco Global Bond (UK) Z Inc TR in GB**</v>
      </c>
      <c r="C1725" t="str">
        <f>VLOOKUP(NoviaFunds[[#This Row],[ISIN]],'Novia Web Query'!$A:$E,3,FALSE)</f>
        <v>UT Global Bonds</v>
      </c>
      <c r="D1725" s="139">
        <f>VLOOKUP(NoviaFunds[[#This Row],[ISIN]],'Novia Web Query'!$A:$E,4,FALSE)/100</f>
        <v>6.7000000000000002E-3</v>
      </c>
      <c r="E1725" s="3" t="str">
        <f>VLOOKUP(NoviaFunds[[#This Row],[ISIN]],'Novia Web Query'!$A:$E,5,FALSE)</f>
        <v>17/02/2021</v>
      </c>
      <c r="F1725" t="str">
        <f>VLOOKUP(NoviaFunds[[#This Row],[Sector]],Sectors[],2,FALSE)</f>
        <v>Global Investment Grade</v>
      </c>
    </row>
    <row r="1726" spans="1:6" x14ac:dyDescent="0.2">
      <c r="A1726" t="str">
        <f>'Novia Web Query'!A1723</f>
        <v>GB0033030304</v>
      </c>
      <c r="B1726" t="str">
        <f>VLOOKUP(NoviaFunds[[#This Row],[ISIN]],'Novia Web Query'!$A:$E,2,FALSE)</f>
        <v>Invesco Global Emerging Markets (UK) Acc TR in GB</v>
      </c>
      <c r="C1726" t="str">
        <f>VLOOKUP(NoviaFunds[[#This Row],[ISIN]],'Novia Web Query'!$A:$E,3,FALSE)</f>
        <v>UT Global Emerging Markets</v>
      </c>
      <c r="D1726" s="139">
        <f>VLOOKUP(NoviaFunds[[#This Row],[ISIN]],'Novia Web Query'!$A:$E,4,FALSE)/100</f>
        <v>1.7500000000000002E-2</v>
      </c>
      <c r="E1726" s="3" t="str">
        <f>VLOOKUP(NoviaFunds[[#This Row],[ISIN]],'Novia Web Query'!$A:$E,5,FALSE)</f>
        <v>17/02/2021</v>
      </c>
      <c r="F1726" t="str">
        <f>VLOOKUP(NoviaFunds[[#This Row],[Sector]],Sectors[],2,FALSE)</f>
        <v>Emerging Markets</v>
      </c>
    </row>
    <row r="1727" spans="1:6" x14ac:dyDescent="0.2">
      <c r="A1727" t="str">
        <f>'Novia Web Query'!A1724</f>
        <v>GB0033053371</v>
      </c>
      <c r="B1727" t="str">
        <f>VLOOKUP(NoviaFunds[[#This Row],[ISIN]],'Novia Web Query'!$A:$E,2,FALSE)</f>
        <v>Invesco Global Emerging Markets (UK) Inc TR in GB</v>
      </c>
      <c r="C1727" t="str">
        <f>VLOOKUP(NoviaFunds[[#This Row],[ISIN]],'Novia Web Query'!$A:$E,3,FALSE)</f>
        <v>UT Global Emerging Markets</v>
      </c>
      <c r="D1727" s="139">
        <f>VLOOKUP(NoviaFunds[[#This Row],[ISIN]],'Novia Web Query'!$A:$E,4,FALSE)/100</f>
        <v>1.7500000000000002E-2</v>
      </c>
      <c r="E1727" s="3" t="str">
        <f>VLOOKUP(NoviaFunds[[#This Row],[ISIN]],'Novia Web Query'!$A:$E,5,FALSE)</f>
        <v>17/02/2021</v>
      </c>
      <c r="F1727" t="str">
        <f>VLOOKUP(NoviaFunds[[#This Row],[Sector]],Sectors[],2,FALSE)</f>
        <v>Emerging Markets</v>
      </c>
    </row>
    <row r="1728" spans="1:6" x14ac:dyDescent="0.2">
      <c r="A1728" t="str">
        <f>'Novia Web Query'!A1725</f>
        <v>GB00B8N46731</v>
      </c>
      <c r="B1728" t="str">
        <f>VLOOKUP(NoviaFunds[[#This Row],[ISIN]],'Novia Web Query'!$A:$E,2,FALSE)</f>
        <v>Invesco Global Emerging Markets (UK) Z Acc in GB</v>
      </c>
      <c r="C1728" t="str">
        <f>VLOOKUP(NoviaFunds[[#This Row],[ISIN]],'Novia Web Query'!$A:$E,3,FALSE)</f>
        <v>UT Global Emerging Markets</v>
      </c>
      <c r="D1728" s="139">
        <f>VLOOKUP(NoviaFunds[[#This Row],[ISIN]],'Novia Web Query'!$A:$E,4,FALSE)/100</f>
        <v>0.01</v>
      </c>
      <c r="E1728" s="3" t="str">
        <f>VLOOKUP(NoviaFunds[[#This Row],[ISIN]],'Novia Web Query'!$A:$E,5,FALSE)</f>
        <v>17/02/2021</v>
      </c>
      <c r="F1728" t="str">
        <f>VLOOKUP(NoviaFunds[[#This Row],[Sector]],Sectors[],2,FALSE)</f>
        <v>Emerging Markets</v>
      </c>
    </row>
    <row r="1729" spans="1:6" x14ac:dyDescent="0.2">
      <c r="A1729" t="str">
        <f>'Novia Web Query'!A1726</f>
        <v>GB00B8N46848</v>
      </c>
      <c r="B1729" t="str">
        <f>VLOOKUP(NoviaFunds[[#This Row],[ISIN]],'Novia Web Query'!$A:$E,2,FALSE)</f>
        <v>Invesco Global Emerging Markets (UK) Z Inc TR in GB**</v>
      </c>
      <c r="C1729" t="str">
        <f>VLOOKUP(NoviaFunds[[#This Row],[ISIN]],'Novia Web Query'!$A:$E,3,FALSE)</f>
        <v>UT Global Emerging Markets</v>
      </c>
      <c r="D1729" s="139">
        <f>VLOOKUP(NoviaFunds[[#This Row],[ISIN]],'Novia Web Query'!$A:$E,4,FALSE)/100</f>
        <v>0.01</v>
      </c>
      <c r="E1729" s="3" t="str">
        <f>VLOOKUP(NoviaFunds[[#This Row],[ISIN]],'Novia Web Query'!$A:$E,5,FALSE)</f>
        <v>17/02/2021</v>
      </c>
      <c r="F1729" t="str">
        <f>VLOOKUP(NoviaFunds[[#This Row],[Sector]],Sectors[],2,FALSE)</f>
        <v>Emerging Markets</v>
      </c>
    </row>
    <row r="1730" spans="1:6" x14ac:dyDescent="0.2">
      <c r="A1730" t="str">
        <f>'Novia Web Query'!A1727</f>
        <v>GB00BDJ0CF02</v>
      </c>
      <c r="B1730" t="str">
        <f>VLOOKUP(NoviaFunds[[#This Row],[ISIN]],'Novia Web Query'!$A:$E,2,FALSE)</f>
        <v>Invesco Global Emerging Markets Bond (UK) Z Acc TR in GB</v>
      </c>
      <c r="C1730" t="str">
        <f>VLOOKUP(NoviaFunds[[#This Row],[ISIN]],'Novia Web Query'!$A:$E,3,FALSE)</f>
        <v>UT Global EM Bonds - Blended</v>
      </c>
      <c r="D1730" s="139">
        <f>VLOOKUP(NoviaFunds[[#This Row],[ISIN]],'Novia Web Query'!$A:$E,4,FALSE)/100</f>
        <v>6.9999999999999993E-3</v>
      </c>
      <c r="E1730" s="3" t="str">
        <f>VLOOKUP(NoviaFunds[[#This Row],[ISIN]],'Novia Web Query'!$A:$E,5,FALSE)</f>
        <v>17/02/2021</v>
      </c>
      <c r="F1730" t="e">
        <f>VLOOKUP(NoviaFunds[[#This Row],[Sector]],Sectors[],2,FALSE)</f>
        <v>#N/A</v>
      </c>
    </row>
    <row r="1731" spans="1:6" x14ac:dyDescent="0.2">
      <c r="A1731" t="str">
        <f>'Novia Web Query'!A1728</f>
        <v>GB00BDJ0CG19</v>
      </c>
      <c r="B1731" t="str">
        <f>VLOOKUP(NoviaFunds[[#This Row],[ISIN]],'Novia Web Query'!$A:$E,2,FALSE)</f>
        <v>Invesco Global Emerging Markets Bond (UK) Z Inc TR in GB</v>
      </c>
      <c r="C1731" t="str">
        <f>VLOOKUP(NoviaFunds[[#This Row],[ISIN]],'Novia Web Query'!$A:$E,3,FALSE)</f>
        <v>UT Global EM Bonds - Blended</v>
      </c>
      <c r="D1731" s="139">
        <f>VLOOKUP(NoviaFunds[[#This Row],[ISIN]],'Novia Web Query'!$A:$E,4,FALSE)/100</f>
        <v>6.9999999999999993E-3</v>
      </c>
      <c r="E1731" s="3" t="str">
        <f>VLOOKUP(NoviaFunds[[#This Row],[ISIN]],'Novia Web Query'!$A:$E,5,FALSE)</f>
        <v>17/02/2021</v>
      </c>
      <c r="F1731" t="e">
        <f>VLOOKUP(NoviaFunds[[#This Row],[Sector]],Sectors[],2,FALSE)</f>
        <v>#N/A</v>
      </c>
    </row>
    <row r="1732" spans="1:6" x14ac:dyDescent="0.2">
      <c r="A1732" t="str">
        <f>'Novia Web Query'!A1729</f>
        <v>GB0033029074</v>
      </c>
      <c r="B1732" t="str">
        <f>VLOOKUP(NoviaFunds[[#This Row],[ISIN]],'Novia Web Query'!$A:$E,2,FALSE)</f>
        <v>Invesco Global Equity (UK) Acc in GB</v>
      </c>
      <c r="C1732" t="str">
        <f>VLOOKUP(NoviaFunds[[#This Row],[ISIN]],'Novia Web Query'!$A:$E,3,FALSE)</f>
        <v>UT Global</v>
      </c>
      <c r="D1732" s="139">
        <f>VLOOKUP(NoviaFunds[[#This Row],[ISIN]],'Novia Web Query'!$A:$E,4,FALSE)/100</f>
        <v>1.67E-2</v>
      </c>
      <c r="E1732" s="3" t="str">
        <f>VLOOKUP(NoviaFunds[[#This Row],[ISIN]],'Novia Web Query'!$A:$E,5,FALSE)</f>
        <v>17/02/2021</v>
      </c>
      <c r="F1732" t="str">
        <f>VLOOKUP(NoviaFunds[[#This Row],[Sector]],Sectors[],2,FALSE)</f>
        <v>Other Equities</v>
      </c>
    </row>
    <row r="1733" spans="1:6" x14ac:dyDescent="0.2">
      <c r="A1733" t="str">
        <f>'Novia Web Query'!A1730</f>
        <v>GB0033051664</v>
      </c>
      <c r="B1733" t="str">
        <f>VLOOKUP(NoviaFunds[[#This Row],[ISIN]],'Novia Web Query'!$A:$E,2,FALSE)</f>
        <v>Invesco Global Equity (UK) Inc TR in GB</v>
      </c>
      <c r="C1733" t="str">
        <f>VLOOKUP(NoviaFunds[[#This Row],[ISIN]],'Novia Web Query'!$A:$E,3,FALSE)</f>
        <v>UT Global</v>
      </c>
      <c r="D1733" s="139">
        <f>VLOOKUP(NoviaFunds[[#This Row],[ISIN]],'Novia Web Query'!$A:$E,4,FALSE)/100</f>
        <v>1.67E-2</v>
      </c>
      <c r="E1733" s="3" t="str">
        <f>VLOOKUP(NoviaFunds[[#This Row],[ISIN]],'Novia Web Query'!$A:$E,5,FALSE)</f>
        <v>17/02/2021</v>
      </c>
      <c r="F1733" t="str">
        <f>VLOOKUP(NoviaFunds[[#This Row],[Sector]],Sectors[],2,FALSE)</f>
        <v>Other Equities</v>
      </c>
    </row>
    <row r="1734" spans="1:6" x14ac:dyDescent="0.2">
      <c r="A1734" t="str">
        <f>'Novia Web Query'!A1731</f>
        <v>GB00B8N45Y36</v>
      </c>
      <c r="B1734" t="str">
        <f>VLOOKUP(NoviaFunds[[#This Row],[ISIN]],'Novia Web Query'!$A:$E,2,FALSE)</f>
        <v>Invesco Global Equity (UK) Z Acc in GB</v>
      </c>
      <c r="C1734" t="str">
        <f>VLOOKUP(NoviaFunds[[#This Row],[ISIN]],'Novia Web Query'!$A:$E,3,FALSE)</f>
        <v>UT Global</v>
      </c>
      <c r="D1734" s="139">
        <f>VLOOKUP(NoviaFunds[[#This Row],[ISIN]],'Novia Web Query'!$A:$E,4,FALSE)/100</f>
        <v>9.1999999999999998E-3</v>
      </c>
      <c r="E1734" s="3" t="str">
        <f>VLOOKUP(NoviaFunds[[#This Row],[ISIN]],'Novia Web Query'!$A:$E,5,FALSE)</f>
        <v>17/02/2021</v>
      </c>
      <c r="F1734" t="str">
        <f>VLOOKUP(NoviaFunds[[#This Row],[Sector]],Sectors[],2,FALSE)</f>
        <v>Other Equities</v>
      </c>
    </row>
    <row r="1735" spans="1:6" x14ac:dyDescent="0.2">
      <c r="A1735" t="str">
        <f>'Novia Web Query'!A1732</f>
        <v>GB00B8N45Z43</v>
      </c>
      <c r="B1735" t="str">
        <f>VLOOKUP(NoviaFunds[[#This Row],[ISIN]],'Novia Web Query'!$A:$E,2,FALSE)</f>
        <v>Invesco Global Equity (UK) Z Inc TR in GB**</v>
      </c>
      <c r="C1735" t="str">
        <f>VLOOKUP(NoviaFunds[[#This Row],[ISIN]],'Novia Web Query'!$A:$E,3,FALSE)</f>
        <v>UT Global</v>
      </c>
      <c r="D1735" s="139">
        <f>VLOOKUP(NoviaFunds[[#This Row],[ISIN]],'Novia Web Query'!$A:$E,4,FALSE)/100</f>
        <v>9.1999999999999998E-3</v>
      </c>
      <c r="E1735" s="3" t="str">
        <f>VLOOKUP(NoviaFunds[[#This Row],[ISIN]],'Novia Web Query'!$A:$E,5,FALSE)</f>
        <v>17/02/2021</v>
      </c>
      <c r="F1735" t="str">
        <f>VLOOKUP(NoviaFunds[[#This Row],[Sector]],Sectors[],2,FALSE)</f>
        <v>Other Equities</v>
      </c>
    </row>
    <row r="1736" spans="1:6" x14ac:dyDescent="0.2">
      <c r="A1736" t="str">
        <f>'Novia Web Query'!A1733</f>
        <v>GB00B3FD1X43</v>
      </c>
      <c r="B1736" t="str">
        <f>VLOOKUP(NoviaFunds[[#This Row],[ISIN]],'Novia Web Query'!$A:$E,2,FALSE)</f>
        <v>Invesco Global Equity Income (UK) Acc TR in GB</v>
      </c>
      <c r="C1736" t="str">
        <f>VLOOKUP(NoviaFunds[[#This Row],[ISIN]],'Novia Web Query'!$A:$E,3,FALSE)</f>
        <v>UT Global Equity Income</v>
      </c>
      <c r="D1736" s="139">
        <f>VLOOKUP(NoviaFunds[[#This Row],[ISIN]],'Novia Web Query'!$A:$E,4,FALSE)/100</f>
        <v>1.67E-2</v>
      </c>
      <c r="E1736" s="3" t="str">
        <f>VLOOKUP(NoviaFunds[[#This Row],[ISIN]],'Novia Web Query'!$A:$E,5,FALSE)</f>
        <v>17/02/2021</v>
      </c>
      <c r="F1736" t="str">
        <f>VLOOKUP(NoviaFunds[[#This Row],[Sector]],Sectors[],2,FALSE)</f>
        <v>Other Equities</v>
      </c>
    </row>
    <row r="1737" spans="1:6" x14ac:dyDescent="0.2">
      <c r="A1737" t="str">
        <f>'Novia Web Query'!A1734</f>
        <v>GB00B3FD1Y59</v>
      </c>
      <c r="B1737" t="str">
        <f>VLOOKUP(NoviaFunds[[#This Row],[ISIN]],'Novia Web Query'!$A:$E,2,FALSE)</f>
        <v>Invesco Global Equity Income (UK) Inc TR in GB</v>
      </c>
      <c r="C1737" t="str">
        <f>VLOOKUP(NoviaFunds[[#This Row],[ISIN]],'Novia Web Query'!$A:$E,3,FALSE)</f>
        <v>UT Global Equity Income</v>
      </c>
      <c r="D1737" s="139">
        <f>VLOOKUP(NoviaFunds[[#This Row],[ISIN]],'Novia Web Query'!$A:$E,4,FALSE)/100</f>
        <v>1.67E-2</v>
      </c>
      <c r="E1737" s="3" t="str">
        <f>VLOOKUP(NoviaFunds[[#This Row],[ISIN]],'Novia Web Query'!$A:$E,5,FALSE)</f>
        <v>17/02/2021</v>
      </c>
      <c r="F1737" t="str">
        <f>VLOOKUP(NoviaFunds[[#This Row],[Sector]],Sectors[],2,FALSE)</f>
        <v>Other Equities</v>
      </c>
    </row>
    <row r="1738" spans="1:6" x14ac:dyDescent="0.2">
      <c r="A1738" t="str">
        <f>'Novia Web Query'!A1735</f>
        <v>GB00B3FD1Z66</v>
      </c>
      <c r="B1738" t="str">
        <f>VLOOKUP(NoviaFunds[[#This Row],[ISIN]],'Novia Web Query'!$A:$E,2,FALSE)</f>
        <v>Invesco Global Equity Income (UK) No Trail Acc TR in GB</v>
      </c>
      <c r="C1738" t="str">
        <f>VLOOKUP(NoviaFunds[[#This Row],[ISIN]],'Novia Web Query'!$A:$E,3,FALSE)</f>
        <v>UT Global Equity Income</v>
      </c>
      <c r="D1738" s="139">
        <f>VLOOKUP(NoviaFunds[[#This Row],[ISIN]],'Novia Web Query'!$A:$E,4,FALSE)/100</f>
        <v>1.1699999999999999E-2</v>
      </c>
      <c r="E1738" s="3" t="str">
        <f>VLOOKUP(NoviaFunds[[#This Row],[ISIN]],'Novia Web Query'!$A:$E,5,FALSE)</f>
        <v>17/02/2021</v>
      </c>
      <c r="F1738" t="str">
        <f>VLOOKUP(NoviaFunds[[#This Row],[Sector]],Sectors[],2,FALSE)</f>
        <v>Other Equities</v>
      </c>
    </row>
    <row r="1739" spans="1:6" x14ac:dyDescent="0.2">
      <c r="A1739" t="str">
        <f>'Novia Web Query'!A1736</f>
        <v>GB00B3FD2084</v>
      </c>
      <c r="B1739" t="str">
        <f>VLOOKUP(NoviaFunds[[#This Row],[ISIN]],'Novia Web Query'!$A:$E,2,FALSE)</f>
        <v>Invesco Global Equity Income (UK) No Trail Inc TR in GB</v>
      </c>
      <c r="C1739" t="str">
        <f>VLOOKUP(NoviaFunds[[#This Row],[ISIN]],'Novia Web Query'!$A:$E,3,FALSE)</f>
        <v>UT Global Equity Income</v>
      </c>
      <c r="D1739" s="139">
        <f>VLOOKUP(NoviaFunds[[#This Row],[ISIN]],'Novia Web Query'!$A:$E,4,FALSE)/100</f>
        <v>1.1699999999999999E-2</v>
      </c>
      <c r="E1739" s="3" t="str">
        <f>VLOOKUP(NoviaFunds[[#This Row],[ISIN]],'Novia Web Query'!$A:$E,5,FALSE)</f>
        <v>17/02/2021</v>
      </c>
      <c r="F1739" t="str">
        <f>VLOOKUP(NoviaFunds[[#This Row],[Sector]],Sectors[],2,FALSE)</f>
        <v>Other Equities</v>
      </c>
    </row>
    <row r="1740" spans="1:6" x14ac:dyDescent="0.2">
      <c r="A1740" t="str">
        <f>'Novia Web Query'!A1737</f>
        <v>GB00B8N46061</v>
      </c>
      <c r="B1740" t="str">
        <f>VLOOKUP(NoviaFunds[[#This Row],[ISIN]],'Novia Web Query'!$A:$E,2,FALSE)</f>
        <v>Invesco Global Equity Income (UK) Z Acc TR in GB</v>
      </c>
      <c r="C1740" t="str">
        <f>VLOOKUP(NoviaFunds[[#This Row],[ISIN]],'Novia Web Query'!$A:$E,3,FALSE)</f>
        <v>UT Global Equity Income</v>
      </c>
      <c r="D1740" s="139">
        <f>VLOOKUP(NoviaFunds[[#This Row],[ISIN]],'Novia Web Query'!$A:$E,4,FALSE)/100</f>
        <v>9.1999999999999998E-3</v>
      </c>
      <c r="E1740" s="3" t="str">
        <f>VLOOKUP(NoviaFunds[[#This Row],[ISIN]],'Novia Web Query'!$A:$E,5,FALSE)</f>
        <v>17/02/2021</v>
      </c>
      <c r="F1740" t="str">
        <f>VLOOKUP(NoviaFunds[[#This Row],[Sector]],Sectors[],2,FALSE)</f>
        <v>Other Equities</v>
      </c>
    </row>
    <row r="1741" spans="1:6" x14ac:dyDescent="0.2">
      <c r="A1741" t="str">
        <f>'Novia Web Query'!A1738</f>
        <v>GB00B8N46178</v>
      </c>
      <c r="B1741" t="str">
        <f>VLOOKUP(NoviaFunds[[#This Row],[ISIN]],'Novia Web Query'!$A:$E,2,FALSE)</f>
        <v>Invesco Global Equity Income (UK) Z Inc TR in GB**</v>
      </c>
      <c r="C1741" t="str">
        <f>VLOOKUP(NoviaFunds[[#This Row],[ISIN]],'Novia Web Query'!$A:$E,3,FALSE)</f>
        <v>UT Global Equity Income</v>
      </c>
      <c r="D1741" s="139">
        <f>VLOOKUP(NoviaFunds[[#This Row],[ISIN]],'Novia Web Query'!$A:$E,4,FALSE)/100</f>
        <v>9.1999999999999998E-3</v>
      </c>
      <c r="E1741" s="3" t="str">
        <f>VLOOKUP(NoviaFunds[[#This Row],[ISIN]],'Novia Web Query'!$A:$E,5,FALSE)</f>
        <v>17/02/2021</v>
      </c>
      <c r="F1741" t="str">
        <f>VLOOKUP(NoviaFunds[[#This Row],[Sector]],Sectors[],2,FALSE)</f>
        <v>Other Equities</v>
      </c>
    </row>
    <row r="1742" spans="1:6" x14ac:dyDescent="0.2">
      <c r="A1742" t="str">
        <f>'Novia Web Query'!A1739</f>
        <v>GB00BZ8GWT74</v>
      </c>
      <c r="B1742" t="str">
        <f>VLOOKUP(NoviaFunds[[#This Row],[ISIN]],'Novia Web Query'!$A:$E,2,FALSE)</f>
        <v>Invesco Global Ex UK Enhanced Index (UK) Z Acc TR in GB</v>
      </c>
      <c r="C1742" t="str">
        <f>VLOOKUP(NoviaFunds[[#This Row],[ISIN]],'Novia Web Query'!$A:$E,3,FALSE)</f>
        <v>UT Global</v>
      </c>
      <c r="D1742" s="139">
        <f>VLOOKUP(NoviaFunds[[#This Row],[ISIN]],'Novia Web Query'!$A:$E,4,FALSE)/100</f>
        <v>2.3999999999999998E-3</v>
      </c>
      <c r="E1742" s="3" t="str">
        <f>VLOOKUP(NoviaFunds[[#This Row],[ISIN]],'Novia Web Query'!$A:$E,5,FALSE)</f>
        <v>17/02/2021</v>
      </c>
      <c r="F1742" t="str">
        <f>VLOOKUP(NoviaFunds[[#This Row],[Sector]],Sectors[],2,FALSE)</f>
        <v>Other Equities</v>
      </c>
    </row>
    <row r="1743" spans="1:6" x14ac:dyDescent="0.2">
      <c r="A1743" t="str">
        <f>'Novia Web Query'!A1740</f>
        <v>GB00BZ8GWV96</v>
      </c>
      <c r="B1743" t="str">
        <f>VLOOKUP(NoviaFunds[[#This Row],[ISIN]],'Novia Web Query'!$A:$E,2,FALSE)</f>
        <v>Invesco Global Ex UK Enhanced Index (UK) Z Inc TR in GB**</v>
      </c>
      <c r="C1743" t="str">
        <f>VLOOKUP(NoviaFunds[[#This Row],[ISIN]],'Novia Web Query'!$A:$E,3,FALSE)</f>
        <v>UT Global</v>
      </c>
      <c r="D1743" s="139">
        <f>VLOOKUP(NoviaFunds[[#This Row],[ISIN]],'Novia Web Query'!$A:$E,4,FALSE)/100</f>
        <v>2.3999999999999998E-3</v>
      </c>
      <c r="E1743" s="3" t="str">
        <f>VLOOKUP(NoviaFunds[[#This Row],[ISIN]],'Novia Web Query'!$A:$E,5,FALSE)</f>
        <v>17/02/2021</v>
      </c>
      <c r="F1743" t="str">
        <f>VLOOKUP(NoviaFunds[[#This Row],[Sector]],Sectors[],2,FALSE)</f>
        <v>Other Equities</v>
      </c>
    </row>
    <row r="1744" spans="1:6" x14ac:dyDescent="0.2">
      <c r="A1744" t="str">
        <f>'Novia Web Query'!A1741</f>
        <v>GB00B42XRV41</v>
      </c>
      <c r="B1744" t="str">
        <f>VLOOKUP(NoviaFunds[[#This Row],[ISIN]],'Novia Web Query'!$A:$E,2,FALSE)</f>
        <v>Invesco Global Financial Capital (UK) Acc TR in GB</v>
      </c>
      <c r="C1744" t="str">
        <f>VLOOKUP(NoviaFunds[[#This Row],[ISIN]],'Novia Web Query'!$A:$E,3,FALSE)</f>
        <v>UT Specialist</v>
      </c>
      <c r="D1744" s="139">
        <f>VLOOKUP(NoviaFunds[[#This Row],[ISIN]],'Novia Web Query'!$A:$E,4,FALSE)/100</f>
        <v>1.46E-2</v>
      </c>
      <c r="E1744" s="3" t="str">
        <f>VLOOKUP(NoviaFunds[[#This Row],[ISIN]],'Novia Web Query'!$A:$E,5,FALSE)</f>
        <v>17/02/2021</v>
      </c>
      <c r="F1744" t="str">
        <f>VLOOKUP(NoviaFunds[[#This Row],[Sector]],Sectors[],2,FALSE)</f>
        <v>Specialist</v>
      </c>
    </row>
    <row r="1745" spans="1:6" x14ac:dyDescent="0.2">
      <c r="A1745" t="str">
        <f>'Novia Web Query'!A1742</f>
        <v>GB00B8N45K99</v>
      </c>
      <c r="B1745" t="str">
        <f>VLOOKUP(NoviaFunds[[#This Row],[ISIN]],'Novia Web Query'!$A:$E,2,FALSE)</f>
        <v>Invesco Global Financial Capital (UK) Z Acc TR in GB</v>
      </c>
      <c r="C1745" t="str">
        <f>VLOOKUP(NoviaFunds[[#This Row],[ISIN]],'Novia Web Query'!$A:$E,3,FALSE)</f>
        <v>UT Specialist</v>
      </c>
      <c r="D1745" s="139">
        <f>VLOOKUP(NoviaFunds[[#This Row],[ISIN]],'Novia Web Query'!$A:$E,4,FALSE)/100</f>
        <v>7.7000000000000002E-3</v>
      </c>
      <c r="E1745" s="3" t="str">
        <f>VLOOKUP(NoviaFunds[[#This Row],[ISIN]],'Novia Web Query'!$A:$E,5,FALSE)</f>
        <v>17/02/2021</v>
      </c>
      <c r="F1745" t="str">
        <f>VLOOKUP(NoviaFunds[[#This Row],[Sector]],Sectors[],2,FALSE)</f>
        <v>Specialist</v>
      </c>
    </row>
    <row r="1746" spans="1:6" x14ac:dyDescent="0.2">
      <c r="A1746" t="str">
        <f>'Novia Web Query'!A1743</f>
        <v>GB00B8N45L07</v>
      </c>
      <c r="B1746" t="str">
        <f>VLOOKUP(NoviaFunds[[#This Row],[ISIN]],'Novia Web Query'!$A:$E,2,FALSE)</f>
        <v>Invesco Global Financial Capital (UK) Z Inc TR in GB**</v>
      </c>
      <c r="C1746" t="str">
        <f>VLOOKUP(NoviaFunds[[#This Row],[ISIN]],'Novia Web Query'!$A:$E,3,FALSE)</f>
        <v>UT Specialist</v>
      </c>
      <c r="D1746" s="139">
        <f>VLOOKUP(NoviaFunds[[#This Row],[ISIN]],'Novia Web Query'!$A:$E,4,FALSE)/100</f>
        <v>7.7000000000000002E-3</v>
      </c>
      <c r="E1746" s="3" t="str">
        <f>VLOOKUP(NoviaFunds[[#This Row],[ISIN]],'Novia Web Query'!$A:$E,5,FALSE)</f>
        <v>17/02/2021</v>
      </c>
      <c r="F1746" t="str">
        <f>VLOOKUP(NoviaFunds[[#This Row],[Sector]],Sectors[],2,FALSE)</f>
        <v>Specialist</v>
      </c>
    </row>
    <row r="1747" spans="1:6" x14ac:dyDescent="0.2">
      <c r="A1747" t="str">
        <f>'Novia Web Query'!A1744</f>
        <v>GB0033029181</v>
      </c>
      <c r="B1747" t="str">
        <f>VLOOKUP(NoviaFunds[[#This Row],[ISIN]],'Novia Web Query'!$A:$E,2,FALSE)</f>
        <v>Invesco Global Focus (UK) Acc TR in GB</v>
      </c>
      <c r="C1747" t="str">
        <f>VLOOKUP(NoviaFunds[[#This Row],[ISIN]],'Novia Web Query'!$A:$E,3,FALSE)</f>
        <v>UT Global</v>
      </c>
      <c r="D1747" s="139">
        <f>VLOOKUP(NoviaFunds[[#This Row],[ISIN]],'Novia Web Query'!$A:$E,4,FALSE)/100</f>
        <v>1.4999999999999999E-2</v>
      </c>
      <c r="E1747" s="3" t="str">
        <f>VLOOKUP(NoviaFunds[[#This Row],[ISIN]],'Novia Web Query'!$A:$E,5,FALSE)</f>
        <v>17/02/2021</v>
      </c>
      <c r="F1747" t="str">
        <f>VLOOKUP(NoviaFunds[[#This Row],[Sector]],Sectors[],2,FALSE)</f>
        <v>Other Equities</v>
      </c>
    </row>
    <row r="1748" spans="1:6" x14ac:dyDescent="0.2">
      <c r="A1748" t="str">
        <f>'Novia Web Query'!A1745</f>
        <v>GB00B8N46285</v>
      </c>
      <c r="B1748" t="str">
        <f>VLOOKUP(NoviaFunds[[#This Row],[ISIN]],'Novia Web Query'!$A:$E,2,FALSE)</f>
        <v>Invesco Global Focus (UK) Z Acc in GB</v>
      </c>
      <c r="C1748" t="str">
        <f>VLOOKUP(NoviaFunds[[#This Row],[ISIN]],'Novia Web Query'!$A:$E,3,FALSE)</f>
        <v>UT Global</v>
      </c>
      <c r="D1748" s="139">
        <f>VLOOKUP(NoviaFunds[[#This Row],[ISIN]],'Novia Web Query'!$A:$E,4,FALSE)/100</f>
        <v>7.4999999999999997E-3</v>
      </c>
      <c r="E1748" s="3" t="str">
        <f>VLOOKUP(NoviaFunds[[#This Row],[ISIN]],'Novia Web Query'!$A:$E,5,FALSE)</f>
        <v>17/02/2021</v>
      </c>
      <c r="F1748" t="str">
        <f>VLOOKUP(NoviaFunds[[#This Row],[Sector]],Sectors[],2,FALSE)</f>
        <v>Other Equities</v>
      </c>
    </row>
    <row r="1749" spans="1:6" x14ac:dyDescent="0.2">
      <c r="A1749" t="str">
        <f>'Novia Web Query'!A1746</f>
        <v>GB00BKQV1J22</v>
      </c>
      <c r="B1749" t="str">
        <f>VLOOKUP(NoviaFunds[[#This Row],[ISIN]],'Novia Web Query'!$A:$E,2,FALSE)</f>
        <v>Invesco Global Income (UK) Z Acc TR in GB</v>
      </c>
      <c r="C1749" t="str">
        <f>VLOOKUP(NoviaFunds[[#This Row],[ISIN]],'Novia Web Query'!$A:$E,3,FALSE)</f>
        <v>UT Mixed Investment 20-60% Shares</v>
      </c>
      <c r="D1749" s="139">
        <f>VLOOKUP(NoviaFunds[[#This Row],[ISIN]],'Novia Web Query'!$A:$E,4,FALSE)/100</f>
        <v>8.199999999999999E-3</v>
      </c>
      <c r="E1749" s="3" t="str">
        <f>VLOOKUP(NoviaFunds[[#This Row],[ISIN]],'Novia Web Query'!$A:$E,5,FALSE)</f>
        <v>17/02/2021</v>
      </c>
      <c r="F1749" t="str">
        <f>VLOOKUP(NoviaFunds[[#This Row],[Sector]],Sectors[],2,FALSE)</f>
        <v>Mixed 20%-60%</v>
      </c>
    </row>
    <row r="1750" spans="1:6" x14ac:dyDescent="0.2">
      <c r="A1750" t="str">
        <f>'Novia Web Query'!A1747</f>
        <v>GB00BKQV1L44</v>
      </c>
      <c r="B1750" t="str">
        <f>VLOOKUP(NoviaFunds[[#This Row],[ISIN]],'Novia Web Query'!$A:$E,2,FALSE)</f>
        <v>Invesco Global Income (UK) Z Inc TR in GB</v>
      </c>
      <c r="C1750" t="str">
        <f>VLOOKUP(NoviaFunds[[#This Row],[ISIN]],'Novia Web Query'!$A:$E,3,FALSE)</f>
        <v>UT Mixed Investment 20-60% Shares</v>
      </c>
      <c r="D1750" s="139">
        <f>VLOOKUP(NoviaFunds[[#This Row],[ISIN]],'Novia Web Query'!$A:$E,4,FALSE)/100</f>
        <v>8.199999999999999E-3</v>
      </c>
      <c r="E1750" s="3" t="str">
        <f>VLOOKUP(NoviaFunds[[#This Row],[ISIN]],'Novia Web Query'!$A:$E,5,FALSE)</f>
        <v>17/02/2021</v>
      </c>
      <c r="F1750" t="str">
        <f>VLOOKUP(NoviaFunds[[#This Row],[Sector]],Sectors[],2,FALSE)</f>
        <v>Mixed 20%-60%</v>
      </c>
    </row>
    <row r="1751" spans="1:6" x14ac:dyDescent="0.2">
      <c r="A1751" t="str">
        <f>'Novia Web Query'!A1748</f>
        <v>GB0033030296</v>
      </c>
      <c r="B1751" t="str">
        <f>VLOOKUP(NoviaFunds[[#This Row],[ISIN]],'Novia Web Query'!$A:$E,2,FALSE)</f>
        <v>Invesco Global Smaller Companies (UK) Acc in GB</v>
      </c>
      <c r="C1751" t="str">
        <f>VLOOKUP(NoviaFunds[[#This Row],[ISIN]],'Novia Web Query'!$A:$E,3,FALSE)</f>
        <v>UT Global</v>
      </c>
      <c r="D1751" s="139">
        <f>VLOOKUP(NoviaFunds[[#This Row],[ISIN]],'Novia Web Query'!$A:$E,4,FALSE)/100</f>
        <v>1.7000000000000001E-2</v>
      </c>
      <c r="E1751" s="3" t="str">
        <f>VLOOKUP(NoviaFunds[[#This Row],[ISIN]],'Novia Web Query'!$A:$E,5,FALSE)</f>
        <v>17/02/2021</v>
      </c>
      <c r="F1751" t="str">
        <f>VLOOKUP(NoviaFunds[[#This Row],[Sector]],Sectors[],2,FALSE)</f>
        <v>Other Equities</v>
      </c>
    </row>
    <row r="1752" spans="1:6" x14ac:dyDescent="0.2">
      <c r="A1752" t="str">
        <f>'Novia Web Query'!A1749</f>
        <v>GB0033053264</v>
      </c>
      <c r="B1752" t="str">
        <f>VLOOKUP(NoviaFunds[[#This Row],[ISIN]],'Novia Web Query'!$A:$E,2,FALSE)</f>
        <v>Invesco Global Smaller Companies (UK) Inc TR in GB</v>
      </c>
      <c r="C1752" t="str">
        <f>VLOOKUP(NoviaFunds[[#This Row],[ISIN]],'Novia Web Query'!$A:$E,3,FALSE)</f>
        <v>UT Global</v>
      </c>
      <c r="D1752" s="139">
        <f>VLOOKUP(NoviaFunds[[#This Row],[ISIN]],'Novia Web Query'!$A:$E,4,FALSE)/100</f>
        <v>1.7000000000000001E-2</v>
      </c>
      <c r="E1752" s="3" t="str">
        <f>VLOOKUP(NoviaFunds[[#This Row],[ISIN]],'Novia Web Query'!$A:$E,5,FALSE)</f>
        <v>17/02/2021</v>
      </c>
      <c r="F1752" t="str">
        <f>VLOOKUP(NoviaFunds[[#This Row],[Sector]],Sectors[],2,FALSE)</f>
        <v>Other Equities</v>
      </c>
    </row>
    <row r="1753" spans="1:6" x14ac:dyDescent="0.2">
      <c r="A1753" t="str">
        <f>'Novia Web Query'!A1750</f>
        <v>GB00B8N46D97</v>
      </c>
      <c r="B1753" t="str">
        <f>VLOOKUP(NoviaFunds[[#This Row],[ISIN]],'Novia Web Query'!$A:$E,2,FALSE)</f>
        <v>Invesco Global Smaller Companies (UK) Z Acc TR in GB</v>
      </c>
      <c r="C1753" t="str">
        <f>VLOOKUP(NoviaFunds[[#This Row],[ISIN]],'Novia Web Query'!$A:$E,3,FALSE)</f>
        <v>UT Global</v>
      </c>
      <c r="D1753" s="139">
        <f>VLOOKUP(NoviaFunds[[#This Row],[ISIN]],'Novia Web Query'!$A:$E,4,FALSE)/100</f>
        <v>9.4999999999999998E-3</v>
      </c>
      <c r="E1753" s="3" t="str">
        <f>VLOOKUP(NoviaFunds[[#This Row],[ISIN]],'Novia Web Query'!$A:$E,5,FALSE)</f>
        <v>17/02/2021</v>
      </c>
      <c r="F1753" t="str">
        <f>VLOOKUP(NoviaFunds[[#This Row],[Sector]],Sectors[],2,FALSE)</f>
        <v>Other Equities</v>
      </c>
    </row>
    <row r="1754" spans="1:6" x14ac:dyDescent="0.2">
      <c r="A1754" t="str">
        <f>'Novia Web Query'!A1751</f>
        <v>GB00B8N46F12</v>
      </c>
      <c r="B1754" t="str">
        <f>VLOOKUP(NoviaFunds[[#This Row],[ISIN]],'Novia Web Query'!$A:$E,2,FALSE)</f>
        <v>Invesco Global Smaller Companies (UK) Z Inc TR in GB**</v>
      </c>
      <c r="C1754" t="str">
        <f>VLOOKUP(NoviaFunds[[#This Row],[ISIN]],'Novia Web Query'!$A:$E,3,FALSE)</f>
        <v>UT Global</v>
      </c>
      <c r="D1754" s="139">
        <f>VLOOKUP(NoviaFunds[[#This Row],[ISIN]],'Novia Web Query'!$A:$E,4,FALSE)/100</f>
        <v>9.4999999999999998E-3</v>
      </c>
      <c r="E1754" s="3" t="str">
        <f>VLOOKUP(NoviaFunds[[#This Row],[ISIN]],'Novia Web Query'!$A:$E,5,FALSE)</f>
        <v>17/02/2021</v>
      </c>
      <c r="F1754" t="str">
        <f>VLOOKUP(NoviaFunds[[#This Row],[Sector]],Sectors[],2,FALSE)</f>
        <v>Other Equities</v>
      </c>
    </row>
    <row r="1755" spans="1:6" x14ac:dyDescent="0.2">
      <c r="A1755" t="str">
        <f>'Novia Web Query'!A1752</f>
        <v>GB00BZB27L97</v>
      </c>
      <c r="B1755" t="str">
        <f>VLOOKUP(NoviaFunds[[#This Row],[ISIN]],'Novia Web Query'!$A:$E,2,FALSE)</f>
        <v>Invesco Global Targeted Income (UK) Z Acc GBP TR in GB</v>
      </c>
      <c r="C1755" t="str">
        <f>VLOOKUP(NoviaFunds[[#This Row],[ISIN]],'Novia Web Query'!$A:$E,3,FALSE)</f>
        <v>UT Targeted Absolute Return</v>
      </c>
      <c r="D1755" s="139">
        <f>VLOOKUP(NoviaFunds[[#This Row],[ISIN]],'Novia Web Query'!$A:$E,4,FALSE)/100</f>
        <v>8.6999999999999994E-3</v>
      </c>
      <c r="E1755" s="3" t="str">
        <f>VLOOKUP(NoviaFunds[[#This Row],[ISIN]],'Novia Web Query'!$A:$E,5,FALSE)</f>
        <v>17/02/2021</v>
      </c>
      <c r="F1755" t="str">
        <f>VLOOKUP(NoviaFunds[[#This Row],[Sector]],Sectors[],2,FALSE)</f>
        <v>Absolute Return</v>
      </c>
    </row>
    <row r="1756" spans="1:6" x14ac:dyDescent="0.2">
      <c r="A1756" t="str">
        <f>'Novia Web Query'!A1753</f>
        <v>GB00BZB27M05</v>
      </c>
      <c r="B1756" t="str">
        <f>VLOOKUP(NoviaFunds[[#This Row],[ISIN]],'Novia Web Query'!$A:$E,2,FALSE)</f>
        <v>Invesco Global Targeted Income (UK) Z Inc TR in GB</v>
      </c>
      <c r="C1756" t="str">
        <f>VLOOKUP(NoviaFunds[[#This Row],[ISIN]],'Novia Web Query'!$A:$E,3,FALSE)</f>
        <v>UT Targeted Absolute Return</v>
      </c>
      <c r="D1756" s="139">
        <f>VLOOKUP(NoviaFunds[[#This Row],[ISIN]],'Novia Web Query'!$A:$E,4,FALSE)/100</f>
        <v>8.6999999999999994E-3</v>
      </c>
      <c r="E1756" s="3" t="str">
        <f>VLOOKUP(NoviaFunds[[#This Row],[ISIN]],'Novia Web Query'!$A:$E,5,FALSE)</f>
        <v>17/02/2021</v>
      </c>
      <c r="F1756" t="str">
        <f>VLOOKUP(NoviaFunds[[#This Row],[Sector]],Sectors[],2,FALSE)</f>
        <v>Absolute Return</v>
      </c>
    </row>
    <row r="1757" spans="1:6" x14ac:dyDescent="0.2">
      <c r="A1757" t="str">
        <f>'Novia Web Query'!A1754</f>
        <v>GB00B8CHCY21</v>
      </c>
      <c r="B1757" t="str">
        <f>VLOOKUP(NoviaFunds[[#This Row],[ISIN]],'Novia Web Query'!$A:$E,2,FALSE)</f>
        <v>Invesco Global Targeted Returns (UK) Acc in GB</v>
      </c>
      <c r="C1757" t="str">
        <f>VLOOKUP(NoviaFunds[[#This Row],[ISIN]],'Novia Web Query'!$A:$E,3,FALSE)</f>
        <v>UT Targeted Absolute Return</v>
      </c>
      <c r="D1757" s="139">
        <f>VLOOKUP(NoviaFunds[[#This Row],[ISIN]],'Novia Web Query'!$A:$E,4,FALSE)/100</f>
        <v>1.5700000000000002E-2</v>
      </c>
      <c r="E1757" s="3" t="str">
        <f>VLOOKUP(NoviaFunds[[#This Row],[ISIN]],'Novia Web Query'!$A:$E,5,FALSE)</f>
        <v>19/03/2021</v>
      </c>
      <c r="F1757" t="str">
        <f>VLOOKUP(NoviaFunds[[#This Row],[Sector]],Sectors[],2,FALSE)</f>
        <v>Absolute Return</v>
      </c>
    </row>
    <row r="1758" spans="1:6" x14ac:dyDescent="0.2">
      <c r="A1758" t="str">
        <f>'Novia Web Query'!A1755</f>
        <v>GB00B8CHD613</v>
      </c>
      <c r="B1758" t="str">
        <f>VLOOKUP(NoviaFunds[[#This Row],[ISIN]],'Novia Web Query'!$A:$E,2,FALSE)</f>
        <v>Invesco Global Targeted Returns (UK) Z Acc TR in GB</v>
      </c>
      <c r="C1758" t="str">
        <f>VLOOKUP(NoviaFunds[[#This Row],[ISIN]],'Novia Web Query'!$A:$E,3,FALSE)</f>
        <v>UT Targeted Absolute Return</v>
      </c>
      <c r="D1758" s="139">
        <f>VLOOKUP(NoviaFunds[[#This Row],[ISIN]],'Novia Web Query'!$A:$E,4,FALSE)/100</f>
        <v>8.6999999999999994E-3</v>
      </c>
      <c r="E1758" s="3" t="str">
        <f>VLOOKUP(NoviaFunds[[#This Row],[ISIN]],'Novia Web Query'!$A:$E,5,FALSE)</f>
        <v>19/03/2021</v>
      </c>
      <c r="F1758" t="str">
        <f>VLOOKUP(NoviaFunds[[#This Row],[Sector]],Sectors[],2,FALSE)</f>
        <v>Absolute Return</v>
      </c>
    </row>
    <row r="1759" spans="1:6" x14ac:dyDescent="0.2">
      <c r="A1759" t="str">
        <f>'Novia Web Query'!A1756</f>
        <v>GB0033028555</v>
      </c>
      <c r="B1759" t="str">
        <f>VLOOKUP(NoviaFunds[[#This Row],[ISIN]],'Novia Web Query'!$A:$E,2,FALSE)</f>
        <v>Invesco High Yield (UK) Acc TR in GB</v>
      </c>
      <c r="C1759" t="str">
        <f>VLOOKUP(NoviaFunds[[#This Row],[ISIN]],'Novia Web Query'!$A:$E,3,FALSE)</f>
        <v>UT Sterling High Yield</v>
      </c>
      <c r="D1759" s="139">
        <f>VLOOKUP(NoviaFunds[[#This Row],[ISIN]],'Novia Web Query'!$A:$E,4,FALSE)/100</f>
        <v>1.29E-2</v>
      </c>
      <c r="E1759" s="3" t="str">
        <f>VLOOKUP(NoviaFunds[[#This Row],[ISIN]],'Novia Web Query'!$A:$E,5,FALSE)</f>
        <v>17/02/2021</v>
      </c>
      <c r="F1759" t="str">
        <f>VLOOKUP(NoviaFunds[[#This Row],[Sector]],Sectors[],2,FALSE)</f>
        <v>High Yield</v>
      </c>
    </row>
    <row r="1760" spans="1:6" x14ac:dyDescent="0.2">
      <c r="A1760" t="str">
        <f>'Novia Web Query'!A1757</f>
        <v>GB0033049254</v>
      </c>
      <c r="B1760" t="str">
        <f>VLOOKUP(NoviaFunds[[#This Row],[ISIN]],'Novia Web Query'!$A:$E,2,FALSE)</f>
        <v>Invesco High Yield (UK) Inc TR in GB</v>
      </c>
      <c r="C1760" t="str">
        <f>VLOOKUP(NoviaFunds[[#This Row],[ISIN]],'Novia Web Query'!$A:$E,3,FALSE)</f>
        <v>UT Sterling High Yield</v>
      </c>
      <c r="D1760" s="139">
        <f>VLOOKUP(NoviaFunds[[#This Row],[ISIN]],'Novia Web Query'!$A:$E,4,FALSE)/100</f>
        <v>1.29E-2</v>
      </c>
      <c r="E1760" s="3" t="str">
        <f>VLOOKUP(NoviaFunds[[#This Row],[ISIN]],'Novia Web Query'!$A:$E,5,FALSE)</f>
        <v>17/02/2021</v>
      </c>
      <c r="F1760" t="str">
        <f>VLOOKUP(NoviaFunds[[#This Row],[Sector]],Sectors[],2,FALSE)</f>
        <v>High Yield</v>
      </c>
    </row>
    <row r="1761" spans="1:6" x14ac:dyDescent="0.2">
      <c r="A1761" t="str">
        <f>'Novia Web Query'!A1758</f>
        <v>GB00B8N45980</v>
      </c>
      <c r="B1761" t="str">
        <f>VLOOKUP(NoviaFunds[[#This Row],[ISIN]],'Novia Web Query'!$A:$E,2,FALSE)</f>
        <v>Invesco High Yield (UK) Z Acc TR in GB</v>
      </c>
      <c r="C1761" t="str">
        <f>VLOOKUP(NoviaFunds[[#This Row],[ISIN]],'Novia Web Query'!$A:$E,3,FALSE)</f>
        <v>UT Sterling High Yield</v>
      </c>
      <c r="D1761" s="139">
        <f>VLOOKUP(NoviaFunds[[#This Row],[ISIN]],'Novia Web Query'!$A:$E,4,FALSE)/100</f>
        <v>6.0000000000000001E-3</v>
      </c>
      <c r="E1761" s="3" t="str">
        <f>VLOOKUP(NoviaFunds[[#This Row],[ISIN]],'Novia Web Query'!$A:$E,5,FALSE)</f>
        <v>17/02/2021</v>
      </c>
      <c r="F1761" t="str">
        <f>VLOOKUP(NoviaFunds[[#This Row],[Sector]],Sectors[],2,FALSE)</f>
        <v>High Yield</v>
      </c>
    </row>
    <row r="1762" spans="1:6" x14ac:dyDescent="0.2">
      <c r="A1762" t="str">
        <f>'Novia Web Query'!A1759</f>
        <v>GB00B8N45B09</v>
      </c>
      <c r="B1762" t="str">
        <f>VLOOKUP(NoviaFunds[[#This Row],[ISIN]],'Novia Web Query'!$A:$E,2,FALSE)</f>
        <v>Invesco High Yield (UK) Z Inc TR in GB**</v>
      </c>
      <c r="C1762" t="str">
        <f>VLOOKUP(NoviaFunds[[#This Row],[ISIN]],'Novia Web Query'!$A:$E,3,FALSE)</f>
        <v>UT Sterling High Yield</v>
      </c>
      <c r="D1762" s="139">
        <f>VLOOKUP(NoviaFunds[[#This Row],[ISIN]],'Novia Web Query'!$A:$E,4,FALSE)/100</f>
        <v>6.0000000000000001E-3</v>
      </c>
      <c r="E1762" s="3" t="str">
        <f>VLOOKUP(NoviaFunds[[#This Row],[ISIN]],'Novia Web Query'!$A:$E,5,FALSE)</f>
        <v>17/02/2021</v>
      </c>
      <c r="F1762" t="str">
        <f>VLOOKUP(NoviaFunds[[#This Row],[Sector]],Sectors[],2,FALSE)</f>
        <v>High Yield</v>
      </c>
    </row>
    <row r="1763" spans="1:6" x14ac:dyDescent="0.2">
      <c r="A1763" t="str">
        <f>'Novia Web Query'!A1760</f>
        <v>GB0033030742</v>
      </c>
      <c r="B1763" t="str">
        <f>VLOOKUP(NoviaFunds[[#This Row],[ISIN]],'Novia Web Query'!$A:$E,2,FALSE)</f>
        <v>Invesco Income &amp; Growth (UK) Acc TR in GB</v>
      </c>
      <c r="C1763" t="str">
        <f>VLOOKUP(NoviaFunds[[#This Row],[ISIN]],'Novia Web Query'!$A:$E,3,FALSE)</f>
        <v>UT UK Equity Income</v>
      </c>
      <c r="D1763" s="139">
        <f>VLOOKUP(NoviaFunds[[#This Row],[ISIN]],'Novia Web Query'!$A:$E,4,FALSE)/100</f>
        <v>1.67E-2</v>
      </c>
      <c r="E1763" s="3" t="str">
        <f>VLOOKUP(NoviaFunds[[#This Row],[ISIN]],'Novia Web Query'!$A:$E,5,FALSE)</f>
        <v>17/02/2021</v>
      </c>
      <c r="F1763" t="str">
        <f>VLOOKUP(NoviaFunds[[#This Row],[Sector]],Sectors[],2,FALSE)</f>
        <v>UK Equities</v>
      </c>
    </row>
    <row r="1764" spans="1:6" x14ac:dyDescent="0.2">
      <c r="A1764" t="str">
        <f>'Novia Web Query'!A1761</f>
        <v>GB0033053488</v>
      </c>
      <c r="B1764" t="str">
        <f>VLOOKUP(NoviaFunds[[#This Row],[ISIN]],'Novia Web Query'!$A:$E,2,FALSE)</f>
        <v>Invesco Income &amp; Growth (UK) Inc TR in GB</v>
      </c>
      <c r="C1764" t="str">
        <f>VLOOKUP(NoviaFunds[[#This Row],[ISIN]],'Novia Web Query'!$A:$E,3,FALSE)</f>
        <v>UT UK Equity Income</v>
      </c>
      <c r="D1764" s="139">
        <f>VLOOKUP(NoviaFunds[[#This Row],[ISIN]],'Novia Web Query'!$A:$E,4,FALSE)/100</f>
        <v>1.67E-2</v>
      </c>
      <c r="E1764" s="3" t="str">
        <f>VLOOKUP(NoviaFunds[[#This Row],[ISIN]],'Novia Web Query'!$A:$E,5,FALSE)</f>
        <v>17/02/2021</v>
      </c>
      <c r="F1764" t="str">
        <f>VLOOKUP(NoviaFunds[[#This Row],[Sector]],Sectors[],2,FALSE)</f>
        <v>UK Equities</v>
      </c>
    </row>
    <row r="1765" spans="1:6" x14ac:dyDescent="0.2">
      <c r="A1765" t="str">
        <f>'Novia Web Query'!A1762</f>
        <v>GB00B8N46N95</v>
      </c>
      <c r="B1765" t="str">
        <f>VLOOKUP(NoviaFunds[[#This Row],[ISIN]],'Novia Web Query'!$A:$E,2,FALSE)</f>
        <v>Invesco Income &amp; Growth (UK) Z Acc TR in GB</v>
      </c>
      <c r="C1765" t="str">
        <f>VLOOKUP(NoviaFunds[[#This Row],[ISIN]],'Novia Web Query'!$A:$E,3,FALSE)</f>
        <v>UT UK Equity Income</v>
      </c>
      <c r="D1765" s="139">
        <f>VLOOKUP(NoviaFunds[[#This Row],[ISIN]],'Novia Web Query'!$A:$E,4,FALSE)/100</f>
        <v>9.1999999999999998E-3</v>
      </c>
      <c r="E1765" s="3" t="str">
        <f>VLOOKUP(NoviaFunds[[#This Row],[ISIN]],'Novia Web Query'!$A:$E,5,FALSE)</f>
        <v>17/02/2021</v>
      </c>
      <c r="F1765" t="str">
        <f>VLOOKUP(NoviaFunds[[#This Row],[Sector]],Sectors[],2,FALSE)</f>
        <v>UK Equities</v>
      </c>
    </row>
    <row r="1766" spans="1:6" x14ac:dyDescent="0.2">
      <c r="A1766" t="str">
        <f>'Novia Web Query'!A1763</f>
        <v>GB00B8N46P10</v>
      </c>
      <c r="B1766" t="str">
        <f>VLOOKUP(NoviaFunds[[#This Row],[ISIN]],'Novia Web Query'!$A:$E,2,FALSE)</f>
        <v>Invesco Income &amp; Growth (UK) Z Inc TR in GB**</v>
      </c>
      <c r="C1766" t="str">
        <f>VLOOKUP(NoviaFunds[[#This Row],[ISIN]],'Novia Web Query'!$A:$E,3,FALSE)</f>
        <v>UT UK Equity Income</v>
      </c>
      <c r="D1766" s="139">
        <f>VLOOKUP(NoviaFunds[[#This Row],[ISIN]],'Novia Web Query'!$A:$E,4,FALSE)/100</f>
        <v>9.1999999999999998E-3</v>
      </c>
      <c r="E1766" s="3" t="str">
        <f>VLOOKUP(NoviaFunds[[#This Row],[ISIN]],'Novia Web Query'!$A:$E,5,FALSE)</f>
        <v>17/02/2021</v>
      </c>
      <c r="F1766" t="str">
        <f>VLOOKUP(NoviaFunds[[#This Row],[Sector]],Sectors[],2,FALSE)</f>
        <v>UK Equities</v>
      </c>
    </row>
    <row r="1767" spans="1:6" x14ac:dyDescent="0.2">
      <c r="A1767" t="str">
        <f>'Novia Web Query'!A1764</f>
        <v>GB0033030411</v>
      </c>
      <c r="B1767" t="str">
        <f>VLOOKUP(NoviaFunds[[#This Row],[ISIN]],'Novia Web Query'!$A:$E,2,FALSE)</f>
        <v>Invesco Japanese Smaller Companies (UK) Acc in GB</v>
      </c>
      <c r="C1767" t="str">
        <f>VLOOKUP(NoviaFunds[[#This Row],[ISIN]],'Novia Web Query'!$A:$E,3,FALSE)</f>
        <v>UT Japanese Smaller Companies</v>
      </c>
      <c r="D1767" s="139">
        <f>VLOOKUP(NoviaFunds[[#This Row],[ISIN]],'Novia Web Query'!$A:$E,4,FALSE)/100</f>
        <v>1.6E-2</v>
      </c>
      <c r="E1767" s="3" t="str">
        <f>VLOOKUP(NoviaFunds[[#This Row],[ISIN]],'Novia Web Query'!$A:$E,5,FALSE)</f>
        <v>17/02/2021</v>
      </c>
      <c r="F1767" t="str">
        <f>VLOOKUP(NoviaFunds[[#This Row],[Sector]],Sectors[],2,FALSE)</f>
        <v>Japanese Equities</v>
      </c>
    </row>
    <row r="1768" spans="1:6" x14ac:dyDescent="0.2">
      <c r="A1768" t="str">
        <f>'Novia Web Query'!A1765</f>
        <v>GB00B8N46G29</v>
      </c>
      <c r="B1768" t="str">
        <f>VLOOKUP(NoviaFunds[[#This Row],[ISIN]],'Novia Web Query'!$A:$E,2,FALSE)</f>
        <v>Invesco Japanese Smaller Companies (UK) Z Acc in GB</v>
      </c>
      <c r="C1768" t="str">
        <f>VLOOKUP(NoviaFunds[[#This Row],[ISIN]],'Novia Web Query'!$A:$E,3,FALSE)</f>
        <v>UT Japanese Smaller Companies</v>
      </c>
      <c r="D1768" s="139">
        <f>VLOOKUP(NoviaFunds[[#This Row],[ISIN]],'Novia Web Query'!$A:$E,4,FALSE)/100</f>
        <v>8.5000000000000006E-3</v>
      </c>
      <c r="E1768" s="3" t="str">
        <f>VLOOKUP(NoviaFunds[[#This Row],[ISIN]],'Novia Web Query'!$A:$E,5,FALSE)</f>
        <v>17/02/2021</v>
      </c>
      <c r="F1768" t="str">
        <f>VLOOKUP(NoviaFunds[[#This Row],[Sector]],Sectors[],2,FALSE)</f>
        <v>Japanese Equities</v>
      </c>
    </row>
    <row r="1769" spans="1:6" x14ac:dyDescent="0.2">
      <c r="A1769" t="str">
        <f>'Novia Web Query'!A1766</f>
        <v>GB0033027706</v>
      </c>
      <c r="B1769" t="str">
        <f>VLOOKUP(NoviaFunds[[#This Row],[ISIN]],'Novia Web Query'!$A:$E,2,FALSE)</f>
        <v>Invesco Latin American (UK) Acc in GB</v>
      </c>
      <c r="C1769" t="str">
        <f>VLOOKUP(NoviaFunds[[#This Row],[ISIN]],'Novia Web Query'!$A:$E,3,FALSE)</f>
        <v>UT Latin America</v>
      </c>
      <c r="D1769" s="139">
        <f>VLOOKUP(NoviaFunds[[#This Row],[ISIN]],'Novia Web Query'!$A:$E,4,FALSE)/100</f>
        <v>1.7500000000000002E-2</v>
      </c>
      <c r="E1769" s="3" t="str">
        <f>VLOOKUP(NoviaFunds[[#This Row],[ISIN]],'Novia Web Query'!$A:$E,5,FALSE)</f>
        <v>17/02/2021</v>
      </c>
      <c r="F1769" t="e">
        <f>VLOOKUP(NoviaFunds[[#This Row],[Sector]],Sectors[],2,FALSE)</f>
        <v>#N/A</v>
      </c>
    </row>
    <row r="1770" spans="1:6" x14ac:dyDescent="0.2">
      <c r="A1770" t="str">
        <f>'Novia Web Query'!A1767</f>
        <v>GB0033048280</v>
      </c>
      <c r="B1770" t="str">
        <f>VLOOKUP(NoviaFunds[[#This Row],[ISIN]],'Novia Web Query'!$A:$E,2,FALSE)</f>
        <v>Invesco Latin American (UK) Inc TR in GB</v>
      </c>
      <c r="C1770" t="str">
        <f>VLOOKUP(NoviaFunds[[#This Row],[ISIN]],'Novia Web Query'!$A:$E,3,FALSE)</f>
        <v>UT Latin America</v>
      </c>
      <c r="D1770" s="139">
        <f>VLOOKUP(NoviaFunds[[#This Row],[ISIN]],'Novia Web Query'!$A:$E,4,FALSE)/100</f>
        <v>1.7500000000000002E-2</v>
      </c>
      <c r="E1770" s="3" t="str">
        <f>VLOOKUP(NoviaFunds[[#This Row],[ISIN]],'Novia Web Query'!$A:$E,5,FALSE)</f>
        <v>17/02/2021</v>
      </c>
      <c r="F1770" t="e">
        <f>VLOOKUP(NoviaFunds[[#This Row],[Sector]],Sectors[],2,FALSE)</f>
        <v>#N/A</v>
      </c>
    </row>
    <row r="1771" spans="1:6" x14ac:dyDescent="0.2">
      <c r="A1771" t="str">
        <f>'Novia Web Query'!A1768</f>
        <v>GB00B8N44B34</v>
      </c>
      <c r="B1771" t="str">
        <f>VLOOKUP(NoviaFunds[[#This Row],[ISIN]],'Novia Web Query'!$A:$E,2,FALSE)</f>
        <v>Invesco Latin American (UK) Z Acc TR in GB</v>
      </c>
      <c r="C1771" t="str">
        <f>VLOOKUP(NoviaFunds[[#This Row],[ISIN]],'Novia Web Query'!$A:$E,3,FALSE)</f>
        <v>UT Latin America</v>
      </c>
      <c r="D1771" s="139">
        <f>VLOOKUP(NoviaFunds[[#This Row],[ISIN]],'Novia Web Query'!$A:$E,4,FALSE)/100</f>
        <v>0.01</v>
      </c>
      <c r="E1771" s="3" t="str">
        <f>VLOOKUP(NoviaFunds[[#This Row],[ISIN]],'Novia Web Query'!$A:$E,5,FALSE)</f>
        <v>17/02/2021</v>
      </c>
      <c r="F1771" t="e">
        <f>VLOOKUP(NoviaFunds[[#This Row],[Sector]],Sectors[],2,FALSE)</f>
        <v>#N/A</v>
      </c>
    </row>
    <row r="1772" spans="1:6" x14ac:dyDescent="0.2">
      <c r="A1772" t="str">
        <f>'Novia Web Query'!A1769</f>
        <v>GB00B8N44C41</v>
      </c>
      <c r="B1772" t="str">
        <f>VLOOKUP(NoviaFunds[[#This Row],[ISIN]],'Novia Web Query'!$A:$E,2,FALSE)</f>
        <v>Invesco Latin American (UK) Z Inc TR in GB**</v>
      </c>
      <c r="C1772" t="str">
        <f>VLOOKUP(NoviaFunds[[#This Row],[ISIN]],'Novia Web Query'!$A:$E,3,FALSE)</f>
        <v>UT Latin America</v>
      </c>
      <c r="D1772" s="139">
        <f>VLOOKUP(NoviaFunds[[#This Row],[ISIN]],'Novia Web Query'!$A:$E,4,FALSE)/100</f>
        <v>0.01</v>
      </c>
      <c r="E1772" s="3" t="str">
        <f>VLOOKUP(NoviaFunds[[#This Row],[ISIN]],'Novia Web Query'!$A:$E,5,FALSE)</f>
        <v>17/02/2021</v>
      </c>
      <c r="F1772" t="e">
        <f>VLOOKUP(NoviaFunds[[#This Row],[Sector]],Sectors[],2,FALSE)</f>
        <v>#N/A</v>
      </c>
    </row>
    <row r="1773" spans="1:6" x14ac:dyDescent="0.2">
      <c r="A1773" t="str">
        <f>'Novia Web Query'!A1770</f>
        <v>GB0033029298</v>
      </c>
      <c r="B1773" t="str">
        <f>VLOOKUP(NoviaFunds[[#This Row],[ISIN]],'Novia Web Query'!$A:$E,2,FALSE)</f>
        <v>Invesco Managed Growth (UK) Acc TR in GB</v>
      </c>
      <c r="C1773" t="str">
        <f>VLOOKUP(NoviaFunds[[#This Row],[ISIN]],'Novia Web Query'!$A:$E,3,FALSE)</f>
        <v>UT Flexible Investment</v>
      </c>
      <c r="D1773" s="139">
        <f>VLOOKUP(NoviaFunds[[#This Row],[ISIN]],'Novia Web Query'!$A:$E,4,FALSE)/100</f>
        <v>1.8200000000000001E-2</v>
      </c>
      <c r="E1773" s="3" t="str">
        <f>VLOOKUP(NoviaFunds[[#This Row],[ISIN]],'Novia Web Query'!$A:$E,5,FALSE)</f>
        <v>17/02/2021</v>
      </c>
      <c r="F1773" t="str">
        <f>VLOOKUP(NoviaFunds[[#This Row],[Sector]],Sectors[],2,FALSE)</f>
        <v>Flexible</v>
      </c>
    </row>
    <row r="1774" spans="1:6" x14ac:dyDescent="0.2">
      <c r="A1774" t="str">
        <f>'Novia Web Query'!A1771</f>
        <v>GB0033052076</v>
      </c>
      <c r="B1774" t="str">
        <f>VLOOKUP(NoviaFunds[[#This Row],[ISIN]],'Novia Web Query'!$A:$E,2,FALSE)</f>
        <v>Invesco Managed Growth (UK) Inc TR in GB</v>
      </c>
      <c r="C1774" t="str">
        <f>VLOOKUP(NoviaFunds[[#This Row],[ISIN]],'Novia Web Query'!$A:$E,3,FALSE)</f>
        <v>UT Flexible Investment</v>
      </c>
      <c r="D1774" s="139">
        <f>VLOOKUP(NoviaFunds[[#This Row],[ISIN]],'Novia Web Query'!$A:$E,4,FALSE)/100</f>
        <v>1.8200000000000001E-2</v>
      </c>
      <c r="E1774" s="3" t="str">
        <f>VLOOKUP(NoviaFunds[[#This Row],[ISIN]],'Novia Web Query'!$A:$E,5,FALSE)</f>
        <v>17/02/2021</v>
      </c>
      <c r="F1774" t="str">
        <f>VLOOKUP(NoviaFunds[[#This Row],[Sector]],Sectors[],2,FALSE)</f>
        <v>Flexible</v>
      </c>
    </row>
    <row r="1775" spans="1:6" x14ac:dyDescent="0.2">
      <c r="A1775" t="str">
        <f>'Novia Web Query'!A1772</f>
        <v>GB00B8N46392</v>
      </c>
      <c r="B1775" t="str">
        <f>VLOOKUP(NoviaFunds[[#This Row],[ISIN]],'Novia Web Query'!$A:$E,2,FALSE)</f>
        <v>Invesco Managed Growth (UK) Z Acc TR in GB</v>
      </c>
      <c r="C1775" t="str">
        <f>VLOOKUP(NoviaFunds[[#This Row],[ISIN]],'Novia Web Query'!$A:$E,3,FALSE)</f>
        <v>UT Flexible Investment</v>
      </c>
      <c r="D1775" s="139">
        <f>VLOOKUP(NoviaFunds[[#This Row],[ISIN]],'Novia Web Query'!$A:$E,4,FALSE)/100</f>
        <v>1.0700000000000001E-2</v>
      </c>
      <c r="E1775" s="3" t="str">
        <f>VLOOKUP(NoviaFunds[[#This Row],[ISIN]],'Novia Web Query'!$A:$E,5,FALSE)</f>
        <v>17/02/2021</v>
      </c>
      <c r="F1775" t="str">
        <f>VLOOKUP(NoviaFunds[[#This Row],[Sector]],Sectors[],2,FALSE)</f>
        <v>Flexible</v>
      </c>
    </row>
    <row r="1776" spans="1:6" x14ac:dyDescent="0.2">
      <c r="A1776" t="str">
        <f>'Novia Web Query'!A1773</f>
        <v>GB00B8N46400</v>
      </c>
      <c r="B1776" t="str">
        <f>VLOOKUP(NoviaFunds[[#This Row],[ISIN]],'Novia Web Query'!$A:$E,2,FALSE)</f>
        <v>Invesco Managed Growth (UK) Z Inc TR in GB**</v>
      </c>
      <c r="C1776" t="str">
        <f>VLOOKUP(NoviaFunds[[#This Row],[ISIN]],'Novia Web Query'!$A:$E,3,FALSE)</f>
        <v>UT Flexible Investment</v>
      </c>
      <c r="D1776" s="139">
        <f>VLOOKUP(NoviaFunds[[#This Row],[ISIN]],'Novia Web Query'!$A:$E,4,FALSE)/100</f>
        <v>1.0700000000000001E-2</v>
      </c>
      <c r="E1776" s="3" t="str">
        <f>VLOOKUP(NoviaFunds[[#This Row],[ISIN]],'Novia Web Query'!$A:$E,5,FALSE)</f>
        <v>17/02/2021</v>
      </c>
      <c r="F1776" t="str">
        <f>VLOOKUP(NoviaFunds[[#This Row],[Sector]],Sectors[],2,FALSE)</f>
        <v>Flexible</v>
      </c>
    </row>
    <row r="1777" spans="1:6" x14ac:dyDescent="0.2">
      <c r="A1777" t="str">
        <f>'Novia Web Query'!A1774</f>
        <v>GB0033029306</v>
      </c>
      <c r="B1777" t="str">
        <f>VLOOKUP(NoviaFunds[[#This Row],[ISIN]],'Novia Web Query'!$A:$E,2,FALSE)</f>
        <v>Invesco Managed Income (UK) Acc TR in GB</v>
      </c>
      <c r="C1777" t="str">
        <f>VLOOKUP(NoviaFunds[[#This Row],[ISIN]],'Novia Web Query'!$A:$E,3,FALSE)</f>
        <v>UT Mixed Investment 40-85% Shares</v>
      </c>
      <c r="D1777" s="139">
        <f>VLOOKUP(NoviaFunds[[#This Row],[ISIN]],'Novia Web Query'!$A:$E,4,FALSE)/100</f>
        <v>1.83E-2</v>
      </c>
      <c r="E1777" s="3" t="str">
        <f>VLOOKUP(NoviaFunds[[#This Row],[ISIN]],'Novia Web Query'!$A:$E,5,FALSE)</f>
        <v>17/02/2021</v>
      </c>
      <c r="F1777" t="str">
        <f>VLOOKUP(NoviaFunds[[#This Row],[Sector]],Sectors[],2,FALSE)</f>
        <v>Mixed 40%-85%</v>
      </c>
    </row>
    <row r="1778" spans="1:6" x14ac:dyDescent="0.2">
      <c r="A1778" t="str">
        <f>'Novia Web Query'!A1775</f>
        <v>GB0033052308</v>
      </c>
      <c r="B1778" t="str">
        <f>VLOOKUP(NoviaFunds[[#This Row],[ISIN]],'Novia Web Query'!$A:$E,2,FALSE)</f>
        <v>Invesco Managed Income (UK) Inc TR in GB</v>
      </c>
      <c r="C1778" t="str">
        <f>VLOOKUP(NoviaFunds[[#This Row],[ISIN]],'Novia Web Query'!$A:$E,3,FALSE)</f>
        <v>UT Mixed Investment 40-85% Shares</v>
      </c>
      <c r="D1778" s="139">
        <f>VLOOKUP(NoviaFunds[[#This Row],[ISIN]],'Novia Web Query'!$A:$E,4,FALSE)/100</f>
        <v>1.83E-2</v>
      </c>
      <c r="E1778" s="3" t="str">
        <f>VLOOKUP(NoviaFunds[[#This Row],[ISIN]],'Novia Web Query'!$A:$E,5,FALSE)</f>
        <v>17/02/2021</v>
      </c>
      <c r="F1778" t="str">
        <f>VLOOKUP(NoviaFunds[[#This Row],[Sector]],Sectors[],2,FALSE)</f>
        <v>Mixed 40%-85%</v>
      </c>
    </row>
    <row r="1779" spans="1:6" x14ac:dyDescent="0.2">
      <c r="A1779" t="str">
        <f>'Novia Web Query'!A1776</f>
        <v>GB00B8N46517</v>
      </c>
      <c r="B1779" t="str">
        <f>VLOOKUP(NoviaFunds[[#This Row],[ISIN]],'Novia Web Query'!$A:$E,2,FALSE)</f>
        <v>Invesco Managed Income (UK) Z Acc TR in GB</v>
      </c>
      <c r="C1779" t="str">
        <f>VLOOKUP(NoviaFunds[[#This Row],[ISIN]],'Novia Web Query'!$A:$E,3,FALSE)</f>
        <v>UT Mixed Investment 40-85% Shares</v>
      </c>
      <c r="D1779" s="139">
        <f>VLOOKUP(NoviaFunds[[#This Row],[ISIN]],'Novia Web Query'!$A:$E,4,FALSE)/100</f>
        <v>1.0800000000000001E-2</v>
      </c>
      <c r="E1779" s="3" t="str">
        <f>VLOOKUP(NoviaFunds[[#This Row],[ISIN]],'Novia Web Query'!$A:$E,5,FALSE)</f>
        <v>17/02/2021</v>
      </c>
      <c r="F1779" t="str">
        <f>VLOOKUP(NoviaFunds[[#This Row],[Sector]],Sectors[],2,FALSE)</f>
        <v>Mixed 40%-85%</v>
      </c>
    </row>
    <row r="1780" spans="1:6" x14ac:dyDescent="0.2">
      <c r="A1780" t="str">
        <f>'Novia Web Query'!A1777</f>
        <v>GB00B8N46624</v>
      </c>
      <c r="B1780" t="str">
        <f>VLOOKUP(NoviaFunds[[#This Row],[ISIN]],'Novia Web Query'!$A:$E,2,FALSE)</f>
        <v>Invesco Managed Income (UK) Z Inc TR in GB**</v>
      </c>
      <c r="C1780" t="str">
        <f>VLOOKUP(NoviaFunds[[#This Row],[ISIN]],'Novia Web Query'!$A:$E,3,FALSE)</f>
        <v>UT Mixed Investment 40-85% Shares</v>
      </c>
      <c r="D1780" s="139">
        <f>VLOOKUP(NoviaFunds[[#This Row],[ISIN]],'Novia Web Query'!$A:$E,4,FALSE)/100</f>
        <v>1.0800000000000001E-2</v>
      </c>
      <c r="E1780" s="3" t="str">
        <f>VLOOKUP(NoviaFunds[[#This Row],[ISIN]],'Novia Web Query'!$A:$E,5,FALSE)</f>
        <v>17/02/2021</v>
      </c>
      <c r="F1780" t="str">
        <f>VLOOKUP(NoviaFunds[[#This Row],[Sector]],Sectors[],2,FALSE)</f>
        <v>Mixed 40%-85%</v>
      </c>
    </row>
    <row r="1781" spans="1:6" x14ac:dyDescent="0.2">
      <c r="A1781" t="str">
        <f>'Novia Web Query'!A1778</f>
        <v>GB0033029413</v>
      </c>
      <c r="B1781" t="str">
        <f>VLOOKUP(NoviaFunds[[#This Row],[ISIN]],'Novia Web Query'!$A:$E,2,FALSE)</f>
        <v>Invesco Money (UK) No Trail Acc TR in GB</v>
      </c>
      <c r="C1781" t="str">
        <f>VLOOKUP(NoviaFunds[[#This Row],[ISIN]],'Novia Web Query'!$A:$E,3,FALSE)</f>
        <v>UT Standard Money Market</v>
      </c>
      <c r="D1781" s="139">
        <f>VLOOKUP(NoviaFunds[[#This Row],[ISIN]],'Novia Web Query'!$A:$E,4,FALSE)/100</f>
        <v>4.0000000000000001E-3</v>
      </c>
      <c r="E1781" s="3" t="str">
        <f>VLOOKUP(NoviaFunds[[#This Row],[ISIN]],'Novia Web Query'!$A:$E,5,FALSE)</f>
        <v>17/02/2021</v>
      </c>
      <c r="F1781" t="e">
        <f>VLOOKUP(NoviaFunds[[#This Row],[Sector]],Sectors[],2,FALSE)</f>
        <v>#N/A</v>
      </c>
    </row>
    <row r="1782" spans="1:6" x14ac:dyDescent="0.2">
      <c r="A1782" t="str">
        <f>'Novia Web Query'!A1779</f>
        <v>GB00BJ04JS57</v>
      </c>
      <c r="B1782" t="str">
        <f>VLOOKUP(NoviaFunds[[#This Row],[ISIN]],'Novia Web Query'!$A:$E,2,FALSE)</f>
        <v>Invesco Money (UK) Z Acc TR in GB</v>
      </c>
      <c r="C1782" t="str">
        <f>VLOOKUP(NoviaFunds[[#This Row],[ISIN]],'Novia Web Query'!$A:$E,3,FALSE)</f>
        <v>UT Standard Money Market</v>
      </c>
      <c r="D1782" s="139">
        <f>VLOOKUP(NoviaFunds[[#This Row],[ISIN]],'Novia Web Query'!$A:$E,4,FALSE)/100</f>
        <v>1.5E-3</v>
      </c>
      <c r="E1782" s="3" t="str">
        <f>VLOOKUP(NoviaFunds[[#This Row],[ISIN]],'Novia Web Query'!$A:$E,5,FALSE)</f>
        <v>17/02/2021</v>
      </c>
      <c r="F1782" t="e">
        <f>VLOOKUP(NoviaFunds[[#This Row],[Sector]],Sectors[],2,FALSE)</f>
        <v>#N/A</v>
      </c>
    </row>
    <row r="1783" spans="1:6" x14ac:dyDescent="0.2">
      <c r="A1783" t="str">
        <f>'Novia Web Query'!A1780</f>
        <v>GB0033028886</v>
      </c>
      <c r="B1783" t="str">
        <f>VLOOKUP(NoviaFunds[[#This Row],[ISIN]],'Novia Web Query'!$A:$E,2,FALSE)</f>
        <v>Invesco Monthly Income Plus (UK) Acc TR in GB</v>
      </c>
      <c r="C1783" t="str">
        <f>VLOOKUP(NoviaFunds[[#This Row],[ISIN]],'Novia Web Query'!$A:$E,3,FALSE)</f>
        <v>UT Sterling Strategic Bond</v>
      </c>
      <c r="D1783" s="139">
        <f>VLOOKUP(NoviaFunds[[#This Row],[ISIN]],'Novia Web Query'!$A:$E,4,FALSE)/100</f>
        <v>1.4199999999999999E-2</v>
      </c>
      <c r="E1783" s="3" t="str">
        <f>VLOOKUP(NoviaFunds[[#This Row],[ISIN]],'Novia Web Query'!$A:$E,5,FALSE)</f>
        <v>17/02/2021</v>
      </c>
      <c r="F1783" t="str">
        <f>VLOOKUP(NoviaFunds[[#This Row],[Sector]],Sectors[],2,FALSE)</f>
        <v>Other Bonds</v>
      </c>
    </row>
    <row r="1784" spans="1:6" x14ac:dyDescent="0.2">
      <c r="A1784" t="str">
        <f>'Novia Web Query'!A1781</f>
        <v>GB0033051334</v>
      </c>
      <c r="B1784" t="str">
        <f>VLOOKUP(NoviaFunds[[#This Row],[ISIN]],'Novia Web Query'!$A:$E,2,FALSE)</f>
        <v>Invesco Monthly Income Plus (UK) Inc TR in GB</v>
      </c>
      <c r="C1784" t="str">
        <f>VLOOKUP(NoviaFunds[[#This Row],[ISIN]],'Novia Web Query'!$A:$E,3,FALSE)</f>
        <v>UT Sterling Strategic Bond</v>
      </c>
      <c r="D1784" s="139">
        <f>VLOOKUP(NoviaFunds[[#This Row],[ISIN]],'Novia Web Query'!$A:$E,4,FALSE)/100</f>
        <v>1.4199999999999999E-2</v>
      </c>
      <c r="E1784" s="3" t="str">
        <f>VLOOKUP(NoviaFunds[[#This Row],[ISIN]],'Novia Web Query'!$A:$E,5,FALSE)</f>
        <v>17/02/2021</v>
      </c>
      <c r="F1784" t="str">
        <f>VLOOKUP(NoviaFunds[[#This Row],[Sector]],Sectors[],2,FALSE)</f>
        <v>Other Bonds</v>
      </c>
    </row>
    <row r="1785" spans="1:6" x14ac:dyDescent="0.2">
      <c r="A1785" t="str">
        <f>'Novia Web Query'!A1782</f>
        <v>GB00B1W7J204</v>
      </c>
      <c r="B1785" t="str">
        <f>VLOOKUP(NoviaFunds[[#This Row],[ISIN]],'Novia Web Query'!$A:$E,2,FALSE)</f>
        <v>Invesco Monthly Income Plus (UK) No Trail Acc TR in GB**</v>
      </c>
      <c r="C1785" t="str">
        <f>VLOOKUP(NoviaFunds[[#This Row],[ISIN]],'Novia Web Query'!$A:$E,3,FALSE)</f>
        <v>UT Sterling Strategic Bond</v>
      </c>
      <c r="D1785" s="139">
        <f>VLOOKUP(NoviaFunds[[#This Row],[ISIN]],'Novia Web Query'!$A:$E,4,FALSE)/100</f>
        <v>9.1999999999999998E-3</v>
      </c>
      <c r="E1785" s="3" t="str">
        <f>VLOOKUP(NoviaFunds[[#This Row],[ISIN]],'Novia Web Query'!$A:$E,5,FALSE)</f>
        <v>17/02/2021</v>
      </c>
      <c r="F1785" t="str">
        <f>VLOOKUP(NoviaFunds[[#This Row],[Sector]],Sectors[],2,FALSE)</f>
        <v>Other Bonds</v>
      </c>
    </row>
    <row r="1786" spans="1:6" x14ac:dyDescent="0.2">
      <c r="A1786" t="str">
        <f>'Novia Web Query'!A1783</f>
        <v>GB00B1W7J311</v>
      </c>
      <c r="B1786" t="str">
        <f>VLOOKUP(NoviaFunds[[#This Row],[ISIN]],'Novia Web Query'!$A:$E,2,FALSE)</f>
        <v>Invesco Monthly Income Plus (UK) No Trail Inc TR in GB**</v>
      </c>
      <c r="C1786" t="str">
        <f>VLOOKUP(NoviaFunds[[#This Row],[ISIN]],'Novia Web Query'!$A:$E,3,FALSE)</f>
        <v>UT Sterling Strategic Bond</v>
      </c>
      <c r="D1786" s="139">
        <f>VLOOKUP(NoviaFunds[[#This Row],[ISIN]],'Novia Web Query'!$A:$E,4,FALSE)/100</f>
        <v>9.1999999999999998E-3</v>
      </c>
      <c r="E1786" s="3" t="str">
        <f>VLOOKUP(NoviaFunds[[#This Row],[ISIN]],'Novia Web Query'!$A:$E,5,FALSE)</f>
        <v>17/02/2021</v>
      </c>
      <c r="F1786" t="str">
        <f>VLOOKUP(NoviaFunds[[#This Row],[Sector]],Sectors[],2,FALSE)</f>
        <v>Other Bonds</v>
      </c>
    </row>
    <row r="1787" spans="1:6" x14ac:dyDescent="0.2">
      <c r="A1787" t="str">
        <f>'Novia Web Query'!A1784</f>
        <v>GB00B8N45P45</v>
      </c>
      <c r="B1787" t="str">
        <f>VLOOKUP(NoviaFunds[[#This Row],[ISIN]],'Novia Web Query'!$A:$E,2,FALSE)</f>
        <v>Invesco Monthly Income Plus (UK) Z Acc TR in GB</v>
      </c>
      <c r="C1787" t="str">
        <f>VLOOKUP(NoviaFunds[[#This Row],[ISIN]],'Novia Web Query'!$A:$E,3,FALSE)</f>
        <v>UT Sterling Strategic Bond</v>
      </c>
      <c r="D1787" s="139">
        <f>VLOOKUP(NoviaFunds[[#This Row],[ISIN]],'Novia Web Query'!$A:$E,4,FALSE)/100</f>
        <v>7.1999999999999998E-3</v>
      </c>
      <c r="E1787" s="3" t="str">
        <f>VLOOKUP(NoviaFunds[[#This Row],[ISIN]],'Novia Web Query'!$A:$E,5,FALSE)</f>
        <v>17/02/2021</v>
      </c>
      <c r="F1787" t="str">
        <f>VLOOKUP(NoviaFunds[[#This Row],[Sector]],Sectors[],2,FALSE)</f>
        <v>Other Bonds</v>
      </c>
    </row>
    <row r="1788" spans="1:6" x14ac:dyDescent="0.2">
      <c r="A1788" t="str">
        <f>'Novia Web Query'!A1785</f>
        <v>GB00B8N45Q51</v>
      </c>
      <c r="B1788" t="str">
        <f>VLOOKUP(NoviaFunds[[#This Row],[ISIN]],'Novia Web Query'!$A:$E,2,FALSE)</f>
        <v>Invesco Monthly Income Plus (UK) Z Inc TR in GB**</v>
      </c>
      <c r="C1788" t="str">
        <f>VLOOKUP(NoviaFunds[[#This Row],[ISIN]],'Novia Web Query'!$A:$E,3,FALSE)</f>
        <v>UT Sterling Strategic Bond</v>
      </c>
      <c r="D1788" s="139">
        <f>VLOOKUP(NoviaFunds[[#This Row],[ISIN]],'Novia Web Query'!$A:$E,4,FALSE)/100</f>
        <v>7.1999999999999998E-3</v>
      </c>
      <c r="E1788" s="3" t="str">
        <f>VLOOKUP(NoviaFunds[[#This Row],[ISIN]],'Novia Web Query'!$A:$E,5,FALSE)</f>
        <v>17/02/2021</v>
      </c>
      <c r="F1788" t="str">
        <f>VLOOKUP(NoviaFunds[[#This Row],[Sector]],Sectors[],2,FALSE)</f>
        <v>Other Bonds</v>
      </c>
    </row>
    <row r="1789" spans="1:6" x14ac:dyDescent="0.2">
      <c r="A1789" t="str">
        <f>'Novia Web Query'!A1786</f>
        <v>GB0033028449</v>
      </c>
      <c r="B1789" t="str">
        <f>VLOOKUP(NoviaFunds[[#This Row],[ISIN]],'Novia Web Query'!$A:$E,2,FALSE)</f>
        <v>Invesco Pacific (UK) Acc TR in GB</v>
      </c>
      <c r="C1789" t="str">
        <f>VLOOKUP(NoviaFunds[[#This Row],[ISIN]],'Novia Web Query'!$A:$E,3,FALSE)</f>
        <v>UT Asia Pacific Including Japan</v>
      </c>
      <c r="D1789" s="139">
        <f>VLOOKUP(NoviaFunds[[#This Row],[ISIN]],'Novia Web Query'!$A:$E,4,FALSE)/100</f>
        <v>1.7100000000000001E-2</v>
      </c>
      <c r="E1789" s="3" t="str">
        <f>VLOOKUP(NoviaFunds[[#This Row],[ISIN]],'Novia Web Query'!$A:$E,5,FALSE)</f>
        <v>04/08/2021</v>
      </c>
      <c r="F1789" t="str">
        <f>VLOOKUP(NoviaFunds[[#This Row],[Sector]],Sectors[],2,FALSE)</f>
        <v>Asia Pacific</v>
      </c>
    </row>
    <row r="1790" spans="1:6" x14ac:dyDescent="0.2">
      <c r="A1790" t="str">
        <f>'Novia Web Query'!A1787</f>
        <v>GB0033049148</v>
      </c>
      <c r="B1790" t="str">
        <f>VLOOKUP(NoviaFunds[[#This Row],[ISIN]],'Novia Web Query'!$A:$E,2,FALSE)</f>
        <v>Invesco Pacific (UK) Inc TR in GB</v>
      </c>
      <c r="C1790" t="str">
        <f>VLOOKUP(NoviaFunds[[#This Row],[ISIN]],'Novia Web Query'!$A:$E,3,FALSE)</f>
        <v>UT Asia Pacific Including Japan</v>
      </c>
      <c r="D1790" s="139">
        <f>VLOOKUP(NoviaFunds[[#This Row],[ISIN]],'Novia Web Query'!$A:$E,4,FALSE)/100</f>
        <v>1.7100000000000001E-2</v>
      </c>
      <c r="E1790" s="3" t="str">
        <f>VLOOKUP(NoviaFunds[[#This Row],[ISIN]],'Novia Web Query'!$A:$E,5,FALSE)</f>
        <v>04/08/2021</v>
      </c>
      <c r="F1790" t="str">
        <f>VLOOKUP(NoviaFunds[[#This Row],[Sector]],Sectors[],2,FALSE)</f>
        <v>Asia Pacific</v>
      </c>
    </row>
    <row r="1791" spans="1:6" x14ac:dyDescent="0.2">
      <c r="A1791" t="str">
        <f>'Novia Web Query'!A1788</f>
        <v>GB00B8N44X53</v>
      </c>
      <c r="B1791" t="str">
        <f>VLOOKUP(NoviaFunds[[#This Row],[ISIN]],'Novia Web Query'!$A:$E,2,FALSE)</f>
        <v>Invesco Pacific (UK) Z Acc TR in GB</v>
      </c>
      <c r="C1791" t="str">
        <f>VLOOKUP(NoviaFunds[[#This Row],[ISIN]],'Novia Web Query'!$A:$E,3,FALSE)</f>
        <v>UT Asia Pacific Including Japan</v>
      </c>
      <c r="D1791" s="139">
        <f>VLOOKUP(NoviaFunds[[#This Row],[ISIN]],'Novia Web Query'!$A:$E,4,FALSE)/100</f>
        <v>9.5999999999999992E-3</v>
      </c>
      <c r="E1791" s="3" t="str">
        <f>VLOOKUP(NoviaFunds[[#This Row],[ISIN]],'Novia Web Query'!$A:$E,5,FALSE)</f>
        <v>04/08/2021</v>
      </c>
      <c r="F1791" t="str">
        <f>VLOOKUP(NoviaFunds[[#This Row],[Sector]],Sectors[],2,FALSE)</f>
        <v>Asia Pacific</v>
      </c>
    </row>
    <row r="1792" spans="1:6" x14ac:dyDescent="0.2">
      <c r="A1792" t="str">
        <f>'Novia Web Query'!A1789</f>
        <v>GB00B8N44Y60</v>
      </c>
      <c r="B1792" t="str">
        <f>VLOOKUP(NoviaFunds[[#This Row],[ISIN]],'Novia Web Query'!$A:$E,2,FALSE)</f>
        <v>Invesco Pacific (UK) Z Inc TR in GB**</v>
      </c>
      <c r="C1792" t="str">
        <f>VLOOKUP(NoviaFunds[[#This Row],[ISIN]],'Novia Web Query'!$A:$E,3,FALSE)</f>
        <v>UT Asia Pacific Including Japan</v>
      </c>
      <c r="D1792" s="139">
        <f>VLOOKUP(NoviaFunds[[#This Row],[ISIN]],'Novia Web Query'!$A:$E,4,FALSE)/100</f>
        <v>9.5999999999999992E-3</v>
      </c>
      <c r="E1792" s="3" t="str">
        <f>VLOOKUP(NoviaFunds[[#This Row],[ISIN]],'Novia Web Query'!$A:$E,5,FALSE)</f>
        <v>04/08/2021</v>
      </c>
      <c r="F1792" t="str">
        <f>VLOOKUP(NoviaFunds[[#This Row],[Sector]],Sectors[],2,FALSE)</f>
        <v>Asia Pacific</v>
      </c>
    </row>
    <row r="1793" spans="1:6" x14ac:dyDescent="0.2">
      <c r="A1793" t="str">
        <f>'Novia Web Query'!A1790</f>
        <v>GB0033028118</v>
      </c>
      <c r="B1793" t="str">
        <f>VLOOKUP(NoviaFunds[[#This Row],[ISIN]],'Novia Web Query'!$A:$E,2,FALSE)</f>
        <v>Invesco Responsible Japanese Equity Value Discovery (UK) Acc TR in GB</v>
      </c>
      <c r="C1793" t="str">
        <f>VLOOKUP(NoviaFunds[[#This Row],[ISIN]],'Novia Web Query'!$A:$E,3,FALSE)</f>
        <v>UT Japan</v>
      </c>
      <c r="D1793" s="139">
        <f>VLOOKUP(NoviaFunds[[#This Row],[ISIN]],'Novia Web Query'!$A:$E,4,FALSE)/100</f>
        <v>1.55E-2</v>
      </c>
      <c r="E1793" s="3" t="str">
        <f>VLOOKUP(NoviaFunds[[#This Row],[ISIN]],'Novia Web Query'!$A:$E,5,FALSE)</f>
        <v>21/06/2021</v>
      </c>
      <c r="F1793" t="str">
        <f>VLOOKUP(NoviaFunds[[#This Row],[Sector]],Sectors[],2,FALSE)</f>
        <v>Japanese Equities</v>
      </c>
    </row>
    <row r="1794" spans="1:6" x14ac:dyDescent="0.2">
      <c r="A1794" t="str">
        <f>'Novia Web Query'!A1791</f>
        <v>GB00B8N44W47</v>
      </c>
      <c r="B1794" t="str">
        <f>VLOOKUP(NoviaFunds[[#This Row],[ISIN]],'Novia Web Query'!$A:$E,2,FALSE)</f>
        <v>Invesco Responsible Japanese Equity Value Discovery (UK) Z Acc TR in GB</v>
      </c>
      <c r="C1794" t="str">
        <f>VLOOKUP(NoviaFunds[[#This Row],[ISIN]],'Novia Web Query'!$A:$E,3,FALSE)</f>
        <v>UT Japan</v>
      </c>
      <c r="D1794" s="139">
        <f>VLOOKUP(NoviaFunds[[#This Row],[ISIN]],'Novia Web Query'!$A:$E,4,FALSE)/100</f>
        <v>8.0000000000000002E-3</v>
      </c>
      <c r="E1794" s="3" t="str">
        <f>VLOOKUP(NoviaFunds[[#This Row],[ISIN]],'Novia Web Query'!$A:$E,5,FALSE)</f>
        <v>21/06/2021</v>
      </c>
      <c r="F1794" t="str">
        <f>VLOOKUP(NoviaFunds[[#This Row],[Sector]],Sectors[],2,FALSE)</f>
        <v>Japanese Equities</v>
      </c>
    </row>
    <row r="1795" spans="1:6" x14ac:dyDescent="0.2">
      <c r="A1795" t="str">
        <f>'Novia Web Query'!A1792</f>
        <v>GB00B4V74V60</v>
      </c>
      <c r="B1795" t="str">
        <f>VLOOKUP(NoviaFunds[[#This Row],[ISIN]],'Novia Web Query'!$A:$E,2,FALSE)</f>
        <v>Invesco Tactical Bond (UK) Acc TR in GB</v>
      </c>
      <c r="C1795" t="str">
        <f>VLOOKUP(NoviaFunds[[#This Row],[ISIN]],'Novia Web Query'!$A:$E,3,FALSE)</f>
        <v>UT Sterling Strategic Bond</v>
      </c>
      <c r="D1795" s="139">
        <f>VLOOKUP(NoviaFunds[[#This Row],[ISIN]],'Novia Web Query'!$A:$E,4,FALSE)/100</f>
        <v>1.44E-2</v>
      </c>
      <c r="E1795" s="3" t="str">
        <f>VLOOKUP(NoviaFunds[[#This Row],[ISIN]],'Novia Web Query'!$A:$E,5,FALSE)</f>
        <v>17/02/2021</v>
      </c>
      <c r="F1795" t="str">
        <f>VLOOKUP(NoviaFunds[[#This Row],[Sector]],Sectors[],2,FALSE)</f>
        <v>Other Bonds</v>
      </c>
    </row>
    <row r="1796" spans="1:6" x14ac:dyDescent="0.2">
      <c r="A1796" t="str">
        <f>'Novia Web Query'!A1793</f>
        <v>GB00B4V7X088</v>
      </c>
      <c r="B1796" t="str">
        <f>VLOOKUP(NoviaFunds[[#This Row],[ISIN]],'Novia Web Query'!$A:$E,2,FALSE)</f>
        <v>Invesco Tactical Bond (UK) Inc TR in GB</v>
      </c>
      <c r="C1796" t="str">
        <f>VLOOKUP(NoviaFunds[[#This Row],[ISIN]],'Novia Web Query'!$A:$E,3,FALSE)</f>
        <v>UT Sterling Strategic Bond</v>
      </c>
      <c r="D1796" s="139">
        <f>VLOOKUP(NoviaFunds[[#This Row],[ISIN]],'Novia Web Query'!$A:$E,4,FALSE)/100</f>
        <v>1.44E-2</v>
      </c>
      <c r="E1796" s="3" t="str">
        <f>VLOOKUP(NoviaFunds[[#This Row],[ISIN]],'Novia Web Query'!$A:$E,5,FALSE)</f>
        <v>17/02/2021</v>
      </c>
      <c r="F1796" t="str">
        <f>VLOOKUP(NoviaFunds[[#This Row],[Sector]],Sectors[],2,FALSE)</f>
        <v>Other Bonds</v>
      </c>
    </row>
    <row r="1797" spans="1:6" x14ac:dyDescent="0.2">
      <c r="A1797" t="str">
        <f>'Novia Web Query'!A1794</f>
        <v>GB00B8N45T82</v>
      </c>
      <c r="B1797" t="str">
        <f>VLOOKUP(NoviaFunds[[#This Row],[ISIN]],'Novia Web Query'!$A:$E,2,FALSE)</f>
        <v>Invesco Tactical Bond (UK) Z Acc TR in GB</v>
      </c>
      <c r="C1797" t="str">
        <f>VLOOKUP(NoviaFunds[[#This Row],[ISIN]],'Novia Web Query'!$A:$E,3,FALSE)</f>
        <v>UT Sterling Strategic Bond</v>
      </c>
      <c r="D1797" s="139">
        <f>VLOOKUP(NoviaFunds[[#This Row],[ISIN]],'Novia Web Query'!$A:$E,4,FALSE)/100</f>
        <v>7.4999999999999997E-3</v>
      </c>
      <c r="E1797" s="3" t="str">
        <f>VLOOKUP(NoviaFunds[[#This Row],[ISIN]],'Novia Web Query'!$A:$E,5,FALSE)</f>
        <v>17/02/2021</v>
      </c>
      <c r="F1797" t="str">
        <f>VLOOKUP(NoviaFunds[[#This Row],[Sector]],Sectors[],2,FALSE)</f>
        <v>Other Bonds</v>
      </c>
    </row>
    <row r="1798" spans="1:6" x14ac:dyDescent="0.2">
      <c r="A1798" t="str">
        <f>'Novia Web Query'!A1795</f>
        <v>GB00B8N45V05</v>
      </c>
      <c r="B1798" t="str">
        <f>VLOOKUP(NoviaFunds[[#This Row],[ISIN]],'Novia Web Query'!$A:$E,2,FALSE)</f>
        <v>Invesco Tactical Bond (UK) Z Inc TR in GB**</v>
      </c>
      <c r="C1798" t="str">
        <f>VLOOKUP(NoviaFunds[[#This Row],[ISIN]],'Novia Web Query'!$A:$E,3,FALSE)</f>
        <v>UT Sterling Strategic Bond</v>
      </c>
      <c r="D1798" s="139">
        <f>VLOOKUP(NoviaFunds[[#This Row],[ISIN]],'Novia Web Query'!$A:$E,4,FALSE)/100</f>
        <v>7.4999999999999997E-3</v>
      </c>
      <c r="E1798" s="3" t="str">
        <f>VLOOKUP(NoviaFunds[[#This Row],[ISIN]],'Novia Web Query'!$A:$E,5,FALSE)</f>
        <v>17/02/2021</v>
      </c>
      <c r="F1798" t="str">
        <f>VLOOKUP(NoviaFunds[[#This Row],[Sector]],Sectors[],2,FALSE)</f>
        <v>Other Bonds</v>
      </c>
    </row>
    <row r="1799" spans="1:6" x14ac:dyDescent="0.2">
      <c r="A1799" t="str">
        <f>'Novia Web Query'!A1796</f>
        <v>GB0033031047</v>
      </c>
      <c r="B1799" t="str">
        <f>VLOOKUP(NoviaFunds[[#This Row],[ISIN]],'Novia Web Query'!$A:$E,2,FALSE)</f>
        <v>Invesco UK Companies (UK) No Trail Acc in GB</v>
      </c>
      <c r="C1799" t="str">
        <f>VLOOKUP(NoviaFunds[[#This Row],[ISIN]],'Novia Web Query'!$A:$E,3,FALSE)</f>
        <v>UT UK All Companies</v>
      </c>
      <c r="D1799" s="139">
        <f>VLOOKUP(NoviaFunds[[#This Row],[ISIN]],'Novia Web Query'!$A:$E,4,FALSE)/100</f>
        <v>1.1599999999999999E-2</v>
      </c>
      <c r="E1799" s="3" t="str">
        <f>VLOOKUP(NoviaFunds[[#This Row],[ISIN]],'Novia Web Query'!$A:$E,5,FALSE)</f>
        <v>17/02/2021</v>
      </c>
      <c r="F1799" t="str">
        <f>VLOOKUP(NoviaFunds[[#This Row],[Sector]],Sectors[],2,FALSE)</f>
        <v>UK Equities</v>
      </c>
    </row>
    <row r="1800" spans="1:6" x14ac:dyDescent="0.2">
      <c r="A1800" t="str">
        <f>'Novia Web Query'!A1797</f>
        <v>GB00B8N46K64</v>
      </c>
      <c r="B1800" t="str">
        <f>VLOOKUP(NoviaFunds[[#This Row],[ISIN]],'Novia Web Query'!$A:$E,2,FALSE)</f>
        <v>Invesco UK Companies (UK) Z Acc TR in GB</v>
      </c>
      <c r="C1800" t="str">
        <f>VLOOKUP(NoviaFunds[[#This Row],[ISIN]],'Novia Web Query'!$A:$E,3,FALSE)</f>
        <v>UT UK All Companies</v>
      </c>
      <c r="D1800" s="139">
        <f>VLOOKUP(NoviaFunds[[#This Row],[ISIN]],'Novia Web Query'!$A:$E,4,FALSE)/100</f>
        <v>9.1000000000000004E-3</v>
      </c>
      <c r="E1800" s="3" t="str">
        <f>VLOOKUP(NoviaFunds[[#This Row],[ISIN]],'Novia Web Query'!$A:$E,5,FALSE)</f>
        <v>17/02/2021</v>
      </c>
      <c r="F1800" t="str">
        <f>VLOOKUP(NoviaFunds[[#This Row],[Sector]],Sectors[],2,FALSE)</f>
        <v>UK Equities</v>
      </c>
    </row>
    <row r="1801" spans="1:6" x14ac:dyDescent="0.2">
      <c r="A1801" t="str">
        <f>'Novia Web Query'!A1798</f>
        <v>GB00BZ8GWY28</v>
      </c>
      <c r="B1801" t="str">
        <f>VLOOKUP(NoviaFunds[[#This Row],[ISIN]],'Novia Web Query'!$A:$E,2,FALSE)</f>
        <v>Invesco UK Enhanced Index (UK) Z Acc in GB</v>
      </c>
      <c r="C1801" t="str">
        <f>VLOOKUP(NoviaFunds[[#This Row],[ISIN]],'Novia Web Query'!$A:$E,3,FALSE)</f>
        <v>UT UK All Companies</v>
      </c>
      <c r="D1801" s="139">
        <f>VLOOKUP(NoviaFunds[[#This Row],[ISIN]],'Novia Web Query'!$A:$E,4,FALSE)/100</f>
        <v>2.3999999999999998E-3</v>
      </c>
      <c r="E1801" s="3" t="str">
        <f>VLOOKUP(NoviaFunds[[#This Row],[ISIN]],'Novia Web Query'!$A:$E,5,FALSE)</f>
        <v>17/02/2021</v>
      </c>
      <c r="F1801" t="str">
        <f>VLOOKUP(NoviaFunds[[#This Row],[Sector]],Sectors[],2,FALSE)</f>
        <v>UK Equities</v>
      </c>
    </row>
    <row r="1802" spans="1:6" x14ac:dyDescent="0.2">
      <c r="A1802" t="str">
        <f>'Novia Web Query'!A1799</f>
        <v>GB00BZ8GWZ35</v>
      </c>
      <c r="B1802" t="str">
        <f>VLOOKUP(NoviaFunds[[#This Row],[ISIN]],'Novia Web Query'!$A:$E,2,FALSE)</f>
        <v>Invesco UK Enhanced Index (UK) Z Inc TR in GB**</v>
      </c>
      <c r="C1802" t="str">
        <f>VLOOKUP(NoviaFunds[[#This Row],[ISIN]],'Novia Web Query'!$A:$E,3,FALSE)</f>
        <v>UT UK All Companies</v>
      </c>
      <c r="D1802" s="139">
        <f>VLOOKUP(NoviaFunds[[#This Row],[ISIN]],'Novia Web Query'!$A:$E,4,FALSE)/100</f>
        <v>2.3999999999999998E-3</v>
      </c>
      <c r="E1802" s="3" t="str">
        <f>VLOOKUP(NoviaFunds[[#This Row],[ISIN]],'Novia Web Query'!$A:$E,5,FALSE)</f>
        <v>17/02/2021</v>
      </c>
      <c r="F1802" t="str">
        <f>VLOOKUP(NoviaFunds[[#This Row],[Sector]],Sectors[],2,FALSE)</f>
        <v>UK Equities</v>
      </c>
    </row>
    <row r="1803" spans="1:6" x14ac:dyDescent="0.2">
      <c r="A1803" t="str">
        <f>'Novia Web Query'!A1800</f>
        <v>GB0033031484</v>
      </c>
      <c r="B1803" t="str">
        <f>VLOOKUP(NoviaFunds[[#This Row],[ISIN]],'Novia Web Query'!$A:$E,2,FALSE)</f>
        <v>Invesco UK Equity High Income (UK) Acc TR in GB</v>
      </c>
      <c r="C1803" t="str">
        <f>VLOOKUP(NoviaFunds[[#This Row],[ISIN]],'Novia Web Query'!$A:$E,3,FALSE)</f>
        <v>UT UK All Companies</v>
      </c>
      <c r="D1803" s="139">
        <f>VLOOKUP(NoviaFunds[[#This Row],[ISIN]],'Novia Web Query'!$A:$E,4,FALSE)/100</f>
        <v>1.67E-2</v>
      </c>
      <c r="E1803" s="3" t="str">
        <f>VLOOKUP(NoviaFunds[[#This Row],[ISIN]],'Novia Web Query'!$A:$E,5,FALSE)</f>
        <v>17/02/2021</v>
      </c>
      <c r="F1803" t="str">
        <f>VLOOKUP(NoviaFunds[[#This Row],[Sector]],Sectors[],2,FALSE)</f>
        <v>UK Equities</v>
      </c>
    </row>
    <row r="1804" spans="1:6" x14ac:dyDescent="0.2">
      <c r="A1804" t="str">
        <f>'Novia Web Query'!A1801</f>
        <v>GB0033054015</v>
      </c>
      <c r="B1804" t="str">
        <f>VLOOKUP(NoviaFunds[[#This Row],[ISIN]],'Novia Web Query'!$A:$E,2,FALSE)</f>
        <v>Invesco UK Equity High Income (UK) Inc TR in GB</v>
      </c>
      <c r="C1804" t="str">
        <f>VLOOKUP(NoviaFunds[[#This Row],[ISIN]],'Novia Web Query'!$A:$E,3,FALSE)</f>
        <v>UT UK All Companies</v>
      </c>
      <c r="D1804" s="139">
        <f>VLOOKUP(NoviaFunds[[#This Row],[ISIN]],'Novia Web Query'!$A:$E,4,FALSE)/100</f>
        <v>1.67E-2</v>
      </c>
      <c r="E1804" s="3" t="str">
        <f>VLOOKUP(NoviaFunds[[#This Row],[ISIN]],'Novia Web Query'!$A:$E,5,FALSE)</f>
        <v>17/02/2021</v>
      </c>
      <c r="F1804" t="str">
        <f>VLOOKUP(NoviaFunds[[#This Row],[Sector]],Sectors[],2,FALSE)</f>
        <v>UK Equities</v>
      </c>
    </row>
    <row r="1805" spans="1:6" x14ac:dyDescent="0.2">
      <c r="A1805" t="str">
        <f>'Novia Web Query'!A1802</f>
        <v>GB00B1W7HH10</v>
      </c>
      <c r="B1805" t="str">
        <f>VLOOKUP(NoviaFunds[[#This Row],[ISIN]],'Novia Web Query'!$A:$E,2,FALSE)</f>
        <v>Invesco UK Equity High Income (UK) No Trail Acc TR in GB**</v>
      </c>
      <c r="C1805" t="str">
        <f>VLOOKUP(NoviaFunds[[#This Row],[ISIN]],'Novia Web Query'!$A:$E,3,FALSE)</f>
        <v>UT UK All Companies</v>
      </c>
      <c r="D1805" s="139">
        <f>VLOOKUP(NoviaFunds[[#This Row],[ISIN]],'Novia Web Query'!$A:$E,4,FALSE)/100</f>
        <v>1.1699999999999999E-2</v>
      </c>
      <c r="E1805" s="3" t="str">
        <f>VLOOKUP(NoviaFunds[[#This Row],[ISIN]],'Novia Web Query'!$A:$E,5,FALSE)</f>
        <v>17/02/2021</v>
      </c>
      <c r="F1805" t="str">
        <f>VLOOKUP(NoviaFunds[[#This Row],[Sector]],Sectors[],2,FALSE)</f>
        <v>UK Equities</v>
      </c>
    </row>
    <row r="1806" spans="1:6" x14ac:dyDescent="0.2">
      <c r="A1806" t="str">
        <f>'Novia Web Query'!A1803</f>
        <v>GB00B1W7HJ34</v>
      </c>
      <c r="B1806" t="str">
        <f>VLOOKUP(NoviaFunds[[#This Row],[ISIN]],'Novia Web Query'!$A:$E,2,FALSE)</f>
        <v>Invesco UK Equity High Income (UK) No Trail Inc TR in GB**</v>
      </c>
      <c r="C1806" t="str">
        <f>VLOOKUP(NoviaFunds[[#This Row],[ISIN]],'Novia Web Query'!$A:$E,3,FALSE)</f>
        <v>UT UK All Companies</v>
      </c>
      <c r="D1806" s="139">
        <f>VLOOKUP(NoviaFunds[[#This Row],[ISIN]],'Novia Web Query'!$A:$E,4,FALSE)/100</f>
        <v>1.1699999999999999E-2</v>
      </c>
      <c r="E1806" s="3" t="str">
        <f>VLOOKUP(NoviaFunds[[#This Row],[ISIN]],'Novia Web Query'!$A:$E,5,FALSE)</f>
        <v>17/02/2021</v>
      </c>
      <c r="F1806" t="str">
        <f>VLOOKUP(NoviaFunds[[#This Row],[Sector]],Sectors[],2,FALSE)</f>
        <v>UK Equities</v>
      </c>
    </row>
    <row r="1807" spans="1:6" x14ac:dyDescent="0.2">
      <c r="A1807" t="str">
        <f>'Novia Web Query'!A1804</f>
        <v>GB00B8N46L71</v>
      </c>
      <c r="B1807" t="str">
        <f>VLOOKUP(NoviaFunds[[#This Row],[ISIN]],'Novia Web Query'!$A:$E,2,FALSE)</f>
        <v>Invesco UK Equity High Income (UK) Z Acc TR in GB</v>
      </c>
      <c r="C1807" t="str">
        <f>VLOOKUP(NoviaFunds[[#This Row],[ISIN]],'Novia Web Query'!$A:$E,3,FALSE)</f>
        <v>UT UK All Companies</v>
      </c>
      <c r="D1807" s="139">
        <f>VLOOKUP(NoviaFunds[[#This Row],[ISIN]],'Novia Web Query'!$A:$E,4,FALSE)/100</f>
        <v>9.1999999999999998E-3</v>
      </c>
      <c r="E1807" s="3" t="str">
        <f>VLOOKUP(NoviaFunds[[#This Row],[ISIN]],'Novia Web Query'!$A:$E,5,FALSE)</f>
        <v>17/02/2021</v>
      </c>
      <c r="F1807" t="str">
        <f>VLOOKUP(NoviaFunds[[#This Row],[Sector]],Sectors[],2,FALSE)</f>
        <v>UK Equities</v>
      </c>
    </row>
    <row r="1808" spans="1:6" x14ac:dyDescent="0.2">
      <c r="A1808" t="str">
        <f>'Novia Web Query'!A1805</f>
        <v>GB00B8N46M88</v>
      </c>
      <c r="B1808" t="str">
        <f>VLOOKUP(NoviaFunds[[#This Row],[ISIN]],'Novia Web Query'!$A:$E,2,FALSE)</f>
        <v>Invesco UK Equity High Income (UK) Z Inc TR in GB**</v>
      </c>
      <c r="C1808" t="str">
        <f>VLOOKUP(NoviaFunds[[#This Row],[ISIN]],'Novia Web Query'!$A:$E,3,FALSE)</f>
        <v>UT UK All Companies</v>
      </c>
      <c r="D1808" s="139">
        <f>VLOOKUP(NoviaFunds[[#This Row],[ISIN]],'Novia Web Query'!$A:$E,4,FALSE)/100</f>
        <v>9.1999999999999998E-3</v>
      </c>
      <c r="E1808" s="3" t="str">
        <f>VLOOKUP(NoviaFunds[[#This Row],[ISIN]],'Novia Web Query'!$A:$E,5,FALSE)</f>
        <v>17/02/2021</v>
      </c>
      <c r="F1808" t="str">
        <f>VLOOKUP(NoviaFunds[[#This Row],[Sector]],Sectors[],2,FALSE)</f>
        <v>UK Equities</v>
      </c>
    </row>
    <row r="1809" spans="1:6" x14ac:dyDescent="0.2">
      <c r="A1809" t="str">
        <f>'Novia Web Query'!A1806</f>
        <v>GB0033031260</v>
      </c>
      <c r="B1809" t="str">
        <f>VLOOKUP(NoviaFunds[[#This Row],[ISIN]],'Novia Web Query'!$A:$E,2,FALSE)</f>
        <v>Invesco UK Equity Income (UK) Acc TR in GB</v>
      </c>
      <c r="C1809" t="str">
        <f>VLOOKUP(NoviaFunds[[#This Row],[ISIN]],'Novia Web Query'!$A:$E,3,FALSE)</f>
        <v>UT UK All Companies</v>
      </c>
      <c r="D1809" s="139">
        <f>VLOOKUP(NoviaFunds[[#This Row],[ISIN]],'Novia Web Query'!$A:$E,4,FALSE)/100</f>
        <v>1.66E-2</v>
      </c>
      <c r="E1809" s="3" t="str">
        <f>VLOOKUP(NoviaFunds[[#This Row],[ISIN]],'Novia Web Query'!$A:$E,5,FALSE)</f>
        <v>17/02/2021</v>
      </c>
      <c r="F1809" t="str">
        <f>VLOOKUP(NoviaFunds[[#This Row],[Sector]],Sectors[],2,FALSE)</f>
        <v>UK Equities</v>
      </c>
    </row>
    <row r="1810" spans="1:6" x14ac:dyDescent="0.2">
      <c r="A1810" t="str">
        <f>'Novia Web Query'!A1807</f>
        <v>GB0033053827</v>
      </c>
      <c r="B1810" t="str">
        <f>VLOOKUP(NoviaFunds[[#This Row],[ISIN]],'Novia Web Query'!$A:$E,2,FALSE)</f>
        <v>Invesco UK Equity Income (UK) Inc TR in GB</v>
      </c>
      <c r="C1810" t="str">
        <f>VLOOKUP(NoviaFunds[[#This Row],[ISIN]],'Novia Web Query'!$A:$E,3,FALSE)</f>
        <v>UT UK All Companies</v>
      </c>
      <c r="D1810" s="139">
        <f>VLOOKUP(NoviaFunds[[#This Row],[ISIN]],'Novia Web Query'!$A:$E,4,FALSE)/100</f>
        <v>1.66E-2</v>
      </c>
      <c r="E1810" s="3" t="str">
        <f>VLOOKUP(NoviaFunds[[#This Row],[ISIN]],'Novia Web Query'!$A:$E,5,FALSE)</f>
        <v>17/02/2021</v>
      </c>
      <c r="F1810" t="str">
        <f>VLOOKUP(NoviaFunds[[#This Row],[Sector]],Sectors[],2,FALSE)</f>
        <v>UK Equities</v>
      </c>
    </row>
    <row r="1811" spans="1:6" x14ac:dyDescent="0.2">
      <c r="A1811" t="str">
        <f>'Novia Web Query'!A1808</f>
        <v>GB00B1W7HK49</v>
      </c>
      <c r="B1811" t="str">
        <f>VLOOKUP(NoviaFunds[[#This Row],[ISIN]],'Novia Web Query'!$A:$E,2,FALSE)</f>
        <v>Invesco UK Equity Income (UK) No Trail Acc TR in GB**</v>
      </c>
      <c r="C1811" t="str">
        <f>VLOOKUP(NoviaFunds[[#This Row],[ISIN]],'Novia Web Query'!$A:$E,3,FALSE)</f>
        <v>UT UK All Companies</v>
      </c>
      <c r="D1811" s="139">
        <f>VLOOKUP(NoviaFunds[[#This Row],[ISIN]],'Novia Web Query'!$A:$E,4,FALSE)/100</f>
        <v>1.1599999999999999E-2</v>
      </c>
      <c r="E1811" s="3" t="str">
        <f>VLOOKUP(NoviaFunds[[#This Row],[ISIN]],'Novia Web Query'!$A:$E,5,FALSE)</f>
        <v>17/02/2021</v>
      </c>
      <c r="F1811" t="str">
        <f>VLOOKUP(NoviaFunds[[#This Row],[Sector]],Sectors[],2,FALSE)</f>
        <v>UK Equities</v>
      </c>
    </row>
    <row r="1812" spans="1:6" x14ac:dyDescent="0.2">
      <c r="A1812" t="str">
        <f>'Novia Web Query'!A1809</f>
        <v>GB00B1W7HL55</v>
      </c>
      <c r="B1812" t="str">
        <f>VLOOKUP(NoviaFunds[[#This Row],[ISIN]],'Novia Web Query'!$A:$E,2,FALSE)</f>
        <v>Invesco UK Equity Income (UK) No Trail Inc TR in GB**</v>
      </c>
      <c r="C1812" t="str">
        <f>VLOOKUP(NoviaFunds[[#This Row],[ISIN]],'Novia Web Query'!$A:$E,3,FALSE)</f>
        <v>UT UK All Companies</v>
      </c>
      <c r="D1812" s="139">
        <f>VLOOKUP(NoviaFunds[[#This Row],[ISIN]],'Novia Web Query'!$A:$E,4,FALSE)/100</f>
        <v>1.1599999999999999E-2</v>
      </c>
      <c r="E1812" s="3" t="str">
        <f>VLOOKUP(NoviaFunds[[#This Row],[ISIN]],'Novia Web Query'!$A:$E,5,FALSE)</f>
        <v>17/02/2021</v>
      </c>
      <c r="F1812" t="str">
        <f>VLOOKUP(NoviaFunds[[#This Row],[Sector]],Sectors[],2,FALSE)</f>
        <v>UK Equities</v>
      </c>
    </row>
    <row r="1813" spans="1:6" x14ac:dyDescent="0.2">
      <c r="A1813" t="str">
        <f>'Novia Web Query'!A1810</f>
        <v>GB00B8N46V79</v>
      </c>
      <c r="B1813" t="str">
        <f>VLOOKUP(NoviaFunds[[#This Row],[ISIN]],'Novia Web Query'!$A:$E,2,FALSE)</f>
        <v>Invesco UK Equity Income (UK) Z Acc TR in GB</v>
      </c>
      <c r="C1813" t="str">
        <f>VLOOKUP(NoviaFunds[[#This Row],[ISIN]],'Novia Web Query'!$A:$E,3,FALSE)</f>
        <v>UT UK All Companies</v>
      </c>
      <c r="D1813" s="139">
        <f>VLOOKUP(NoviaFunds[[#This Row],[ISIN]],'Novia Web Query'!$A:$E,4,FALSE)/100</f>
        <v>9.1000000000000004E-3</v>
      </c>
      <c r="E1813" s="3" t="str">
        <f>VLOOKUP(NoviaFunds[[#This Row],[ISIN]],'Novia Web Query'!$A:$E,5,FALSE)</f>
        <v>17/02/2021</v>
      </c>
      <c r="F1813" t="str">
        <f>VLOOKUP(NoviaFunds[[#This Row],[Sector]],Sectors[],2,FALSE)</f>
        <v>UK Equities</v>
      </c>
    </row>
    <row r="1814" spans="1:6" x14ac:dyDescent="0.2">
      <c r="A1814" t="str">
        <f>'Novia Web Query'!A1811</f>
        <v>GB00B8N46W86</v>
      </c>
      <c r="B1814" t="str">
        <f>VLOOKUP(NoviaFunds[[#This Row],[ISIN]],'Novia Web Query'!$A:$E,2,FALSE)</f>
        <v>Invesco UK Equity Income (UK) Z Inc TR in GB**</v>
      </c>
      <c r="C1814" t="str">
        <f>VLOOKUP(NoviaFunds[[#This Row],[ISIN]],'Novia Web Query'!$A:$E,3,FALSE)</f>
        <v>UT UK All Companies</v>
      </c>
      <c r="D1814" s="139">
        <f>VLOOKUP(NoviaFunds[[#This Row],[ISIN]],'Novia Web Query'!$A:$E,4,FALSE)/100</f>
        <v>9.1000000000000004E-3</v>
      </c>
      <c r="E1814" s="3" t="str">
        <f>VLOOKUP(NoviaFunds[[#This Row],[ISIN]],'Novia Web Query'!$A:$E,5,FALSE)</f>
        <v>17/02/2021</v>
      </c>
      <c r="F1814" t="str">
        <f>VLOOKUP(NoviaFunds[[#This Row],[Sector]],Sectors[],2,FALSE)</f>
        <v>UK Equities</v>
      </c>
    </row>
    <row r="1815" spans="1:6" x14ac:dyDescent="0.2">
      <c r="A1815" t="str">
        <f>'Novia Web Query'!A1812</f>
        <v>GB0033031153</v>
      </c>
      <c r="B1815" t="str">
        <f>VLOOKUP(NoviaFunds[[#This Row],[ISIN]],'Novia Web Query'!$A:$E,2,FALSE)</f>
        <v>Invesco UK Opportunities (UK) Acc TR in GB</v>
      </c>
      <c r="C1815" t="str">
        <f>VLOOKUP(NoviaFunds[[#This Row],[ISIN]],'Novia Web Query'!$A:$E,3,FALSE)</f>
        <v>UT UK All Companies</v>
      </c>
      <c r="D1815" s="139">
        <f>VLOOKUP(NoviaFunds[[#This Row],[ISIN]],'Novia Web Query'!$A:$E,4,FALSE)/100</f>
        <v>1.66E-2</v>
      </c>
      <c r="E1815" s="3" t="str">
        <f>VLOOKUP(NoviaFunds[[#This Row],[ISIN]],'Novia Web Query'!$A:$E,5,FALSE)</f>
        <v>17/02/2021</v>
      </c>
      <c r="F1815" t="str">
        <f>VLOOKUP(NoviaFunds[[#This Row],[Sector]],Sectors[],2,FALSE)</f>
        <v>UK Equities</v>
      </c>
    </row>
    <row r="1816" spans="1:6" x14ac:dyDescent="0.2">
      <c r="A1816" t="str">
        <f>'Novia Web Query'!A1813</f>
        <v>GB0033053710</v>
      </c>
      <c r="B1816" t="str">
        <f>VLOOKUP(NoviaFunds[[#This Row],[ISIN]],'Novia Web Query'!$A:$E,2,FALSE)</f>
        <v>Invesco UK Opportunities (UK) Inc TR in GB</v>
      </c>
      <c r="C1816" t="str">
        <f>VLOOKUP(NoviaFunds[[#This Row],[ISIN]],'Novia Web Query'!$A:$E,3,FALSE)</f>
        <v>UT UK All Companies</v>
      </c>
      <c r="D1816" s="139">
        <f>VLOOKUP(NoviaFunds[[#This Row],[ISIN]],'Novia Web Query'!$A:$E,4,FALSE)/100</f>
        <v>1.66E-2</v>
      </c>
      <c r="E1816" s="3" t="str">
        <f>VLOOKUP(NoviaFunds[[#This Row],[ISIN]],'Novia Web Query'!$A:$E,5,FALSE)</f>
        <v>17/02/2021</v>
      </c>
      <c r="F1816" t="str">
        <f>VLOOKUP(NoviaFunds[[#This Row],[Sector]],Sectors[],2,FALSE)</f>
        <v>UK Equities</v>
      </c>
    </row>
    <row r="1817" spans="1:6" x14ac:dyDescent="0.2">
      <c r="A1817" t="str">
        <f>'Novia Web Query'!A1814</f>
        <v>GB00B8N46S41</v>
      </c>
      <c r="B1817" t="str">
        <f>VLOOKUP(NoviaFunds[[#This Row],[ISIN]],'Novia Web Query'!$A:$E,2,FALSE)</f>
        <v>Invesco UK Opportunities (UK) Z Acc in GB</v>
      </c>
      <c r="C1817" t="str">
        <f>VLOOKUP(NoviaFunds[[#This Row],[ISIN]],'Novia Web Query'!$A:$E,3,FALSE)</f>
        <v>UT UK All Companies</v>
      </c>
      <c r="D1817" s="139">
        <f>VLOOKUP(NoviaFunds[[#This Row],[ISIN]],'Novia Web Query'!$A:$E,4,FALSE)/100</f>
        <v>9.1000000000000004E-3</v>
      </c>
      <c r="E1817" s="3" t="str">
        <f>VLOOKUP(NoviaFunds[[#This Row],[ISIN]],'Novia Web Query'!$A:$E,5,FALSE)</f>
        <v>17/02/2021</v>
      </c>
      <c r="F1817" t="str">
        <f>VLOOKUP(NoviaFunds[[#This Row],[Sector]],Sectors[],2,FALSE)</f>
        <v>UK Equities</v>
      </c>
    </row>
    <row r="1818" spans="1:6" x14ac:dyDescent="0.2">
      <c r="A1818" t="str">
        <f>'Novia Web Query'!A1815</f>
        <v>GB00B8N46T57</v>
      </c>
      <c r="B1818" t="str">
        <f>VLOOKUP(NoviaFunds[[#This Row],[ISIN]],'Novia Web Query'!$A:$E,2,FALSE)</f>
        <v>Invesco UK Opportunities (UK) Z Inc TR in GB**</v>
      </c>
      <c r="C1818" t="str">
        <f>VLOOKUP(NoviaFunds[[#This Row],[ISIN]],'Novia Web Query'!$A:$E,3,FALSE)</f>
        <v>UT UK All Companies</v>
      </c>
      <c r="D1818" s="139">
        <f>VLOOKUP(NoviaFunds[[#This Row],[ISIN]],'Novia Web Query'!$A:$E,4,FALSE)/100</f>
        <v>9.1000000000000004E-3</v>
      </c>
      <c r="E1818" s="3" t="str">
        <f>VLOOKUP(NoviaFunds[[#This Row],[ISIN]],'Novia Web Query'!$A:$E,5,FALSE)</f>
        <v>17/02/2021</v>
      </c>
      <c r="F1818" t="str">
        <f>VLOOKUP(NoviaFunds[[#This Row],[Sector]],Sectors[],2,FALSE)</f>
        <v>UK Equities</v>
      </c>
    </row>
    <row r="1819" spans="1:6" x14ac:dyDescent="0.2">
      <c r="A1819" t="str">
        <f>'Novia Web Query'!A1816</f>
        <v>GB0033030528</v>
      </c>
      <c r="B1819" t="str">
        <f>VLOOKUP(NoviaFunds[[#This Row],[ISIN]],'Novia Web Query'!$A:$E,2,FALSE)</f>
        <v>Invesco UK Smaller Companies Equity (UK) Acc in GB</v>
      </c>
      <c r="C1819" t="str">
        <f>VLOOKUP(NoviaFunds[[#This Row],[ISIN]],'Novia Web Query'!$A:$E,3,FALSE)</f>
        <v>UT UK Smaller Companies</v>
      </c>
      <c r="D1819" s="139">
        <f>VLOOKUP(NoviaFunds[[#This Row],[ISIN]],'Novia Web Query'!$A:$E,4,FALSE)/100</f>
        <v>1.67E-2</v>
      </c>
      <c r="E1819" s="3" t="str">
        <f>VLOOKUP(NoviaFunds[[#This Row],[ISIN]],'Novia Web Query'!$A:$E,5,FALSE)</f>
        <v>17/02/2021</v>
      </c>
      <c r="F1819" t="str">
        <f>VLOOKUP(NoviaFunds[[#This Row],[Sector]],Sectors[],2,FALSE)</f>
        <v>UK Equities</v>
      </c>
    </row>
    <row r="1820" spans="1:6" x14ac:dyDescent="0.2">
      <c r="A1820" t="str">
        <f>'Novia Web Query'!A1817</f>
        <v>GB0033113019</v>
      </c>
      <c r="B1820" t="str">
        <f>VLOOKUP(NoviaFunds[[#This Row],[ISIN]],'Novia Web Query'!$A:$E,2,FALSE)</f>
        <v>Invesco UK Smaller Companies Equity (UK) Inc TR in GB</v>
      </c>
      <c r="C1820" t="str">
        <f>VLOOKUP(NoviaFunds[[#This Row],[ISIN]],'Novia Web Query'!$A:$E,3,FALSE)</f>
        <v>UT UK Smaller Companies</v>
      </c>
      <c r="D1820" s="139">
        <f>VLOOKUP(NoviaFunds[[#This Row],[ISIN]],'Novia Web Query'!$A:$E,4,FALSE)/100</f>
        <v>1.67E-2</v>
      </c>
      <c r="E1820" s="3" t="str">
        <f>VLOOKUP(NoviaFunds[[#This Row],[ISIN]],'Novia Web Query'!$A:$E,5,FALSE)</f>
        <v>17/02/2021</v>
      </c>
      <c r="F1820" t="str">
        <f>VLOOKUP(NoviaFunds[[#This Row],[Sector]],Sectors[],2,FALSE)</f>
        <v>UK Equities</v>
      </c>
    </row>
    <row r="1821" spans="1:6" x14ac:dyDescent="0.2">
      <c r="A1821" t="str">
        <f>'Novia Web Query'!A1818</f>
        <v>GB00B8N46H36</v>
      </c>
      <c r="B1821" t="str">
        <f>VLOOKUP(NoviaFunds[[#This Row],[ISIN]],'Novia Web Query'!$A:$E,2,FALSE)</f>
        <v>Invesco UK Smaller Companies Equity (UK) Z Acc TR in GB</v>
      </c>
      <c r="C1821" t="str">
        <f>VLOOKUP(NoviaFunds[[#This Row],[ISIN]],'Novia Web Query'!$A:$E,3,FALSE)</f>
        <v>UT UK Smaller Companies</v>
      </c>
      <c r="D1821" s="139">
        <f>VLOOKUP(NoviaFunds[[#This Row],[ISIN]],'Novia Web Query'!$A:$E,4,FALSE)/100</f>
        <v>9.1999999999999998E-3</v>
      </c>
      <c r="E1821" s="3" t="str">
        <f>VLOOKUP(NoviaFunds[[#This Row],[ISIN]],'Novia Web Query'!$A:$E,5,FALSE)</f>
        <v>17/02/2021</v>
      </c>
      <c r="F1821" t="str">
        <f>VLOOKUP(NoviaFunds[[#This Row],[Sector]],Sectors[],2,FALSE)</f>
        <v>UK Equities</v>
      </c>
    </row>
    <row r="1822" spans="1:6" x14ac:dyDescent="0.2">
      <c r="A1822" t="str">
        <f>'Novia Web Query'!A1819</f>
        <v>GB00B8N46J59</v>
      </c>
      <c r="B1822" t="str">
        <f>VLOOKUP(NoviaFunds[[#This Row],[ISIN]],'Novia Web Query'!$A:$E,2,FALSE)</f>
        <v>Invesco UK Smaller Companies Equity (UK) Z Inc TR in GB**</v>
      </c>
      <c r="C1822" t="str">
        <f>VLOOKUP(NoviaFunds[[#This Row],[ISIN]],'Novia Web Query'!$A:$E,3,FALSE)</f>
        <v>UT UK Smaller Companies</v>
      </c>
      <c r="D1822" s="139">
        <f>VLOOKUP(NoviaFunds[[#This Row],[ISIN]],'Novia Web Query'!$A:$E,4,FALSE)/100</f>
        <v>9.1999999999999998E-3</v>
      </c>
      <c r="E1822" s="3" t="str">
        <f>VLOOKUP(NoviaFunds[[#This Row],[ISIN]],'Novia Web Query'!$A:$E,5,FALSE)</f>
        <v>17/02/2021</v>
      </c>
      <c r="F1822" t="str">
        <f>VLOOKUP(NoviaFunds[[#This Row],[Sector]],Sectors[],2,FALSE)</f>
        <v>UK Equities</v>
      </c>
    </row>
    <row r="1823" spans="1:6" x14ac:dyDescent="0.2">
      <c r="A1823" t="str">
        <f>'Novia Web Query'!A1820</f>
        <v>GB0033027698</v>
      </c>
      <c r="B1823" t="str">
        <f>VLOOKUP(NoviaFunds[[#This Row],[ISIN]],'Novia Web Query'!$A:$E,2,FALSE)</f>
        <v>Invesco US Equity (UK) Acc in GB</v>
      </c>
      <c r="C1823" t="str">
        <f>VLOOKUP(NoviaFunds[[#This Row],[ISIN]],'Novia Web Query'!$A:$E,3,FALSE)</f>
        <v>UT North America</v>
      </c>
      <c r="D1823" s="139">
        <f>VLOOKUP(NoviaFunds[[#This Row],[ISIN]],'Novia Web Query'!$A:$E,4,FALSE)/100</f>
        <v>1.4999999999999999E-2</v>
      </c>
      <c r="E1823" s="3" t="str">
        <f>VLOOKUP(NoviaFunds[[#This Row],[ISIN]],'Novia Web Query'!$A:$E,5,FALSE)</f>
        <v>17/02/2021</v>
      </c>
      <c r="F1823" t="str">
        <f>VLOOKUP(NoviaFunds[[#This Row],[Sector]],Sectors[],2,FALSE)</f>
        <v>USA Equities</v>
      </c>
    </row>
    <row r="1824" spans="1:6" x14ac:dyDescent="0.2">
      <c r="A1824" t="str">
        <f>'Novia Web Query'!A1821</f>
        <v>GB00B8N44D57</v>
      </c>
      <c r="B1824" t="str">
        <f>VLOOKUP(NoviaFunds[[#This Row],[ISIN]],'Novia Web Query'!$A:$E,2,FALSE)</f>
        <v>Invesco US Equity (UK) Z Acc TR in GB</v>
      </c>
      <c r="C1824" t="str">
        <f>VLOOKUP(NoviaFunds[[#This Row],[ISIN]],'Novia Web Query'!$A:$E,3,FALSE)</f>
        <v>UT North America</v>
      </c>
      <c r="D1824" s="139">
        <f>VLOOKUP(NoviaFunds[[#This Row],[ISIN]],'Novia Web Query'!$A:$E,4,FALSE)/100</f>
        <v>7.4999999999999997E-3</v>
      </c>
      <c r="E1824" s="3" t="str">
        <f>VLOOKUP(NoviaFunds[[#This Row],[ISIN]],'Novia Web Query'!$A:$E,5,FALSE)</f>
        <v>17/02/2021</v>
      </c>
      <c r="F1824" t="str">
        <f>VLOOKUP(NoviaFunds[[#This Row],[Sector]],Sectors[],2,FALSE)</f>
        <v>USA Equities</v>
      </c>
    </row>
    <row r="1825" spans="1:6" x14ac:dyDescent="0.2">
      <c r="A1825" t="str">
        <f>'Novia Web Query'!A1822</f>
        <v>GB00B7W4GQ69</v>
      </c>
      <c r="B1825" t="str">
        <f>VLOOKUP(NoviaFunds[[#This Row],[ISIN]],'Novia Web Query'!$A:$E,2,FALSE)</f>
        <v>iShares 100 UK Equity Index (UK) D Acc in GB</v>
      </c>
      <c r="C1825" t="str">
        <f>VLOOKUP(NoviaFunds[[#This Row],[ISIN]],'Novia Web Query'!$A:$E,3,FALSE)</f>
        <v>UT UK All Companies</v>
      </c>
      <c r="D1825" s="139">
        <f>VLOOKUP(NoviaFunds[[#This Row],[ISIN]],'Novia Web Query'!$A:$E,4,FALSE)/100</f>
        <v>5.9999999999999995E-4</v>
      </c>
      <c r="E1825" s="3" t="str">
        <f>VLOOKUP(NoviaFunds[[#This Row],[ISIN]],'Novia Web Query'!$A:$E,5,FALSE)</f>
        <v>17/02/2021</v>
      </c>
      <c r="F1825" t="str">
        <f>VLOOKUP(NoviaFunds[[#This Row],[Sector]],Sectors[],2,FALSE)</f>
        <v>UK Equities</v>
      </c>
    </row>
    <row r="1826" spans="1:6" x14ac:dyDescent="0.2">
      <c r="A1826" t="str">
        <f>'Novia Web Query'!A1823</f>
        <v>GB00B83MH186</v>
      </c>
      <c r="B1826" t="str">
        <f>VLOOKUP(NoviaFunds[[#This Row],[ISIN]],'Novia Web Query'!$A:$E,2,FALSE)</f>
        <v>iShares Continental European Equity Index (UK) D Acc in GB</v>
      </c>
      <c r="C1826" t="str">
        <f>VLOOKUP(NoviaFunds[[#This Row],[ISIN]],'Novia Web Query'!$A:$E,3,FALSE)</f>
        <v>UT Europe Excluding UK</v>
      </c>
      <c r="D1826" s="139">
        <f>VLOOKUP(NoviaFunds[[#This Row],[ISIN]],'Novia Web Query'!$A:$E,4,FALSE)/100</f>
        <v>5.9999999999999995E-4</v>
      </c>
      <c r="E1826" s="3" t="str">
        <f>VLOOKUP(NoviaFunds[[#This Row],[ISIN]],'Novia Web Query'!$A:$E,5,FALSE)</f>
        <v>17/02/2021</v>
      </c>
      <c r="F1826" t="str">
        <f>VLOOKUP(NoviaFunds[[#This Row],[Sector]],Sectors[],2,FALSE)</f>
        <v>European Equities</v>
      </c>
    </row>
    <row r="1827" spans="1:6" x14ac:dyDescent="0.2">
      <c r="A1827" t="str">
        <f>'Novia Web Query'!A1824</f>
        <v>GB00B08HDG97</v>
      </c>
      <c r="B1827" t="str">
        <f>VLOOKUP(NoviaFunds[[#This Row],[ISIN]],'Novia Web Query'!$A:$E,2,FALSE)</f>
        <v>iShares Continental European Equity Index (UK) L Acc in GB</v>
      </c>
      <c r="C1827" t="str">
        <f>VLOOKUP(NoviaFunds[[#This Row],[ISIN]],'Novia Web Query'!$A:$E,3,FALSE)</f>
        <v>UT Europe Excluding UK</v>
      </c>
      <c r="D1827" s="139">
        <f>VLOOKUP(NoviaFunds[[#This Row],[ISIN]],'Novia Web Query'!$A:$E,4,FALSE)/100</f>
        <v>2.2000000000000001E-3</v>
      </c>
      <c r="E1827" s="3" t="str">
        <f>VLOOKUP(NoviaFunds[[#This Row],[ISIN]],'Novia Web Query'!$A:$E,5,FALSE)</f>
        <v>17/02/2021</v>
      </c>
      <c r="F1827" t="str">
        <f>VLOOKUP(NoviaFunds[[#This Row],[Sector]],Sectors[],2,FALSE)</f>
        <v>European Equities</v>
      </c>
    </row>
    <row r="1828" spans="1:6" x14ac:dyDescent="0.2">
      <c r="A1828" t="str">
        <f>'Novia Web Query'!A1825</f>
        <v>GB00B84DSW83</v>
      </c>
      <c r="B1828" t="str">
        <f>VLOOKUP(NoviaFunds[[#This Row],[ISIN]],'Novia Web Query'!$A:$E,2,FALSE)</f>
        <v>iShares Corporate Bond Index (UK) D Acc TR in GB</v>
      </c>
      <c r="C1828" t="str">
        <f>VLOOKUP(NoviaFunds[[#This Row],[ISIN]],'Novia Web Query'!$A:$E,3,FALSE)</f>
        <v>UT Sterling Corporate Bond</v>
      </c>
      <c r="D1828" s="139">
        <f>VLOOKUP(NoviaFunds[[#This Row],[ISIN]],'Novia Web Query'!$A:$E,4,FALSE)/100</f>
        <v>1.1000000000000001E-3</v>
      </c>
      <c r="E1828" s="3" t="str">
        <f>VLOOKUP(NoviaFunds[[#This Row],[ISIN]],'Novia Web Query'!$A:$E,5,FALSE)</f>
        <v>17/02/2021</v>
      </c>
      <c r="F1828" t="str">
        <f>VLOOKUP(NoviaFunds[[#This Row],[Sector]],Sectors[],2,FALSE)</f>
        <v>Sterling Corporate Bonds</v>
      </c>
    </row>
    <row r="1829" spans="1:6" x14ac:dyDescent="0.2">
      <c r="A1829" t="str">
        <f>'Novia Web Query'!A1826</f>
        <v>GB00B7J60R40</v>
      </c>
      <c r="B1829" t="str">
        <f>VLOOKUP(NoviaFunds[[#This Row],[ISIN]],'Novia Web Query'!$A:$E,2,FALSE)</f>
        <v>iShares Corporate Bond Index (UK) D Inc TR in GB**</v>
      </c>
      <c r="C1829" t="str">
        <f>VLOOKUP(NoviaFunds[[#This Row],[ISIN]],'Novia Web Query'!$A:$E,3,FALSE)</f>
        <v>UT Sterling Corporate Bond</v>
      </c>
      <c r="D1829" s="139">
        <f>VLOOKUP(NoviaFunds[[#This Row],[ISIN]],'Novia Web Query'!$A:$E,4,FALSE)/100</f>
        <v>1.1000000000000001E-3</v>
      </c>
      <c r="E1829" s="3" t="str">
        <f>VLOOKUP(NoviaFunds[[#This Row],[ISIN]],'Novia Web Query'!$A:$E,5,FALSE)</f>
        <v>17/02/2021</v>
      </c>
      <c r="F1829" t="str">
        <f>VLOOKUP(NoviaFunds[[#This Row],[Sector]],Sectors[],2,FALSE)</f>
        <v>Sterling Corporate Bonds</v>
      </c>
    </row>
    <row r="1830" spans="1:6" x14ac:dyDescent="0.2">
      <c r="A1830" t="str">
        <f>'Novia Web Query'!A1827</f>
        <v>GB00B5MMQ552</v>
      </c>
      <c r="B1830" t="str">
        <f>VLOOKUP(NoviaFunds[[#This Row],[ISIN]],'Novia Web Query'!$A:$E,2,FALSE)</f>
        <v>iShares Corporate Bond Index (UK) L Acc TR in GB</v>
      </c>
      <c r="C1830" t="str">
        <f>VLOOKUP(NoviaFunds[[#This Row],[ISIN]],'Novia Web Query'!$A:$E,3,FALSE)</f>
        <v>UT Sterling Corporate Bond</v>
      </c>
      <c r="D1830" s="139">
        <f>VLOOKUP(NoviaFunds[[#This Row],[ISIN]],'Novia Web Query'!$A:$E,4,FALSE)/100</f>
        <v>2.0999999999999999E-3</v>
      </c>
      <c r="E1830" s="3" t="str">
        <f>VLOOKUP(NoviaFunds[[#This Row],[ISIN]],'Novia Web Query'!$A:$E,5,FALSE)</f>
        <v>17/02/2021</v>
      </c>
      <c r="F1830" t="str">
        <f>VLOOKUP(NoviaFunds[[#This Row],[Sector]],Sectors[],2,FALSE)</f>
        <v>Sterling Corporate Bonds</v>
      </c>
    </row>
    <row r="1831" spans="1:6" x14ac:dyDescent="0.2">
      <c r="A1831" t="str">
        <f>'Novia Web Query'!A1828</f>
        <v>GB00B84DY642</v>
      </c>
      <c r="B1831" t="str">
        <f>VLOOKUP(NoviaFunds[[#This Row],[ISIN]],'Novia Web Query'!$A:$E,2,FALSE)</f>
        <v>iShares Emerging Markets Equity Index (UK) D Acc in GB</v>
      </c>
      <c r="C1831" t="str">
        <f>VLOOKUP(NoviaFunds[[#This Row],[ISIN]],'Novia Web Query'!$A:$E,3,FALSE)</f>
        <v>UT Global Emerging Markets</v>
      </c>
      <c r="D1831" s="139">
        <f>VLOOKUP(NoviaFunds[[#This Row],[ISIN]],'Novia Web Query'!$A:$E,4,FALSE)/100</f>
        <v>1.7000000000000001E-3</v>
      </c>
      <c r="E1831" s="3" t="str">
        <f>VLOOKUP(NoviaFunds[[#This Row],[ISIN]],'Novia Web Query'!$A:$E,5,FALSE)</f>
        <v>02/07/2021</v>
      </c>
      <c r="F1831" t="str">
        <f>VLOOKUP(NoviaFunds[[#This Row],[Sector]],Sectors[],2,FALSE)</f>
        <v>Emerging Markets</v>
      </c>
    </row>
    <row r="1832" spans="1:6" x14ac:dyDescent="0.2">
      <c r="A1832" t="str">
        <f>'Novia Web Query'!A1829</f>
        <v>GB00BFK3MD02</v>
      </c>
      <c r="B1832" t="str">
        <f>VLOOKUP(NoviaFunds[[#This Row],[ISIN]],'Novia Web Query'!$A:$E,2,FALSE)</f>
        <v>iShares Emerging Markets Equity Index (UK) D Inc TR in GB**</v>
      </c>
      <c r="C1832" t="str">
        <f>VLOOKUP(NoviaFunds[[#This Row],[ISIN]],'Novia Web Query'!$A:$E,3,FALSE)</f>
        <v>UT Global Emerging Markets</v>
      </c>
      <c r="D1832" s="139">
        <f>VLOOKUP(NoviaFunds[[#This Row],[ISIN]],'Novia Web Query'!$A:$E,4,FALSE)/100</f>
        <v>1.9E-3</v>
      </c>
      <c r="E1832" s="3" t="str">
        <f>VLOOKUP(NoviaFunds[[#This Row],[ISIN]],'Novia Web Query'!$A:$E,5,FALSE)</f>
        <v>17/02/2021</v>
      </c>
      <c r="F1832" t="str">
        <f>VLOOKUP(NoviaFunds[[#This Row],[Sector]],Sectors[],2,FALSE)</f>
        <v>Emerging Markets</v>
      </c>
    </row>
    <row r="1833" spans="1:6" x14ac:dyDescent="0.2">
      <c r="A1833" t="str">
        <f>'Novia Web Query'!A1830</f>
        <v>GB00B4M5NH84</v>
      </c>
      <c r="B1833" t="str">
        <f>VLOOKUP(NoviaFunds[[#This Row],[ISIN]],'Novia Web Query'!$A:$E,2,FALSE)</f>
        <v>iShares Emerging Markets Equity Index (UK) L Acc in GB</v>
      </c>
      <c r="C1833" t="str">
        <f>VLOOKUP(NoviaFunds[[#This Row],[ISIN]],'Novia Web Query'!$A:$E,3,FALSE)</f>
        <v>UT Global Emerging Markets</v>
      </c>
      <c r="D1833" s="139">
        <f>VLOOKUP(NoviaFunds[[#This Row],[ISIN]],'Novia Web Query'!$A:$E,4,FALSE)/100</f>
        <v>2.7000000000000001E-3</v>
      </c>
      <c r="E1833" s="3" t="str">
        <f>VLOOKUP(NoviaFunds[[#This Row],[ISIN]],'Novia Web Query'!$A:$E,5,FALSE)</f>
        <v>17/02/2021</v>
      </c>
      <c r="F1833" t="str">
        <f>VLOOKUP(NoviaFunds[[#This Row],[Sector]],Sectors[],2,FALSE)</f>
        <v>Emerging Markets</v>
      </c>
    </row>
    <row r="1834" spans="1:6" x14ac:dyDescent="0.2">
      <c r="A1834" t="str">
        <f>'Novia Web Query'!A1831</f>
        <v>GB00BLBNVK18</v>
      </c>
      <c r="B1834" t="str">
        <f>VLOOKUP(NoviaFunds[[#This Row],[ISIN]],'Novia Web Query'!$A:$E,2,FALSE)</f>
        <v>iShares Emerging Markets Equity Index (UK) L Inc TR in GB**</v>
      </c>
      <c r="C1834" t="str">
        <f>VLOOKUP(NoviaFunds[[#This Row],[ISIN]],'Novia Web Query'!$A:$E,3,FALSE)</f>
        <v>UT Global Emerging Markets</v>
      </c>
      <c r="D1834" s="139">
        <f>VLOOKUP(NoviaFunds[[#This Row],[ISIN]],'Novia Web Query'!$A:$E,4,FALSE)/100</f>
        <v>2.7000000000000001E-3</v>
      </c>
      <c r="E1834" s="3" t="str">
        <f>VLOOKUP(NoviaFunds[[#This Row],[ISIN]],'Novia Web Query'!$A:$E,5,FALSE)</f>
        <v>17/02/2021</v>
      </c>
      <c r="F1834" t="str">
        <f>VLOOKUP(NoviaFunds[[#This Row],[Sector]],Sectors[],2,FALSE)</f>
        <v>Emerging Markets</v>
      </c>
    </row>
    <row r="1835" spans="1:6" x14ac:dyDescent="0.2">
      <c r="A1835" t="str">
        <f>'Novia Web Query'!A1832</f>
        <v>GB00B5BFJG71</v>
      </c>
      <c r="B1835" t="str">
        <f>VLOOKUP(NoviaFunds[[#This Row],[ISIN]],'Novia Web Query'!$A:$E,2,FALSE)</f>
        <v>iShares Global Property Securities Equity Index (UK) D Acc in GB</v>
      </c>
      <c r="C1835" t="str">
        <f>VLOOKUP(NoviaFunds[[#This Row],[ISIN]],'Novia Web Query'!$A:$E,3,FALSE)</f>
        <v>UT Property Other</v>
      </c>
      <c r="D1835" s="139">
        <f>VLOOKUP(NoviaFunds[[#This Row],[ISIN]],'Novia Web Query'!$A:$E,4,FALSE)/100</f>
        <v>1.7000000000000001E-3</v>
      </c>
      <c r="E1835" s="3" t="str">
        <f>VLOOKUP(NoviaFunds[[#This Row],[ISIN]],'Novia Web Query'!$A:$E,5,FALSE)</f>
        <v>17/02/2021</v>
      </c>
      <c r="F1835" t="e">
        <f>VLOOKUP(NoviaFunds[[#This Row],[Sector]],Sectors[],2,FALSE)</f>
        <v>#N/A</v>
      </c>
    </row>
    <row r="1836" spans="1:6" x14ac:dyDescent="0.2">
      <c r="A1836" t="str">
        <f>'Novia Web Query'!A1833</f>
        <v>GB00B848DD97</v>
      </c>
      <c r="B1836" t="str">
        <f>VLOOKUP(NoviaFunds[[#This Row],[ISIN]],'Novia Web Query'!$A:$E,2,FALSE)</f>
        <v>iShares Global Property Securities Equity Index (UK) D Inc TR in GB</v>
      </c>
      <c r="C1836" t="str">
        <f>VLOOKUP(NoviaFunds[[#This Row],[ISIN]],'Novia Web Query'!$A:$E,3,FALSE)</f>
        <v>UT Property Other</v>
      </c>
      <c r="D1836" s="139">
        <f>VLOOKUP(NoviaFunds[[#This Row],[ISIN]],'Novia Web Query'!$A:$E,4,FALSE)/100</f>
        <v>1.7000000000000001E-3</v>
      </c>
      <c r="E1836" s="3" t="str">
        <f>VLOOKUP(NoviaFunds[[#This Row],[ISIN]],'Novia Web Query'!$A:$E,5,FALSE)</f>
        <v>17/02/2021</v>
      </c>
      <c r="F1836" t="e">
        <f>VLOOKUP(NoviaFunds[[#This Row],[Sector]],Sectors[],2,FALSE)</f>
        <v>#N/A</v>
      </c>
    </row>
    <row r="1837" spans="1:6" x14ac:dyDescent="0.2">
      <c r="A1837" t="str">
        <f>'Novia Web Query'!A1834</f>
        <v>GB00BPFJCF57</v>
      </c>
      <c r="B1837" t="str">
        <f>VLOOKUP(NoviaFunds[[#This Row],[ISIN]],'Novia Web Query'!$A:$E,2,FALSE)</f>
        <v>iShares Global Property Securities Equity Index (UK) H Acc in GB**</v>
      </c>
      <c r="C1837" t="str">
        <f>VLOOKUP(NoviaFunds[[#This Row],[ISIN]],'Novia Web Query'!$A:$E,3,FALSE)</f>
        <v>UT Property Other</v>
      </c>
      <c r="D1837" s="139">
        <f>VLOOKUP(NoviaFunds[[#This Row],[ISIN]],'Novia Web Query'!$A:$E,4,FALSE)/100</f>
        <v>1.7000000000000001E-3</v>
      </c>
      <c r="E1837" s="3" t="str">
        <f>VLOOKUP(NoviaFunds[[#This Row],[ISIN]],'Novia Web Query'!$A:$E,5,FALSE)</f>
        <v>17/02/2021</v>
      </c>
      <c r="F1837" t="e">
        <f>VLOOKUP(NoviaFunds[[#This Row],[Sector]],Sectors[],2,FALSE)</f>
        <v>#N/A</v>
      </c>
    </row>
    <row r="1838" spans="1:6" x14ac:dyDescent="0.2">
      <c r="A1838" t="str">
        <f>'Novia Web Query'!A1835</f>
        <v>GB00B64FQP94</v>
      </c>
      <c r="B1838" t="str">
        <f>VLOOKUP(NoviaFunds[[#This Row],[ISIN]],'Novia Web Query'!$A:$E,2,FALSE)</f>
        <v>iShares Global Property Securities Equity Index (UK) L Acc in GB</v>
      </c>
      <c r="C1838" t="str">
        <f>VLOOKUP(NoviaFunds[[#This Row],[ISIN]],'Novia Web Query'!$A:$E,3,FALSE)</f>
        <v>UT Property Other</v>
      </c>
      <c r="D1838" s="139">
        <f>VLOOKUP(NoviaFunds[[#This Row],[ISIN]],'Novia Web Query'!$A:$E,4,FALSE)/100</f>
        <v>2.0999999999999999E-3</v>
      </c>
      <c r="E1838" s="3" t="str">
        <f>VLOOKUP(NoviaFunds[[#This Row],[ISIN]],'Novia Web Query'!$A:$E,5,FALSE)</f>
        <v>17/02/2021</v>
      </c>
      <c r="F1838" t="e">
        <f>VLOOKUP(NoviaFunds[[#This Row],[Sector]],Sectors[],2,FALSE)</f>
        <v>#N/A</v>
      </c>
    </row>
    <row r="1839" spans="1:6" x14ac:dyDescent="0.2">
      <c r="A1839" t="str">
        <f>'Novia Web Query'!A1836</f>
        <v>GB00B83RVT96</v>
      </c>
      <c r="B1839" t="str">
        <f>VLOOKUP(NoviaFunds[[#This Row],[ISIN]],'Novia Web Query'!$A:$E,2,FALSE)</f>
        <v>iShares Index Linked Gilt Index (UK) D Acc TR in GB</v>
      </c>
      <c r="C1839" t="str">
        <f>VLOOKUP(NoviaFunds[[#This Row],[ISIN]],'Novia Web Query'!$A:$E,3,FALSE)</f>
        <v>UT UK Index Linked Gilts</v>
      </c>
      <c r="D1839" s="139">
        <f>VLOOKUP(NoviaFunds[[#This Row],[ISIN]],'Novia Web Query'!$A:$E,4,FALSE)/100</f>
        <v>1.1000000000000001E-3</v>
      </c>
      <c r="E1839" s="3" t="str">
        <f>VLOOKUP(NoviaFunds[[#This Row],[ISIN]],'Novia Web Query'!$A:$E,5,FALSE)</f>
        <v>17/02/2021</v>
      </c>
      <c r="F1839" t="str">
        <f>VLOOKUP(NoviaFunds[[#This Row],[Sector]],Sectors[],2,FALSE)</f>
        <v>UK Index Linked Gilts</v>
      </c>
    </row>
    <row r="1840" spans="1:6" x14ac:dyDescent="0.2">
      <c r="A1840" t="str">
        <f>'Novia Web Query'!A1837</f>
        <v>GB00B6QQ9X96</v>
      </c>
      <c r="B1840" t="str">
        <f>VLOOKUP(NoviaFunds[[#This Row],[ISIN]],'Novia Web Query'!$A:$E,2,FALSE)</f>
        <v>iShares Japan Equity Index (UK) D Acc in GB</v>
      </c>
      <c r="C1840" t="str">
        <f>VLOOKUP(NoviaFunds[[#This Row],[ISIN]],'Novia Web Query'!$A:$E,3,FALSE)</f>
        <v>UT Japan</v>
      </c>
      <c r="D1840" s="139">
        <f>VLOOKUP(NoviaFunds[[#This Row],[ISIN]],'Novia Web Query'!$A:$E,4,FALSE)/100</f>
        <v>8.0000000000000004E-4</v>
      </c>
      <c r="E1840" s="3" t="str">
        <f>VLOOKUP(NoviaFunds[[#This Row],[ISIN]],'Novia Web Query'!$A:$E,5,FALSE)</f>
        <v>17/02/2021</v>
      </c>
      <c r="F1840" t="str">
        <f>VLOOKUP(NoviaFunds[[#This Row],[Sector]],Sectors[],2,FALSE)</f>
        <v>Japanese Equities</v>
      </c>
    </row>
    <row r="1841" spans="1:6" x14ac:dyDescent="0.2">
      <c r="A1841" t="str">
        <f>'Novia Web Query'!A1838</f>
        <v>GB00B08HDJ29</v>
      </c>
      <c r="B1841" t="str">
        <f>VLOOKUP(NoviaFunds[[#This Row],[ISIN]],'Novia Web Query'!$A:$E,2,FALSE)</f>
        <v>iShares Japan Equity Index (UK) L Acc in GB</v>
      </c>
      <c r="C1841" t="str">
        <f>VLOOKUP(NoviaFunds[[#This Row],[ISIN]],'Novia Web Query'!$A:$E,3,FALSE)</f>
        <v>UT Japan</v>
      </c>
      <c r="D1841" s="139">
        <f>VLOOKUP(NoviaFunds[[#This Row],[ISIN]],'Novia Web Query'!$A:$E,4,FALSE)/100</f>
        <v>2.0999999999999999E-3</v>
      </c>
      <c r="E1841" s="3" t="str">
        <f>VLOOKUP(NoviaFunds[[#This Row],[ISIN]],'Novia Web Query'!$A:$E,5,FALSE)</f>
        <v>17/02/2021</v>
      </c>
      <c r="F1841" t="str">
        <f>VLOOKUP(NoviaFunds[[#This Row],[Sector]],Sectors[],2,FALSE)</f>
        <v>Japanese Equities</v>
      </c>
    </row>
    <row r="1842" spans="1:6" x14ac:dyDescent="0.2">
      <c r="A1842" t="str">
        <f>'Novia Web Query'!A1839</f>
        <v>GB00B7VT0938</v>
      </c>
      <c r="B1842" t="str">
        <f>VLOOKUP(NoviaFunds[[#This Row],[ISIN]],'Novia Web Query'!$A:$E,2,FALSE)</f>
        <v>iShares Mid Cap UK Equity Index (UK) D Acc in GB</v>
      </c>
      <c r="C1842" t="str">
        <f>VLOOKUP(NoviaFunds[[#This Row],[ISIN]],'Novia Web Query'!$A:$E,3,FALSE)</f>
        <v>UT UK All Companies</v>
      </c>
      <c r="D1842" s="139">
        <f>VLOOKUP(NoviaFunds[[#This Row],[ISIN]],'Novia Web Query'!$A:$E,4,FALSE)/100</f>
        <v>1.7000000000000001E-3</v>
      </c>
      <c r="E1842" s="3" t="str">
        <f>VLOOKUP(NoviaFunds[[#This Row],[ISIN]],'Novia Web Query'!$A:$E,5,FALSE)</f>
        <v>17/02/2021</v>
      </c>
      <c r="F1842" t="str">
        <f>VLOOKUP(NoviaFunds[[#This Row],[Sector]],Sectors[],2,FALSE)</f>
        <v>UK Equities</v>
      </c>
    </row>
    <row r="1843" spans="1:6" x14ac:dyDescent="0.2">
      <c r="A1843" t="str">
        <f>'Novia Web Query'!A1840</f>
        <v>GB00BNB74C03</v>
      </c>
      <c r="B1843" t="str">
        <f>VLOOKUP(NoviaFunds[[#This Row],[ISIN]],'Novia Web Query'!$A:$E,2,FALSE)</f>
        <v>iShares Mid Cap UK Equity Index (UK) D Inc TR in GB**</v>
      </c>
      <c r="C1843" t="str">
        <f>VLOOKUP(NoviaFunds[[#This Row],[ISIN]],'Novia Web Query'!$A:$E,3,FALSE)</f>
        <v>UT UK All Companies</v>
      </c>
      <c r="D1843" s="139">
        <f>VLOOKUP(NoviaFunds[[#This Row],[ISIN]],'Novia Web Query'!$A:$E,4,FALSE)/100</f>
        <v>1.7000000000000001E-3</v>
      </c>
      <c r="E1843" s="3" t="str">
        <f>VLOOKUP(NoviaFunds[[#This Row],[ISIN]],'Novia Web Query'!$A:$E,5,FALSE)</f>
        <v>17/02/2021</v>
      </c>
      <c r="F1843" t="str">
        <f>VLOOKUP(NoviaFunds[[#This Row],[Sector]],Sectors[],2,FALSE)</f>
        <v>UK Equities</v>
      </c>
    </row>
    <row r="1844" spans="1:6" x14ac:dyDescent="0.2">
      <c r="A1844" t="str">
        <f>'Novia Web Query'!A1841</f>
        <v>GB00B7QK1Y37</v>
      </c>
      <c r="B1844" t="str">
        <f>VLOOKUP(NoviaFunds[[#This Row],[ISIN]],'Novia Web Query'!$A:$E,2,FALSE)</f>
        <v>iShares North American Equity Index (UK) D Acc in GB</v>
      </c>
      <c r="C1844" t="str">
        <f>VLOOKUP(NoviaFunds[[#This Row],[ISIN]],'Novia Web Query'!$A:$E,3,FALSE)</f>
        <v>UT North America</v>
      </c>
      <c r="D1844" s="139">
        <f>VLOOKUP(NoviaFunds[[#This Row],[ISIN]],'Novia Web Query'!$A:$E,4,FALSE)/100</f>
        <v>7.000000000000001E-4</v>
      </c>
      <c r="E1844" s="3" t="str">
        <f>VLOOKUP(NoviaFunds[[#This Row],[ISIN]],'Novia Web Query'!$A:$E,5,FALSE)</f>
        <v>17/02/2021</v>
      </c>
      <c r="F1844" t="str">
        <f>VLOOKUP(NoviaFunds[[#This Row],[Sector]],Sectors[],2,FALSE)</f>
        <v>USA Equities</v>
      </c>
    </row>
    <row r="1845" spans="1:6" x14ac:dyDescent="0.2">
      <c r="A1845" t="str">
        <f>'Novia Web Query'!A1842</f>
        <v>GB00B08HD588</v>
      </c>
      <c r="B1845" t="str">
        <f>VLOOKUP(NoviaFunds[[#This Row],[ISIN]],'Novia Web Query'!$A:$E,2,FALSE)</f>
        <v>iShares North American Equity Index (UK) L Acc in GB</v>
      </c>
      <c r="C1845" t="str">
        <f>VLOOKUP(NoviaFunds[[#This Row],[ISIN]],'Novia Web Query'!$A:$E,3,FALSE)</f>
        <v>UT North America</v>
      </c>
      <c r="D1845" s="139">
        <f>VLOOKUP(NoviaFunds[[#This Row],[ISIN]],'Novia Web Query'!$A:$E,4,FALSE)/100</f>
        <v>2.0999999999999999E-3</v>
      </c>
      <c r="E1845" s="3" t="str">
        <f>VLOOKUP(NoviaFunds[[#This Row],[ISIN]],'Novia Web Query'!$A:$E,5,FALSE)</f>
        <v>17/02/2021</v>
      </c>
      <c r="F1845" t="str">
        <f>VLOOKUP(NoviaFunds[[#This Row],[Sector]],Sectors[],2,FALSE)</f>
        <v>USA Equities</v>
      </c>
    </row>
    <row r="1846" spans="1:6" x14ac:dyDescent="0.2">
      <c r="A1846" t="str">
        <f>'Novia Web Query'!A1843</f>
        <v>GB00BFBFX327</v>
      </c>
      <c r="B1846" t="str">
        <f>VLOOKUP(NoviaFunds[[#This Row],[ISIN]],'Novia Web Query'!$A:$E,2,FALSE)</f>
        <v>iShares Over 15 Years Corporate Bond Index D Acc in GB</v>
      </c>
      <c r="C1846" t="str">
        <f>VLOOKUP(NoviaFunds[[#This Row],[ISIN]],'Novia Web Query'!$A:$E,3,FALSE)</f>
        <v>UT Sterling Corporate Bond</v>
      </c>
      <c r="D1846" s="139">
        <f>VLOOKUP(NoviaFunds[[#This Row],[ISIN]],'Novia Web Query'!$A:$E,4,FALSE)/100</f>
        <v>1.7000000000000001E-3</v>
      </c>
      <c r="E1846" s="3" t="str">
        <f>VLOOKUP(NoviaFunds[[#This Row],[ISIN]],'Novia Web Query'!$A:$E,5,FALSE)</f>
        <v>17/02/2021</v>
      </c>
      <c r="F1846" t="str">
        <f>VLOOKUP(NoviaFunds[[#This Row],[Sector]],Sectors[],2,FALSE)</f>
        <v>Sterling Corporate Bonds</v>
      </c>
    </row>
    <row r="1847" spans="1:6" x14ac:dyDescent="0.2">
      <c r="A1847" t="str">
        <f>'Novia Web Query'!A1844</f>
        <v>GB00BF338G29</v>
      </c>
      <c r="B1847" t="str">
        <f>VLOOKUP(NoviaFunds[[#This Row],[ISIN]],'Novia Web Query'!$A:$E,2,FALSE)</f>
        <v>iShares Over 15 Years Gilts Index (UK) D Acc GBP in GB</v>
      </c>
      <c r="C1847" t="str">
        <f>VLOOKUP(NoviaFunds[[#This Row],[ISIN]],'Novia Web Query'!$A:$E,3,FALSE)</f>
        <v>UT UK Gilts</v>
      </c>
      <c r="D1847" s="139">
        <f>VLOOKUP(NoviaFunds[[#This Row],[ISIN]],'Novia Web Query'!$A:$E,4,FALSE)/100</f>
        <v>1.6000000000000001E-3</v>
      </c>
      <c r="E1847" s="3" t="str">
        <f>VLOOKUP(NoviaFunds[[#This Row],[ISIN]],'Novia Web Query'!$A:$E,5,FALSE)</f>
        <v>17/02/2021</v>
      </c>
      <c r="F1847" t="str">
        <f>VLOOKUP(NoviaFunds[[#This Row],[Sector]],Sectors[],2,FALSE)</f>
        <v>Gilts</v>
      </c>
    </row>
    <row r="1848" spans="1:6" x14ac:dyDescent="0.2">
      <c r="A1848" t="str">
        <f>'Novia Web Query'!A1845</f>
        <v>GB00B58YKH53</v>
      </c>
      <c r="B1848" t="str">
        <f>VLOOKUP(NoviaFunds[[#This Row],[ISIN]],'Novia Web Query'!$A:$E,2,FALSE)</f>
        <v>iShares Overseas Corporate Bond Index (UK) D Acc in GB</v>
      </c>
      <c r="C1848" t="str">
        <f>VLOOKUP(NoviaFunds[[#This Row],[ISIN]],'Novia Web Query'!$A:$E,3,FALSE)</f>
        <v>UT Global Bonds</v>
      </c>
      <c r="D1848" s="139">
        <f>VLOOKUP(NoviaFunds[[#This Row],[ISIN]],'Novia Web Query'!$A:$E,4,FALSE)/100</f>
        <v>1.1000000000000001E-3</v>
      </c>
      <c r="E1848" s="3" t="str">
        <f>VLOOKUP(NoviaFunds[[#This Row],[ISIN]],'Novia Web Query'!$A:$E,5,FALSE)</f>
        <v>17/02/2021</v>
      </c>
      <c r="F1848" t="str">
        <f>VLOOKUP(NoviaFunds[[#This Row],[Sector]],Sectors[],2,FALSE)</f>
        <v>Global Investment Grade</v>
      </c>
    </row>
    <row r="1849" spans="1:6" x14ac:dyDescent="0.2">
      <c r="A1849" t="str">
        <f>'Novia Web Query'!A1846</f>
        <v>GB00BNB74B95</v>
      </c>
      <c r="B1849" t="str">
        <f>VLOOKUP(NoviaFunds[[#This Row],[ISIN]],'Novia Web Query'!$A:$E,2,FALSE)</f>
        <v>iShares Overseas Corporate Bond Index (UK) D Inc TR in GB**</v>
      </c>
      <c r="C1849" t="str">
        <f>VLOOKUP(NoviaFunds[[#This Row],[ISIN]],'Novia Web Query'!$A:$E,3,FALSE)</f>
        <v>UT Global Bonds</v>
      </c>
      <c r="D1849" s="139">
        <f>VLOOKUP(NoviaFunds[[#This Row],[ISIN]],'Novia Web Query'!$A:$E,4,FALSE)/100</f>
        <v>1.1000000000000001E-3</v>
      </c>
      <c r="E1849" s="3" t="str">
        <f>VLOOKUP(NoviaFunds[[#This Row],[ISIN]],'Novia Web Query'!$A:$E,5,FALSE)</f>
        <v>17/02/2021</v>
      </c>
      <c r="F1849" t="str">
        <f>VLOOKUP(NoviaFunds[[#This Row],[Sector]],Sectors[],2,FALSE)</f>
        <v>Global Investment Grade</v>
      </c>
    </row>
    <row r="1850" spans="1:6" x14ac:dyDescent="0.2">
      <c r="A1850" t="str">
        <f>'Novia Web Query'!A1847</f>
        <v>GB00B849C803</v>
      </c>
      <c r="B1850" t="str">
        <f>VLOOKUP(NoviaFunds[[#This Row],[ISIN]],'Novia Web Query'!$A:$E,2,FALSE)</f>
        <v>iShares Overseas Government Bond Index (UK) D Acc in GB</v>
      </c>
      <c r="C1850" t="str">
        <f>VLOOKUP(NoviaFunds[[#This Row],[ISIN]],'Novia Web Query'!$A:$E,3,FALSE)</f>
        <v>UT Global Bonds</v>
      </c>
      <c r="D1850" s="139">
        <f>VLOOKUP(NoviaFunds[[#This Row],[ISIN]],'Novia Web Query'!$A:$E,4,FALSE)/100</f>
        <v>1.1000000000000001E-3</v>
      </c>
      <c r="E1850" s="3" t="str">
        <f>VLOOKUP(NoviaFunds[[#This Row],[ISIN]],'Novia Web Query'!$A:$E,5,FALSE)</f>
        <v>17/02/2021</v>
      </c>
      <c r="F1850" t="str">
        <f>VLOOKUP(NoviaFunds[[#This Row],[Sector]],Sectors[],2,FALSE)</f>
        <v>Global Investment Grade</v>
      </c>
    </row>
    <row r="1851" spans="1:6" x14ac:dyDescent="0.2">
      <c r="A1851" t="str">
        <f>'Novia Web Query'!A1848</f>
        <v>GB00B849FB47</v>
      </c>
      <c r="B1851" t="str">
        <f>VLOOKUP(NoviaFunds[[#This Row],[ISIN]],'Novia Web Query'!$A:$E,2,FALSE)</f>
        <v>iShares Pacific ex Japan Equity Index (UK) D Acc in GB</v>
      </c>
      <c r="C1851" t="str">
        <f>VLOOKUP(NoviaFunds[[#This Row],[ISIN]],'Novia Web Query'!$A:$E,3,FALSE)</f>
        <v>UT Asia Pacific Excluding Japan</v>
      </c>
      <c r="D1851" s="139">
        <f>VLOOKUP(NoviaFunds[[#This Row],[ISIN]],'Novia Web Query'!$A:$E,4,FALSE)/100</f>
        <v>1.2999999999999999E-3</v>
      </c>
      <c r="E1851" s="3" t="str">
        <f>VLOOKUP(NoviaFunds[[#This Row],[ISIN]],'Novia Web Query'!$A:$E,5,FALSE)</f>
        <v>17/02/2021</v>
      </c>
      <c r="F1851" t="str">
        <f>VLOOKUP(NoviaFunds[[#This Row],[Sector]],Sectors[],2,FALSE)</f>
        <v>Asia Pacific</v>
      </c>
    </row>
    <row r="1852" spans="1:6" x14ac:dyDescent="0.2">
      <c r="A1852" t="str">
        <f>'Novia Web Query'!A1849</f>
        <v>GB00B08HD695</v>
      </c>
      <c r="B1852" t="str">
        <f>VLOOKUP(NoviaFunds[[#This Row],[ISIN]],'Novia Web Query'!$A:$E,2,FALSE)</f>
        <v>iShares Pacific ex Japan Equity Index (UK) L Acc in GB</v>
      </c>
      <c r="C1852" t="str">
        <f>VLOOKUP(NoviaFunds[[#This Row],[ISIN]],'Novia Web Query'!$A:$E,3,FALSE)</f>
        <v>UT Asia Pacific Excluding Japan</v>
      </c>
      <c r="D1852" s="139">
        <f>VLOOKUP(NoviaFunds[[#This Row],[ISIN]],'Novia Web Query'!$A:$E,4,FALSE)/100</f>
        <v>2.5000000000000001E-3</v>
      </c>
      <c r="E1852" s="3" t="str">
        <f>VLOOKUP(NoviaFunds[[#This Row],[ISIN]],'Novia Web Query'!$A:$E,5,FALSE)</f>
        <v>17/02/2021</v>
      </c>
      <c r="F1852" t="str">
        <f>VLOOKUP(NoviaFunds[[#This Row],[Sector]],Sectors[],2,FALSE)</f>
        <v>Asia Pacific</v>
      </c>
    </row>
    <row r="1853" spans="1:6" x14ac:dyDescent="0.2">
      <c r="A1853" t="str">
        <f>'Novia Web Query'!A1850</f>
        <v>GB00B7C44X99</v>
      </c>
      <c r="B1853" t="str">
        <f>VLOOKUP(NoviaFunds[[#This Row],[ISIN]],'Novia Web Query'!$A:$E,2,FALSE)</f>
        <v>iShares UK Equity Index (UK) D Acc in GB</v>
      </c>
      <c r="C1853" t="str">
        <f>VLOOKUP(NoviaFunds[[#This Row],[ISIN]],'Novia Web Query'!$A:$E,3,FALSE)</f>
        <v>UT UK All Companies</v>
      </c>
      <c r="D1853" s="139">
        <f>VLOOKUP(NoviaFunds[[#This Row],[ISIN]],'Novia Web Query'!$A:$E,4,FALSE)/100</f>
        <v>5.0000000000000001E-4</v>
      </c>
      <c r="E1853" s="3" t="str">
        <f>VLOOKUP(NoviaFunds[[#This Row],[ISIN]],'Novia Web Query'!$A:$E,5,FALSE)</f>
        <v>17/02/2021</v>
      </c>
      <c r="F1853" t="str">
        <f>VLOOKUP(NoviaFunds[[#This Row],[Sector]],Sectors[],2,FALSE)</f>
        <v>UK Equities</v>
      </c>
    </row>
    <row r="1854" spans="1:6" x14ac:dyDescent="0.2">
      <c r="A1854" t="str">
        <f>'Novia Web Query'!A1851</f>
        <v>GB00B08HD810</v>
      </c>
      <c r="B1854" t="str">
        <f>VLOOKUP(NoviaFunds[[#This Row],[ISIN]],'Novia Web Query'!$A:$E,2,FALSE)</f>
        <v>iShares UK Equity Index (UK) L Acc in GB</v>
      </c>
      <c r="C1854" t="str">
        <f>VLOOKUP(NoviaFunds[[#This Row],[ISIN]],'Novia Web Query'!$A:$E,3,FALSE)</f>
        <v>UT UK All Companies</v>
      </c>
      <c r="D1854" s="139">
        <f>VLOOKUP(NoviaFunds[[#This Row],[ISIN]],'Novia Web Query'!$A:$E,4,FALSE)/100</f>
        <v>2.0999999999999999E-3</v>
      </c>
      <c r="E1854" s="3" t="str">
        <f>VLOOKUP(NoviaFunds[[#This Row],[ISIN]],'Novia Web Query'!$A:$E,5,FALSE)</f>
        <v>17/02/2021</v>
      </c>
      <c r="F1854" t="str">
        <f>VLOOKUP(NoviaFunds[[#This Row],[Sector]],Sectors[],2,FALSE)</f>
        <v>UK Equities</v>
      </c>
    </row>
    <row r="1855" spans="1:6" x14ac:dyDescent="0.2">
      <c r="A1855" t="str">
        <f>'Novia Web Query'!A1852</f>
        <v>GB00B83HGR24</v>
      </c>
      <c r="B1855" t="str">
        <f>VLOOKUP(NoviaFunds[[#This Row],[ISIN]],'Novia Web Query'!$A:$E,2,FALSE)</f>
        <v>iShares UK Gilts All Stocks Index (UK) D Acc TR in GB</v>
      </c>
      <c r="C1855" t="str">
        <f>VLOOKUP(NoviaFunds[[#This Row],[ISIN]],'Novia Web Query'!$A:$E,3,FALSE)</f>
        <v>UT UK Gilts</v>
      </c>
      <c r="D1855" s="139">
        <f>VLOOKUP(NoviaFunds[[#This Row],[ISIN]],'Novia Web Query'!$A:$E,4,FALSE)/100</f>
        <v>1.1000000000000001E-3</v>
      </c>
      <c r="E1855" s="3" t="str">
        <f>VLOOKUP(NoviaFunds[[#This Row],[ISIN]],'Novia Web Query'!$A:$E,5,FALSE)</f>
        <v>17/02/2021</v>
      </c>
      <c r="F1855" t="str">
        <f>VLOOKUP(NoviaFunds[[#This Row],[Sector]],Sectors[],2,FALSE)</f>
        <v>Gilts</v>
      </c>
    </row>
    <row r="1856" spans="1:6" x14ac:dyDescent="0.2">
      <c r="A1856" t="str">
        <f>'Novia Web Query'!A1853</f>
        <v>GB00B89VCR08</v>
      </c>
      <c r="B1856" t="str">
        <f>VLOOKUP(NoviaFunds[[#This Row],[ISIN]],'Novia Web Query'!$A:$E,2,FALSE)</f>
        <v>iShares UK Gilts All Stocks Index (UK) D Inc TR in GB</v>
      </c>
      <c r="C1856" t="str">
        <f>VLOOKUP(NoviaFunds[[#This Row],[ISIN]],'Novia Web Query'!$A:$E,3,FALSE)</f>
        <v>UT UK Gilts</v>
      </c>
      <c r="D1856" s="139">
        <f>VLOOKUP(NoviaFunds[[#This Row],[ISIN]],'Novia Web Query'!$A:$E,4,FALSE)/100</f>
        <v>1.1000000000000001E-3</v>
      </c>
      <c r="E1856" s="3" t="str">
        <f>VLOOKUP(NoviaFunds[[#This Row],[ISIN]],'Novia Web Query'!$A:$E,5,FALSE)</f>
        <v>17/02/2021</v>
      </c>
      <c r="F1856" t="str">
        <f>VLOOKUP(NoviaFunds[[#This Row],[Sector]],Sectors[],2,FALSE)</f>
        <v>Gilts</v>
      </c>
    </row>
    <row r="1857" spans="1:6" x14ac:dyDescent="0.2">
      <c r="A1857" t="str">
        <f>'Novia Web Query'!A1854</f>
        <v>GB00B08HD364</v>
      </c>
      <c r="B1857" t="str">
        <f>VLOOKUP(NoviaFunds[[#This Row],[ISIN]],'Novia Web Query'!$A:$E,2,FALSE)</f>
        <v>iShares UK Gilts All Stocks Index (UK) L Acc TR in GB</v>
      </c>
      <c r="C1857" t="str">
        <f>VLOOKUP(NoviaFunds[[#This Row],[ISIN]],'Novia Web Query'!$A:$E,3,FALSE)</f>
        <v>UT UK Gilts</v>
      </c>
      <c r="D1857" s="139">
        <f>VLOOKUP(NoviaFunds[[#This Row],[ISIN]],'Novia Web Query'!$A:$E,4,FALSE)/100</f>
        <v>2.0999999999999999E-3</v>
      </c>
      <c r="E1857" s="3" t="str">
        <f>VLOOKUP(NoviaFunds[[#This Row],[ISIN]],'Novia Web Query'!$A:$E,5,FALSE)</f>
        <v>17/02/2021</v>
      </c>
      <c r="F1857" t="str">
        <f>VLOOKUP(NoviaFunds[[#This Row],[Sector]],Sectors[],2,FALSE)</f>
        <v>Gilts</v>
      </c>
    </row>
    <row r="1858" spans="1:6" x14ac:dyDescent="0.2">
      <c r="A1858" t="str">
        <f>'Novia Web Query'!A1855</f>
        <v>GB00B5VRGY09</v>
      </c>
      <c r="B1858" t="str">
        <f>VLOOKUP(NoviaFunds[[#This Row],[ISIN]],'Novia Web Query'!$A:$E,2,FALSE)</f>
        <v>iShares US Equity Index (UK) D Acc in GB</v>
      </c>
      <c r="C1858" t="str">
        <f>VLOOKUP(NoviaFunds[[#This Row],[ISIN]],'Novia Web Query'!$A:$E,3,FALSE)</f>
        <v>UT North America</v>
      </c>
      <c r="D1858" s="139">
        <f>VLOOKUP(NoviaFunds[[#This Row],[ISIN]],'Novia Web Query'!$A:$E,4,FALSE)/100</f>
        <v>5.0000000000000001E-4</v>
      </c>
      <c r="E1858" s="3" t="str">
        <f>VLOOKUP(NoviaFunds[[#This Row],[ISIN]],'Novia Web Query'!$A:$E,5,FALSE)</f>
        <v>17/02/2021</v>
      </c>
      <c r="F1858" t="str">
        <f>VLOOKUP(NoviaFunds[[#This Row],[Sector]],Sectors[],2,FALSE)</f>
        <v>USA Equities</v>
      </c>
    </row>
    <row r="1859" spans="1:6" x14ac:dyDescent="0.2">
      <c r="A1859" t="str">
        <f>'Novia Web Query'!A1856</f>
        <v>GB00BLBP3L28</v>
      </c>
      <c r="B1859" t="str">
        <f>VLOOKUP(NoviaFunds[[#This Row],[ISIN]],'Novia Web Query'!$A:$E,2,FALSE)</f>
        <v>iShares US Equity Index (UK) L Inc TR in GB**</v>
      </c>
      <c r="C1859" t="str">
        <f>VLOOKUP(NoviaFunds[[#This Row],[ISIN]],'Novia Web Query'!$A:$E,3,FALSE)</f>
        <v>UT North America</v>
      </c>
      <c r="D1859" s="139">
        <f>VLOOKUP(NoviaFunds[[#This Row],[ISIN]],'Novia Web Query'!$A:$E,4,FALSE)/100</f>
        <v>2.0999999999999999E-3</v>
      </c>
      <c r="E1859" s="3" t="str">
        <f>VLOOKUP(NoviaFunds[[#This Row],[ISIN]],'Novia Web Query'!$A:$E,5,FALSE)</f>
        <v>17/02/2021</v>
      </c>
      <c r="F1859" t="str">
        <f>VLOOKUP(NoviaFunds[[#This Row],[Sector]],Sectors[],2,FALSE)</f>
        <v>USA Equities</v>
      </c>
    </row>
    <row r="1860" spans="1:6" x14ac:dyDescent="0.2">
      <c r="A1860" t="str">
        <f>'Novia Web Query'!A1857</f>
        <v>GB00B5KKCS68</v>
      </c>
      <c r="B1860" t="str">
        <f>VLOOKUP(NoviaFunds[[#This Row],[ISIN]],'Novia Web Query'!$A:$E,2,FALSE)</f>
        <v>Janus Henderson Absolute Return A Acc in GB</v>
      </c>
      <c r="C1860" t="str">
        <f>VLOOKUP(NoviaFunds[[#This Row],[ISIN]],'Novia Web Query'!$A:$E,3,FALSE)</f>
        <v>UT Targeted Absolute Return</v>
      </c>
      <c r="D1860" s="139">
        <f>VLOOKUP(NoviaFunds[[#This Row],[ISIN]],'Novia Web Query'!$A:$E,4,FALSE)/100</f>
        <v>1.7299999999999999E-2</v>
      </c>
      <c r="E1860" s="3" t="str">
        <f>VLOOKUP(NoviaFunds[[#This Row],[ISIN]],'Novia Web Query'!$A:$E,5,FALSE)</f>
        <v>31/12/2021</v>
      </c>
      <c r="F1860" t="str">
        <f>VLOOKUP(NoviaFunds[[#This Row],[Sector]],Sectors[],2,FALSE)</f>
        <v>Absolute Return</v>
      </c>
    </row>
    <row r="1861" spans="1:6" x14ac:dyDescent="0.2">
      <c r="A1861" t="str">
        <f>'Novia Web Query'!A1858</f>
        <v>GB00BGK8VR99</v>
      </c>
      <c r="B1861" t="str">
        <f>VLOOKUP(NoviaFunds[[#This Row],[ISIN]],'Novia Web Query'!$A:$E,2,FALSE)</f>
        <v>Janus Henderson Absolute Return Fixed Income I Acc in GB</v>
      </c>
      <c r="C1861" t="str">
        <f>VLOOKUP(NoviaFunds[[#This Row],[ISIN]],'Novia Web Query'!$A:$E,3,FALSE)</f>
        <v>UT Targeted Absolute Return</v>
      </c>
      <c r="D1861" s="139">
        <f>VLOOKUP(NoviaFunds[[#This Row],[ISIN]],'Novia Web Query'!$A:$E,4,FALSE)/100</f>
        <v>5.6000000000000008E-3</v>
      </c>
      <c r="E1861" s="3" t="str">
        <f>VLOOKUP(NoviaFunds[[#This Row],[ISIN]],'Novia Web Query'!$A:$E,5,FALSE)</f>
        <v>31/12/2021</v>
      </c>
      <c r="F1861" t="str">
        <f>VLOOKUP(NoviaFunds[[#This Row],[Sector]],Sectors[],2,FALSE)</f>
        <v>Absolute Return</v>
      </c>
    </row>
    <row r="1862" spans="1:6" x14ac:dyDescent="0.2">
      <c r="A1862" t="str">
        <f>'Novia Web Query'!A1859</f>
        <v>GB00B5KKCX12</v>
      </c>
      <c r="B1862" t="str">
        <f>VLOOKUP(NoviaFunds[[#This Row],[ISIN]],'Novia Web Query'!$A:$E,2,FALSE)</f>
        <v>Janus Henderson Absolute Return I Acc in GB</v>
      </c>
      <c r="C1862" t="str">
        <f>VLOOKUP(NoviaFunds[[#This Row],[ISIN]],'Novia Web Query'!$A:$E,3,FALSE)</f>
        <v>UT Targeted Absolute Return</v>
      </c>
      <c r="D1862" s="139">
        <f>VLOOKUP(NoviaFunds[[#This Row],[ISIN]],'Novia Web Query'!$A:$E,4,FALSE)/100</f>
        <v>1.0700000000000001E-2</v>
      </c>
      <c r="E1862" s="3" t="str">
        <f>VLOOKUP(NoviaFunds[[#This Row],[ISIN]],'Novia Web Query'!$A:$E,5,FALSE)</f>
        <v>31/12/2021</v>
      </c>
      <c r="F1862" t="str">
        <f>VLOOKUP(NoviaFunds[[#This Row],[Sector]],Sectors[],2,FALSE)</f>
        <v>Absolute Return</v>
      </c>
    </row>
    <row r="1863" spans="1:6" x14ac:dyDescent="0.2">
      <c r="A1863" t="str">
        <f>'Novia Web Query'!A1860</f>
        <v>GB00B409PD29</v>
      </c>
      <c r="B1863" t="str">
        <f>VLOOKUP(NoviaFunds[[#This Row],[ISIN]],'Novia Web Query'!$A:$E,2,FALSE)</f>
        <v>Janus Henderson All Stocks Credit A Acc in GB</v>
      </c>
      <c r="C1863" t="str">
        <f>VLOOKUP(NoviaFunds[[#This Row],[ISIN]],'Novia Web Query'!$A:$E,3,FALSE)</f>
        <v>UT Sterling Corporate Bond</v>
      </c>
      <c r="D1863" s="139">
        <f>VLOOKUP(NoviaFunds[[#This Row],[ISIN]],'Novia Web Query'!$A:$E,4,FALSE)/100</f>
        <v>9.3999999999999986E-3</v>
      </c>
      <c r="E1863" s="3" t="str">
        <f>VLOOKUP(NoviaFunds[[#This Row],[ISIN]],'Novia Web Query'!$A:$E,5,FALSE)</f>
        <v>31/12/2021</v>
      </c>
      <c r="F1863" t="str">
        <f>VLOOKUP(NoviaFunds[[#This Row],[Sector]],Sectors[],2,FALSE)</f>
        <v>Sterling Corporate Bonds</v>
      </c>
    </row>
    <row r="1864" spans="1:6" x14ac:dyDescent="0.2">
      <c r="A1864" t="str">
        <f>'Novia Web Query'!A1861</f>
        <v>GB0007451072</v>
      </c>
      <c r="B1864" t="str">
        <f>VLOOKUP(NoviaFunds[[#This Row],[ISIN]],'Novia Web Query'!$A:$E,2,FALSE)</f>
        <v>Janus Henderson All Stocks Credit A Inc TR in GB</v>
      </c>
      <c r="C1864" t="str">
        <f>VLOOKUP(NoviaFunds[[#This Row],[ISIN]],'Novia Web Query'!$A:$E,3,FALSE)</f>
        <v>UT Sterling Corporate Bond</v>
      </c>
      <c r="D1864" s="139">
        <f>VLOOKUP(NoviaFunds[[#This Row],[ISIN]],'Novia Web Query'!$A:$E,4,FALSE)/100</f>
        <v>9.3999999999999986E-3</v>
      </c>
      <c r="E1864" s="3" t="str">
        <f>VLOOKUP(NoviaFunds[[#This Row],[ISIN]],'Novia Web Query'!$A:$E,5,FALSE)</f>
        <v>31/12/2021</v>
      </c>
      <c r="F1864" t="str">
        <f>VLOOKUP(NoviaFunds[[#This Row],[Sector]],Sectors[],2,FALSE)</f>
        <v>Sterling Corporate Bonds</v>
      </c>
    </row>
    <row r="1865" spans="1:6" x14ac:dyDescent="0.2">
      <c r="A1865" t="str">
        <f>'Novia Web Query'!A1862</f>
        <v>GB0007452377</v>
      </c>
      <c r="B1865" t="str">
        <f>VLOOKUP(NoviaFunds[[#This Row],[ISIN]],'Novia Web Query'!$A:$E,2,FALSE)</f>
        <v>Janus Henderson All Stocks Credit I Acc in GB</v>
      </c>
      <c r="C1865" t="str">
        <f>VLOOKUP(NoviaFunds[[#This Row],[ISIN]],'Novia Web Query'!$A:$E,3,FALSE)</f>
        <v>UT Sterling Corporate Bond</v>
      </c>
      <c r="D1865" s="139">
        <f>VLOOKUP(NoviaFunds[[#This Row],[ISIN]],'Novia Web Query'!$A:$E,4,FALSE)/100</f>
        <v>5.5000000000000005E-3</v>
      </c>
      <c r="E1865" s="3" t="str">
        <f>VLOOKUP(NoviaFunds[[#This Row],[ISIN]],'Novia Web Query'!$A:$E,5,FALSE)</f>
        <v>31/12/2021</v>
      </c>
      <c r="F1865" t="str">
        <f>VLOOKUP(NoviaFunds[[#This Row],[Sector]],Sectors[],2,FALSE)</f>
        <v>Sterling Corporate Bonds</v>
      </c>
    </row>
    <row r="1866" spans="1:6" x14ac:dyDescent="0.2">
      <c r="A1866" t="str">
        <f>'Novia Web Query'!A1863</f>
        <v>GB0007451965</v>
      </c>
      <c r="B1866" t="str">
        <f>VLOOKUP(NoviaFunds[[#This Row],[ISIN]],'Novia Web Query'!$A:$E,2,FALSE)</f>
        <v>Janus Henderson All Stocks Credit I Inc TR in GB</v>
      </c>
      <c r="C1866" t="str">
        <f>VLOOKUP(NoviaFunds[[#This Row],[ISIN]],'Novia Web Query'!$A:$E,3,FALSE)</f>
        <v>UT Sterling Corporate Bond</v>
      </c>
      <c r="D1866" s="139">
        <f>VLOOKUP(NoviaFunds[[#This Row],[ISIN]],'Novia Web Query'!$A:$E,4,FALSE)/100</f>
        <v>5.4000000000000003E-3</v>
      </c>
      <c r="E1866" s="3" t="str">
        <f>VLOOKUP(NoviaFunds[[#This Row],[ISIN]],'Novia Web Query'!$A:$E,5,FALSE)</f>
        <v>31/12/2021</v>
      </c>
      <c r="F1866" t="str">
        <f>VLOOKUP(NoviaFunds[[#This Row],[Sector]],Sectors[],2,FALSE)</f>
        <v>Sterling Corporate Bonds</v>
      </c>
    </row>
    <row r="1867" spans="1:6" x14ac:dyDescent="0.2">
      <c r="A1867" t="str">
        <f>'Novia Web Query'!A1864</f>
        <v>GB0007680183</v>
      </c>
      <c r="B1867" t="str">
        <f>VLOOKUP(NoviaFunds[[#This Row],[ISIN]],'Novia Web Query'!$A:$E,2,FALSE)</f>
        <v>Janus Henderson Asia Pacific Capital Growth A Acc in GB</v>
      </c>
      <c r="C1867" t="str">
        <f>VLOOKUP(NoviaFunds[[#This Row],[ISIN]],'Novia Web Query'!$A:$E,3,FALSE)</f>
        <v>UT Asia Pacific Excluding Japan</v>
      </c>
      <c r="D1867" s="139">
        <f>VLOOKUP(NoviaFunds[[#This Row],[ISIN]],'Novia Web Query'!$A:$E,4,FALSE)/100</f>
        <v>1.78E-2</v>
      </c>
      <c r="E1867" s="3" t="str">
        <f>VLOOKUP(NoviaFunds[[#This Row],[ISIN]],'Novia Web Query'!$A:$E,5,FALSE)</f>
        <v>31/12/2021</v>
      </c>
      <c r="F1867" t="str">
        <f>VLOOKUP(NoviaFunds[[#This Row],[Sector]],Sectors[],2,FALSE)</f>
        <v>Asia Pacific</v>
      </c>
    </row>
    <row r="1868" spans="1:6" x14ac:dyDescent="0.2">
      <c r="A1868" t="str">
        <f>'Novia Web Query'!A1865</f>
        <v>GB0007681603</v>
      </c>
      <c r="B1868" t="str">
        <f>VLOOKUP(NoviaFunds[[#This Row],[ISIN]],'Novia Web Query'!$A:$E,2,FALSE)</f>
        <v>Janus Henderson Asia Pacific Capital Growth I Acc in GB</v>
      </c>
      <c r="C1868" t="str">
        <f>VLOOKUP(NoviaFunds[[#This Row],[ISIN]],'Novia Web Query'!$A:$E,3,FALSE)</f>
        <v>UT Asia Pacific Excluding Japan</v>
      </c>
      <c r="D1868" s="139">
        <f>VLOOKUP(NoviaFunds[[#This Row],[ISIN]],'Novia Web Query'!$A:$E,4,FALSE)/100</f>
        <v>9.0000000000000011E-3</v>
      </c>
      <c r="E1868" s="3" t="str">
        <f>VLOOKUP(NoviaFunds[[#This Row],[ISIN]],'Novia Web Query'!$A:$E,5,FALSE)</f>
        <v>31/12/2021</v>
      </c>
      <c r="F1868" t="str">
        <f>VLOOKUP(NoviaFunds[[#This Row],[Sector]],Sectors[],2,FALSE)</f>
        <v>Asia Pacific</v>
      </c>
    </row>
    <row r="1869" spans="1:6" x14ac:dyDescent="0.2">
      <c r="A1869" t="str">
        <f>'Novia Web Query'!A1866</f>
        <v>GB00B62SGY92</v>
      </c>
      <c r="B1869" t="str">
        <f>VLOOKUP(NoviaFunds[[#This Row],[ISIN]],'Novia Web Query'!$A:$E,2,FALSE)</f>
        <v>Janus Henderson Asian Dividend Income Unit Trust I Acc TR in GB</v>
      </c>
      <c r="C1869" t="str">
        <f>VLOOKUP(NoviaFunds[[#This Row],[ISIN]],'Novia Web Query'!$A:$E,3,FALSE)</f>
        <v>UT Asia Pacific Excluding Japan</v>
      </c>
      <c r="D1869" s="139">
        <f>VLOOKUP(NoviaFunds[[#This Row],[ISIN]],'Novia Web Query'!$A:$E,4,FALSE)/100</f>
        <v>8.8999999999999999E-3</v>
      </c>
      <c r="E1869" s="3" t="str">
        <f>VLOOKUP(NoviaFunds[[#This Row],[ISIN]],'Novia Web Query'!$A:$E,5,FALSE)</f>
        <v>31/12/2021</v>
      </c>
      <c r="F1869" t="str">
        <f>VLOOKUP(NoviaFunds[[#This Row],[Sector]],Sectors[],2,FALSE)</f>
        <v>Asia Pacific</v>
      </c>
    </row>
    <row r="1870" spans="1:6" x14ac:dyDescent="0.2">
      <c r="A1870" t="str">
        <f>'Novia Web Query'!A1867</f>
        <v>GB00B6193536</v>
      </c>
      <c r="B1870" t="str">
        <f>VLOOKUP(NoviaFunds[[#This Row],[ISIN]],'Novia Web Query'!$A:$E,2,FALSE)</f>
        <v>Janus Henderson Asian Dividend Income Unit Trust I Inc TR in GB**</v>
      </c>
      <c r="C1870" t="str">
        <f>VLOOKUP(NoviaFunds[[#This Row],[ISIN]],'Novia Web Query'!$A:$E,3,FALSE)</f>
        <v>UT Asia Pacific Excluding Japan</v>
      </c>
      <c r="D1870" s="139">
        <f>VLOOKUP(NoviaFunds[[#This Row],[ISIN]],'Novia Web Query'!$A:$E,4,FALSE)/100</f>
        <v>8.8999999999999999E-3</v>
      </c>
      <c r="E1870" s="3" t="str">
        <f>VLOOKUP(NoviaFunds[[#This Row],[ISIN]],'Novia Web Query'!$A:$E,5,FALSE)</f>
        <v>31/12/2021</v>
      </c>
      <c r="F1870" t="str">
        <f>VLOOKUP(NoviaFunds[[#This Row],[Sector]],Sectors[],2,FALSE)</f>
        <v>Asia Pacific</v>
      </c>
    </row>
    <row r="1871" spans="1:6" x14ac:dyDescent="0.2">
      <c r="A1871" t="str">
        <f>'Novia Web Query'!A1868</f>
        <v>GB0003243465</v>
      </c>
      <c r="B1871" t="str">
        <f>VLOOKUP(NoviaFunds[[#This Row],[ISIN]],'Novia Web Query'!$A:$E,2,FALSE)</f>
        <v>Janus Henderson Asian Dividend Income Unit Trust Inc TR in GB</v>
      </c>
      <c r="C1871" t="str">
        <f>VLOOKUP(NoviaFunds[[#This Row],[ISIN]],'Novia Web Query'!$A:$E,3,FALSE)</f>
        <v>UT Asia Pacific Excluding Japan</v>
      </c>
      <c r="D1871" s="139">
        <f>VLOOKUP(NoviaFunds[[#This Row],[ISIN]],'Novia Web Query'!$A:$E,4,FALSE)/100</f>
        <v>1.52E-2</v>
      </c>
      <c r="E1871" s="3" t="str">
        <f>VLOOKUP(NoviaFunds[[#This Row],[ISIN]],'Novia Web Query'!$A:$E,5,FALSE)</f>
        <v>31/12/2021</v>
      </c>
      <c r="F1871" t="str">
        <f>VLOOKUP(NoviaFunds[[#This Row],[Sector]],Sectors[],2,FALSE)</f>
        <v>Asia Pacific</v>
      </c>
    </row>
    <row r="1872" spans="1:6" x14ac:dyDescent="0.2">
      <c r="A1872" t="str">
        <f>'Novia Web Query'!A1869</f>
        <v>GB0032477639</v>
      </c>
      <c r="B1872" t="str">
        <f>VLOOKUP(NoviaFunds[[#This Row],[ISIN]],'Novia Web Query'!$A:$E,2,FALSE)</f>
        <v>Janus Henderson Cautious Managed A Acc in GB</v>
      </c>
      <c r="C1872" t="str">
        <f>VLOOKUP(NoviaFunds[[#This Row],[ISIN]],'Novia Web Query'!$A:$E,3,FALSE)</f>
        <v>UT Mixed Investment 20-60% Shares</v>
      </c>
      <c r="D1872" s="139">
        <f>VLOOKUP(NoviaFunds[[#This Row],[ISIN]],'Novia Web Query'!$A:$E,4,FALSE)/100</f>
        <v>1.4800000000000001E-2</v>
      </c>
      <c r="E1872" s="3" t="str">
        <f>VLOOKUP(NoviaFunds[[#This Row],[ISIN]],'Novia Web Query'!$A:$E,5,FALSE)</f>
        <v>31/12/2021</v>
      </c>
      <c r="F1872" t="str">
        <f>VLOOKUP(NoviaFunds[[#This Row],[Sector]],Sectors[],2,FALSE)</f>
        <v>Mixed 20%-60%</v>
      </c>
    </row>
    <row r="1873" spans="1:6" x14ac:dyDescent="0.2">
      <c r="A1873" t="str">
        <f>'Novia Web Query'!A1870</f>
        <v>GB0032477308</v>
      </c>
      <c r="B1873" t="str">
        <f>VLOOKUP(NoviaFunds[[#This Row],[ISIN]],'Novia Web Query'!$A:$E,2,FALSE)</f>
        <v>Janus Henderson Cautious Managed A Inc TR in GB</v>
      </c>
      <c r="C1873" t="str">
        <f>VLOOKUP(NoviaFunds[[#This Row],[ISIN]],'Novia Web Query'!$A:$E,3,FALSE)</f>
        <v>UT Mixed Investment 20-60% Shares</v>
      </c>
      <c r="D1873" s="139">
        <f>VLOOKUP(NoviaFunds[[#This Row],[ISIN]],'Novia Web Query'!$A:$E,4,FALSE)/100</f>
        <v>1.4800000000000001E-2</v>
      </c>
      <c r="E1873" s="3" t="str">
        <f>VLOOKUP(NoviaFunds[[#This Row],[ISIN]],'Novia Web Query'!$A:$E,5,FALSE)</f>
        <v>31/12/2021</v>
      </c>
      <c r="F1873" t="str">
        <f>VLOOKUP(NoviaFunds[[#This Row],[Sector]],Sectors[],2,FALSE)</f>
        <v>Mixed 20%-60%</v>
      </c>
    </row>
    <row r="1874" spans="1:6" x14ac:dyDescent="0.2">
      <c r="A1874" t="str">
        <f>'Novia Web Query'!A1871</f>
        <v>GB00B6ZHN203</v>
      </c>
      <c r="B1874" t="str">
        <f>VLOOKUP(NoviaFunds[[#This Row],[ISIN]],'Novia Web Query'!$A:$E,2,FALSE)</f>
        <v>Janus Henderson Cautious Managed I Acc in GB</v>
      </c>
      <c r="C1874" t="str">
        <f>VLOOKUP(NoviaFunds[[#This Row],[ISIN]],'Novia Web Query'!$A:$E,3,FALSE)</f>
        <v>UT Mixed Investment 20-60% Shares</v>
      </c>
      <c r="D1874" s="139">
        <f>VLOOKUP(NoviaFunds[[#This Row],[ISIN]],'Novia Web Query'!$A:$E,4,FALSE)/100</f>
        <v>7.3000000000000001E-3</v>
      </c>
      <c r="E1874" s="3" t="str">
        <f>VLOOKUP(NoviaFunds[[#This Row],[ISIN]],'Novia Web Query'!$A:$E,5,FALSE)</f>
        <v>31/12/2021</v>
      </c>
      <c r="F1874" t="str">
        <f>VLOOKUP(NoviaFunds[[#This Row],[Sector]],Sectors[],2,FALSE)</f>
        <v>Mixed 20%-60%</v>
      </c>
    </row>
    <row r="1875" spans="1:6" x14ac:dyDescent="0.2">
      <c r="A1875" t="str">
        <f>'Novia Web Query'!A1872</f>
        <v>GB00B4P4R697</v>
      </c>
      <c r="B1875" t="str">
        <f>VLOOKUP(NoviaFunds[[#This Row],[ISIN]],'Novia Web Query'!$A:$E,2,FALSE)</f>
        <v>Janus Henderson Cautious Managed I Inc TR in GB</v>
      </c>
      <c r="C1875" t="str">
        <f>VLOOKUP(NoviaFunds[[#This Row],[ISIN]],'Novia Web Query'!$A:$E,3,FALSE)</f>
        <v>UT Mixed Investment 20-60% Shares</v>
      </c>
      <c r="D1875" s="139">
        <f>VLOOKUP(NoviaFunds[[#This Row],[ISIN]],'Novia Web Query'!$A:$E,4,FALSE)/100</f>
        <v>7.3000000000000001E-3</v>
      </c>
      <c r="E1875" s="3" t="str">
        <f>VLOOKUP(NoviaFunds[[#This Row],[ISIN]],'Novia Web Query'!$A:$E,5,FALSE)</f>
        <v>31/12/2021</v>
      </c>
      <c r="F1875" t="str">
        <f>VLOOKUP(NoviaFunds[[#This Row],[Sector]],Sectors[],2,FALSE)</f>
        <v>Mixed 20%-60%</v>
      </c>
    </row>
    <row r="1876" spans="1:6" x14ac:dyDescent="0.2">
      <c r="A1876" t="str">
        <f>'Novia Web Query'!A1873</f>
        <v>GB00B5BTGN53</v>
      </c>
      <c r="B1876" t="str">
        <f>VLOOKUP(NoviaFunds[[#This Row],[ISIN]],'Novia Web Query'!$A:$E,2,FALSE)</f>
        <v>Janus Henderson Cautious Managed M Inc TR in GB</v>
      </c>
      <c r="C1876" t="str">
        <f>VLOOKUP(NoviaFunds[[#This Row],[ISIN]],'Novia Web Query'!$A:$E,3,FALSE)</f>
        <v>UT Mixed Investment 20-60% Shares</v>
      </c>
      <c r="D1876" s="139">
        <f>VLOOKUP(NoviaFunds[[#This Row],[ISIN]],'Novia Web Query'!$A:$E,4,FALSE)/100</f>
        <v>1.6899999999999998E-2</v>
      </c>
      <c r="E1876" s="3" t="str">
        <f>VLOOKUP(NoviaFunds[[#This Row],[ISIN]],'Novia Web Query'!$A:$E,5,FALSE)</f>
        <v>31/01/2020</v>
      </c>
      <c r="F1876" t="str">
        <f>VLOOKUP(NoviaFunds[[#This Row],[Sector]],Sectors[],2,FALSE)</f>
        <v>Mixed 20%-60%</v>
      </c>
    </row>
    <row r="1877" spans="1:6" x14ac:dyDescent="0.2">
      <c r="A1877" t="str">
        <f>'Novia Web Query'!A1874</f>
        <v>GB0031860934</v>
      </c>
      <c r="B1877" t="str">
        <f>VLOOKUP(NoviaFunds[[#This Row],[ISIN]],'Novia Web Query'!$A:$E,2,FALSE)</f>
        <v>Janus Henderson China Opportunities A Acc in GB</v>
      </c>
      <c r="C1877" t="str">
        <f>VLOOKUP(NoviaFunds[[#This Row],[ISIN]],'Novia Web Query'!$A:$E,3,FALSE)</f>
        <v>UT China/Greater China</v>
      </c>
      <c r="D1877" s="139">
        <f>VLOOKUP(NoviaFunds[[#This Row],[ISIN]],'Novia Web Query'!$A:$E,4,FALSE)/100</f>
        <v>1.7500000000000002E-2</v>
      </c>
      <c r="E1877" s="3" t="str">
        <f>VLOOKUP(NoviaFunds[[#This Row],[ISIN]],'Novia Web Query'!$A:$E,5,FALSE)</f>
        <v>31/12/2021</v>
      </c>
      <c r="F1877" t="str">
        <f>VLOOKUP(NoviaFunds[[#This Row],[Sector]],Sectors[],2,FALSE)</f>
        <v>Asia Pacific</v>
      </c>
    </row>
    <row r="1878" spans="1:6" x14ac:dyDescent="0.2">
      <c r="A1878" t="str">
        <f>'Novia Web Query'!A1875</f>
        <v>GB00B5T7PM36</v>
      </c>
      <c r="B1878" t="str">
        <f>VLOOKUP(NoviaFunds[[#This Row],[ISIN]],'Novia Web Query'!$A:$E,2,FALSE)</f>
        <v>Janus Henderson China Opportunities I Acc in GB</v>
      </c>
      <c r="C1878" t="str">
        <f>VLOOKUP(NoviaFunds[[#This Row],[ISIN]],'Novia Web Query'!$A:$E,3,FALSE)</f>
        <v>UT China/Greater China</v>
      </c>
      <c r="D1878" s="139">
        <f>VLOOKUP(NoviaFunds[[#This Row],[ISIN]],'Novia Web Query'!$A:$E,4,FALSE)/100</f>
        <v>8.6999999999999994E-3</v>
      </c>
      <c r="E1878" s="3" t="str">
        <f>VLOOKUP(NoviaFunds[[#This Row],[ISIN]],'Novia Web Query'!$A:$E,5,FALSE)</f>
        <v>31/12/2021</v>
      </c>
      <c r="F1878" t="str">
        <f>VLOOKUP(NoviaFunds[[#This Row],[Sector]],Sectors[],2,FALSE)</f>
        <v>Asia Pacific</v>
      </c>
    </row>
    <row r="1879" spans="1:6" x14ac:dyDescent="0.2">
      <c r="A1879" t="str">
        <f>'Novia Web Query'!A1876</f>
        <v>GB00B8289886</v>
      </c>
      <c r="B1879" t="str">
        <f>VLOOKUP(NoviaFunds[[#This Row],[ISIN]],'Novia Web Query'!$A:$E,2,FALSE)</f>
        <v>Janus Henderson Core 3 Income I Acc in GB</v>
      </c>
      <c r="C1879" t="str">
        <f>VLOOKUP(NoviaFunds[[#This Row],[ISIN]],'Novia Web Query'!$A:$E,3,FALSE)</f>
        <v>UT Volatility Managed</v>
      </c>
      <c r="D1879" s="139">
        <f>VLOOKUP(NoviaFunds[[#This Row],[ISIN]],'Novia Web Query'!$A:$E,4,FALSE)/100</f>
        <v>7.0999999999999995E-3</v>
      </c>
      <c r="E1879" s="3" t="str">
        <f>VLOOKUP(NoviaFunds[[#This Row],[ISIN]],'Novia Web Query'!$A:$E,5,FALSE)</f>
        <v>31/12/2021</v>
      </c>
      <c r="F1879" t="e">
        <f>VLOOKUP(NoviaFunds[[#This Row],[Sector]],Sectors[],2,FALSE)</f>
        <v>#N/A</v>
      </c>
    </row>
    <row r="1880" spans="1:6" x14ac:dyDescent="0.2">
      <c r="A1880" t="str">
        <f>'Novia Web Query'!A1877</f>
        <v>GB00B7M85J46</v>
      </c>
      <c r="B1880" t="str">
        <f>VLOOKUP(NoviaFunds[[#This Row],[ISIN]],'Novia Web Query'!$A:$E,2,FALSE)</f>
        <v>Janus Henderson Core 3 Income I Inc TR in GB</v>
      </c>
      <c r="C1880" t="str">
        <f>VLOOKUP(NoviaFunds[[#This Row],[ISIN]],'Novia Web Query'!$A:$E,3,FALSE)</f>
        <v>UT Volatility Managed</v>
      </c>
      <c r="D1880" s="139">
        <f>VLOOKUP(NoviaFunds[[#This Row],[ISIN]],'Novia Web Query'!$A:$E,4,FALSE)/100</f>
        <v>7.0999999999999995E-3</v>
      </c>
      <c r="E1880" s="3" t="str">
        <f>VLOOKUP(NoviaFunds[[#This Row],[ISIN]],'Novia Web Query'!$A:$E,5,FALSE)</f>
        <v>31/12/2021</v>
      </c>
      <c r="F1880" t="e">
        <f>VLOOKUP(NoviaFunds[[#This Row],[Sector]],Sectors[],2,FALSE)</f>
        <v>#N/A</v>
      </c>
    </row>
    <row r="1881" spans="1:6" x14ac:dyDescent="0.2">
      <c r="A1881" t="str">
        <f>'Novia Web Query'!A1878</f>
        <v>GB00B9DFQH34</v>
      </c>
      <c r="B1881" t="str">
        <f>VLOOKUP(NoviaFunds[[#This Row],[ISIN]],'Novia Web Query'!$A:$E,2,FALSE)</f>
        <v>Janus Henderson Core 4 Income I Acc in GB</v>
      </c>
      <c r="C1881" t="str">
        <f>VLOOKUP(NoviaFunds[[#This Row],[ISIN]],'Novia Web Query'!$A:$E,3,FALSE)</f>
        <v>UT Volatility Managed</v>
      </c>
      <c r="D1881" s="139">
        <f>VLOOKUP(NoviaFunds[[#This Row],[ISIN]],'Novia Web Query'!$A:$E,4,FALSE)/100</f>
        <v>7.1999999999999998E-3</v>
      </c>
      <c r="E1881" s="3" t="str">
        <f>VLOOKUP(NoviaFunds[[#This Row],[ISIN]],'Novia Web Query'!$A:$E,5,FALSE)</f>
        <v>31/12/2021</v>
      </c>
      <c r="F1881" t="e">
        <f>VLOOKUP(NoviaFunds[[#This Row],[Sector]],Sectors[],2,FALSE)</f>
        <v>#N/A</v>
      </c>
    </row>
    <row r="1882" spans="1:6" x14ac:dyDescent="0.2">
      <c r="A1882" t="str">
        <f>'Novia Web Query'!A1879</f>
        <v>GB00B8J9W526</v>
      </c>
      <c r="B1882" t="str">
        <f>VLOOKUP(NoviaFunds[[#This Row],[ISIN]],'Novia Web Query'!$A:$E,2,FALSE)</f>
        <v>Janus Henderson Core 5 Income I Acc in GB</v>
      </c>
      <c r="C1882" t="str">
        <f>VLOOKUP(NoviaFunds[[#This Row],[ISIN]],'Novia Web Query'!$A:$E,3,FALSE)</f>
        <v>UT Volatility Managed</v>
      </c>
      <c r="D1882" s="139">
        <f>VLOOKUP(NoviaFunds[[#This Row],[ISIN]],'Novia Web Query'!$A:$E,4,FALSE)/100</f>
        <v>7.3000000000000001E-3</v>
      </c>
      <c r="E1882" s="3" t="str">
        <f>VLOOKUP(NoviaFunds[[#This Row],[ISIN]],'Novia Web Query'!$A:$E,5,FALSE)</f>
        <v>31/12/2021</v>
      </c>
      <c r="F1882" t="e">
        <f>VLOOKUP(NoviaFunds[[#This Row],[Sector]],Sectors[],2,FALSE)</f>
        <v>#N/A</v>
      </c>
    </row>
    <row r="1883" spans="1:6" x14ac:dyDescent="0.2">
      <c r="A1883" t="str">
        <f>'Novia Web Query'!A1880</f>
        <v>GB00B7YR0M72</v>
      </c>
      <c r="B1883" t="str">
        <f>VLOOKUP(NoviaFunds[[#This Row],[ISIN]],'Novia Web Query'!$A:$E,2,FALSE)</f>
        <v>Janus Henderson Core 5 Income I Inc TR in GB</v>
      </c>
      <c r="C1883" t="str">
        <f>VLOOKUP(NoviaFunds[[#This Row],[ISIN]],'Novia Web Query'!$A:$E,3,FALSE)</f>
        <v>UT Volatility Managed</v>
      </c>
      <c r="D1883" s="139">
        <f>VLOOKUP(NoviaFunds[[#This Row],[ISIN]],'Novia Web Query'!$A:$E,4,FALSE)/100</f>
        <v>7.3000000000000001E-3</v>
      </c>
      <c r="E1883" s="3" t="str">
        <f>VLOOKUP(NoviaFunds[[#This Row],[ISIN]],'Novia Web Query'!$A:$E,5,FALSE)</f>
        <v>31/12/2021</v>
      </c>
      <c r="F1883" t="e">
        <f>VLOOKUP(NoviaFunds[[#This Row],[Sector]],Sectors[],2,FALSE)</f>
        <v>#N/A</v>
      </c>
    </row>
    <row r="1884" spans="1:6" x14ac:dyDescent="0.2">
      <c r="A1884" t="str">
        <f>'Novia Web Query'!A1881</f>
        <v>GB00B96RS580</v>
      </c>
      <c r="B1884" t="str">
        <f>VLOOKUP(NoviaFunds[[#This Row],[ISIN]],'Novia Web Query'!$A:$E,2,FALSE)</f>
        <v>Janus Henderson Core 6 Income &amp; Growth I Acc in GB</v>
      </c>
      <c r="C1884" t="str">
        <f>VLOOKUP(NoviaFunds[[#This Row],[ISIN]],'Novia Web Query'!$A:$E,3,FALSE)</f>
        <v>UT Volatility Managed</v>
      </c>
      <c r="D1884" s="139">
        <f>VLOOKUP(NoviaFunds[[#This Row],[ISIN]],'Novia Web Query'!$A:$E,4,FALSE)/100</f>
        <v>7.4999999999999997E-3</v>
      </c>
      <c r="E1884" s="3" t="str">
        <f>VLOOKUP(NoviaFunds[[#This Row],[ISIN]],'Novia Web Query'!$A:$E,5,FALSE)</f>
        <v>31/12/2021</v>
      </c>
      <c r="F1884" t="e">
        <f>VLOOKUP(NoviaFunds[[#This Row],[Sector]],Sectors[],2,FALSE)</f>
        <v>#N/A</v>
      </c>
    </row>
    <row r="1885" spans="1:6" x14ac:dyDescent="0.2">
      <c r="A1885" t="str">
        <f>'Novia Web Query'!A1882</f>
        <v>GB0031861015</v>
      </c>
      <c r="B1885" t="str">
        <f>VLOOKUP(NoviaFunds[[#This Row],[ISIN]],'Novia Web Query'!$A:$E,2,FALSE)</f>
        <v>Janus Henderson Emerging Markets Opportunities A Acc in GB</v>
      </c>
      <c r="C1885" t="str">
        <f>VLOOKUP(NoviaFunds[[#This Row],[ISIN]],'Novia Web Query'!$A:$E,3,FALSE)</f>
        <v>UT Global Emerging Markets</v>
      </c>
      <c r="D1885" s="139">
        <f>VLOOKUP(NoviaFunds[[#This Row],[ISIN]],'Novia Web Query'!$A:$E,4,FALSE)/100</f>
        <v>1.7899999999999999E-2</v>
      </c>
      <c r="E1885" s="3" t="str">
        <f>VLOOKUP(NoviaFunds[[#This Row],[ISIN]],'Novia Web Query'!$A:$E,5,FALSE)</f>
        <v>31/12/2021</v>
      </c>
      <c r="F1885" t="str">
        <f>VLOOKUP(NoviaFunds[[#This Row],[Sector]],Sectors[],2,FALSE)</f>
        <v>Emerging Markets</v>
      </c>
    </row>
    <row r="1886" spans="1:6" x14ac:dyDescent="0.2">
      <c r="A1886" t="str">
        <f>'Novia Web Query'!A1883</f>
        <v>GB00B87M3G18</v>
      </c>
      <c r="B1886" t="str">
        <f>VLOOKUP(NoviaFunds[[#This Row],[ISIN]],'Novia Web Query'!$A:$E,2,FALSE)</f>
        <v>Janus Henderson Emerging Markets Opportunities I Acc in GB</v>
      </c>
      <c r="C1886" t="str">
        <f>VLOOKUP(NoviaFunds[[#This Row],[ISIN]],'Novia Web Query'!$A:$E,3,FALSE)</f>
        <v>UT Global Emerging Markets</v>
      </c>
      <c r="D1886" s="139">
        <f>VLOOKUP(NoviaFunds[[#This Row],[ISIN]],'Novia Web Query'!$A:$E,4,FALSE)/100</f>
        <v>9.1000000000000004E-3</v>
      </c>
      <c r="E1886" s="3" t="str">
        <f>VLOOKUP(NoviaFunds[[#This Row],[ISIN]],'Novia Web Query'!$A:$E,5,FALSE)</f>
        <v>31/12/2021</v>
      </c>
      <c r="F1886" t="str">
        <f>VLOOKUP(NoviaFunds[[#This Row],[Sector]],Sectors[],2,FALSE)</f>
        <v>Emerging Markets</v>
      </c>
    </row>
    <row r="1887" spans="1:6" x14ac:dyDescent="0.2">
      <c r="A1887" t="str">
        <f>'Novia Web Query'!A1884</f>
        <v>GB00BD3HZS16</v>
      </c>
      <c r="B1887" t="str">
        <f>VLOOKUP(NoviaFunds[[#This Row],[ISIN]],'Novia Web Query'!$A:$E,2,FALSE)</f>
        <v>Janus Henderson Emerging Markets Opportunities I Inc TR in GB**</v>
      </c>
      <c r="C1887" t="str">
        <f>VLOOKUP(NoviaFunds[[#This Row],[ISIN]],'Novia Web Query'!$A:$E,3,FALSE)</f>
        <v>UT Global Emerging Markets</v>
      </c>
      <c r="D1887" s="139">
        <f>VLOOKUP(NoviaFunds[[#This Row],[ISIN]],'Novia Web Query'!$A:$E,4,FALSE)/100</f>
        <v>9.1000000000000004E-3</v>
      </c>
      <c r="E1887" s="3" t="str">
        <f>VLOOKUP(NoviaFunds[[#This Row],[ISIN]],'Novia Web Query'!$A:$E,5,FALSE)</f>
        <v>31/12/2021</v>
      </c>
      <c r="F1887" t="str">
        <f>VLOOKUP(NoviaFunds[[#This Row],[Sector]],Sectors[],2,FALSE)</f>
        <v>Emerging Markets</v>
      </c>
    </row>
    <row r="1888" spans="1:6" x14ac:dyDescent="0.2">
      <c r="A1888" t="str">
        <f>'Novia Web Query'!A1885</f>
        <v>GB00B3CPX151</v>
      </c>
      <c r="B1888" t="str">
        <f>VLOOKUP(NoviaFunds[[#This Row],[ISIN]],'Novia Web Query'!$A:$E,2,FALSE)</f>
        <v>Janus Henderson European Absolute Return A Acc in GB</v>
      </c>
      <c r="C1888" t="str">
        <f>VLOOKUP(NoviaFunds[[#This Row],[ISIN]],'Novia Web Query'!$A:$E,3,FALSE)</f>
        <v>UT Targeted Absolute Return</v>
      </c>
      <c r="D1888" s="139">
        <f>VLOOKUP(NoviaFunds[[#This Row],[ISIN]],'Novia Web Query'!$A:$E,4,FALSE)/100</f>
        <v>1.7899999999999999E-2</v>
      </c>
      <c r="E1888" s="3" t="str">
        <f>VLOOKUP(NoviaFunds[[#This Row],[ISIN]],'Novia Web Query'!$A:$E,5,FALSE)</f>
        <v>31/12/2021</v>
      </c>
      <c r="F1888" t="str">
        <f>VLOOKUP(NoviaFunds[[#This Row],[Sector]],Sectors[],2,FALSE)</f>
        <v>Absolute Return</v>
      </c>
    </row>
    <row r="1889" spans="1:6" x14ac:dyDescent="0.2">
      <c r="A1889" t="str">
        <f>'Novia Web Query'!A1886</f>
        <v>GB00B3CPX375</v>
      </c>
      <c r="B1889" t="str">
        <f>VLOOKUP(NoviaFunds[[#This Row],[ISIN]],'Novia Web Query'!$A:$E,2,FALSE)</f>
        <v>Janus Henderson European Absolute Return I Acc in GB</v>
      </c>
      <c r="C1889" t="str">
        <f>VLOOKUP(NoviaFunds[[#This Row],[ISIN]],'Novia Web Query'!$A:$E,3,FALSE)</f>
        <v>UT Targeted Absolute Return</v>
      </c>
      <c r="D1889" s="139">
        <f>VLOOKUP(NoviaFunds[[#This Row],[ISIN]],'Novia Web Query'!$A:$E,4,FALSE)/100</f>
        <v>9.1000000000000004E-3</v>
      </c>
      <c r="E1889" s="3" t="str">
        <f>VLOOKUP(NoviaFunds[[#This Row],[ISIN]],'Novia Web Query'!$A:$E,5,FALSE)</f>
        <v>31/12/2021</v>
      </c>
      <c r="F1889" t="str">
        <f>VLOOKUP(NoviaFunds[[#This Row],[Sector]],Sectors[],2,FALSE)</f>
        <v>Absolute Return</v>
      </c>
    </row>
    <row r="1890" spans="1:6" x14ac:dyDescent="0.2">
      <c r="A1890" t="str">
        <f>'Novia Web Query'!A1887</f>
        <v>GB00B54J0L85</v>
      </c>
      <c r="B1890" t="str">
        <f>VLOOKUP(NoviaFunds[[#This Row],[ISIN]],'Novia Web Query'!$A:$E,2,FALSE)</f>
        <v>Janus Henderson European Focus I Acc in GB</v>
      </c>
      <c r="C1890" t="str">
        <f>VLOOKUP(NoviaFunds[[#This Row],[ISIN]],'Novia Web Query'!$A:$E,3,FALSE)</f>
        <v>UT Europe Excluding UK</v>
      </c>
      <c r="D1890" s="139">
        <f>VLOOKUP(NoviaFunds[[#This Row],[ISIN]],'Novia Web Query'!$A:$E,4,FALSE)/100</f>
        <v>8.6E-3</v>
      </c>
      <c r="E1890" s="3" t="str">
        <f>VLOOKUP(NoviaFunds[[#This Row],[ISIN]],'Novia Web Query'!$A:$E,5,FALSE)</f>
        <v>31/12/2021</v>
      </c>
      <c r="F1890" t="str">
        <f>VLOOKUP(NoviaFunds[[#This Row],[Sector]],Sectors[],2,FALSE)</f>
        <v>European Equities</v>
      </c>
    </row>
    <row r="1891" spans="1:6" x14ac:dyDescent="0.2">
      <c r="A1891" t="str">
        <f>'Novia Web Query'!A1888</f>
        <v>GB0030617707</v>
      </c>
      <c r="B1891" t="str">
        <f>VLOOKUP(NoviaFunds[[#This Row],[ISIN]],'Novia Web Query'!$A:$E,2,FALSE)</f>
        <v>Janus Henderson European Growth A Acc in GB</v>
      </c>
      <c r="C1891" t="str">
        <f>VLOOKUP(NoviaFunds[[#This Row],[ISIN]],'Novia Web Query'!$A:$E,3,FALSE)</f>
        <v>UT Europe Excluding UK</v>
      </c>
      <c r="D1891" s="139">
        <f>VLOOKUP(NoviaFunds[[#This Row],[ISIN]],'Novia Web Query'!$A:$E,4,FALSE)/100</f>
        <v>1.7399999999999999E-2</v>
      </c>
      <c r="E1891" s="3" t="str">
        <f>VLOOKUP(NoviaFunds[[#This Row],[ISIN]],'Novia Web Query'!$A:$E,5,FALSE)</f>
        <v>31/12/2021</v>
      </c>
      <c r="F1891" t="str">
        <f>VLOOKUP(NoviaFunds[[#This Row],[Sector]],Sectors[],2,FALSE)</f>
        <v>European Equities</v>
      </c>
    </row>
    <row r="1892" spans="1:6" x14ac:dyDescent="0.2">
      <c r="A1892" t="str">
        <f>'Novia Web Query'!A1889</f>
        <v>GB0030617699</v>
      </c>
      <c r="B1892" t="str">
        <f>VLOOKUP(NoviaFunds[[#This Row],[ISIN]],'Novia Web Query'!$A:$E,2,FALSE)</f>
        <v>Janus Henderson European Growth I Acc in GB</v>
      </c>
      <c r="C1892" t="str">
        <f>VLOOKUP(NoviaFunds[[#This Row],[ISIN]],'Novia Web Query'!$A:$E,3,FALSE)</f>
        <v>UT Europe Excluding UK</v>
      </c>
      <c r="D1892" s="139">
        <f>VLOOKUP(NoviaFunds[[#This Row],[ISIN]],'Novia Web Query'!$A:$E,4,FALSE)/100</f>
        <v>8.6E-3</v>
      </c>
      <c r="E1892" s="3" t="str">
        <f>VLOOKUP(NoviaFunds[[#This Row],[ISIN]],'Novia Web Query'!$A:$E,5,FALSE)</f>
        <v>31/12/2021</v>
      </c>
      <c r="F1892" t="str">
        <f>VLOOKUP(NoviaFunds[[#This Row],[Sector]],Sectors[],2,FALSE)</f>
        <v>European Equities</v>
      </c>
    </row>
    <row r="1893" spans="1:6" x14ac:dyDescent="0.2">
      <c r="A1893" t="str">
        <f>'Novia Web Query'!A1890</f>
        <v>GB0032437948</v>
      </c>
      <c r="B1893" t="str">
        <f>VLOOKUP(NoviaFunds[[#This Row],[ISIN]],'Novia Web Query'!$A:$E,2,FALSE)</f>
        <v>Janus Henderson European Selected Opportunities A Acc in GB</v>
      </c>
      <c r="C1893" t="str">
        <f>VLOOKUP(NoviaFunds[[#This Row],[ISIN]],'Novia Web Query'!$A:$E,3,FALSE)</f>
        <v>UT Europe Excluding UK</v>
      </c>
      <c r="D1893" s="139">
        <f>VLOOKUP(NoviaFunds[[#This Row],[ISIN]],'Novia Web Query'!$A:$E,4,FALSE)/100</f>
        <v>1.7299999999999999E-2</v>
      </c>
      <c r="E1893" s="3" t="str">
        <f>VLOOKUP(NoviaFunds[[#This Row],[ISIN]],'Novia Web Query'!$A:$E,5,FALSE)</f>
        <v>31/12/2021</v>
      </c>
      <c r="F1893" t="str">
        <f>VLOOKUP(NoviaFunds[[#This Row],[Sector]],Sectors[],2,FALSE)</f>
        <v>European Equities</v>
      </c>
    </row>
    <row r="1894" spans="1:6" x14ac:dyDescent="0.2">
      <c r="A1894" t="str">
        <f>'Novia Web Query'!A1891</f>
        <v>GB00BK4W8B89</v>
      </c>
      <c r="B1894" t="str">
        <f>VLOOKUP(NoviaFunds[[#This Row],[ISIN]],'Novia Web Query'!$A:$E,2,FALSE)</f>
        <v>Janus Henderson European Selected Opportunities G Acc in GB**</v>
      </c>
      <c r="C1894" t="str">
        <f>VLOOKUP(NoviaFunds[[#This Row],[ISIN]],'Novia Web Query'!$A:$E,3,FALSE)</f>
        <v>UT Europe Excluding UK</v>
      </c>
      <c r="D1894" s="139">
        <f>VLOOKUP(NoviaFunds[[#This Row],[ISIN]],'Novia Web Query'!$A:$E,4,FALSE)/100</f>
        <v>6.7000000000000002E-3</v>
      </c>
      <c r="E1894" s="3" t="str">
        <f>VLOOKUP(NoviaFunds[[#This Row],[ISIN]],'Novia Web Query'!$A:$E,5,FALSE)</f>
        <v>31/12/2021</v>
      </c>
      <c r="F1894" t="str">
        <f>VLOOKUP(NoviaFunds[[#This Row],[Sector]],Sectors[],2,FALSE)</f>
        <v>European Equities</v>
      </c>
    </row>
    <row r="1895" spans="1:6" x14ac:dyDescent="0.2">
      <c r="A1895" t="str">
        <f>'Novia Web Query'!A1892</f>
        <v>GB0032473653</v>
      </c>
      <c r="B1895" t="str">
        <f>VLOOKUP(NoviaFunds[[#This Row],[ISIN]],'Novia Web Query'!$A:$E,2,FALSE)</f>
        <v>Janus Henderson European Selected Opportunities I Acc in GB**</v>
      </c>
      <c r="C1895" t="str">
        <f>VLOOKUP(NoviaFunds[[#This Row],[ISIN]],'Novia Web Query'!$A:$E,3,FALSE)</f>
        <v>UT Europe Excluding UK</v>
      </c>
      <c r="D1895" s="139">
        <f>VLOOKUP(NoviaFunds[[#This Row],[ISIN]],'Novia Web Query'!$A:$E,4,FALSE)/100</f>
        <v>8.5000000000000006E-3</v>
      </c>
      <c r="E1895" s="3" t="str">
        <f>VLOOKUP(NoviaFunds[[#This Row],[ISIN]],'Novia Web Query'!$A:$E,5,FALSE)</f>
        <v>31/12/2021</v>
      </c>
      <c r="F1895" t="str">
        <f>VLOOKUP(NoviaFunds[[#This Row],[Sector]],Sectors[],2,FALSE)</f>
        <v>European Equities</v>
      </c>
    </row>
    <row r="1896" spans="1:6" x14ac:dyDescent="0.2">
      <c r="A1896" t="str">
        <f>'Novia Web Query'!A1893</f>
        <v>GB00B412VB02</v>
      </c>
      <c r="B1896" t="str">
        <f>VLOOKUP(NoviaFunds[[#This Row],[ISIN]],'Novia Web Query'!$A:$E,2,FALSE)</f>
        <v>Janus Henderson European Selected Opportunities I Inc TR in GB**</v>
      </c>
      <c r="C1896" t="str">
        <f>VLOOKUP(NoviaFunds[[#This Row],[ISIN]],'Novia Web Query'!$A:$E,3,FALSE)</f>
        <v>UT Europe Excluding UK</v>
      </c>
      <c r="D1896" s="139">
        <f>VLOOKUP(NoviaFunds[[#This Row],[ISIN]],'Novia Web Query'!$A:$E,4,FALSE)/100</f>
        <v>8.5000000000000006E-3</v>
      </c>
      <c r="E1896" s="3" t="str">
        <f>VLOOKUP(NoviaFunds[[#This Row],[ISIN]],'Novia Web Query'!$A:$E,5,FALSE)</f>
        <v>31/12/2021</v>
      </c>
      <c r="F1896" t="str">
        <f>VLOOKUP(NoviaFunds[[#This Row],[Sector]],Sectors[],2,FALSE)</f>
        <v>European Equities</v>
      </c>
    </row>
    <row r="1897" spans="1:6" x14ac:dyDescent="0.2">
      <c r="A1897" t="str">
        <f>'Novia Web Query'!A1894</f>
        <v>GB0007476087</v>
      </c>
      <c r="B1897" t="str">
        <f>VLOOKUP(NoviaFunds[[#This Row],[ISIN]],'Novia Web Query'!$A:$E,2,FALSE)</f>
        <v>Janus Henderson European Smaller Companies A Acc in GB</v>
      </c>
      <c r="C1897" t="str">
        <f>VLOOKUP(NoviaFunds[[#This Row],[ISIN]],'Novia Web Query'!$A:$E,3,FALSE)</f>
        <v>UT European Smaller Companies</v>
      </c>
      <c r="D1897" s="139">
        <f>VLOOKUP(NoviaFunds[[#This Row],[ISIN]],'Novia Web Query'!$A:$E,4,FALSE)/100</f>
        <v>1.7399999999999999E-2</v>
      </c>
      <c r="E1897" s="3" t="str">
        <f>VLOOKUP(NoviaFunds[[#This Row],[ISIN]],'Novia Web Query'!$A:$E,5,FALSE)</f>
        <v>31/12/2021</v>
      </c>
      <c r="F1897" t="str">
        <f>VLOOKUP(NoviaFunds[[#This Row],[Sector]],Sectors[],2,FALSE)</f>
        <v>European Equities</v>
      </c>
    </row>
    <row r="1898" spans="1:6" x14ac:dyDescent="0.2">
      <c r="A1898" t="str">
        <f>'Novia Web Query'!A1895</f>
        <v>GB0007476426</v>
      </c>
      <c r="B1898" t="str">
        <f>VLOOKUP(NoviaFunds[[#This Row],[ISIN]],'Novia Web Query'!$A:$E,2,FALSE)</f>
        <v>Janus Henderson European Smaller Companies I Acc in GB</v>
      </c>
      <c r="C1898" t="str">
        <f>VLOOKUP(NoviaFunds[[#This Row],[ISIN]],'Novia Web Query'!$A:$E,3,FALSE)</f>
        <v>UT European Smaller Companies</v>
      </c>
      <c r="D1898" s="139">
        <f>VLOOKUP(NoviaFunds[[#This Row],[ISIN]],'Novia Web Query'!$A:$E,4,FALSE)/100</f>
        <v>8.6E-3</v>
      </c>
      <c r="E1898" s="3" t="str">
        <f>VLOOKUP(NoviaFunds[[#This Row],[ISIN]],'Novia Web Query'!$A:$E,5,FALSE)</f>
        <v>31/12/2021</v>
      </c>
      <c r="F1898" t="str">
        <f>VLOOKUP(NoviaFunds[[#This Row],[Sector]],Sectors[],2,FALSE)</f>
        <v>European Equities</v>
      </c>
    </row>
    <row r="1899" spans="1:6" x14ac:dyDescent="0.2">
      <c r="A1899" t="str">
        <f>'Novia Web Query'!A1896</f>
        <v>GB00B7BX6S68</v>
      </c>
      <c r="B1899" t="str">
        <f>VLOOKUP(NoviaFunds[[#This Row],[ISIN]],'Novia Web Query'!$A:$E,2,FALSE)</f>
        <v>Janus Henderson Fixed Interest Monthly Income Acc in GB</v>
      </c>
      <c r="C1899" t="str">
        <f>VLOOKUP(NoviaFunds[[#This Row],[ISIN]],'Novia Web Query'!$A:$E,3,FALSE)</f>
        <v>UT Sterling Strategic Bond</v>
      </c>
      <c r="D1899" s="139">
        <f>VLOOKUP(NoviaFunds[[#This Row],[ISIN]],'Novia Web Query'!$A:$E,4,FALSE)/100</f>
        <v>1.43E-2</v>
      </c>
      <c r="E1899" s="3" t="str">
        <f>VLOOKUP(NoviaFunds[[#This Row],[ISIN]],'Novia Web Query'!$A:$E,5,FALSE)</f>
        <v>07/07/2021</v>
      </c>
      <c r="F1899" t="str">
        <f>VLOOKUP(NoviaFunds[[#This Row],[Sector]],Sectors[],2,FALSE)</f>
        <v>Other Bonds</v>
      </c>
    </row>
    <row r="1900" spans="1:6" x14ac:dyDescent="0.2">
      <c r="A1900" t="str">
        <f>'Novia Web Query'!A1897</f>
        <v>GB00BXVMC989</v>
      </c>
      <c r="B1900" t="str">
        <f>VLOOKUP(NoviaFunds[[#This Row],[ISIN]],'Novia Web Query'!$A:$E,2,FALSE)</f>
        <v>Janus Henderson Fixed Interest Monthly Income I Acc TR in GB**</v>
      </c>
      <c r="C1900" t="str">
        <f>VLOOKUP(NoviaFunds[[#This Row],[ISIN]],'Novia Web Query'!$A:$E,3,FALSE)</f>
        <v>UT Sterling Strategic Bond</v>
      </c>
      <c r="D1900" s="139">
        <f>VLOOKUP(NoviaFunds[[#This Row],[ISIN]],'Novia Web Query'!$A:$E,4,FALSE)/100</f>
        <v>6.9999999999999993E-3</v>
      </c>
      <c r="E1900" s="3" t="str">
        <f>VLOOKUP(NoviaFunds[[#This Row],[ISIN]],'Novia Web Query'!$A:$E,5,FALSE)</f>
        <v>31/12/2021</v>
      </c>
      <c r="F1900" t="str">
        <f>VLOOKUP(NoviaFunds[[#This Row],[Sector]],Sectors[],2,FALSE)</f>
        <v>Other Bonds</v>
      </c>
    </row>
    <row r="1901" spans="1:6" x14ac:dyDescent="0.2">
      <c r="A1901" t="str">
        <f>'Novia Web Query'!A1898</f>
        <v>GB00B7GSYN71</v>
      </c>
      <c r="B1901" t="str">
        <f>VLOOKUP(NoviaFunds[[#This Row],[ISIN]],'Novia Web Query'!$A:$E,2,FALSE)</f>
        <v>Janus Henderson Fixed Interest Monthly Income I Inc TR in GB</v>
      </c>
      <c r="C1901" t="str">
        <f>VLOOKUP(NoviaFunds[[#This Row],[ISIN]],'Novia Web Query'!$A:$E,3,FALSE)</f>
        <v>UT Sterling Strategic Bond</v>
      </c>
      <c r="D1901" s="139">
        <f>VLOOKUP(NoviaFunds[[#This Row],[ISIN]],'Novia Web Query'!$A:$E,4,FALSE)/100</f>
        <v>6.9999999999999993E-3</v>
      </c>
      <c r="E1901" s="3" t="str">
        <f>VLOOKUP(NoviaFunds[[#This Row],[ISIN]],'Novia Web Query'!$A:$E,5,FALSE)</f>
        <v>31/12/2021</v>
      </c>
      <c r="F1901" t="str">
        <f>VLOOKUP(NoviaFunds[[#This Row],[Sector]],Sectors[],2,FALSE)</f>
        <v>Other Bonds</v>
      </c>
    </row>
    <row r="1902" spans="1:6" x14ac:dyDescent="0.2">
      <c r="A1902" t="str">
        <f>'Novia Web Query'!A1899</f>
        <v>GB0001920486</v>
      </c>
      <c r="B1902" t="str">
        <f>VLOOKUP(NoviaFunds[[#This Row],[ISIN]],'Novia Web Query'!$A:$E,2,FALSE)</f>
        <v>Janus Henderson Fixed Interest Monthly Income Inc TR in GB</v>
      </c>
      <c r="C1902" t="str">
        <f>VLOOKUP(NoviaFunds[[#This Row],[ISIN]],'Novia Web Query'!$A:$E,3,FALSE)</f>
        <v>UT Sterling Strategic Bond</v>
      </c>
      <c r="D1902" s="139">
        <f>VLOOKUP(NoviaFunds[[#This Row],[ISIN]],'Novia Web Query'!$A:$E,4,FALSE)/100</f>
        <v>1.43E-2</v>
      </c>
      <c r="E1902" s="3" t="str">
        <f>VLOOKUP(NoviaFunds[[#This Row],[ISIN]],'Novia Web Query'!$A:$E,5,FALSE)</f>
        <v>31/12/2021</v>
      </c>
      <c r="F1902" t="str">
        <f>VLOOKUP(NoviaFunds[[#This Row],[Sector]],Sectors[],2,FALSE)</f>
        <v>Other Bonds</v>
      </c>
    </row>
    <row r="1903" spans="1:6" x14ac:dyDescent="0.2">
      <c r="A1903" t="str">
        <f>'Novia Web Query'!A1900</f>
        <v>GB0007018194</v>
      </c>
      <c r="B1903" t="str">
        <f>VLOOKUP(NoviaFunds[[#This Row],[ISIN]],'Novia Web Query'!$A:$E,2,FALSE)</f>
        <v>Janus Henderson Global Equity Acc in GB</v>
      </c>
      <c r="C1903" t="str">
        <f>VLOOKUP(NoviaFunds[[#This Row],[ISIN]],'Novia Web Query'!$A:$E,3,FALSE)</f>
        <v>UT Global</v>
      </c>
      <c r="D1903" s="139">
        <f>VLOOKUP(NoviaFunds[[#This Row],[ISIN]],'Novia Web Query'!$A:$E,4,FALSE)/100</f>
        <v>2.0899999999999998E-2</v>
      </c>
      <c r="E1903" s="3" t="str">
        <f>VLOOKUP(NoviaFunds[[#This Row],[ISIN]],'Novia Web Query'!$A:$E,5,FALSE)</f>
        <v>07/07/2021</v>
      </c>
      <c r="F1903" t="str">
        <f>VLOOKUP(NoviaFunds[[#This Row],[Sector]],Sectors[],2,FALSE)</f>
        <v>Other Equities</v>
      </c>
    </row>
    <row r="1904" spans="1:6" x14ac:dyDescent="0.2">
      <c r="A1904" t="str">
        <f>'Novia Web Query'!A1901</f>
        <v>GB00B68SFJ13</v>
      </c>
      <c r="B1904" t="str">
        <f>VLOOKUP(NoviaFunds[[#This Row],[ISIN]],'Novia Web Query'!$A:$E,2,FALSE)</f>
        <v>Janus Henderson Global Equity I Acc in GB</v>
      </c>
      <c r="C1904" t="str">
        <f>VLOOKUP(NoviaFunds[[#This Row],[ISIN]],'Novia Web Query'!$A:$E,3,FALSE)</f>
        <v>UT Global</v>
      </c>
      <c r="D1904" s="139">
        <f>VLOOKUP(NoviaFunds[[#This Row],[ISIN]],'Novia Web Query'!$A:$E,4,FALSE)/100</f>
        <v>8.6E-3</v>
      </c>
      <c r="E1904" s="3" t="str">
        <f>VLOOKUP(NoviaFunds[[#This Row],[ISIN]],'Novia Web Query'!$A:$E,5,FALSE)</f>
        <v>31/12/2021</v>
      </c>
      <c r="F1904" t="str">
        <f>VLOOKUP(NoviaFunds[[#This Row],[Sector]],Sectors[],2,FALSE)</f>
        <v>Other Equities</v>
      </c>
    </row>
    <row r="1905" spans="1:6" x14ac:dyDescent="0.2">
      <c r="A1905" t="str">
        <f>'Novia Web Query'!A1902</f>
        <v>GB00B3VZC642</v>
      </c>
      <c r="B1905" t="str">
        <f>VLOOKUP(NoviaFunds[[#This Row],[ISIN]],'Novia Web Query'!$A:$E,2,FALSE)</f>
        <v>Janus Henderson Global Equity Income A Acc in GB</v>
      </c>
      <c r="C1905" t="str">
        <f>VLOOKUP(NoviaFunds[[#This Row],[ISIN]],'Novia Web Query'!$A:$E,3,FALSE)</f>
        <v>UT Global Equity Income</v>
      </c>
      <c r="D1905" s="139">
        <f>VLOOKUP(NoviaFunds[[#This Row],[ISIN]],'Novia Web Query'!$A:$E,4,FALSE)/100</f>
        <v>1.77E-2</v>
      </c>
      <c r="E1905" s="3" t="str">
        <f>VLOOKUP(NoviaFunds[[#This Row],[ISIN]],'Novia Web Query'!$A:$E,5,FALSE)</f>
        <v>31/12/2021</v>
      </c>
      <c r="F1905" t="str">
        <f>VLOOKUP(NoviaFunds[[#This Row],[Sector]],Sectors[],2,FALSE)</f>
        <v>Other Equities</v>
      </c>
    </row>
    <row r="1906" spans="1:6" x14ac:dyDescent="0.2">
      <c r="A1906" t="str">
        <f>'Novia Web Query'!A1903</f>
        <v>GB0031250524</v>
      </c>
      <c r="B1906" t="str">
        <f>VLOOKUP(NoviaFunds[[#This Row],[ISIN]],'Novia Web Query'!$A:$E,2,FALSE)</f>
        <v>Janus Henderson Global Equity Income A Inc TR in GB</v>
      </c>
      <c r="C1906" t="str">
        <f>VLOOKUP(NoviaFunds[[#This Row],[ISIN]],'Novia Web Query'!$A:$E,3,FALSE)</f>
        <v>UT Global Equity Income</v>
      </c>
      <c r="D1906" s="139">
        <f>VLOOKUP(NoviaFunds[[#This Row],[ISIN]],'Novia Web Query'!$A:$E,4,FALSE)/100</f>
        <v>1.77E-2</v>
      </c>
      <c r="E1906" s="3" t="str">
        <f>VLOOKUP(NoviaFunds[[#This Row],[ISIN]],'Novia Web Query'!$A:$E,5,FALSE)</f>
        <v>31/12/2021</v>
      </c>
      <c r="F1906" t="str">
        <f>VLOOKUP(NoviaFunds[[#This Row],[Sector]],Sectors[],2,FALSE)</f>
        <v>Other Equities</v>
      </c>
    </row>
    <row r="1907" spans="1:6" x14ac:dyDescent="0.2">
      <c r="A1907" t="str">
        <f>'Novia Web Query'!A1904</f>
        <v>GB00BFDTFV49</v>
      </c>
      <c r="B1907" t="str">
        <f>VLOOKUP(NoviaFunds[[#This Row],[ISIN]],'Novia Web Query'!$A:$E,2,FALSE)</f>
        <v>Janus Henderson Global Equity Income I Acc in GB</v>
      </c>
      <c r="C1907" t="str">
        <f>VLOOKUP(NoviaFunds[[#This Row],[ISIN]],'Novia Web Query'!$A:$E,3,FALSE)</f>
        <v>UT Global Equity Income</v>
      </c>
      <c r="D1907" s="139">
        <f>VLOOKUP(NoviaFunds[[#This Row],[ISIN]],'Novia Web Query'!$A:$E,4,FALSE)/100</f>
        <v>8.5000000000000006E-3</v>
      </c>
      <c r="E1907" s="3" t="str">
        <f>VLOOKUP(NoviaFunds[[#This Row],[ISIN]],'Novia Web Query'!$A:$E,5,FALSE)</f>
        <v>31/12/2021</v>
      </c>
      <c r="F1907" t="str">
        <f>VLOOKUP(NoviaFunds[[#This Row],[Sector]],Sectors[],2,FALSE)</f>
        <v>Other Equities</v>
      </c>
    </row>
    <row r="1908" spans="1:6" x14ac:dyDescent="0.2">
      <c r="A1908" t="str">
        <f>'Novia Web Query'!A1905</f>
        <v>GB0031263899</v>
      </c>
      <c r="B1908" t="str">
        <f>VLOOKUP(NoviaFunds[[#This Row],[ISIN]],'Novia Web Query'!$A:$E,2,FALSE)</f>
        <v>Janus Henderson Global Equity Income I Inc TR in GB</v>
      </c>
      <c r="C1908" t="str">
        <f>VLOOKUP(NoviaFunds[[#This Row],[ISIN]],'Novia Web Query'!$A:$E,3,FALSE)</f>
        <v>UT Global Equity Income</v>
      </c>
      <c r="D1908" s="139">
        <f>VLOOKUP(NoviaFunds[[#This Row],[ISIN]],'Novia Web Query'!$A:$E,4,FALSE)/100</f>
        <v>8.5000000000000006E-3</v>
      </c>
      <c r="E1908" s="3" t="str">
        <f>VLOOKUP(NoviaFunds[[#This Row],[ISIN]],'Novia Web Query'!$A:$E,5,FALSE)</f>
        <v>31/12/2021</v>
      </c>
      <c r="F1908" t="str">
        <f>VLOOKUP(NoviaFunds[[#This Row],[Sector]],Sectors[],2,FALSE)</f>
        <v>Other Equities</v>
      </c>
    </row>
    <row r="1909" spans="1:6" x14ac:dyDescent="0.2">
      <c r="A1909" t="str">
        <f>'Novia Web Query'!A1906</f>
        <v>GB0031919342</v>
      </c>
      <c r="B1909" t="str">
        <f>VLOOKUP(NoviaFunds[[#This Row],[ISIN]],'Novia Web Query'!$A:$E,2,FALSE)</f>
        <v>Janus Henderson Global Financials A Acc in GB</v>
      </c>
      <c r="C1909" t="str">
        <f>VLOOKUP(NoviaFunds[[#This Row],[ISIN]],'Novia Web Query'!$A:$E,3,FALSE)</f>
        <v>UT Financials and Financial Innovat</v>
      </c>
      <c r="D1909" s="139">
        <f>VLOOKUP(NoviaFunds[[#This Row],[ISIN]],'Novia Web Query'!$A:$E,4,FALSE)/100</f>
        <v>1.7399999999999999E-2</v>
      </c>
      <c r="E1909" s="3" t="str">
        <f>VLOOKUP(NoviaFunds[[#This Row],[ISIN]],'Novia Web Query'!$A:$E,5,FALSE)</f>
        <v>31/12/2021</v>
      </c>
      <c r="F1909" t="e">
        <f>VLOOKUP(NoviaFunds[[#This Row],[Sector]],Sectors[],2,FALSE)</f>
        <v>#N/A</v>
      </c>
    </row>
    <row r="1910" spans="1:6" x14ac:dyDescent="0.2">
      <c r="A1910" t="str">
        <f>'Novia Web Query'!A1907</f>
        <v>GB0031919235</v>
      </c>
      <c r="B1910" t="str">
        <f>VLOOKUP(NoviaFunds[[#This Row],[ISIN]],'Novia Web Query'!$A:$E,2,FALSE)</f>
        <v>Janus Henderson Global Financials I Acc in GB</v>
      </c>
      <c r="C1910" t="str">
        <f>VLOOKUP(NoviaFunds[[#This Row],[ISIN]],'Novia Web Query'!$A:$E,3,FALSE)</f>
        <v>UT Financials and Financial Innovat</v>
      </c>
      <c r="D1910" s="139">
        <f>VLOOKUP(NoviaFunds[[#This Row],[ISIN]],'Novia Web Query'!$A:$E,4,FALSE)/100</f>
        <v>8.3000000000000001E-3</v>
      </c>
      <c r="E1910" s="3" t="str">
        <f>VLOOKUP(NoviaFunds[[#This Row],[ISIN]],'Novia Web Query'!$A:$E,5,FALSE)</f>
        <v>31/12/2021</v>
      </c>
      <c r="F1910" t="e">
        <f>VLOOKUP(NoviaFunds[[#This Row],[Sector]],Sectors[],2,FALSE)</f>
        <v>#N/A</v>
      </c>
    </row>
    <row r="1911" spans="1:6" x14ac:dyDescent="0.2">
      <c r="A1911" t="str">
        <f>'Novia Web Query'!A1908</f>
        <v>GB00B4LMJ388</v>
      </c>
      <c r="B1911" t="str">
        <f>VLOOKUP(NoviaFunds[[#This Row],[ISIN]],'Novia Web Query'!$A:$E,2,FALSE)</f>
        <v>Janus Henderson Global Responsible Managed I Acc in GB</v>
      </c>
      <c r="C1911" t="str">
        <f>VLOOKUP(NoviaFunds[[#This Row],[ISIN]],'Novia Web Query'!$A:$E,3,FALSE)</f>
        <v>UT Mixed Investment 40-85% Shares</v>
      </c>
      <c r="D1911" s="139">
        <f>VLOOKUP(NoviaFunds[[#This Row],[ISIN]],'Novia Web Query'!$A:$E,4,FALSE)/100</f>
        <v>8.5000000000000006E-3</v>
      </c>
      <c r="E1911" s="3" t="str">
        <f>VLOOKUP(NoviaFunds[[#This Row],[ISIN]],'Novia Web Query'!$A:$E,5,FALSE)</f>
        <v>31/12/2021</v>
      </c>
      <c r="F1911" t="str">
        <f>VLOOKUP(NoviaFunds[[#This Row],[Sector]],Sectors[],2,FALSE)</f>
        <v>Mixed 40%-85%</v>
      </c>
    </row>
    <row r="1912" spans="1:6" x14ac:dyDescent="0.2">
      <c r="A1912" t="str">
        <f>'Novia Web Query'!A1909</f>
        <v>GB0005027221</v>
      </c>
      <c r="B1912" t="str">
        <f>VLOOKUP(NoviaFunds[[#This Row],[ISIN]],'Novia Web Query'!$A:$E,2,FALSE)</f>
        <v>Janus Henderson Global Sustainable Equity A Inc TR in GB</v>
      </c>
      <c r="C1912" t="str">
        <f>VLOOKUP(NoviaFunds[[#This Row],[ISIN]],'Novia Web Query'!$A:$E,3,FALSE)</f>
        <v>UT Global</v>
      </c>
      <c r="D1912" s="139">
        <f>VLOOKUP(NoviaFunds[[#This Row],[ISIN]],'Novia Web Query'!$A:$E,4,FALSE)/100</f>
        <v>1.7299999999999999E-2</v>
      </c>
      <c r="E1912" s="3" t="str">
        <f>VLOOKUP(NoviaFunds[[#This Row],[ISIN]],'Novia Web Query'!$A:$E,5,FALSE)</f>
        <v>31/12/2021</v>
      </c>
      <c r="F1912" t="str">
        <f>VLOOKUP(NoviaFunds[[#This Row],[Sector]],Sectors[],2,FALSE)</f>
        <v>Other Equities</v>
      </c>
    </row>
    <row r="1913" spans="1:6" x14ac:dyDescent="0.2">
      <c r="A1913" t="str">
        <f>'Novia Web Query'!A1910</f>
        <v>GB00B71DPP64</v>
      </c>
      <c r="B1913" t="str">
        <f>VLOOKUP(NoviaFunds[[#This Row],[ISIN]],'Novia Web Query'!$A:$E,2,FALSE)</f>
        <v>Janus Henderson Global Sustainable Equity I Acc TR in GB</v>
      </c>
      <c r="C1913" t="str">
        <f>VLOOKUP(NoviaFunds[[#This Row],[ISIN]],'Novia Web Query'!$A:$E,3,FALSE)</f>
        <v>UT Global</v>
      </c>
      <c r="D1913" s="139">
        <f>VLOOKUP(NoviaFunds[[#This Row],[ISIN]],'Novia Web Query'!$A:$E,4,FALSE)/100</f>
        <v>8.5000000000000006E-3</v>
      </c>
      <c r="E1913" s="3" t="str">
        <f>VLOOKUP(NoviaFunds[[#This Row],[ISIN]],'Novia Web Query'!$A:$E,5,FALSE)</f>
        <v>31/12/2021</v>
      </c>
      <c r="F1913" t="str">
        <f>VLOOKUP(NoviaFunds[[#This Row],[Sector]],Sectors[],2,FALSE)</f>
        <v>Other Equities</v>
      </c>
    </row>
    <row r="1914" spans="1:6" x14ac:dyDescent="0.2">
      <c r="A1914" t="str">
        <f>'Novia Web Query'!A1911</f>
        <v>GB0005030043</v>
      </c>
      <c r="B1914" t="str">
        <f>VLOOKUP(NoviaFunds[[#This Row],[ISIN]],'Novia Web Query'!$A:$E,2,FALSE)</f>
        <v>Janus Henderson Global Sustainable Equity I Inc TR in GB</v>
      </c>
      <c r="C1914" t="str">
        <f>VLOOKUP(NoviaFunds[[#This Row],[ISIN]],'Novia Web Query'!$A:$E,3,FALSE)</f>
        <v>UT Global</v>
      </c>
      <c r="D1914" s="139">
        <f>VLOOKUP(NoviaFunds[[#This Row],[ISIN]],'Novia Web Query'!$A:$E,4,FALSE)/100</f>
        <v>8.5000000000000006E-3</v>
      </c>
      <c r="E1914" s="3" t="str">
        <f>VLOOKUP(NoviaFunds[[#This Row],[ISIN]],'Novia Web Query'!$A:$E,5,FALSE)</f>
        <v>31/12/2021</v>
      </c>
      <c r="F1914" t="str">
        <f>VLOOKUP(NoviaFunds[[#This Row],[Sector]],Sectors[],2,FALSE)</f>
        <v>Other Equities</v>
      </c>
    </row>
    <row r="1915" spans="1:6" x14ac:dyDescent="0.2">
      <c r="A1915" t="str">
        <f>'Novia Web Query'!A1912</f>
        <v>GB0007698847</v>
      </c>
      <c r="B1915" t="str">
        <f>VLOOKUP(NoviaFunds[[#This Row],[ISIN]],'Novia Web Query'!$A:$E,2,FALSE)</f>
        <v>Janus Henderson Global Technology Leaders A Acc TR in GB</v>
      </c>
      <c r="C1915" t="str">
        <f>VLOOKUP(NoviaFunds[[#This Row],[ISIN]],'Novia Web Query'!$A:$E,3,FALSE)</f>
        <v>UT Technology &amp; Telecommunications</v>
      </c>
      <c r="D1915" s="139">
        <f>VLOOKUP(NoviaFunds[[#This Row],[ISIN]],'Novia Web Query'!$A:$E,4,FALSE)/100</f>
        <v>1.7899999999999999E-2</v>
      </c>
      <c r="E1915" s="3" t="str">
        <f>VLOOKUP(NoviaFunds[[#This Row],[ISIN]],'Novia Web Query'!$A:$E,5,FALSE)</f>
        <v>31/12/2021</v>
      </c>
      <c r="F1915" t="e">
        <f>VLOOKUP(NoviaFunds[[#This Row],[Sector]],Sectors[],2,FALSE)</f>
        <v>#N/A</v>
      </c>
    </row>
    <row r="1916" spans="1:6" x14ac:dyDescent="0.2">
      <c r="A1916" t="str">
        <f>'Novia Web Query'!A1913</f>
        <v>GB0007716078</v>
      </c>
      <c r="B1916" t="str">
        <f>VLOOKUP(NoviaFunds[[#This Row],[ISIN]],'Novia Web Query'!$A:$E,2,FALSE)</f>
        <v>Janus Henderson Global Technology Leaders I Acc in GB</v>
      </c>
      <c r="C1916" t="str">
        <f>VLOOKUP(NoviaFunds[[#This Row],[ISIN]],'Novia Web Query'!$A:$E,3,FALSE)</f>
        <v>UT Technology &amp; Telecommunications</v>
      </c>
      <c r="D1916" s="139">
        <f>VLOOKUP(NoviaFunds[[#This Row],[ISIN]],'Novia Web Query'!$A:$E,4,FALSE)/100</f>
        <v>8.5000000000000006E-3</v>
      </c>
      <c r="E1916" s="3" t="str">
        <f>VLOOKUP(NoviaFunds[[#This Row],[ISIN]],'Novia Web Query'!$A:$E,5,FALSE)</f>
        <v>31/12/2021</v>
      </c>
      <c r="F1916" t="e">
        <f>VLOOKUP(NoviaFunds[[#This Row],[Sector]],Sectors[],2,FALSE)</f>
        <v>#N/A</v>
      </c>
    </row>
    <row r="1917" spans="1:6" x14ac:dyDescent="0.2">
      <c r="A1917" t="str">
        <f>'Novia Web Query'!A1914</f>
        <v>GB0007460032</v>
      </c>
      <c r="B1917" t="str">
        <f>VLOOKUP(NoviaFunds[[#This Row],[ISIN]],'Novia Web Query'!$A:$E,2,FALSE)</f>
        <v>Janus Henderson Index-Linked Bond A Inc TR in GB</v>
      </c>
      <c r="C1917" t="str">
        <f>VLOOKUP(NoviaFunds[[#This Row],[ISIN]],'Novia Web Query'!$A:$E,3,FALSE)</f>
        <v>UT UK Index Linked Gilts</v>
      </c>
      <c r="D1917" s="139">
        <f>VLOOKUP(NoviaFunds[[#This Row],[ISIN]],'Novia Web Query'!$A:$E,4,FALSE)/100</f>
        <v>8.3999999999999995E-3</v>
      </c>
      <c r="E1917" s="3" t="str">
        <f>VLOOKUP(NoviaFunds[[#This Row],[ISIN]],'Novia Web Query'!$A:$E,5,FALSE)</f>
        <v>31/12/2021</v>
      </c>
      <c r="F1917" t="str">
        <f>VLOOKUP(NoviaFunds[[#This Row],[Sector]],Sectors[],2,FALSE)</f>
        <v>UK Index Linked Gilts</v>
      </c>
    </row>
    <row r="1918" spans="1:6" x14ac:dyDescent="0.2">
      <c r="A1918" t="str">
        <f>'Novia Web Query'!A1915</f>
        <v>GB0007469066</v>
      </c>
      <c r="B1918" t="str">
        <f>VLOOKUP(NoviaFunds[[#This Row],[ISIN]],'Novia Web Query'!$A:$E,2,FALSE)</f>
        <v>Janus Henderson Index-Linked Bond I Acc in GB</v>
      </c>
      <c r="C1918" t="str">
        <f>VLOOKUP(NoviaFunds[[#This Row],[ISIN]],'Novia Web Query'!$A:$E,3,FALSE)</f>
        <v>UT UK Index Linked Gilts</v>
      </c>
      <c r="D1918" s="139">
        <f>VLOOKUP(NoviaFunds[[#This Row],[ISIN]],'Novia Web Query'!$A:$E,4,FALSE)/100</f>
        <v>4.5000000000000005E-3</v>
      </c>
      <c r="E1918" s="3" t="str">
        <f>VLOOKUP(NoviaFunds[[#This Row],[ISIN]],'Novia Web Query'!$A:$E,5,FALSE)</f>
        <v>31/12/2021</v>
      </c>
      <c r="F1918" t="str">
        <f>VLOOKUP(NoviaFunds[[#This Row],[Sector]],Sectors[],2,FALSE)</f>
        <v>UK Index Linked Gilts</v>
      </c>
    </row>
    <row r="1919" spans="1:6" x14ac:dyDescent="0.2">
      <c r="A1919" t="str">
        <f>'Novia Web Query'!A1916</f>
        <v>GB0007466617</v>
      </c>
      <c r="B1919" t="str">
        <f>VLOOKUP(NoviaFunds[[#This Row],[ISIN]],'Novia Web Query'!$A:$E,2,FALSE)</f>
        <v>Janus Henderson Index-Linked Bond I Inc TR in GB</v>
      </c>
      <c r="C1919" t="str">
        <f>VLOOKUP(NoviaFunds[[#This Row],[ISIN]],'Novia Web Query'!$A:$E,3,FALSE)</f>
        <v>UT UK Index Linked Gilts</v>
      </c>
      <c r="D1919" s="139">
        <f>VLOOKUP(NoviaFunds[[#This Row],[ISIN]],'Novia Web Query'!$A:$E,4,FALSE)/100</f>
        <v>4.5000000000000005E-3</v>
      </c>
      <c r="E1919" s="3" t="str">
        <f>VLOOKUP(NoviaFunds[[#This Row],[ISIN]],'Novia Web Query'!$A:$E,5,FALSE)</f>
        <v>31/12/2021</v>
      </c>
      <c r="F1919" t="str">
        <f>VLOOKUP(NoviaFunds[[#This Row],[Sector]],Sectors[],2,FALSE)</f>
        <v>UK Index Linked Gilts</v>
      </c>
    </row>
    <row r="1920" spans="1:6" x14ac:dyDescent="0.2">
      <c r="A1920" t="str">
        <f>'Novia Web Query'!A1917</f>
        <v>GB0007683203</v>
      </c>
      <c r="B1920" t="str">
        <f>VLOOKUP(NoviaFunds[[#This Row],[ISIN]],'Novia Web Query'!$A:$E,2,FALSE)</f>
        <v>Janus Henderson Japan Opportunities A Acc in GB</v>
      </c>
      <c r="C1920" t="str">
        <f>VLOOKUP(NoviaFunds[[#This Row],[ISIN]],'Novia Web Query'!$A:$E,3,FALSE)</f>
        <v>UT Japan</v>
      </c>
      <c r="D1920" s="139">
        <f>VLOOKUP(NoviaFunds[[#This Row],[ISIN]],'Novia Web Query'!$A:$E,4,FALSE)/100</f>
        <v>1.7399999999999999E-2</v>
      </c>
      <c r="E1920" s="3" t="str">
        <f>VLOOKUP(NoviaFunds[[#This Row],[ISIN]],'Novia Web Query'!$A:$E,5,FALSE)</f>
        <v>31/12/2021</v>
      </c>
      <c r="F1920" t="str">
        <f>VLOOKUP(NoviaFunds[[#This Row],[Sector]],Sectors[],2,FALSE)</f>
        <v>Japanese Equities</v>
      </c>
    </row>
    <row r="1921" spans="1:6" x14ac:dyDescent="0.2">
      <c r="A1921" t="str">
        <f>'Novia Web Query'!A1918</f>
        <v>GB0007685026</v>
      </c>
      <c r="B1921" t="str">
        <f>VLOOKUP(NoviaFunds[[#This Row],[ISIN]],'Novia Web Query'!$A:$E,2,FALSE)</f>
        <v>Janus Henderson Japan Opportunities I Acc in GB</v>
      </c>
      <c r="C1921" t="str">
        <f>VLOOKUP(NoviaFunds[[#This Row],[ISIN]],'Novia Web Query'!$A:$E,3,FALSE)</f>
        <v>UT Japan</v>
      </c>
      <c r="D1921" s="139">
        <f>VLOOKUP(NoviaFunds[[#This Row],[ISIN]],'Novia Web Query'!$A:$E,4,FALSE)/100</f>
        <v>8.6E-3</v>
      </c>
      <c r="E1921" s="3" t="str">
        <f>VLOOKUP(NoviaFunds[[#This Row],[ISIN]],'Novia Web Query'!$A:$E,5,FALSE)</f>
        <v>31/12/2021</v>
      </c>
      <c r="F1921" t="str">
        <f>VLOOKUP(NoviaFunds[[#This Row],[Sector]],Sectors[],2,FALSE)</f>
        <v>Japanese Equities</v>
      </c>
    </row>
    <row r="1922" spans="1:6" x14ac:dyDescent="0.2">
      <c r="A1922" t="str">
        <f>'Novia Web Query'!A1919</f>
        <v>GB00B02W2291</v>
      </c>
      <c r="B1922" t="str">
        <f>VLOOKUP(NoviaFunds[[#This Row],[ISIN]],'Novia Web Query'!$A:$E,2,FALSE)</f>
        <v>Janus Henderson Multi-Asset Absolute Return A Acc in GB</v>
      </c>
      <c r="C1922" t="str">
        <f>VLOOKUP(NoviaFunds[[#This Row],[ISIN]],'Novia Web Query'!$A:$E,3,FALSE)</f>
        <v>UT Targeted Absolute Return</v>
      </c>
      <c r="D1922" s="139">
        <f>VLOOKUP(NoviaFunds[[#This Row],[ISIN]],'Novia Web Query'!$A:$E,4,FALSE)/100</f>
        <v>1.7000000000000001E-2</v>
      </c>
      <c r="E1922" s="3" t="str">
        <f>VLOOKUP(NoviaFunds[[#This Row],[ISIN]],'Novia Web Query'!$A:$E,5,FALSE)</f>
        <v>31/12/2021</v>
      </c>
      <c r="F1922" t="str">
        <f>VLOOKUP(NoviaFunds[[#This Row],[Sector]],Sectors[],2,FALSE)</f>
        <v>Absolute Return</v>
      </c>
    </row>
    <row r="1923" spans="1:6" x14ac:dyDescent="0.2">
      <c r="A1923" t="str">
        <f>'Novia Web Query'!A1920</f>
        <v>GB00B8113P38</v>
      </c>
      <c r="B1923" t="str">
        <f>VLOOKUP(NoviaFunds[[#This Row],[ISIN]],'Novia Web Query'!$A:$E,2,FALSE)</f>
        <v>Janus Henderson Multi-Asset Absolute Return I Acc in GB</v>
      </c>
      <c r="C1923" t="str">
        <f>VLOOKUP(NoviaFunds[[#This Row],[ISIN]],'Novia Web Query'!$A:$E,3,FALSE)</f>
        <v>UT Targeted Absolute Return</v>
      </c>
      <c r="D1923" s="139">
        <f>VLOOKUP(NoviaFunds[[#This Row],[ISIN]],'Novia Web Query'!$A:$E,4,FALSE)/100</f>
        <v>9.8999999999999991E-3</v>
      </c>
      <c r="E1923" s="3" t="str">
        <f>VLOOKUP(NoviaFunds[[#This Row],[ISIN]],'Novia Web Query'!$A:$E,5,FALSE)</f>
        <v>31/12/2021</v>
      </c>
      <c r="F1923" t="str">
        <f>VLOOKUP(NoviaFunds[[#This Row],[Sector]],Sectors[],2,FALSE)</f>
        <v>Absolute Return</v>
      </c>
    </row>
    <row r="1924" spans="1:6" x14ac:dyDescent="0.2">
      <c r="A1924" t="str">
        <f>'Novia Web Query'!A1921</f>
        <v>GB0031413593</v>
      </c>
      <c r="B1924" t="str">
        <f>VLOOKUP(NoviaFunds[[#This Row],[ISIN]],'Novia Web Query'!$A:$E,2,FALSE)</f>
        <v>Janus Henderson Multi-Manager Active A Acc TR in GB</v>
      </c>
      <c r="C1924" t="str">
        <f>VLOOKUP(NoviaFunds[[#This Row],[ISIN]],'Novia Web Query'!$A:$E,3,FALSE)</f>
        <v>UT Flexible Investment</v>
      </c>
      <c r="D1924" s="139">
        <f>VLOOKUP(NoviaFunds[[#This Row],[ISIN]],'Novia Web Query'!$A:$E,4,FALSE)/100</f>
        <v>2.2000000000000002E-2</v>
      </c>
      <c r="E1924" s="3" t="str">
        <f>VLOOKUP(NoviaFunds[[#This Row],[ISIN]],'Novia Web Query'!$A:$E,5,FALSE)</f>
        <v>31/12/2021</v>
      </c>
      <c r="F1924" t="str">
        <f>VLOOKUP(NoviaFunds[[#This Row],[Sector]],Sectors[],2,FALSE)</f>
        <v>Flexible</v>
      </c>
    </row>
    <row r="1925" spans="1:6" x14ac:dyDescent="0.2">
      <c r="A1925" t="str">
        <f>'Novia Web Query'!A1922</f>
        <v>GB00B83VFR76</v>
      </c>
      <c r="B1925" t="str">
        <f>VLOOKUP(NoviaFunds[[#This Row],[ISIN]],'Novia Web Query'!$A:$E,2,FALSE)</f>
        <v>Janus Henderson Multi-Manager Active I Acc in GB</v>
      </c>
      <c r="C1925" t="str">
        <f>VLOOKUP(NoviaFunds[[#This Row],[ISIN]],'Novia Web Query'!$A:$E,3,FALSE)</f>
        <v>UT Flexible Investment</v>
      </c>
      <c r="D1925" s="139">
        <f>VLOOKUP(NoviaFunds[[#This Row],[ISIN]],'Novia Web Query'!$A:$E,4,FALSE)/100</f>
        <v>1.37E-2</v>
      </c>
      <c r="E1925" s="3" t="str">
        <f>VLOOKUP(NoviaFunds[[#This Row],[ISIN]],'Novia Web Query'!$A:$E,5,FALSE)</f>
        <v>31/12/2021</v>
      </c>
      <c r="F1925" t="str">
        <f>VLOOKUP(NoviaFunds[[#This Row],[Sector]],Sectors[],2,FALSE)</f>
        <v>Flexible</v>
      </c>
    </row>
    <row r="1926" spans="1:6" x14ac:dyDescent="0.2">
      <c r="A1926" t="str">
        <f>'Novia Web Query'!A1923</f>
        <v>GB0002725421</v>
      </c>
      <c r="B1926" t="str">
        <f>VLOOKUP(NoviaFunds[[#This Row],[ISIN]],'Novia Web Query'!$A:$E,2,FALSE)</f>
        <v>Janus Henderson Multi-Manager Distribution A Inc TR in GB</v>
      </c>
      <c r="C1926" t="str">
        <f>VLOOKUP(NoviaFunds[[#This Row],[ISIN]],'Novia Web Query'!$A:$E,3,FALSE)</f>
        <v>UT Mixed Investment 20-60% Shares</v>
      </c>
      <c r="D1926" s="139">
        <f>VLOOKUP(NoviaFunds[[#This Row],[ISIN]],'Novia Web Query'!$A:$E,4,FALSE)/100</f>
        <v>2.1499999999999998E-2</v>
      </c>
      <c r="E1926" s="3" t="str">
        <f>VLOOKUP(NoviaFunds[[#This Row],[ISIN]],'Novia Web Query'!$A:$E,5,FALSE)</f>
        <v>31/12/2021</v>
      </c>
      <c r="F1926" t="str">
        <f>VLOOKUP(NoviaFunds[[#This Row],[Sector]],Sectors[],2,FALSE)</f>
        <v>Mixed 20%-60%</v>
      </c>
    </row>
    <row r="1927" spans="1:6" x14ac:dyDescent="0.2">
      <c r="A1927" t="str">
        <f>'Novia Web Query'!A1924</f>
        <v>GB00B87K9900</v>
      </c>
      <c r="B1927" t="str">
        <f>VLOOKUP(NoviaFunds[[#This Row],[ISIN]],'Novia Web Query'!$A:$E,2,FALSE)</f>
        <v>Janus Henderson Multi-Manager Distribution I Inc TR in GB</v>
      </c>
      <c r="C1927" t="str">
        <f>VLOOKUP(NoviaFunds[[#This Row],[ISIN]],'Novia Web Query'!$A:$E,3,FALSE)</f>
        <v>UT Mixed Investment 20-60% Shares</v>
      </c>
      <c r="D1927" s="139">
        <f>VLOOKUP(NoviaFunds[[#This Row],[ISIN]],'Novia Web Query'!$A:$E,4,FALSE)/100</f>
        <v>1.32E-2</v>
      </c>
      <c r="E1927" s="3" t="str">
        <f>VLOOKUP(NoviaFunds[[#This Row],[ISIN]],'Novia Web Query'!$A:$E,5,FALSE)</f>
        <v>31/12/2021</v>
      </c>
      <c r="F1927" t="str">
        <f>VLOOKUP(NoviaFunds[[#This Row],[Sector]],Sectors[],2,FALSE)</f>
        <v>Mixed 20%-60%</v>
      </c>
    </row>
    <row r="1928" spans="1:6" x14ac:dyDescent="0.2">
      <c r="A1928" t="str">
        <f>'Novia Web Query'!A1925</f>
        <v>GB00B4Y1C447</v>
      </c>
      <c r="B1928" t="str">
        <f>VLOOKUP(NoviaFunds[[#This Row],[ISIN]],'Novia Web Query'!$A:$E,2,FALSE)</f>
        <v>Janus Henderson Multi-Manager Diversified A Inc TR in GB</v>
      </c>
      <c r="C1928" t="str">
        <f>VLOOKUP(NoviaFunds[[#This Row],[ISIN]],'Novia Web Query'!$A:$E,3,FALSE)</f>
        <v>UT Mixed Investment 0-35% Shares</v>
      </c>
      <c r="D1928" s="139">
        <f>VLOOKUP(NoviaFunds[[#This Row],[ISIN]],'Novia Web Query'!$A:$E,4,FALSE)/100</f>
        <v>1.8000000000000002E-2</v>
      </c>
      <c r="E1928" s="3" t="str">
        <f>VLOOKUP(NoviaFunds[[#This Row],[ISIN]],'Novia Web Query'!$A:$E,5,FALSE)</f>
        <v>31/12/2021</v>
      </c>
      <c r="F1928" t="str">
        <f>VLOOKUP(NoviaFunds[[#This Row],[Sector]],Sectors[],2,FALSE)</f>
        <v>Mixed 0%-35%</v>
      </c>
    </row>
    <row r="1929" spans="1:6" x14ac:dyDescent="0.2">
      <c r="A1929" t="str">
        <f>'Novia Web Query'!A1926</f>
        <v>GB00BHB1YY26</v>
      </c>
      <c r="B1929" t="str">
        <f>VLOOKUP(NoviaFunds[[#This Row],[ISIN]],'Novia Web Query'!$A:$E,2,FALSE)</f>
        <v>Janus Henderson Multi-Manager Diversified I Acc in GB</v>
      </c>
      <c r="C1929" t="str">
        <f>VLOOKUP(NoviaFunds[[#This Row],[ISIN]],'Novia Web Query'!$A:$E,3,FALSE)</f>
        <v>UT Mixed Investment 0-35% Shares</v>
      </c>
      <c r="D1929" s="139">
        <f>VLOOKUP(NoviaFunds[[#This Row],[ISIN]],'Novia Web Query'!$A:$E,4,FALSE)/100</f>
        <v>1.1000000000000001E-2</v>
      </c>
      <c r="E1929" s="3" t="str">
        <f>VLOOKUP(NoviaFunds[[#This Row],[ISIN]],'Novia Web Query'!$A:$E,5,FALSE)</f>
        <v>31/12/2021</v>
      </c>
      <c r="F1929" t="str">
        <f>VLOOKUP(NoviaFunds[[#This Row],[Sector]],Sectors[],2,FALSE)</f>
        <v>Mixed 0%-35%</v>
      </c>
    </row>
    <row r="1930" spans="1:6" x14ac:dyDescent="0.2">
      <c r="A1930" t="str">
        <f>'Novia Web Query'!A1927</f>
        <v>GB00B5TPWM66</v>
      </c>
      <c r="B1930" t="str">
        <f>VLOOKUP(NoviaFunds[[#This Row],[ISIN]],'Novia Web Query'!$A:$E,2,FALSE)</f>
        <v>Janus Henderson Multi-Manager Diversified I Inc TR in GB**</v>
      </c>
      <c r="C1930" t="str">
        <f>VLOOKUP(NoviaFunds[[#This Row],[ISIN]],'Novia Web Query'!$A:$E,3,FALSE)</f>
        <v>UT Mixed Investment 0-35% Shares</v>
      </c>
      <c r="D1930" s="139">
        <f>VLOOKUP(NoviaFunds[[#This Row],[ISIN]],'Novia Web Query'!$A:$E,4,FALSE)/100</f>
        <v>1.1000000000000001E-2</v>
      </c>
      <c r="E1930" s="3" t="str">
        <f>VLOOKUP(NoviaFunds[[#This Row],[ISIN]],'Novia Web Query'!$A:$E,5,FALSE)</f>
        <v>31/12/2021</v>
      </c>
      <c r="F1930" t="str">
        <f>VLOOKUP(NoviaFunds[[#This Row],[Sector]],Sectors[],2,FALSE)</f>
        <v>Mixed 0%-35%</v>
      </c>
    </row>
    <row r="1931" spans="1:6" x14ac:dyDescent="0.2">
      <c r="A1931" t="str">
        <f>'Novia Web Query'!A1928</f>
        <v>GB00B19FLZ44</v>
      </c>
      <c r="B1931" t="str">
        <f>VLOOKUP(NoviaFunds[[#This Row],[ISIN]],'Novia Web Query'!$A:$E,2,FALSE)</f>
        <v>Janus Henderson Multi-Manager Global Select Acc in GB</v>
      </c>
      <c r="C1931" t="str">
        <f>VLOOKUP(NoviaFunds[[#This Row],[ISIN]],'Novia Web Query'!$A:$E,3,FALSE)</f>
        <v>UT Global</v>
      </c>
      <c r="D1931" s="139">
        <f>VLOOKUP(NoviaFunds[[#This Row],[ISIN]],'Novia Web Query'!$A:$E,4,FALSE)/100</f>
        <v>1.9599999999999999E-2</v>
      </c>
      <c r="E1931" s="3" t="str">
        <f>VLOOKUP(NoviaFunds[[#This Row],[ISIN]],'Novia Web Query'!$A:$E,5,FALSE)</f>
        <v>07/07/2021</v>
      </c>
      <c r="F1931" t="str">
        <f>VLOOKUP(NoviaFunds[[#This Row],[Sector]],Sectors[],2,FALSE)</f>
        <v>Other Equities</v>
      </c>
    </row>
    <row r="1932" spans="1:6" x14ac:dyDescent="0.2">
      <c r="A1932" t="str">
        <f>'Novia Web Query'!A1929</f>
        <v>GB00B8B6NJ28</v>
      </c>
      <c r="B1932" t="str">
        <f>VLOOKUP(NoviaFunds[[#This Row],[ISIN]],'Novia Web Query'!$A:$E,2,FALSE)</f>
        <v>Janus Henderson Multi-Manager Global Select I Acc in GB</v>
      </c>
      <c r="C1932" t="str">
        <f>VLOOKUP(NoviaFunds[[#This Row],[ISIN]],'Novia Web Query'!$A:$E,3,FALSE)</f>
        <v>UT Global</v>
      </c>
      <c r="D1932" s="139">
        <f>VLOOKUP(NoviaFunds[[#This Row],[ISIN]],'Novia Web Query'!$A:$E,4,FALSE)/100</f>
        <v>1.2E-2</v>
      </c>
      <c r="E1932" s="3" t="str">
        <f>VLOOKUP(NoviaFunds[[#This Row],[ISIN]],'Novia Web Query'!$A:$E,5,FALSE)</f>
        <v>31/12/2021</v>
      </c>
      <c r="F1932" t="str">
        <f>VLOOKUP(NoviaFunds[[#This Row],[Sector]],Sectors[],2,FALSE)</f>
        <v>Other Equities</v>
      </c>
    </row>
    <row r="1933" spans="1:6" x14ac:dyDescent="0.2">
      <c r="A1933" t="str">
        <f>'Novia Web Query'!A1930</f>
        <v>GB00B4KXCG68</v>
      </c>
      <c r="B1933" t="str">
        <f>VLOOKUP(NoviaFunds[[#This Row],[ISIN]],'Novia Web Query'!$A:$E,2,FALSE)</f>
        <v>Janus Henderson Multi-Manager Income &amp; Growth A Acc in GB</v>
      </c>
      <c r="C1933" t="str">
        <f>VLOOKUP(NoviaFunds[[#This Row],[ISIN]],'Novia Web Query'!$A:$E,3,FALSE)</f>
        <v>UT Mixed Investment 20-60% Shares</v>
      </c>
      <c r="D1933" s="139">
        <f>VLOOKUP(NoviaFunds[[#This Row],[ISIN]],'Novia Web Query'!$A:$E,4,FALSE)/100</f>
        <v>2.1600000000000001E-2</v>
      </c>
      <c r="E1933" s="3" t="str">
        <f>VLOOKUP(NoviaFunds[[#This Row],[ISIN]],'Novia Web Query'!$A:$E,5,FALSE)</f>
        <v>31/12/2021</v>
      </c>
      <c r="F1933" t="str">
        <f>VLOOKUP(NoviaFunds[[#This Row],[Sector]],Sectors[],2,FALSE)</f>
        <v>Mixed 20%-60%</v>
      </c>
    </row>
    <row r="1934" spans="1:6" x14ac:dyDescent="0.2">
      <c r="A1934" t="str">
        <f>'Novia Web Query'!A1931</f>
        <v>GB0002540127</v>
      </c>
      <c r="B1934" t="str">
        <f>VLOOKUP(NoviaFunds[[#This Row],[ISIN]],'Novia Web Query'!$A:$E,2,FALSE)</f>
        <v>Janus Henderson Multi-Manager Income &amp; Growth A Inc TR in GB</v>
      </c>
      <c r="C1934" t="str">
        <f>VLOOKUP(NoviaFunds[[#This Row],[ISIN]],'Novia Web Query'!$A:$E,3,FALSE)</f>
        <v>UT Mixed Investment 20-60% Shares</v>
      </c>
      <c r="D1934" s="139">
        <f>VLOOKUP(NoviaFunds[[#This Row],[ISIN]],'Novia Web Query'!$A:$E,4,FALSE)/100</f>
        <v>2.1600000000000001E-2</v>
      </c>
      <c r="E1934" s="3" t="str">
        <f>VLOOKUP(NoviaFunds[[#This Row],[ISIN]],'Novia Web Query'!$A:$E,5,FALSE)</f>
        <v>31/12/2021</v>
      </c>
      <c r="F1934" t="str">
        <f>VLOOKUP(NoviaFunds[[#This Row],[Sector]],Sectors[],2,FALSE)</f>
        <v>Mixed 20%-60%</v>
      </c>
    </row>
    <row r="1935" spans="1:6" x14ac:dyDescent="0.2">
      <c r="A1935" t="str">
        <f>'Novia Web Query'!A1932</f>
        <v>GB00BFDTFW55</v>
      </c>
      <c r="B1935" t="str">
        <f>VLOOKUP(NoviaFunds[[#This Row],[ISIN]],'Novia Web Query'!$A:$E,2,FALSE)</f>
        <v>Janus Henderson Multi-Manager Income &amp; Growth I Acc in GB</v>
      </c>
      <c r="C1935" t="str">
        <f>VLOOKUP(NoviaFunds[[#This Row],[ISIN]],'Novia Web Query'!$A:$E,3,FALSE)</f>
        <v>UT Mixed Investment 20-60% Shares</v>
      </c>
      <c r="D1935" s="139">
        <f>VLOOKUP(NoviaFunds[[#This Row],[ISIN]],'Novia Web Query'!$A:$E,4,FALSE)/100</f>
        <v>1.3300000000000001E-2</v>
      </c>
      <c r="E1935" s="3" t="str">
        <f>VLOOKUP(NoviaFunds[[#This Row],[ISIN]],'Novia Web Query'!$A:$E,5,FALSE)</f>
        <v>31/12/2021</v>
      </c>
      <c r="F1935" t="str">
        <f>VLOOKUP(NoviaFunds[[#This Row],[Sector]],Sectors[],2,FALSE)</f>
        <v>Mixed 20%-60%</v>
      </c>
    </row>
    <row r="1936" spans="1:6" x14ac:dyDescent="0.2">
      <c r="A1936" t="str">
        <f>'Novia Web Query'!A1933</f>
        <v>GB00B88HSJ33</v>
      </c>
      <c r="B1936" t="str">
        <f>VLOOKUP(NoviaFunds[[#This Row],[ISIN]],'Novia Web Query'!$A:$E,2,FALSE)</f>
        <v>Janus Henderson Multi-Manager Income &amp; Growth I Inc TR in GB</v>
      </c>
      <c r="C1936" t="str">
        <f>VLOOKUP(NoviaFunds[[#This Row],[ISIN]],'Novia Web Query'!$A:$E,3,FALSE)</f>
        <v>UT Mixed Investment 20-60% Shares</v>
      </c>
      <c r="D1936" s="139">
        <f>VLOOKUP(NoviaFunds[[#This Row],[ISIN]],'Novia Web Query'!$A:$E,4,FALSE)/100</f>
        <v>1.3300000000000001E-2</v>
      </c>
      <c r="E1936" s="3" t="str">
        <f>VLOOKUP(NoviaFunds[[#This Row],[ISIN]],'Novia Web Query'!$A:$E,5,FALSE)</f>
        <v>31/12/2021</v>
      </c>
      <c r="F1936" t="str">
        <f>VLOOKUP(NoviaFunds[[#This Row],[Sector]],Sectors[],2,FALSE)</f>
        <v>Mixed 20%-60%</v>
      </c>
    </row>
    <row r="1937" spans="1:6" x14ac:dyDescent="0.2">
      <c r="A1937" t="str">
        <f>'Novia Web Query'!A1934</f>
        <v>GB0031412744</v>
      </c>
      <c r="B1937" t="str">
        <f>VLOOKUP(NoviaFunds[[#This Row],[ISIN]],'Novia Web Query'!$A:$E,2,FALSE)</f>
        <v>Janus Henderson Multi-Manager Managed A Acc in GB</v>
      </c>
      <c r="C1937" t="str">
        <f>VLOOKUP(NoviaFunds[[#This Row],[ISIN]],'Novia Web Query'!$A:$E,3,FALSE)</f>
        <v>UT Mixed Investment 40-85% Shares</v>
      </c>
      <c r="D1937" s="139">
        <f>VLOOKUP(NoviaFunds[[#This Row],[ISIN]],'Novia Web Query'!$A:$E,4,FALSE)/100</f>
        <v>2.1700000000000001E-2</v>
      </c>
      <c r="E1937" s="3" t="str">
        <f>VLOOKUP(NoviaFunds[[#This Row],[ISIN]],'Novia Web Query'!$A:$E,5,FALSE)</f>
        <v>31/12/2021</v>
      </c>
      <c r="F1937" t="str">
        <f>VLOOKUP(NoviaFunds[[#This Row],[Sector]],Sectors[],2,FALSE)</f>
        <v>Mixed 40%-85%</v>
      </c>
    </row>
    <row r="1938" spans="1:6" x14ac:dyDescent="0.2">
      <c r="A1938" t="str">
        <f>'Novia Web Query'!A1935</f>
        <v>GB0031412967</v>
      </c>
      <c r="B1938" t="str">
        <f>VLOOKUP(NoviaFunds[[#This Row],[ISIN]],'Novia Web Query'!$A:$E,2,FALSE)</f>
        <v>Janus Henderson Multi-Manager Managed B Acc in GB</v>
      </c>
      <c r="C1938" t="str">
        <f>VLOOKUP(NoviaFunds[[#This Row],[ISIN]],'Novia Web Query'!$A:$E,3,FALSE)</f>
        <v>UT Mixed Investment 40-85% Shares</v>
      </c>
      <c r="D1938" s="139">
        <f>VLOOKUP(NoviaFunds[[#This Row],[ISIN]],'Novia Web Query'!$A:$E,4,FALSE)/100</f>
        <v>2.3099999999999999E-2</v>
      </c>
      <c r="E1938" s="3" t="str">
        <f>VLOOKUP(NoviaFunds[[#This Row],[ISIN]],'Novia Web Query'!$A:$E,5,FALSE)</f>
        <v>31/01/2020</v>
      </c>
      <c r="F1938" t="str">
        <f>VLOOKUP(NoviaFunds[[#This Row],[Sector]],Sectors[],2,FALSE)</f>
        <v>Mixed 40%-85%</v>
      </c>
    </row>
    <row r="1939" spans="1:6" x14ac:dyDescent="0.2">
      <c r="A1939" t="str">
        <f>'Novia Web Query'!A1936</f>
        <v>GB00B7JZZK97</v>
      </c>
      <c r="B1939" t="str">
        <f>VLOOKUP(NoviaFunds[[#This Row],[ISIN]],'Novia Web Query'!$A:$E,2,FALSE)</f>
        <v>Janus Henderson Multi-Manager Managed I Acc TR in GB</v>
      </c>
      <c r="C1939" t="str">
        <f>VLOOKUP(NoviaFunds[[#This Row],[ISIN]],'Novia Web Query'!$A:$E,3,FALSE)</f>
        <v>UT Mixed Investment 40-85% Shares</v>
      </c>
      <c r="D1939" s="139">
        <f>VLOOKUP(NoviaFunds[[#This Row],[ISIN]],'Novia Web Query'!$A:$E,4,FALSE)/100</f>
        <v>1.34E-2</v>
      </c>
      <c r="E1939" s="3" t="str">
        <f>VLOOKUP(NoviaFunds[[#This Row],[ISIN]],'Novia Web Query'!$A:$E,5,FALSE)</f>
        <v>31/12/2021</v>
      </c>
      <c r="F1939" t="str">
        <f>VLOOKUP(NoviaFunds[[#This Row],[Sector]],Sectors[],2,FALSE)</f>
        <v>Mixed 40%-85%</v>
      </c>
    </row>
    <row r="1940" spans="1:6" x14ac:dyDescent="0.2">
      <c r="A1940" t="str">
        <f>'Novia Web Query'!A1937</f>
        <v>GB0007017907</v>
      </c>
      <c r="B1940" t="str">
        <f>VLOOKUP(NoviaFunds[[#This Row],[ISIN]],'Novia Web Query'!$A:$E,2,FALSE)</f>
        <v>Janus Henderson Sterling Bond Unit Trust Acc in GB</v>
      </c>
      <c r="C1940" t="str">
        <f>VLOOKUP(NoviaFunds[[#This Row],[ISIN]],'Novia Web Query'!$A:$E,3,FALSE)</f>
        <v>UT Sterling Corporate Bond</v>
      </c>
      <c r="D1940" s="139">
        <f>VLOOKUP(NoviaFunds[[#This Row],[ISIN]],'Novia Web Query'!$A:$E,4,FALSE)/100</f>
        <v>1.29E-2</v>
      </c>
      <c r="E1940" s="3" t="str">
        <f>VLOOKUP(NoviaFunds[[#This Row],[ISIN]],'Novia Web Query'!$A:$E,5,FALSE)</f>
        <v>07/07/2021</v>
      </c>
      <c r="F1940" t="str">
        <f>VLOOKUP(NoviaFunds[[#This Row],[Sector]],Sectors[],2,FALSE)</f>
        <v>Sterling Corporate Bonds</v>
      </c>
    </row>
    <row r="1941" spans="1:6" x14ac:dyDescent="0.2">
      <c r="A1941" t="str">
        <f>'Novia Web Query'!A1938</f>
        <v>GB00B8GJGW07</v>
      </c>
      <c r="B1941" t="str">
        <f>VLOOKUP(NoviaFunds[[#This Row],[ISIN]],'Novia Web Query'!$A:$E,2,FALSE)</f>
        <v>Janus Henderson Sterling Bond Unit Trust I Acc in GB</v>
      </c>
      <c r="C1941" t="str">
        <f>VLOOKUP(NoviaFunds[[#This Row],[ISIN]],'Novia Web Query'!$A:$E,3,FALSE)</f>
        <v>UT Sterling Corporate Bond</v>
      </c>
      <c r="D1941" s="139">
        <f>VLOOKUP(NoviaFunds[[#This Row],[ISIN]],'Novia Web Query'!$A:$E,4,FALSE)/100</f>
        <v>7.0999999999999995E-3</v>
      </c>
      <c r="E1941" s="3" t="str">
        <f>VLOOKUP(NoviaFunds[[#This Row],[ISIN]],'Novia Web Query'!$A:$E,5,FALSE)</f>
        <v>31/12/2021</v>
      </c>
      <c r="F1941" t="str">
        <f>VLOOKUP(NoviaFunds[[#This Row],[Sector]],Sectors[],2,FALSE)</f>
        <v>Sterling Corporate Bonds</v>
      </c>
    </row>
    <row r="1942" spans="1:6" x14ac:dyDescent="0.2">
      <c r="A1942" t="str">
        <f>'Novia Web Query'!A1939</f>
        <v>GB00B6XY7V09</v>
      </c>
      <c r="B1942" t="str">
        <f>VLOOKUP(NoviaFunds[[#This Row],[ISIN]],'Novia Web Query'!$A:$E,2,FALSE)</f>
        <v>Janus Henderson Sterling Bond Unit Trust I Inc TR in GB**</v>
      </c>
      <c r="C1942" t="str">
        <f>VLOOKUP(NoviaFunds[[#This Row],[ISIN]],'Novia Web Query'!$A:$E,3,FALSE)</f>
        <v>UT Sterling Corporate Bond</v>
      </c>
      <c r="D1942" s="139">
        <f>VLOOKUP(NoviaFunds[[#This Row],[ISIN]],'Novia Web Query'!$A:$E,4,FALSE)/100</f>
        <v>7.0999999999999995E-3</v>
      </c>
      <c r="E1942" s="3" t="str">
        <f>VLOOKUP(NoviaFunds[[#This Row],[ISIN]],'Novia Web Query'!$A:$E,5,FALSE)</f>
        <v>31/12/2021</v>
      </c>
      <c r="F1942" t="str">
        <f>VLOOKUP(NoviaFunds[[#This Row],[Sector]],Sectors[],2,FALSE)</f>
        <v>Sterling Corporate Bonds</v>
      </c>
    </row>
    <row r="1943" spans="1:6" x14ac:dyDescent="0.2">
      <c r="A1943" t="str">
        <f>'Novia Web Query'!A1940</f>
        <v>GB0007033870</v>
      </c>
      <c r="B1943" t="str">
        <f>VLOOKUP(NoviaFunds[[#This Row],[ISIN]],'Novia Web Query'!$A:$E,2,FALSE)</f>
        <v>Janus Henderson Sterling Bond Unit Trust Inc TR in GB</v>
      </c>
      <c r="C1943" t="str">
        <f>VLOOKUP(NoviaFunds[[#This Row],[ISIN]],'Novia Web Query'!$A:$E,3,FALSE)</f>
        <v>UT Sterling Corporate Bond</v>
      </c>
      <c r="D1943" s="139">
        <f>VLOOKUP(NoviaFunds[[#This Row],[ISIN]],'Novia Web Query'!$A:$E,4,FALSE)/100</f>
        <v>1.29E-2</v>
      </c>
      <c r="E1943" s="3" t="str">
        <f>VLOOKUP(NoviaFunds[[#This Row],[ISIN]],'Novia Web Query'!$A:$E,5,FALSE)</f>
        <v>31/12/2021</v>
      </c>
      <c r="F1943" t="str">
        <f>VLOOKUP(NoviaFunds[[#This Row],[Sector]],Sectors[],2,FALSE)</f>
        <v>Sterling Corporate Bonds</v>
      </c>
    </row>
    <row r="1944" spans="1:6" x14ac:dyDescent="0.2">
      <c r="A1944" t="str">
        <f>'Novia Web Query'!A1941</f>
        <v>GB0007495293</v>
      </c>
      <c r="B1944" t="str">
        <f>VLOOKUP(NoviaFunds[[#This Row],[ISIN]],'Novia Web Query'!$A:$E,2,FALSE)</f>
        <v>Janus Henderson Strategic Bond A Inc TR in GB</v>
      </c>
      <c r="C1944" t="str">
        <f>VLOOKUP(NoviaFunds[[#This Row],[ISIN]],'Novia Web Query'!$A:$E,3,FALSE)</f>
        <v>UT Sterling Strategic Bond</v>
      </c>
      <c r="D1944" s="139">
        <f>VLOOKUP(NoviaFunds[[#This Row],[ISIN]],'Novia Web Query'!$A:$E,4,FALSE)/100</f>
        <v>1.43E-2</v>
      </c>
      <c r="E1944" s="3" t="str">
        <f>VLOOKUP(NoviaFunds[[#This Row],[ISIN]],'Novia Web Query'!$A:$E,5,FALSE)</f>
        <v>31/12/2021</v>
      </c>
      <c r="F1944" t="str">
        <f>VLOOKUP(NoviaFunds[[#This Row],[Sector]],Sectors[],2,FALSE)</f>
        <v>Other Bonds</v>
      </c>
    </row>
    <row r="1945" spans="1:6" x14ac:dyDescent="0.2">
      <c r="A1945" t="str">
        <f>'Novia Web Query'!A1942</f>
        <v>GB00BLCYFX43</v>
      </c>
      <c r="B1945" t="str">
        <f>VLOOKUP(NoviaFunds[[#This Row],[ISIN]],'Novia Web Query'!$A:$E,2,FALSE)</f>
        <v>Janus Henderson Strategic Bond G Acc TR in GB**</v>
      </c>
      <c r="C1945" t="str">
        <f>VLOOKUP(NoviaFunds[[#This Row],[ISIN]],'Novia Web Query'!$A:$E,3,FALSE)</f>
        <v>UT Sterling Strategic Bond</v>
      </c>
      <c r="D1945" s="139">
        <f>VLOOKUP(NoviaFunds[[#This Row],[ISIN]],'Novia Web Query'!$A:$E,4,FALSE)/100</f>
        <v>5.4000000000000003E-3</v>
      </c>
      <c r="E1945" s="3" t="str">
        <f>VLOOKUP(NoviaFunds[[#This Row],[ISIN]],'Novia Web Query'!$A:$E,5,FALSE)</f>
        <v>31/12/2021</v>
      </c>
      <c r="F1945" t="str">
        <f>VLOOKUP(NoviaFunds[[#This Row],[Sector]],Sectors[],2,FALSE)</f>
        <v>Other Bonds</v>
      </c>
    </row>
    <row r="1946" spans="1:6" x14ac:dyDescent="0.2">
      <c r="A1946" t="str">
        <f>'Novia Web Query'!A1943</f>
        <v>GB00BLCYFW36</v>
      </c>
      <c r="B1946" t="str">
        <f>VLOOKUP(NoviaFunds[[#This Row],[ISIN]],'Novia Web Query'!$A:$E,2,FALSE)</f>
        <v>Janus Henderson Strategic Bond G Inc TR in GB**</v>
      </c>
      <c r="C1946" t="str">
        <f>VLOOKUP(NoviaFunds[[#This Row],[ISIN]],'Novia Web Query'!$A:$E,3,FALSE)</f>
        <v>UT Sterling Strategic Bond</v>
      </c>
      <c r="D1946" s="139">
        <f>VLOOKUP(NoviaFunds[[#This Row],[ISIN]],'Novia Web Query'!$A:$E,4,FALSE)/100</f>
        <v>5.4000000000000003E-3</v>
      </c>
      <c r="E1946" s="3" t="str">
        <f>VLOOKUP(NoviaFunds[[#This Row],[ISIN]],'Novia Web Query'!$A:$E,5,FALSE)</f>
        <v>31/12/2021</v>
      </c>
      <c r="F1946" t="str">
        <f>VLOOKUP(NoviaFunds[[#This Row],[Sector]],Sectors[],2,FALSE)</f>
        <v>Other Bonds</v>
      </c>
    </row>
    <row r="1947" spans="1:6" x14ac:dyDescent="0.2">
      <c r="A1947" t="str">
        <f>'Novia Web Query'!A1944</f>
        <v>GB0007533820</v>
      </c>
      <c r="B1947" t="str">
        <f>VLOOKUP(NoviaFunds[[#This Row],[ISIN]],'Novia Web Query'!$A:$E,2,FALSE)</f>
        <v>Janus Henderson Strategic Bond I Acc TR in GB**</v>
      </c>
      <c r="C1947" t="str">
        <f>VLOOKUP(NoviaFunds[[#This Row],[ISIN]],'Novia Web Query'!$A:$E,3,FALSE)</f>
        <v>UT Sterling Strategic Bond</v>
      </c>
      <c r="D1947" s="139">
        <f>VLOOKUP(NoviaFunds[[#This Row],[ISIN]],'Novia Web Query'!$A:$E,4,FALSE)/100</f>
        <v>6.9999999999999993E-3</v>
      </c>
      <c r="E1947" s="3" t="str">
        <f>VLOOKUP(NoviaFunds[[#This Row],[ISIN]],'Novia Web Query'!$A:$E,5,FALSE)</f>
        <v>31/12/2021</v>
      </c>
      <c r="F1947" t="str">
        <f>VLOOKUP(NoviaFunds[[#This Row],[Sector]],Sectors[],2,FALSE)</f>
        <v>Other Bonds</v>
      </c>
    </row>
    <row r="1948" spans="1:6" x14ac:dyDescent="0.2">
      <c r="A1948" t="str">
        <f>'Novia Web Query'!A1945</f>
        <v>GB0007502080</v>
      </c>
      <c r="B1948" t="str">
        <f>VLOOKUP(NoviaFunds[[#This Row],[ISIN]],'Novia Web Query'!$A:$E,2,FALSE)</f>
        <v>Janus Henderson Strategic Bond I Inc TR in GB**</v>
      </c>
      <c r="C1948" t="str">
        <f>VLOOKUP(NoviaFunds[[#This Row],[ISIN]],'Novia Web Query'!$A:$E,3,FALSE)</f>
        <v>UT Sterling Strategic Bond</v>
      </c>
      <c r="D1948" s="139">
        <f>VLOOKUP(NoviaFunds[[#This Row],[ISIN]],'Novia Web Query'!$A:$E,4,FALSE)/100</f>
        <v>6.9999999999999993E-3</v>
      </c>
      <c r="E1948" s="3" t="str">
        <f>VLOOKUP(NoviaFunds[[#This Row],[ISIN]],'Novia Web Query'!$A:$E,5,FALSE)</f>
        <v>31/12/2021</v>
      </c>
      <c r="F1948" t="str">
        <f>VLOOKUP(NoviaFunds[[#This Row],[Sector]],Sectors[],2,FALSE)</f>
        <v>Other Bonds</v>
      </c>
    </row>
    <row r="1949" spans="1:6" x14ac:dyDescent="0.2">
      <c r="A1949" t="str">
        <f>'Novia Web Query'!A1946</f>
        <v>GB0030956949</v>
      </c>
      <c r="B1949" t="str">
        <f>VLOOKUP(NoviaFunds[[#This Row],[ISIN]],'Novia Web Query'!$A:$E,2,FALSE)</f>
        <v>Janus Henderson UK Alpha A Acc in GB</v>
      </c>
      <c r="C1949" t="str">
        <f>VLOOKUP(NoviaFunds[[#This Row],[ISIN]],'Novia Web Query'!$A:$E,3,FALSE)</f>
        <v>UT UK All Companies</v>
      </c>
      <c r="D1949" s="139">
        <f>VLOOKUP(NoviaFunds[[#This Row],[ISIN]],'Novia Web Query'!$A:$E,4,FALSE)/100</f>
        <v>1.7299999999999999E-2</v>
      </c>
      <c r="E1949" s="3" t="str">
        <f>VLOOKUP(NoviaFunds[[#This Row],[ISIN]],'Novia Web Query'!$A:$E,5,FALSE)</f>
        <v>31/12/2021</v>
      </c>
      <c r="F1949" t="str">
        <f>VLOOKUP(NoviaFunds[[#This Row],[Sector]],Sectors[],2,FALSE)</f>
        <v>UK Equities</v>
      </c>
    </row>
    <row r="1950" spans="1:6" x14ac:dyDescent="0.2">
      <c r="A1950" t="str">
        <f>'Novia Web Query'!A1947</f>
        <v>GB0030956832</v>
      </c>
      <c r="B1950" t="str">
        <f>VLOOKUP(NoviaFunds[[#This Row],[ISIN]],'Novia Web Query'!$A:$E,2,FALSE)</f>
        <v>Janus Henderson UK Alpha I Acc in GB</v>
      </c>
      <c r="C1950" t="str">
        <f>VLOOKUP(NoviaFunds[[#This Row],[ISIN]],'Novia Web Query'!$A:$E,3,FALSE)</f>
        <v>UT UK All Companies</v>
      </c>
      <c r="D1950" s="139">
        <f>VLOOKUP(NoviaFunds[[#This Row],[ISIN]],'Novia Web Query'!$A:$E,4,FALSE)/100</f>
        <v>8.5000000000000006E-3</v>
      </c>
      <c r="E1950" s="3" t="str">
        <f>VLOOKUP(NoviaFunds[[#This Row],[ISIN]],'Novia Web Query'!$A:$E,5,FALSE)</f>
        <v>31/12/2021</v>
      </c>
      <c r="F1950" t="str">
        <f>VLOOKUP(NoviaFunds[[#This Row],[Sector]],Sectors[],2,FALSE)</f>
        <v>UK Equities</v>
      </c>
    </row>
    <row r="1951" spans="1:6" x14ac:dyDescent="0.2">
      <c r="A1951" t="str">
        <f>'Novia Web Query'!A1948</f>
        <v>GB0007493033</v>
      </c>
      <c r="B1951" t="str">
        <f>VLOOKUP(NoviaFunds[[#This Row],[ISIN]],'Novia Web Query'!$A:$E,2,FALSE)</f>
        <v>Janus Henderson UK Equity Income &amp; Growth A Inc TR in GB</v>
      </c>
      <c r="C1951" t="str">
        <f>VLOOKUP(NoviaFunds[[#This Row],[ISIN]],'Novia Web Query'!$A:$E,3,FALSE)</f>
        <v>UT UK Equity Income</v>
      </c>
      <c r="D1951" s="139">
        <f>VLOOKUP(NoviaFunds[[#This Row],[ISIN]],'Novia Web Query'!$A:$E,4,FALSE)/100</f>
        <v>1.7299999999999999E-2</v>
      </c>
      <c r="E1951" s="3" t="str">
        <f>VLOOKUP(NoviaFunds[[#This Row],[ISIN]],'Novia Web Query'!$A:$E,5,FALSE)</f>
        <v>31/12/2021</v>
      </c>
      <c r="F1951" t="str">
        <f>VLOOKUP(NoviaFunds[[#This Row],[Sector]],Sectors[],2,FALSE)</f>
        <v>UK Equities</v>
      </c>
    </row>
    <row r="1952" spans="1:6" x14ac:dyDescent="0.2">
      <c r="A1952" t="str">
        <f>'Novia Web Query'!A1949</f>
        <v>GB0007494221</v>
      </c>
      <c r="B1952" t="str">
        <f>VLOOKUP(NoviaFunds[[#This Row],[ISIN]],'Novia Web Query'!$A:$E,2,FALSE)</f>
        <v>Janus Henderson UK Equity Income &amp; Growth I Acc TR in GB**</v>
      </c>
      <c r="C1952" t="str">
        <f>VLOOKUP(NoviaFunds[[#This Row],[ISIN]],'Novia Web Query'!$A:$E,3,FALSE)</f>
        <v>UT UK Equity Income</v>
      </c>
      <c r="D1952" s="139">
        <f>VLOOKUP(NoviaFunds[[#This Row],[ISIN]],'Novia Web Query'!$A:$E,4,FALSE)/100</f>
        <v>8.5000000000000006E-3</v>
      </c>
      <c r="E1952" s="3" t="str">
        <f>VLOOKUP(NoviaFunds[[#This Row],[ISIN]],'Novia Web Query'!$A:$E,5,FALSE)</f>
        <v>31/12/2021</v>
      </c>
      <c r="F1952" t="str">
        <f>VLOOKUP(NoviaFunds[[#This Row],[Sector]],Sectors[],2,FALSE)</f>
        <v>UK Equities</v>
      </c>
    </row>
    <row r="1953" spans="1:6" x14ac:dyDescent="0.2">
      <c r="A1953" t="str">
        <f>'Novia Web Query'!A1950</f>
        <v>GB0007493470</v>
      </c>
      <c r="B1953" t="str">
        <f>VLOOKUP(NoviaFunds[[#This Row],[ISIN]],'Novia Web Query'!$A:$E,2,FALSE)</f>
        <v>Janus Henderson UK Equity Income &amp; Growth I Inc TR in GB</v>
      </c>
      <c r="C1953" t="str">
        <f>VLOOKUP(NoviaFunds[[#This Row],[ISIN]],'Novia Web Query'!$A:$E,3,FALSE)</f>
        <v>UT UK Equity Income</v>
      </c>
      <c r="D1953" s="139">
        <f>VLOOKUP(NoviaFunds[[#This Row],[ISIN]],'Novia Web Query'!$A:$E,4,FALSE)/100</f>
        <v>8.5000000000000006E-3</v>
      </c>
      <c r="E1953" s="3" t="str">
        <f>VLOOKUP(NoviaFunds[[#This Row],[ISIN]],'Novia Web Query'!$A:$E,5,FALSE)</f>
        <v>31/12/2021</v>
      </c>
      <c r="F1953" t="str">
        <f>VLOOKUP(NoviaFunds[[#This Row],[Sector]],Sectors[],2,FALSE)</f>
        <v>UK Equities</v>
      </c>
    </row>
    <row r="1954" spans="1:6" x14ac:dyDescent="0.2">
      <c r="A1954" t="str">
        <f>'Novia Web Query'!A1951</f>
        <v>GB00BYP82B13</v>
      </c>
      <c r="B1954" t="str">
        <f>VLOOKUP(NoviaFunds[[#This Row],[ISIN]],'Novia Web Query'!$A:$E,2,FALSE)</f>
        <v>Janus Henderson UK Property PAIF Feeder A Acc in GB</v>
      </c>
      <c r="C1954" t="str">
        <f>VLOOKUP(NoviaFunds[[#This Row],[ISIN]],'Novia Web Query'!$A:$E,3,FALSE)</f>
        <v>UT UK Direct Property</v>
      </c>
      <c r="D1954" s="139">
        <f>VLOOKUP(NoviaFunds[[#This Row],[ISIN]],'Novia Web Query'!$A:$E,4,FALSE)/100</f>
        <v>1.6799999999999999E-2</v>
      </c>
      <c r="E1954" s="3" t="str">
        <f>VLOOKUP(NoviaFunds[[#This Row],[ISIN]],'Novia Web Query'!$A:$E,5,FALSE)</f>
        <v>31/12/2021</v>
      </c>
      <c r="F1954" t="e">
        <f>VLOOKUP(NoviaFunds[[#This Row],[Sector]],Sectors[],2,FALSE)</f>
        <v>#N/A</v>
      </c>
    </row>
    <row r="1955" spans="1:6" x14ac:dyDescent="0.2">
      <c r="A1955" t="str">
        <f>'Novia Web Query'!A1952</f>
        <v>GB00BYP82996</v>
      </c>
      <c r="B1955" t="str">
        <f>VLOOKUP(NoviaFunds[[#This Row],[ISIN]],'Novia Web Query'!$A:$E,2,FALSE)</f>
        <v>Janus Henderson UK Property PAIF Feeder A Inc TR in GB</v>
      </c>
      <c r="C1955" t="str">
        <f>VLOOKUP(NoviaFunds[[#This Row],[ISIN]],'Novia Web Query'!$A:$E,3,FALSE)</f>
        <v>UT UK Direct Property</v>
      </c>
      <c r="D1955" s="139">
        <f>VLOOKUP(NoviaFunds[[#This Row],[ISIN]],'Novia Web Query'!$A:$E,4,FALSE)/100</f>
        <v>1.6799999999999999E-2</v>
      </c>
      <c r="E1955" s="3" t="str">
        <f>VLOOKUP(NoviaFunds[[#This Row],[ISIN]],'Novia Web Query'!$A:$E,5,FALSE)</f>
        <v>31/12/2021</v>
      </c>
      <c r="F1955" t="e">
        <f>VLOOKUP(NoviaFunds[[#This Row],[Sector]],Sectors[],2,FALSE)</f>
        <v>#N/A</v>
      </c>
    </row>
    <row r="1956" spans="1:6" x14ac:dyDescent="0.2">
      <c r="A1956" t="str">
        <f>'Novia Web Query'!A1953</f>
        <v>GB00BYP82D37</v>
      </c>
      <c r="B1956" t="str">
        <f>VLOOKUP(NoviaFunds[[#This Row],[ISIN]],'Novia Web Query'!$A:$E,2,FALSE)</f>
        <v>Janus Henderson UK Property PAIF Feeder I Acc in GB</v>
      </c>
      <c r="C1956" t="str">
        <f>VLOOKUP(NoviaFunds[[#This Row],[ISIN]],'Novia Web Query'!$A:$E,3,FALSE)</f>
        <v>UT UK Direct Property</v>
      </c>
      <c r="D1956" s="139">
        <f>VLOOKUP(NoviaFunds[[#This Row],[ISIN]],'Novia Web Query'!$A:$E,4,FALSE)/100</f>
        <v>8.5000000000000006E-3</v>
      </c>
      <c r="E1956" s="3" t="str">
        <f>VLOOKUP(NoviaFunds[[#This Row],[ISIN]],'Novia Web Query'!$A:$E,5,FALSE)</f>
        <v>31/12/2021</v>
      </c>
      <c r="F1956" t="e">
        <f>VLOOKUP(NoviaFunds[[#This Row],[Sector]],Sectors[],2,FALSE)</f>
        <v>#N/A</v>
      </c>
    </row>
    <row r="1957" spans="1:6" x14ac:dyDescent="0.2">
      <c r="A1957" t="str">
        <f>'Novia Web Query'!A1954</f>
        <v>GB00BYP82C20</v>
      </c>
      <c r="B1957" t="str">
        <f>VLOOKUP(NoviaFunds[[#This Row],[ISIN]],'Novia Web Query'!$A:$E,2,FALSE)</f>
        <v>Janus Henderson UK Property PAIF Feeder I Inc TR in GB</v>
      </c>
      <c r="C1957" t="str">
        <f>VLOOKUP(NoviaFunds[[#This Row],[ISIN]],'Novia Web Query'!$A:$E,3,FALSE)</f>
        <v>UT UK Direct Property</v>
      </c>
      <c r="D1957" s="139">
        <f>VLOOKUP(NoviaFunds[[#This Row],[ISIN]],'Novia Web Query'!$A:$E,4,FALSE)/100</f>
        <v>8.5000000000000006E-3</v>
      </c>
      <c r="E1957" s="3" t="str">
        <f>VLOOKUP(NoviaFunds[[#This Row],[ISIN]],'Novia Web Query'!$A:$E,5,FALSE)</f>
        <v>31/12/2021</v>
      </c>
      <c r="F1957" t="e">
        <f>VLOOKUP(NoviaFunds[[#This Row],[Sector]],Sectors[],2,FALSE)</f>
        <v>#N/A</v>
      </c>
    </row>
    <row r="1958" spans="1:6" x14ac:dyDescent="0.2">
      <c r="A1958" t="str">
        <f>'Novia Web Query'!A1955</f>
        <v>GB00BYP82K04</v>
      </c>
      <c r="B1958" t="str">
        <f>VLOOKUP(NoviaFunds[[#This Row],[ISIN]],'Novia Web Query'!$A:$E,2,FALSE)</f>
        <v>Janus Henderson UK Property PAIF Feeder U2 Acc in GB</v>
      </c>
      <c r="C1958" t="str">
        <f>VLOOKUP(NoviaFunds[[#This Row],[ISIN]],'Novia Web Query'!$A:$E,3,FALSE)</f>
        <v>UT UK Direct Property</v>
      </c>
      <c r="D1958" s="139">
        <f>VLOOKUP(NoviaFunds[[#This Row],[ISIN]],'Novia Web Query'!$A:$E,4,FALSE)/100</f>
        <v>6.6E-3</v>
      </c>
      <c r="E1958" s="3" t="str">
        <f>VLOOKUP(NoviaFunds[[#This Row],[ISIN]],'Novia Web Query'!$A:$E,5,FALSE)</f>
        <v>31/01/2020</v>
      </c>
      <c r="F1958" t="e">
        <f>VLOOKUP(NoviaFunds[[#This Row],[Sector]],Sectors[],2,FALSE)</f>
        <v>#N/A</v>
      </c>
    </row>
    <row r="1959" spans="1:6" x14ac:dyDescent="0.2">
      <c r="A1959" t="str">
        <f>'Novia Web Query'!A1956</f>
        <v>GB0005027338</v>
      </c>
      <c r="B1959" t="str">
        <f>VLOOKUP(NoviaFunds[[#This Row],[ISIN]],'Novia Web Query'!$A:$E,2,FALSE)</f>
        <v>Janus Henderson UK Responsible Income A Inc TR in GB</v>
      </c>
      <c r="C1959" t="str">
        <f>VLOOKUP(NoviaFunds[[#This Row],[ISIN]],'Novia Web Query'!$A:$E,3,FALSE)</f>
        <v>UT UK Equity Income</v>
      </c>
      <c r="D1959" s="139">
        <f>VLOOKUP(NoviaFunds[[#This Row],[ISIN]],'Novia Web Query'!$A:$E,4,FALSE)/100</f>
        <v>1.7299999999999999E-2</v>
      </c>
      <c r="E1959" s="3" t="str">
        <f>VLOOKUP(NoviaFunds[[#This Row],[ISIN]],'Novia Web Query'!$A:$E,5,FALSE)</f>
        <v>31/12/2021</v>
      </c>
      <c r="F1959" t="str">
        <f>VLOOKUP(NoviaFunds[[#This Row],[Sector]],Sectors[],2,FALSE)</f>
        <v>UK Equities</v>
      </c>
    </row>
    <row r="1960" spans="1:6" x14ac:dyDescent="0.2">
      <c r="A1960" t="str">
        <f>'Novia Web Query'!A1957</f>
        <v>GB0005030373</v>
      </c>
      <c r="B1960" t="str">
        <f>VLOOKUP(NoviaFunds[[#This Row],[ISIN]],'Novia Web Query'!$A:$E,2,FALSE)</f>
        <v>Janus Henderson UK Responsible Income I Inc TR in GB</v>
      </c>
      <c r="C1960" t="str">
        <f>VLOOKUP(NoviaFunds[[#This Row],[ISIN]],'Novia Web Query'!$A:$E,3,FALSE)</f>
        <v>UT UK Equity Income</v>
      </c>
      <c r="D1960" s="139">
        <f>VLOOKUP(NoviaFunds[[#This Row],[ISIN]],'Novia Web Query'!$A:$E,4,FALSE)/100</f>
        <v>8.5000000000000006E-3</v>
      </c>
      <c r="E1960" s="3" t="str">
        <f>VLOOKUP(NoviaFunds[[#This Row],[ISIN]],'Novia Web Query'!$A:$E,5,FALSE)</f>
        <v>31/12/2021</v>
      </c>
      <c r="F1960" t="str">
        <f>VLOOKUP(NoviaFunds[[#This Row],[Sector]],Sectors[],2,FALSE)</f>
        <v>UK Equities</v>
      </c>
    </row>
    <row r="1961" spans="1:6" x14ac:dyDescent="0.2">
      <c r="A1961" t="str">
        <f>'Novia Web Query'!A1958</f>
        <v>GB0007447286</v>
      </c>
      <c r="B1961" t="str">
        <f>VLOOKUP(NoviaFunds[[#This Row],[ISIN]],'Novia Web Query'!$A:$E,2,FALSE)</f>
        <v>Janus Henderson UK Smaller Companies A Acc in GB</v>
      </c>
      <c r="C1961" t="str">
        <f>VLOOKUP(NoviaFunds[[#This Row],[ISIN]],'Novia Web Query'!$A:$E,3,FALSE)</f>
        <v>UT UK Smaller Companies</v>
      </c>
      <c r="D1961" s="139">
        <f>VLOOKUP(NoviaFunds[[#This Row],[ISIN]],'Novia Web Query'!$A:$E,4,FALSE)/100</f>
        <v>1.7299999999999999E-2</v>
      </c>
      <c r="E1961" s="3" t="str">
        <f>VLOOKUP(NoviaFunds[[#This Row],[ISIN]],'Novia Web Query'!$A:$E,5,FALSE)</f>
        <v>31/12/2021</v>
      </c>
      <c r="F1961" t="str">
        <f>VLOOKUP(NoviaFunds[[#This Row],[Sector]],Sectors[],2,FALSE)</f>
        <v>UK Equities</v>
      </c>
    </row>
    <row r="1962" spans="1:6" x14ac:dyDescent="0.2">
      <c r="A1962" t="str">
        <f>'Novia Web Query'!A1959</f>
        <v>GB0007447625</v>
      </c>
      <c r="B1962" t="str">
        <f>VLOOKUP(NoviaFunds[[#This Row],[ISIN]],'Novia Web Query'!$A:$E,2,FALSE)</f>
        <v>Janus Henderson UK Smaller Companies I Acc in GB**</v>
      </c>
      <c r="C1962" t="str">
        <f>VLOOKUP(NoviaFunds[[#This Row],[ISIN]],'Novia Web Query'!$A:$E,3,FALSE)</f>
        <v>UT UK Smaller Companies</v>
      </c>
      <c r="D1962" s="139">
        <f>VLOOKUP(NoviaFunds[[#This Row],[ISIN]],'Novia Web Query'!$A:$E,4,FALSE)/100</f>
        <v>8.6E-3</v>
      </c>
      <c r="E1962" s="3" t="str">
        <f>VLOOKUP(NoviaFunds[[#This Row],[ISIN]],'Novia Web Query'!$A:$E,5,FALSE)</f>
        <v>31/12/2021</v>
      </c>
      <c r="F1962" t="str">
        <f>VLOOKUP(NoviaFunds[[#This Row],[Sector]],Sectors[],2,FALSE)</f>
        <v>UK Equities</v>
      </c>
    </row>
    <row r="1963" spans="1:6" x14ac:dyDescent="0.2">
      <c r="A1963" t="str">
        <f>'Novia Web Query'!A1960</f>
        <v>GB0032438466</v>
      </c>
      <c r="B1963" t="str">
        <f>VLOOKUP(NoviaFunds[[#This Row],[ISIN]],'Novia Web Query'!$A:$E,2,FALSE)</f>
        <v>Janus Henderson US Growth A Acc in GB</v>
      </c>
      <c r="C1963" t="str">
        <f>VLOOKUP(NoviaFunds[[#This Row],[ISIN]],'Novia Web Query'!$A:$E,3,FALSE)</f>
        <v>UT North America</v>
      </c>
      <c r="D1963" s="139">
        <f>VLOOKUP(NoviaFunds[[#This Row],[ISIN]],'Novia Web Query'!$A:$E,4,FALSE)/100</f>
        <v>1.7299999999999999E-2</v>
      </c>
      <c r="E1963" s="3" t="str">
        <f>VLOOKUP(NoviaFunds[[#This Row],[ISIN]],'Novia Web Query'!$A:$E,5,FALSE)</f>
        <v>31/12/2021</v>
      </c>
      <c r="F1963" t="str">
        <f>VLOOKUP(NoviaFunds[[#This Row],[Sector]],Sectors[],2,FALSE)</f>
        <v>USA Equities</v>
      </c>
    </row>
    <row r="1964" spans="1:6" x14ac:dyDescent="0.2">
      <c r="A1964" t="str">
        <f>'Novia Web Query'!A1961</f>
        <v>GB00B3B4JF96</v>
      </c>
      <c r="B1964" t="str">
        <f>VLOOKUP(NoviaFunds[[#This Row],[ISIN]],'Novia Web Query'!$A:$E,2,FALSE)</f>
        <v>Janus Henderson US Growth I Acc in GB**</v>
      </c>
      <c r="C1964" t="str">
        <f>VLOOKUP(NoviaFunds[[#This Row],[ISIN]],'Novia Web Query'!$A:$E,3,FALSE)</f>
        <v>UT North America</v>
      </c>
      <c r="D1964" s="139">
        <f>VLOOKUP(NoviaFunds[[#This Row],[ISIN]],'Novia Web Query'!$A:$E,4,FALSE)/100</f>
        <v>8.5000000000000006E-3</v>
      </c>
      <c r="E1964" s="3" t="str">
        <f>VLOOKUP(NoviaFunds[[#This Row],[ISIN]],'Novia Web Query'!$A:$E,5,FALSE)</f>
        <v>31/12/2021</v>
      </c>
      <c r="F1964" t="str">
        <f>VLOOKUP(NoviaFunds[[#This Row],[Sector]],Sectors[],2,FALSE)</f>
        <v>USA Equities</v>
      </c>
    </row>
    <row r="1965" spans="1:6" x14ac:dyDescent="0.2">
      <c r="A1965" t="str">
        <f>'Novia Web Query'!A1962</f>
        <v>GB00B4JTJZ34</v>
      </c>
      <c r="B1965" t="str">
        <f>VLOOKUP(NoviaFunds[[#This Row],[ISIN]],'Novia Web Query'!$A:$E,2,FALSE)</f>
        <v>Janus Henderson Inst Japan Index Opportunities A Acc in GB</v>
      </c>
      <c r="C1965" t="str">
        <f>VLOOKUP(NoviaFunds[[#This Row],[ISIN]],'Novia Web Query'!$A:$E,3,FALSE)</f>
        <v>UT Japan</v>
      </c>
      <c r="D1965" s="139">
        <f>VLOOKUP(NoviaFunds[[#This Row],[ISIN]],'Novia Web Query'!$A:$E,4,FALSE)/100</f>
        <v>7.4999999999999997E-3</v>
      </c>
      <c r="E1965" s="3" t="str">
        <f>VLOOKUP(NoviaFunds[[#This Row],[ISIN]],'Novia Web Query'!$A:$E,5,FALSE)</f>
        <v>31/12/2021</v>
      </c>
      <c r="F1965" t="str">
        <f>VLOOKUP(NoviaFunds[[#This Row],[Sector]],Sectors[],2,FALSE)</f>
        <v>Japanese Equities</v>
      </c>
    </row>
    <row r="1966" spans="1:6" x14ac:dyDescent="0.2">
      <c r="A1966" t="str">
        <f>'Novia Web Query'!A1963</f>
        <v>GB00B0LZBB16</v>
      </c>
      <c r="B1966" t="str">
        <f>VLOOKUP(NoviaFunds[[#This Row],[ISIN]],'Novia Web Query'!$A:$E,2,FALSE)</f>
        <v>Janus Henderson Inst Japan Index Opportunities I Acc in GB</v>
      </c>
      <c r="C1966" t="str">
        <f>VLOOKUP(NoviaFunds[[#This Row],[ISIN]],'Novia Web Query'!$A:$E,3,FALSE)</f>
        <v>UT Japan</v>
      </c>
      <c r="D1966" s="139">
        <f>VLOOKUP(NoviaFunds[[#This Row],[ISIN]],'Novia Web Query'!$A:$E,4,FALSE)/100</f>
        <v>3.4999999999999996E-3</v>
      </c>
      <c r="E1966" s="3" t="str">
        <f>VLOOKUP(NoviaFunds[[#This Row],[ISIN]],'Novia Web Query'!$A:$E,5,FALSE)</f>
        <v>31/12/2021</v>
      </c>
      <c r="F1966" t="str">
        <f>VLOOKUP(NoviaFunds[[#This Row],[Sector]],Sectors[],2,FALSE)</f>
        <v>Japanese Equities</v>
      </c>
    </row>
    <row r="1967" spans="1:6" x14ac:dyDescent="0.2">
      <c r="A1967" t="str">
        <f>'Novia Web Query'!A1964</f>
        <v>GB0007475238</v>
      </c>
      <c r="B1967" t="str">
        <f>VLOOKUP(NoviaFunds[[#This Row],[ISIN]],'Novia Web Query'!$A:$E,2,FALSE)</f>
        <v>Janus Henderson Inst Long Dated Credit A Inc TR in GB</v>
      </c>
      <c r="C1967" t="str">
        <f>VLOOKUP(NoviaFunds[[#This Row],[ISIN]],'Novia Web Query'!$A:$E,3,FALSE)</f>
        <v>UT Sterling Corporate Bond</v>
      </c>
      <c r="D1967" s="139">
        <f>VLOOKUP(NoviaFunds[[#This Row],[ISIN]],'Novia Web Query'!$A:$E,4,FALSE)/100</f>
        <v>9.3999999999999986E-3</v>
      </c>
      <c r="E1967" s="3" t="str">
        <f>VLOOKUP(NoviaFunds[[#This Row],[ISIN]],'Novia Web Query'!$A:$E,5,FALSE)</f>
        <v>31/12/2021</v>
      </c>
      <c r="F1967" t="str">
        <f>VLOOKUP(NoviaFunds[[#This Row],[Sector]],Sectors[],2,FALSE)</f>
        <v>Sterling Corporate Bonds</v>
      </c>
    </row>
    <row r="1968" spans="1:6" x14ac:dyDescent="0.2">
      <c r="A1968" t="str">
        <f>'Novia Web Query'!A1965</f>
        <v>GB0007475899</v>
      </c>
      <c r="B1968" t="str">
        <f>VLOOKUP(NoviaFunds[[#This Row],[ISIN]],'Novia Web Query'!$A:$E,2,FALSE)</f>
        <v>Janus Henderson Inst Long Dated Credit I Acc in GB</v>
      </c>
      <c r="C1968" t="str">
        <f>VLOOKUP(NoviaFunds[[#This Row],[ISIN]],'Novia Web Query'!$A:$E,3,FALSE)</f>
        <v>UT Sterling Corporate Bond</v>
      </c>
      <c r="D1968" s="139">
        <f>VLOOKUP(NoviaFunds[[#This Row],[ISIN]],'Novia Web Query'!$A:$E,4,FALSE)/100</f>
        <v>5.5000000000000005E-3</v>
      </c>
      <c r="E1968" s="3" t="str">
        <f>VLOOKUP(NoviaFunds[[#This Row],[ISIN]],'Novia Web Query'!$A:$E,5,FALSE)</f>
        <v>31/12/2021</v>
      </c>
      <c r="F1968" t="str">
        <f>VLOOKUP(NoviaFunds[[#This Row],[Sector]],Sectors[],2,FALSE)</f>
        <v>Sterling Corporate Bonds</v>
      </c>
    </row>
    <row r="1969" spans="1:6" x14ac:dyDescent="0.2">
      <c r="A1969" t="str">
        <f>'Novia Web Query'!A1966</f>
        <v>GB0007475675</v>
      </c>
      <c r="B1969" t="str">
        <f>VLOOKUP(NoviaFunds[[#This Row],[ISIN]],'Novia Web Query'!$A:$E,2,FALSE)</f>
        <v>Janus Henderson Inst Long Dated Credit I Inc TR in GB</v>
      </c>
      <c r="C1969" t="str">
        <f>VLOOKUP(NoviaFunds[[#This Row],[ISIN]],'Novia Web Query'!$A:$E,3,FALSE)</f>
        <v>UT Sterling Corporate Bond</v>
      </c>
      <c r="D1969" s="139">
        <f>VLOOKUP(NoviaFunds[[#This Row],[ISIN]],'Novia Web Query'!$A:$E,4,FALSE)/100</f>
        <v>5.5000000000000005E-3</v>
      </c>
      <c r="E1969" s="3" t="str">
        <f>VLOOKUP(NoviaFunds[[#This Row],[ISIN]],'Novia Web Query'!$A:$E,5,FALSE)</f>
        <v>31/12/2021</v>
      </c>
      <c r="F1969" t="str">
        <f>VLOOKUP(NoviaFunds[[#This Row],[Sector]],Sectors[],2,FALSE)</f>
        <v>Sterling Corporate Bonds</v>
      </c>
    </row>
    <row r="1970" spans="1:6" x14ac:dyDescent="0.2">
      <c r="A1970" t="str">
        <f>'Novia Web Query'!A1967</f>
        <v>GB0007485260</v>
      </c>
      <c r="B1970" t="str">
        <f>VLOOKUP(NoviaFunds[[#This Row],[ISIN]],'Novia Web Query'!$A:$E,2,FALSE)</f>
        <v>Janus Henderson Inst Long Dated Gilt I Acc in GB</v>
      </c>
      <c r="C1970" t="str">
        <f>VLOOKUP(NoviaFunds[[#This Row],[ISIN]],'Novia Web Query'!$A:$E,3,FALSE)</f>
        <v>UT UK Gilts</v>
      </c>
      <c r="D1970" s="139">
        <f>VLOOKUP(NoviaFunds[[#This Row],[ISIN]],'Novia Web Query'!$A:$E,4,FALSE)/100</f>
        <v>4.5999999999999999E-3</v>
      </c>
      <c r="E1970" s="3" t="str">
        <f>VLOOKUP(NoviaFunds[[#This Row],[ISIN]],'Novia Web Query'!$A:$E,5,FALSE)</f>
        <v>31/12/2021</v>
      </c>
      <c r="F1970" t="str">
        <f>VLOOKUP(NoviaFunds[[#This Row],[Sector]],Sectors[],2,FALSE)</f>
        <v>Gilts</v>
      </c>
    </row>
    <row r="1971" spans="1:6" x14ac:dyDescent="0.2">
      <c r="A1971" t="str">
        <f>'Novia Web Query'!A1968</f>
        <v>GB00B00K2Z88</v>
      </c>
      <c r="B1971" t="str">
        <f>VLOOKUP(NoviaFunds[[#This Row],[ISIN]],'Novia Web Query'!$A:$E,2,FALSE)</f>
        <v>Janus Henderson Inst North American Index Opportunities I Acc in GB</v>
      </c>
      <c r="C1971" t="str">
        <f>VLOOKUP(NoviaFunds[[#This Row],[ISIN]],'Novia Web Query'!$A:$E,3,FALSE)</f>
        <v>UT North America</v>
      </c>
      <c r="D1971" s="139">
        <f>VLOOKUP(NoviaFunds[[#This Row],[ISIN]],'Novia Web Query'!$A:$E,4,FALSE)/100</f>
        <v>3.4000000000000002E-3</v>
      </c>
      <c r="E1971" s="3" t="str">
        <f>VLOOKUP(NoviaFunds[[#This Row],[ISIN]],'Novia Web Query'!$A:$E,5,FALSE)</f>
        <v>31/12/2021</v>
      </c>
      <c r="F1971" t="str">
        <f>VLOOKUP(NoviaFunds[[#This Row],[Sector]],Sectors[],2,FALSE)</f>
        <v>USA Equities</v>
      </c>
    </row>
    <row r="1972" spans="1:6" x14ac:dyDescent="0.2">
      <c r="A1972" t="str">
        <f>'Novia Web Query'!A1969</f>
        <v>GB0007673055</v>
      </c>
      <c r="B1972" t="str">
        <f>VLOOKUP(NoviaFunds[[#This Row],[ISIN]],'Novia Web Query'!$A:$E,2,FALSE)</f>
        <v>Janus Henderson Inst Overseas Bond A Inc TR in GB</v>
      </c>
      <c r="C1972" t="str">
        <f>VLOOKUP(NoviaFunds[[#This Row],[ISIN]],'Novia Web Query'!$A:$E,3,FALSE)</f>
        <v>UT Global Bonds</v>
      </c>
      <c r="D1972" s="139">
        <f>VLOOKUP(NoviaFunds[[#This Row],[ISIN]],'Novia Web Query'!$A:$E,4,FALSE)/100</f>
        <v>9.3999999999999986E-3</v>
      </c>
      <c r="E1972" s="3" t="str">
        <f>VLOOKUP(NoviaFunds[[#This Row],[ISIN]],'Novia Web Query'!$A:$E,5,FALSE)</f>
        <v>31/12/2021</v>
      </c>
      <c r="F1972" t="str">
        <f>VLOOKUP(NoviaFunds[[#This Row],[Sector]],Sectors[],2,FALSE)</f>
        <v>Global Investment Grade</v>
      </c>
    </row>
    <row r="1973" spans="1:6" x14ac:dyDescent="0.2">
      <c r="A1973" t="str">
        <f>'Novia Web Query'!A1970</f>
        <v>GB0007674244</v>
      </c>
      <c r="B1973" t="str">
        <f>VLOOKUP(NoviaFunds[[#This Row],[ISIN]],'Novia Web Query'!$A:$E,2,FALSE)</f>
        <v>Janus Henderson Inst Overseas Bond I Inc TR in GB</v>
      </c>
      <c r="C1973" t="str">
        <f>VLOOKUP(NoviaFunds[[#This Row],[ISIN]],'Novia Web Query'!$A:$E,3,FALSE)</f>
        <v>UT Global Bonds</v>
      </c>
      <c r="D1973" s="139">
        <f>VLOOKUP(NoviaFunds[[#This Row],[ISIN]],'Novia Web Query'!$A:$E,4,FALSE)/100</f>
        <v>5.5000000000000005E-3</v>
      </c>
      <c r="E1973" s="3" t="str">
        <f>VLOOKUP(NoviaFunds[[#This Row],[ISIN]],'Novia Web Query'!$A:$E,5,FALSE)</f>
        <v>31/12/2021</v>
      </c>
      <c r="F1973" t="str">
        <f>VLOOKUP(NoviaFunds[[#This Row],[Sector]],Sectors[],2,FALSE)</f>
        <v>Global Investment Grade</v>
      </c>
    </row>
    <row r="1974" spans="1:6" x14ac:dyDescent="0.2">
      <c r="A1974" t="str">
        <f>'Novia Web Query'!A1971</f>
        <v>GB0007670044</v>
      </c>
      <c r="B1974" t="str">
        <f>VLOOKUP(NoviaFunds[[#This Row],[ISIN]],'Novia Web Query'!$A:$E,2,FALSE)</f>
        <v>Janus Henderson Inst UK Gilt A Inc TR in GB</v>
      </c>
      <c r="C1974" t="str">
        <f>VLOOKUP(NoviaFunds[[#This Row],[ISIN]],'Novia Web Query'!$A:$E,3,FALSE)</f>
        <v>UT UK Gilts</v>
      </c>
      <c r="D1974" s="139">
        <f>VLOOKUP(NoviaFunds[[#This Row],[ISIN]],'Novia Web Query'!$A:$E,4,FALSE)/100</f>
        <v>8.3999999999999995E-3</v>
      </c>
      <c r="E1974" s="3" t="str">
        <f>VLOOKUP(NoviaFunds[[#This Row],[ISIN]],'Novia Web Query'!$A:$E,5,FALSE)</f>
        <v>31/12/2021</v>
      </c>
      <c r="F1974" t="str">
        <f>VLOOKUP(NoviaFunds[[#This Row],[Sector]],Sectors[],2,FALSE)</f>
        <v>Gilts</v>
      </c>
    </row>
    <row r="1975" spans="1:6" x14ac:dyDescent="0.2">
      <c r="A1975" t="str">
        <f>'Novia Web Query'!A1972</f>
        <v>GB0009629402</v>
      </c>
      <c r="B1975" t="str">
        <f>VLOOKUP(NoviaFunds[[#This Row],[ISIN]],'Novia Web Query'!$A:$E,2,FALSE)</f>
        <v>Janus Henderson Inst UK Gilt I Acc in GB</v>
      </c>
      <c r="C1975" t="str">
        <f>VLOOKUP(NoviaFunds[[#This Row],[ISIN]],'Novia Web Query'!$A:$E,3,FALSE)</f>
        <v>UT UK Gilts</v>
      </c>
      <c r="D1975" s="139">
        <f>VLOOKUP(NoviaFunds[[#This Row],[ISIN]],'Novia Web Query'!$A:$E,4,FALSE)/100</f>
        <v>4.5000000000000005E-3</v>
      </c>
      <c r="E1975" s="3" t="str">
        <f>VLOOKUP(NoviaFunds[[#This Row],[ISIN]],'Novia Web Query'!$A:$E,5,FALSE)</f>
        <v>31/12/2021</v>
      </c>
      <c r="F1975" t="str">
        <f>VLOOKUP(NoviaFunds[[#This Row],[Sector]],Sectors[],2,FALSE)</f>
        <v>Gilts</v>
      </c>
    </row>
    <row r="1976" spans="1:6" x14ac:dyDescent="0.2">
      <c r="A1976" t="str">
        <f>'Novia Web Query'!A1973</f>
        <v>GB0007672420</v>
      </c>
      <c r="B1976" t="str">
        <f>VLOOKUP(NoviaFunds[[#This Row],[ISIN]],'Novia Web Query'!$A:$E,2,FALSE)</f>
        <v>Janus Henderson Inst UK Gilt I Inc TR in GB</v>
      </c>
      <c r="C1976" t="str">
        <f>VLOOKUP(NoviaFunds[[#This Row],[ISIN]],'Novia Web Query'!$A:$E,3,FALSE)</f>
        <v>UT UK Gilts</v>
      </c>
      <c r="D1976" s="139">
        <f>VLOOKUP(NoviaFunds[[#This Row],[ISIN]],'Novia Web Query'!$A:$E,4,FALSE)/100</f>
        <v>4.5000000000000005E-3</v>
      </c>
      <c r="E1976" s="3" t="str">
        <f>VLOOKUP(NoviaFunds[[#This Row],[ISIN]],'Novia Web Query'!$A:$E,5,FALSE)</f>
        <v>31/12/2021</v>
      </c>
      <c r="F1976" t="str">
        <f>VLOOKUP(NoviaFunds[[#This Row],[Sector]],Sectors[],2,FALSE)</f>
        <v>Gilts</v>
      </c>
    </row>
    <row r="1977" spans="1:6" x14ac:dyDescent="0.2">
      <c r="A1977" t="str">
        <f>'Novia Web Query'!A1974</f>
        <v>GB00BKTDK099</v>
      </c>
      <c r="B1977" t="str">
        <f>VLOOKUP(NoviaFunds[[#This Row],[ISIN]],'Novia Web Query'!$A:$E,2,FALSE)</f>
        <v>Janus Henderson Inst UK Index Opportunities Trust A Inc TR in GB</v>
      </c>
      <c r="C1977" t="str">
        <f>VLOOKUP(NoviaFunds[[#This Row],[ISIN]],'Novia Web Query'!$A:$E,3,FALSE)</f>
        <v>UT UK All Companies</v>
      </c>
      <c r="D1977" s="139">
        <f>VLOOKUP(NoviaFunds[[#This Row],[ISIN]],'Novia Web Query'!$A:$E,4,FALSE)/100</f>
        <v>7.3000000000000001E-3</v>
      </c>
      <c r="E1977" s="3" t="str">
        <f>VLOOKUP(NoviaFunds[[#This Row],[ISIN]],'Novia Web Query'!$A:$E,5,FALSE)</f>
        <v>31/12/2021</v>
      </c>
      <c r="F1977" t="str">
        <f>VLOOKUP(NoviaFunds[[#This Row],[Sector]],Sectors[],2,FALSE)</f>
        <v>UK Equities</v>
      </c>
    </row>
    <row r="1978" spans="1:6" x14ac:dyDescent="0.2">
      <c r="A1978" t="str">
        <f>'Novia Web Query'!A1975</f>
        <v>GB00B02ZBX27</v>
      </c>
      <c r="B1978" t="str">
        <f>VLOOKUP(NoviaFunds[[#This Row],[ISIN]],'Novia Web Query'!$A:$E,2,FALSE)</f>
        <v>Janus Henderson Inst UK Index Opportunities Trust I Acc in GB**</v>
      </c>
      <c r="C1978" t="str">
        <f>VLOOKUP(NoviaFunds[[#This Row],[ISIN]],'Novia Web Query'!$A:$E,3,FALSE)</f>
        <v>UT UK All Companies</v>
      </c>
      <c r="D1978" s="139">
        <f>VLOOKUP(NoviaFunds[[#This Row],[ISIN]],'Novia Web Query'!$A:$E,4,FALSE)/100</f>
        <v>3.2000000000000002E-3</v>
      </c>
      <c r="E1978" s="3" t="str">
        <f>VLOOKUP(NoviaFunds[[#This Row],[ISIN]],'Novia Web Query'!$A:$E,5,FALSE)</f>
        <v>31/12/2021</v>
      </c>
      <c r="F1978" t="str">
        <f>VLOOKUP(NoviaFunds[[#This Row],[Sector]],Sectors[],2,FALSE)</f>
        <v>UK Equities</v>
      </c>
    </row>
    <row r="1979" spans="1:6" x14ac:dyDescent="0.2">
      <c r="A1979" t="str">
        <f>'Novia Web Query'!A1976</f>
        <v>GB00BJ5JMF35</v>
      </c>
      <c r="B1979" t="str">
        <f>VLOOKUP(NoviaFunds[[#This Row],[ISIN]],'Novia Web Query'!$A:$E,2,FALSE)</f>
        <v>JOHCM Global Opportunities X Acc TR in GB**</v>
      </c>
      <c r="C1979" t="str">
        <f>VLOOKUP(NoviaFunds[[#This Row],[ISIN]],'Novia Web Query'!$A:$E,3,FALSE)</f>
        <v>UT Global</v>
      </c>
      <c r="D1979" s="139">
        <f>VLOOKUP(NoviaFunds[[#This Row],[ISIN]],'Novia Web Query'!$A:$E,4,FALSE)/100</f>
        <v>7.4999999999999997E-3</v>
      </c>
      <c r="E1979" s="3" t="str">
        <f>VLOOKUP(NoviaFunds[[#This Row],[ISIN]],'Novia Web Query'!$A:$E,5,FALSE)</f>
        <v>31/03/2021</v>
      </c>
      <c r="F1979" t="str">
        <f>VLOOKUP(NoviaFunds[[#This Row],[Sector]],Sectors[],2,FALSE)</f>
        <v>Other Equities</v>
      </c>
    </row>
    <row r="1980" spans="1:6" x14ac:dyDescent="0.2">
      <c r="A1980" t="str">
        <f>'Novia Web Query'!A1977</f>
        <v>GB00BJ5JMG42</v>
      </c>
      <c r="B1980" t="str">
        <f>VLOOKUP(NoviaFunds[[#This Row],[ISIN]],'Novia Web Query'!$A:$E,2,FALSE)</f>
        <v>JOHCM Global Opportunities X Inc TR in GB**</v>
      </c>
      <c r="C1980" t="str">
        <f>VLOOKUP(NoviaFunds[[#This Row],[ISIN]],'Novia Web Query'!$A:$E,3,FALSE)</f>
        <v>UT Global</v>
      </c>
      <c r="D1980" s="139">
        <f>VLOOKUP(NoviaFunds[[#This Row],[ISIN]],'Novia Web Query'!$A:$E,4,FALSE)/100</f>
        <v>7.4999999999999997E-3</v>
      </c>
      <c r="E1980" s="3" t="str">
        <f>VLOOKUP(NoviaFunds[[#This Row],[ISIN]],'Novia Web Query'!$A:$E,5,FALSE)</f>
        <v>31/03/2021</v>
      </c>
      <c r="F1980" t="str">
        <f>VLOOKUP(NoviaFunds[[#This Row],[Sector]],Sectors[],2,FALSE)</f>
        <v>Other Equities</v>
      </c>
    </row>
    <row r="1981" spans="1:6" x14ac:dyDescent="0.2">
      <c r="A1981" t="str">
        <f>'Novia Web Query'!A1978</f>
        <v>GB00BMCZDD05</v>
      </c>
      <c r="B1981" t="str">
        <f>VLOOKUP(NoviaFunds[[#This Row],[ISIN]],'Novia Web Query'!$A:$E,2,FALSE)</f>
        <v>JOHCM Regnan Global Equity Impact Solutions A Acc in GB</v>
      </c>
      <c r="C1981" t="str">
        <f>VLOOKUP(NoviaFunds[[#This Row],[ISIN]],'Novia Web Query'!$A:$E,3,FALSE)</f>
        <v>UT Global</v>
      </c>
      <c r="D1981" s="139">
        <f>VLOOKUP(NoviaFunds[[#This Row],[ISIN]],'Novia Web Query'!$A:$E,4,FALSE)/100</f>
        <v>9.5999999999999992E-3</v>
      </c>
      <c r="E1981" s="3" t="str">
        <f>VLOOKUP(NoviaFunds[[#This Row],[ISIN]],'Novia Web Query'!$A:$E,5,FALSE)</f>
        <v>31/03/2021</v>
      </c>
      <c r="F1981" t="str">
        <f>VLOOKUP(NoviaFunds[[#This Row],[Sector]],Sectors[],2,FALSE)</f>
        <v>Other Equities</v>
      </c>
    </row>
    <row r="1982" spans="1:6" x14ac:dyDescent="0.2">
      <c r="A1982" t="str">
        <f>'Novia Web Query'!A1979</f>
        <v>GB00BMCZDJ66</v>
      </c>
      <c r="B1982" t="str">
        <f>VLOOKUP(NoviaFunds[[#This Row],[ISIN]],'Novia Web Query'!$A:$E,2,FALSE)</f>
        <v>JOHCM Regnan Global Equity Impact Solutions F Acc in GB</v>
      </c>
      <c r="C1982" t="str">
        <f>VLOOKUP(NoviaFunds[[#This Row],[ISIN]],'Novia Web Query'!$A:$E,3,FALSE)</f>
        <v>UT Global</v>
      </c>
      <c r="D1982" s="139">
        <f>VLOOKUP(NoviaFunds[[#This Row],[ISIN]],'Novia Web Query'!$A:$E,4,FALSE)/100</f>
        <v>3.4999999999999996E-3</v>
      </c>
      <c r="E1982" s="3" t="str">
        <f>VLOOKUP(NoviaFunds[[#This Row],[ISIN]],'Novia Web Query'!$A:$E,5,FALSE)</f>
        <v>31/03/2021</v>
      </c>
      <c r="F1982" t="str">
        <f>VLOOKUP(NoviaFunds[[#This Row],[Sector]],Sectors[],2,FALSE)</f>
        <v>Other Equities</v>
      </c>
    </row>
    <row r="1983" spans="1:6" x14ac:dyDescent="0.2">
      <c r="A1983" t="str">
        <f>'Novia Web Query'!A1980</f>
        <v>GB00B4T7HR59</v>
      </c>
      <c r="B1983" t="str">
        <f>VLOOKUP(NoviaFunds[[#This Row],[ISIN]],'Novia Web Query'!$A:$E,2,FALSE)</f>
        <v>JOHCM UK Dynamic A Acc in GB</v>
      </c>
      <c r="C1983" t="str">
        <f>VLOOKUP(NoviaFunds[[#This Row],[ISIN]],'Novia Web Query'!$A:$E,3,FALSE)</f>
        <v>UT UK All Companies</v>
      </c>
      <c r="D1983" s="139">
        <f>VLOOKUP(NoviaFunds[[#This Row],[ISIN]],'Novia Web Query'!$A:$E,4,FALSE)/100</f>
        <v>8.0000000000000002E-3</v>
      </c>
      <c r="E1983" s="3" t="str">
        <f>VLOOKUP(NoviaFunds[[#This Row],[ISIN]],'Novia Web Query'!$A:$E,5,FALSE)</f>
        <v>31/03/2021</v>
      </c>
      <c r="F1983" t="str">
        <f>VLOOKUP(NoviaFunds[[#This Row],[Sector]],Sectors[],2,FALSE)</f>
        <v>UK Equities</v>
      </c>
    </row>
    <row r="1984" spans="1:6" x14ac:dyDescent="0.2">
      <c r="A1984" t="str">
        <f>'Novia Web Query'!A1981</f>
        <v>GB00B4T85529</v>
      </c>
      <c r="B1984" t="str">
        <f>VLOOKUP(NoviaFunds[[#This Row],[ISIN]],'Novia Web Query'!$A:$E,2,FALSE)</f>
        <v>JOHCM UK Dynamic A Inc TR in GB**</v>
      </c>
      <c r="C1984" t="str">
        <f>VLOOKUP(NoviaFunds[[#This Row],[ISIN]],'Novia Web Query'!$A:$E,3,FALSE)</f>
        <v>UT UK All Companies</v>
      </c>
      <c r="D1984" s="139">
        <f>VLOOKUP(NoviaFunds[[#This Row],[ISIN]],'Novia Web Query'!$A:$E,4,FALSE)/100</f>
        <v>8.0000000000000002E-3</v>
      </c>
      <c r="E1984" s="3" t="str">
        <f>VLOOKUP(NoviaFunds[[#This Row],[ISIN]],'Novia Web Query'!$A:$E,5,FALSE)</f>
        <v>31/03/2021</v>
      </c>
      <c r="F1984" t="str">
        <f>VLOOKUP(NoviaFunds[[#This Row],[Sector]],Sectors[],2,FALSE)</f>
        <v>UK Equities</v>
      </c>
    </row>
    <row r="1985" spans="1:6" x14ac:dyDescent="0.2">
      <c r="A1985" t="str">
        <f>'Novia Web Query'!A1982</f>
        <v>GB00B4T7JX59</v>
      </c>
      <c r="B1985" t="str">
        <f>VLOOKUP(NoviaFunds[[#This Row],[ISIN]],'Novia Web Query'!$A:$E,2,FALSE)</f>
        <v>JOHCM UK Dynamic B Acc in GB</v>
      </c>
      <c r="C1985" t="str">
        <f>VLOOKUP(NoviaFunds[[#This Row],[ISIN]],'Novia Web Query'!$A:$E,3,FALSE)</f>
        <v>UT UK All Companies</v>
      </c>
      <c r="D1985" s="139">
        <f>VLOOKUP(NoviaFunds[[#This Row],[ISIN]],'Novia Web Query'!$A:$E,4,FALSE)/100</f>
        <v>1.3100000000000001E-2</v>
      </c>
      <c r="E1985" s="3" t="str">
        <f>VLOOKUP(NoviaFunds[[#This Row],[ISIN]],'Novia Web Query'!$A:$E,5,FALSE)</f>
        <v>31/03/2021</v>
      </c>
      <c r="F1985" t="str">
        <f>VLOOKUP(NoviaFunds[[#This Row],[Sector]],Sectors[],2,FALSE)</f>
        <v>UK Equities</v>
      </c>
    </row>
    <row r="1986" spans="1:6" x14ac:dyDescent="0.2">
      <c r="A1986" t="str">
        <f>'Novia Web Query'!A1983</f>
        <v>GB00B4TXJ339</v>
      </c>
      <c r="B1986" t="str">
        <f>VLOOKUP(NoviaFunds[[#This Row],[ISIN]],'Novia Web Query'!$A:$E,2,FALSE)</f>
        <v>JOHCM UK Dynamic B Inc TR in GB</v>
      </c>
      <c r="C1986" t="str">
        <f>VLOOKUP(NoviaFunds[[#This Row],[ISIN]],'Novia Web Query'!$A:$E,3,FALSE)</f>
        <v>UT UK All Companies</v>
      </c>
      <c r="D1986" s="139">
        <f>VLOOKUP(NoviaFunds[[#This Row],[ISIN]],'Novia Web Query'!$A:$E,4,FALSE)/100</f>
        <v>1.3100000000000001E-2</v>
      </c>
      <c r="E1986" s="3" t="str">
        <f>VLOOKUP(NoviaFunds[[#This Row],[ISIN]],'Novia Web Query'!$A:$E,5,FALSE)</f>
        <v>31/03/2021</v>
      </c>
      <c r="F1986" t="str">
        <f>VLOOKUP(NoviaFunds[[#This Row],[Sector]],Sectors[],2,FALSE)</f>
        <v>UK Equities</v>
      </c>
    </row>
    <row r="1987" spans="1:6" x14ac:dyDescent="0.2">
      <c r="A1987" t="str">
        <f>'Novia Web Query'!A1984</f>
        <v>GB00BDZRJ101</v>
      </c>
      <c r="B1987" t="str">
        <f>VLOOKUP(NoviaFunds[[#This Row],[ISIN]],'Novia Web Query'!$A:$E,2,FALSE)</f>
        <v>JOHCM UK Dynamic Y Acc in GB</v>
      </c>
      <c r="C1987" t="str">
        <f>VLOOKUP(NoviaFunds[[#This Row],[ISIN]],'Novia Web Query'!$A:$E,3,FALSE)</f>
        <v>UT UK All Companies</v>
      </c>
      <c r="D1987" s="139">
        <f>VLOOKUP(NoviaFunds[[#This Row],[ISIN]],'Novia Web Query'!$A:$E,4,FALSE)/100</f>
        <v>6.8000000000000005E-3</v>
      </c>
      <c r="E1987" s="3" t="str">
        <f>VLOOKUP(NoviaFunds[[#This Row],[ISIN]],'Novia Web Query'!$A:$E,5,FALSE)</f>
        <v>31/03/2021</v>
      </c>
      <c r="F1987" t="str">
        <f>VLOOKUP(NoviaFunds[[#This Row],[Sector]],Sectors[],2,FALSE)</f>
        <v>UK Equities</v>
      </c>
    </row>
    <row r="1988" spans="1:6" x14ac:dyDescent="0.2">
      <c r="A1988" t="str">
        <f>'Novia Web Query'!A1985</f>
        <v>GB00BDZRJ218</v>
      </c>
      <c r="B1988" t="str">
        <f>VLOOKUP(NoviaFunds[[#This Row],[ISIN]],'Novia Web Query'!$A:$E,2,FALSE)</f>
        <v>JOHCM UK Dynamic Y Inc TR in GB</v>
      </c>
      <c r="C1988" t="str">
        <f>VLOOKUP(NoviaFunds[[#This Row],[ISIN]],'Novia Web Query'!$A:$E,3,FALSE)</f>
        <v>UT UK All Companies</v>
      </c>
      <c r="D1988" s="139">
        <f>VLOOKUP(NoviaFunds[[#This Row],[ISIN]],'Novia Web Query'!$A:$E,4,FALSE)/100</f>
        <v>6.8000000000000005E-3</v>
      </c>
      <c r="E1988" s="3" t="str">
        <f>VLOOKUP(NoviaFunds[[#This Row],[ISIN]],'Novia Web Query'!$A:$E,5,FALSE)</f>
        <v>31/03/2021</v>
      </c>
      <c r="F1988" t="str">
        <f>VLOOKUP(NoviaFunds[[#This Row],[Sector]],Sectors[],2,FALSE)</f>
        <v>UK Equities</v>
      </c>
    </row>
    <row r="1989" spans="1:6" x14ac:dyDescent="0.2">
      <c r="A1989" t="str">
        <f>'Novia Web Query'!A1986</f>
        <v>GB00B03KR500</v>
      </c>
      <c r="B1989" t="str">
        <f>VLOOKUP(NoviaFunds[[#This Row],[ISIN]],'Novia Web Query'!$A:$E,2,FALSE)</f>
        <v>JOHCM UK Equity Income A Acc in GB</v>
      </c>
      <c r="C1989" t="str">
        <f>VLOOKUP(NoviaFunds[[#This Row],[ISIN]],'Novia Web Query'!$A:$E,3,FALSE)</f>
        <v>UT UK Equity Income</v>
      </c>
      <c r="D1989" s="139">
        <f>VLOOKUP(NoviaFunds[[#This Row],[ISIN]],'Novia Web Query'!$A:$E,4,FALSE)/100</f>
        <v>7.9000000000000008E-3</v>
      </c>
      <c r="E1989" s="3" t="str">
        <f>VLOOKUP(NoviaFunds[[#This Row],[ISIN]],'Novia Web Query'!$A:$E,5,FALSE)</f>
        <v>31/03/2021</v>
      </c>
      <c r="F1989" t="str">
        <f>VLOOKUP(NoviaFunds[[#This Row],[Sector]],Sectors[],2,FALSE)</f>
        <v>UK Equities</v>
      </c>
    </row>
    <row r="1990" spans="1:6" x14ac:dyDescent="0.2">
      <c r="A1990" t="str">
        <f>'Novia Web Query'!A1987</f>
        <v>GB00B03KP231</v>
      </c>
      <c r="B1990" t="str">
        <f>VLOOKUP(NoviaFunds[[#This Row],[ISIN]],'Novia Web Query'!$A:$E,2,FALSE)</f>
        <v>JOHCM UK Equity Income A Inc TR in GB</v>
      </c>
      <c r="C1990" t="str">
        <f>VLOOKUP(NoviaFunds[[#This Row],[ISIN]],'Novia Web Query'!$A:$E,3,FALSE)</f>
        <v>UT UK Equity Income</v>
      </c>
      <c r="D1990" s="139">
        <f>VLOOKUP(NoviaFunds[[#This Row],[ISIN]],'Novia Web Query'!$A:$E,4,FALSE)/100</f>
        <v>7.9000000000000008E-3</v>
      </c>
      <c r="E1990" s="3" t="str">
        <f>VLOOKUP(NoviaFunds[[#This Row],[ISIN]],'Novia Web Query'!$A:$E,5,FALSE)</f>
        <v>31/03/2021</v>
      </c>
      <c r="F1990" t="str">
        <f>VLOOKUP(NoviaFunds[[#This Row],[Sector]],Sectors[],2,FALSE)</f>
        <v>UK Equities</v>
      </c>
    </row>
    <row r="1991" spans="1:6" x14ac:dyDescent="0.2">
      <c r="A1991" t="str">
        <f>'Novia Web Query'!A1988</f>
        <v>GB00B03KR831</v>
      </c>
      <c r="B1991" t="str">
        <f>VLOOKUP(NoviaFunds[[#This Row],[ISIN]],'Novia Web Query'!$A:$E,2,FALSE)</f>
        <v>JOHCM UK Equity Income B Acc in GB</v>
      </c>
      <c r="C1991" t="str">
        <f>VLOOKUP(NoviaFunds[[#This Row],[ISIN]],'Novia Web Query'!$A:$E,3,FALSE)</f>
        <v>UT UK Equity Income</v>
      </c>
      <c r="D1991" s="139">
        <f>VLOOKUP(NoviaFunds[[#This Row],[ISIN]],'Novia Web Query'!$A:$E,4,FALSE)/100</f>
        <v>1.29E-2</v>
      </c>
      <c r="E1991" s="3" t="str">
        <f>VLOOKUP(NoviaFunds[[#This Row],[ISIN]],'Novia Web Query'!$A:$E,5,FALSE)</f>
        <v>31/03/2021</v>
      </c>
      <c r="F1991" t="str">
        <f>VLOOKUP(NoviaFunds[[#This Row],[Sector]],Sectors[],2,FALSE)</f>
        <v>UK Equities</v>
      </c>
    </row>
    <row r="1992" spans="1:6" x14ac:dyDescent="0.2">
      <c r="A1992" t="str">
        <f>'Novia Web Query'!A1989</f>
        <v>GB00B03KR617</v>
      </c>
      <c r="B1992" t="str">
        <f>VLOOKUP(NoviaFunds[[#This Row],[ISIN]],'Novia Web Query'!$A:$E,2,FALSE)</f>
        <v>JOHCM UK Equity Income B Inc TR in GB</v>
      </c>
      <c r="C1992" t="str">
        <f>VLOOKUP(NoviaFunds[[#This Row],[ISIN]],'Novia Web Query'!$A:$E,3,FALSE)</f>
        <v>UT UK Equity Income</v>
      </c>
      <c r="D1992" s="139">
        <f>VLOOKUP(NoviaFunds[[#This Row],[ISIN]],'Novia Web Query'!$A:$E,4,FALSE)/100</f>
        <v>1.29E-2</v>
      </c>
      <c r="E1992" s="3" t="str">
        <f>VLOOKUP(NoviaFunds[[#This Row],[ISIN]],'Novia Web Query'!$A:$E,5,FALSE)</f>
        <v>31/03/2021</v>
      </c>
      <c r="F1992" t="str">
        <f>VLOOKUP(NoviaFunds[[#This Row],[Sector]],Sectors[],2,FALSE)</f>
        <v>UK Equities</v>
      </c>
    </row>
    <row r="1993" spans="1:6" x14ac:dyDescent="0.2">
      <c r="A1993" t="str">
        <f>'Novia Web Query'!A1990</f>
        <v>GB00B8FCHK57</v>
      </c>
      <c r="B1993" t="str">
        <f>VLOOKUP(NoviaFunds[[#This Row],[ISIN]],'Novia Web Query'!$A:$E,2,FALSE)</f>
        <v>JOHCM UK Equity Income Y Acc in GB</v>
      </c>
      <c r="C1993" t="str">
        <f>VLOOKUP(NoviaFunds[[#This Row],[ISIN]],'Novia Web Query'!$A:$E,3,FALSE)</f>
        <v>UT UK Equity Income</v>
      </c>
      <c r="D1993" s="139">
        <f>VLOOKUP(NoviaFunds[[#This Row],[ISIN]],'Novia Web Query'!$A:$E,4,FALSE)/100</f>
        <v>6.7000000000000002E-3</v>
      </c>
      <c r="E1993" s="3" t="str">
        <f>VLOOKUP(NoviaFunds[[#This Row],[ISIN]],'Novia Web Query'!$A:$E,5,FALSE)</f>
        <v>31/03/2021</v>
      </c>
      <c r="F1993" t="str">
        <f>VLOOKUP(NoviaFunds[[#This Row],[Sector]],Sectors[],2,FALSE)</f>
        <v>UK Equities</v>
      </c>
    </row>
    <row r="1994" spans="1:6" x14ac:dyDescent="0.2">
      <c r="A1994" t="str">
        <f>'Novia Web Query'!A1991</f>
        <v>GB00B95FCK64</v>
      </c>
      <c r="B1994" t="str">
        <f>VLOOKUP(NoviaFunds[[#This Row],[ISIN]],'Novia Web Query'!$A:$E,2,FALSE)</f>
        <v>JOHCM UK Equity Income Y Inc TR in GB</v>
      </c>
      <c r="C1994" t="str">
        <f>VLOOKUP(NoviaFunds[[#This Row],[ISIN]],'Novia Web Query'!$A:$E,3,FALSE)</f>
        <v>UT UK Equity Income</v>
      </c>
      <c r="D1994" s="139">
        <f>VLOOKUP(NoviaFunds[[#This Row],[ISIN]],'Novia Web Query'!$A:$E,4,FALSE)/100</f>
        <v>6.7000000000000002E-3</v>
      </c>
      <c r="E1994" s="3" t="str">
        <f>VLOOKUP(NoviaFunds[[#This Row],[ISIN]],'Novia Web Query'!$A:$E,5,FALSE)</f>
        <v>31/03/2021</v>
      </c>
      <c r="F1994" t="str">
        <f>VLOOKUP(NoviaFunds[[#This Row],[Sector]],Sectors[],2,FALSE)</f>
        <v>UK Equities</v>
      </c>
    </row>
    <row r="1995" spans="1:6" x14ac:dyDescent="0.2">
      <c r="A1995" t="str">
        <f>'Novia Web Query'!A1992</f>
        <v>GB00B0LLB641</v>
      </c>
      <c r="B1995" t="str">
        <f>VLOOKUP(NoviaFunds[[#This Row],[ISIN]],'Novia Web Query'!$A:$E,2,FALSE)</f>
        <v>JOHCM UK Opportunities A Acc in GB</v>
      </c>
      <c r="C1995" t="str">
        <f>VLOOKUP(NoviaFunds[[#This Row],[ISIN]],'Novia Web Query'!$A:$E,3,FALSE)</f>
        <v>UT UK All Companies</v>
      </c>
      <c r="D1995" s="139">
        <f>VLOOKUP(NoviaFunds[[#This Row],[ISIN]],'Novia Web Query'!$A:$E,4,FALSE)/100</f>
        <v>8.8999999999999999E-3</v>
      </c>
      <c r="E1995" s="3" t="str">
        <f>VLOOKUP(NoviaFunds[[#This Row],[ISIN]],'Novia Web Query'!$A:$E,5,FALSE)</f>
        <v>31/03/2021</v>
      </c>
      <c r="F1995" t="str">
        <f>VLOOKUP(NoviaFunds[[#This Row],[Sector]],Sectors[],2,FALSE)</f>
        <v>UK Equities</v>
      </c>
    </row>
    <row r="1996" spans="1:6" x14ac:dyDescent="0.2">
      <c r="A1996" t="str">
        <f>'Novia Web Query'!A1993</f>
        <v>GB00B3K76Q93</v>
      </c>
      <c r="B1996" t="str">
        <f>VLOOKUP(NoviaFunds[[#This Row],[ISIN]],'Novia Web Query'!$A:$E,2,FALSE)</f>
        <v>JOHCM UK Opportunities A Inc TR in GB**</v>
      </c>
      <c r="C1996" t="str">
        <f>VLOOKUP(NoviaFunds[[#This Row],[ISIN]],'Novia Web Query'!$A:$E,3,FALSE)</f>
        <v>UT UK All Companies</v>
      </c>
      <c r="D1996" s="139">
        <f>VLOOKUP(NoviaFunds[[#This Row],[ISIN]],'Novia Web Query'!$A:$E,4,FALSE)/100</f>
        <v>8.8999999999999999E-3</v>
      </c>
      <c r="E1996" s="3" t="str">
        <f>VLOOKUP(NoviaFunds[[#This Row],[ISIN]],'Novia Web Query'!$A:$E,5,FALSE)</f>
        <v>31/03/2021</v>
      </c>
      <c r="F1996" t="str">
        <f>VLOOKUP(NoviaFunds[[#This Row],[Sector]],Sectors[],2,FALSE)</f>
        <v>UK Equities</v>
      </c>
    </row>
    <row r="1997" spans="1:6" x14ac:dyDescent="0.2">
      <c r="A1997" t="str">
        <f>'Novia Web Query'!A1994</f>
        <v>GB00B0LLB757</v>
      </c>
      <c r="B1997" t="str">
        <f>VLOOKUP(NoviaFunds[[#This Row],[ISIN]],'Novia Web Query'!$A:$E,2,FALSE)</f>
        <v>JOHCM UK Opportunities B Acc in GB</v>
      </c>
      <c r="C1997" t="str">
        <f>VLOOKUP(NoviaFunds[[#This Row],[ISIN]],'Novia Web Query'!$A:$E,3,FALSE)</f>
        <v>UT UK All Companies</v>
      </c>
      <c r="D1997" s="139">
        <f>VLOOKUP(NoviaFunds[[#This Row],[ISIN]],'Novia Web Query'!$A:$E,4,FALSE)/100</f>
        <v>1.3899999999999999E-2</v>
      </c>
      <c r="E1997" s="3" t="str">
        <f>VLOOKUP(NoviaFunds[[#This Row],[ISIN]],'Novia Web Query'!$A:$E,5,FALSE)</f>
        <v>31/03/2021</v>
      </c>
      <c r="F1997" t="str">
        <f>VLOOKUP(NoviaFunds[[#This Row],[Sector]],Sectors[],2,FALSE)</f>
        <v>UK Equities</v>
      </c>
    </row>
    <row r="1998" spans="1:6" x14ac:dyDescent="0.2">
      <c r="A1998" t="str">
        <f>'Novia Web Query'!A1995</f>
        <v>GB00B3K76P86</v>
      </c>
      <c r="B1998" t="str">
        <f>VLOOKUP(NoviaFunds[[#This Row],[ISIN]],'Novia Web Query'!$A:$E,2,FALSE)</f>
        <v>JOHCM UK Opportunities B Inc TR in GB</v>
      </c>
      <c r="C1998" t="str">
        <f>VLOOKUP(NoviaFunds[[#This Row],[ISIN]],'Novia Web Query'!$A:$E,3,FALSE)</f>
        <v>UT UK All Companies</v>
      </c>
      <c r="D1998" s="139">
        <f>VLOOKUP(NoviaFunds[[#This Row],[ISIN]],'Novia Web Query'!$A:$E,4,FALSE)/100</f>
        <v>1.3899999999999999E-2</v>
      </c>
      <c r="E1998" s="3" t="str">
        <f>VLOOKUP(NoviaFunds[[#This Row],[ISIN]],'Novia Web Query'!$A:$E,5,FALSE)</f>
        <v>31/03/2021</v>
      </c>
      <c r="F1998" t="str">
        <f>VLOOKUP(NoviaFunds[[#This Row],[Sector]],Sectors[],2,FALSE)</f>
        <v>UK Equities</v>
      </c>
    </row>
    <row r="1999" spans="1:6" x14ac:dyDescent="0.2">
      <c r="A1999" t="str">
        <f>'Novia Web Query'!A1996</f>
        <v>GB00B95HP811</v>
      </c>
      <c r="B1999" t="str">
        <f>VLOOKUP(NoviaFunds[[#This Row],[ISIN]],'Novia Web Query'!$A:$E,2,FALSE)</f>
        <v>JOHCM UK Opportunities Y Acc in GB</v>
      </c>
      <c r="C1999" t="str">
        <f>VLOOKUP(NoviaFunds[[#This Row],[ISIN]],'Novia Web Query'!$A:$E,3,FALSE)</f>
        <v>UT UK All Companies</v>
      </c>
      <c r="D1999" s="139">
        <f>VLOOKUP(NoviaFunds[[#This Row],[ISIN]],'Novia Web Query'!$A:$E,4,FALSE)/100</f>
        <v>7.6E-3</v>
      </c>
      <c r="E1999" s="3" t="str">
        <f>VLOOKUP(NoviaFunds[[#This Row],[ISIN]],'Novia Web Query'!$A:$E,5,FALSE)</f>
        <v>31/03/2021</v>
      </c>
      <c r="F1999" t="str">
        <f>VLOOKUP(NoviaFunds[[#This Row],[Sector]],Sectors[],2,FALSE)</f>
        <v>UK Equities</v>
      </c>
    </row>
    <row r="2000" spans="1:6" x14ac:dyDescent="0.2">
      <c r="A2000" t="str">
        <f>'Novia Web Query'!A1997</f>
        <v>GB00B95J5C19</v>
      </c>
      <c r="B2000" t="str">
        <f>VLOOKUP(NoviaFunds[[#This Row],[ISIN]],'Novia Web Query'!$A:$E,2,FALSE)</f>
        <v>JOHCM UK Opportunities Y Inc TR in GB</v>
      </c>
      <c r="C2000" t="str">
        <f>VLOOKUP(NoviaFunds[[#This Row],[ISIN]],'Novia Web Query'!$A:$E,3,FALSE)</f>
        <v>UT UK All Companies</v>
      </c>
      <c r="D2000" s="139">
        <f>VLOOKUP(NoviaFunds[[#This Row],[ISIN]],'Novia Web Query'!$A:$E,4,FALSE)/100</f>
        <v>7.6E-3</v>
      </c>
      <c r="E2000" s="3" t="str">
        <f>VLOOKUP(NoviaFunds[[#This Row],[ISIN]],'Novia Web Query'!$A:$E,5,FALSE)</f>
        <v>31/03/2021</v>
      </c>
      <c r="F2000" t="str">
        <f>VLOOKUP(NoviaFunds[[#This Row],[Sector]],Sectors[],2,FALSE)</f>
        <v>UK Equities</v>
      </c>
    </row>
    <row r="2001" spans="1:6" x14ac:dyDescent="0.2">
      <c r="A2001" t="str">
        <f>'Novia Web Query'!A1998</f>
        <v>GB0030879695</v>
      </c>
      <c r="B2001" t="str">
        <f>VLOOKUP(NoviaFunds[[#This Row],[ISIN]],'Novia Web Query'!$A:$E,2,FALSE)</f>
        <v>JPM Asia Growth A Acc in GB</v>
      </c>
      <c r="C2001" t="str">
        <f>VLOOKUP(NoviaFunds[[#This Row],[ISIN]],'Novia Web Query'!$A:$E,3,FALSE)</f>
        <v>UT Asia Pacific Excluding Japan</v>
      </c>
      <c r="D2001" s="139">
        <f>VLOOKUP(NoviaFunds[[#This Row],[ISIN]],'Novia Web Query'!$A:$E,4,FALSE)/100</f>
        <v>1.6299999999999999E-2</v>
      </c>
      <c r="E2001" s="3" t="str">
        <f>VLOOKUP(NoviaFunds[[#This Row],[ISIN]],'Novia Web Query'!$A:$E,5,FALSE)</f>
        <v>01/01/2021</v>
      </c>
      <c r="F2001" t="str">
        <f>VLOOKUP(NoviaFunds[[#This Row],[Sector]],Sectors[],2,FALSE)</f>
        <v>Asia Pacific</v>
      </c>
    </row>
    <row r="2002" spans="1:6" x14ac:dyDescent="0.2">
      <c r="A2002" t="str">
        <f>'Novia Web Query'!A1999</f>
        <v>GB00B235GR40</v>
      </c>
      <c r="B2002" t="str">
        <f>VLOOKUP(NoviaFunds[[#This Row],[ISIN]],'Novia Web Query'!$A:$E,2,FALSE)</f>
        <v>JPM Asia Growth C Acc in GB</v>
      </c>
      <c r="C2002" t="str">
        <f>VLOOKUP(NoviaFunds[[#This Row],[ISIN]],'Novia Web Query'!$A:$E,3,FALSE)</f>
        <v>UT Asia Pacific Excluding Japan</v>
      </c>
      <c r="D2002" s="139">
        <f>VLOOKUP(NoviaFunds[[#This Row],[ISIN]],'Novia Web Query'!$A:$E,4,FALSE)/100</f>
        <v>8.199999999999999E-3</v>
      </c>
      <c r="E2002" s="3" t="str">
        <f>VLOOKUP(NoviaFunds[[#This Row],[ISIN]],'Novia Web Query'!$A:$E,5,FALSE)</f>
        <v>08/07/2021</v>
      </c>
      <c r="F2002" t="str">
        <f>VLOOKUP(NoviaFunds[[#This Row],[Sector]],Sectors[],2,FALSE)</f>
        <v>Asia Pacific</v>
      </c>
    </row>
    <row r="2003" spans="1:6" x14ac:dyDescent="0.2">
      <c r="A2003" t="str">
        <f>'Novia Web Query'!A2000</f>
        <v>GB00B235H044</v>
      </c>
      <c r="B2003" t="str">
        <f>VLOOKUP(NoviaFunds[[#This Row],[ISIN]],'Novia Web Query'!$A:$E,2,FALSE)</f>
        <v>JPM Asia Growth C Inc TR in GB**</v>
      </c>
      <c r="C2003" t="str">
        <f>VLOOKUP(NoviaFunds[[#This Row],[ISIN]],'Novia Web Query'!$A:$E,3,FALSE)</f>
        <v>UT Asia Pacific Excluding Japan</v>
      </c>
      <c r="D2003" s="139">
        <f>VLOOKUP(NoviaFunds[[#This Row],[ISIN]],'Novia Web Query'!$A:$E,4,FALSE)/100</f>
        <v>9.0000000000000011E-3</v>
      </c>
      <c r="E2003" s="3" t="str">
        <f>VLOOKUP(NoviaFunds[[#This Row],[ISIN]],'Novia Web Query'!$A:$E,5,FALSE)</f>
        <v>01/01/2021</v>
      </c>
      <c r="F2003" t="str">
        <f>VLOOKUP(NoviaFunds[[#This Row],[Sector]],Sectors[],2,FALSE)</f>
        <v>Asia Pacific</v>
      </c>
    </row>
    <row r="2004" spans="1:6" x14ac:dyDescent="0.2">
      <c r="A2004" t="str">
        <f>'Novia Web Query'!A2001</f>
        <v>GB0031834699</v>
      </c>
      <c r="B2004" t="str">
        <f>VLOOKUP(NoviaFunds[[#This Row],[ISIN]],'Novia Web Query'!$A:$E,2,FALSE)</f>
        <v>JPM Diversified Growth A Acc in GB</v>
      </c>
      <c r="C2004" t="str">
        <f>VLOOKUP(NoviaFunds[[#This Row],[ISIN]],'Novia Web Query'!$A:$E,3,FALSE)</f>
        <v>UT Flexible Investment</v>
      </c>
      <c r="D2004" s="139">
        <f>VLOOKUP(NoviaFunds[[#This Row],[ISIN]],'Novia Web Query'!$A:$E,4,FALSE)/100</f>
        <v>8.6E-3</v>
      </c>
      <c r="E2004" s="3" t="str">
        <f>VLOOKUP(NoviaFunds[[#This Row],[ISIN]],'Novia Web Query'!$A:$E,5,FALSE)</f>
        <v>01/01/2021</v>
      </c>
      <c r="F2004" t="str">
        <f>VLOOKUP(NoviaFunds[[#This Row],[Sector]],Sectors[],2,FALSE)</f>
        <v>Flexible</v>
      </c>
    </row>
    <row r="2005" spans="1:6" x14ac:dyDescent="0.2">
      <c r="A2005" t="str">
        <f>'Novia Web Query'!A2002</f>
        <v>GB00B8325K37</v>
      </c>
      <c r="B2005" t="str">
        <f>VLOOKUP(NoviaFunds[[#This Row],[ISIN]],'Novia Web Query'!$A:$E,2,FALSE)</f>
        <v>JPM Diversified Growth B Acc in GB**</v>
      </c>
      <c r="C2005" t="str">
        <f>VLOOKUP(NoviaFunds[[#This Row],[ISIN]],'Novia Web Query'!$A:$E,3,FALSE)</f>
        <v>UT Flexible Investment</v>
      </c>
      <c r="D2005" s="139">
        <f>VLOOKUP(NoviaFunds[[#This Row],[ISIN]],'Novia Web Query'!$A:$E,4,FALSE)/100</f>
        <v>6.1999999999999998E-3</v>
      </c>
      <c r="E2005" s="3" t="str">
        <f>VLOOKUP(NoviaFunds[[#This Row],[ISIN]],'Novia Web Query'!$A:$E,5,FALSE)</f>
        <v>01/01/2021</v>
      </c>
      <c r="F2005" t="str">
        <f>VLOOKUP(NoviaFunds[[#This Row],[Sector]],Sectors[],2,FALSE)</f>
        <v>Flexible</v>
      </c>
    </row>
    <row r="2006" spans="1:6" x14ac:dyDescent="0.2">
      <c r="A2006" t="str">
        <f>'Novia Web Query'!A2003</f>
        <v>GB00B7XL3656</v>
      </c>
      <c r="B2006" t="str">
        <f>VLOOKUP(NoviaFunds[[#This Row],[ISIN]],'Novia Web Query'!$A:$E,2,FALSE)</f>
        <v>JPM Diversified Growth C Acc in GB</v>
      </c>
      <c r="C2006" t="str">
        <f>VLOOKUP(NoviaFunds[[#This Row],[ISIN]],'Novia Web Query'!$A:$E,3,FALSE)</f>
        <v>UT Flexible Investment</v>
      </c>
      <c r="D2006" s="139">
        <f>VLOOKUP(NoviaFunds[[#This Row],[ISIN]],'Novia Web Query'!$A:$E,4,FALSE)/100</f>
        <v>5.1999999999999998E-3</v>
      </c>
      <c r="E2006" s="3" t="str">
        <f>VLOOKUP(NoviaFunds[[#This Row],[ISIN]],'Novia Web Query'!$A:$E,5,FALSE)</f>
        <v>01/01/2021</v>
      </c>
      <c r="F2006" t="str">
        <f>VLOOKUP(NoviaFunds[[#This Row],[Sector]],Sectors[],2,FALSE)</f>
        <v>Flexible</v>
      </c>
    </row>
    <row r="2007" spans="1:6" x14ac:dyDescent="0.2">
      <c r="A2007" t="str">
        <f>'Novia Web Query'!A2004</f>
        <v>GB00B8DLLD51</v>
      </c>
      <c r="B2007" t="str">
        <f>VLOOKUP(NoviaFunds[[#This Row],[ISIN]],'Novia Web Query'!$A:$E,2,FALSE)</f>
        <v>JPM Emerging Europe Equity C Acc in GB</v>
      </c>
      <c r="C2007" t="str">
        <f>VLOOKUP(NoviaFunds[[#This Row],[ISIN]],'Novia Web Query'!$A:$E,3,FALSE)</f>
        <v>UT Specialist</v>
      </c>
      <c r="D2007" s="139">
        <f>VLOOKUP(NoviaFunds[[#This Row],[ISIN]],'Novia Web Query'!$A:$E,4,FALSE)/100</f>
        <v>9.0000000000000011E-3</v>
      </c>
      <c r="E2007" s="3" t="str">
        <f>VLOOKUP(NoviaFunds[[#This Row],[ISIN]],'Novia Web Query'!$A:$E,5,FALSE)</f>
        <v>01/01/2021</v>
      </c>
      <c r="F2007" t="str">
        <f>VLOOKUP(NoviaFunds[[#This Row],[Sector]],Sectors[],2,FALSE)</f>
        <v>Specialist</v>
      </c>
    </row>
    <row r="2008" spans="1:6" x14ac:dyDescent="0.2">
      <c r="A2008" t="str">
        <f>'Novia Web Query'!A2005</f>
        <v>GB00B5NK2V63</v>
      </c>
      <c r="B2008" t="str">
        <f>VLOOKUP(NoviaFunds[[#This Row],[ISIN]],'Novia Web Query'!$A:$E,2,FALSE)</f>
        <v>JPM Emerging Europe Equity C Inc TR in GB**</v>
      </c>
      <c r="C2008" t="str">
        <f>VLOOKUP(NoviaFunds[[#This Row],[ISIN]],'Novia Web Query'!$A:$E,3,FALSE)</f>
        <v>UT Specialist</v>
      </c>
      <c r="D2008" s="139">
        <f>VLOOKUP(NoviaFunds[[#This Row],[ISIN]],'Novia Web Query'!$A:$E,4,FALSE)/100</f>
        <v>9.0000000000000011E-3</v>
      </c>
      <c r="E2008" s="3" t="str">
        <f>VLOOKUP(NoviaFunds[[#This Row],[ISIN]],'Novia Web Query'!$A:$E,5,FALSE)</f>
        <v>01/01/2021</v>
      </c>
      <c r="F2008" t="str">
        <f>VLOOKUP(NoviaFunds[[#This Row],[Sector]],Sectors[],2,FALSE)</f>
        <v>Specialist</v>
      </c>
    </row>
    <row r="2009" spans="1:6" x14ac:dyDescent="0.2">
      <c r="A2009" t="str">
        <f>'Novia Web Query'!A2006</f>
        <v>GB0030881550</v>
      </c>
      <c r="B2009" t="str">
        <f>VLOOKUP(NoviaFunds[[#This Row],[ISIN]],'Novia Web Query'!$A:$E,2,FALSE)</f>
        <v>JPM Emerging Markets A Acc in GB</v>
      </c>
      <c r="C2009" t="str">
        <f>VLOOKUP(NoviaFunds[[#This Row],[ISIN]],'Novia Web Query'!$A:$E,3,FALSE)</f>
        <v>UT Global Emerging Markets</v>
      </c>
      <c r="D2009" s="139">
        <f>VLOOKUP(NoviaFunds[[#This Row],[ISIN]],'Novia Web Query'!$A:$E,4,FALSE)/100</f>
        <v>1.5800000000000002E-2</v>
      </c>
      <c r="E2009" s="3" t="str">
        <f>VLOOKUP(NoviaFunds[[#This Row],[ISIN]],'Novia Web Query'!$A:$E,5,FALSE)</f>
        <v>01/01/2021</v>
      </c>
      <c r="F2009" t="str">
        <f>VLOOKUP(NoviaFunds[[#This Row],[Sector]],Sectors[],2,FALSE)</f>
        <v>Emerging Markets</v>
      </c>
    </row>
    <row r="2010" spans="1:6" x14ac:dyDescent="0.2">
      <c r="A2010" t="str">
        <f>'Novia Web Query'!A2007</f>
        <v>GB00B1XMSZ01</v>
      </c>
      <c r="B2010" t="str">
        <f>VLOOKUP(NoviaFunds[[#This Row],[ISIN]],'Novia Web Query'!$A:$E,2,FALSE)</f>
        <v>JPM Emerging Markets A Inc TR in GB</v>
      </c>
      <c r="C2010" t="str">
        <f>VLOOKUP(NoviaFunds[[#This Row],[ISIN]],'Novia Web Query'!$A:$E,3,FALSE)</f>
        <v>UT Global Emerging Markets</v>
      </c>
      <c r="D2010" s="139">
        <f>VLOOKUP(NoviaFunds[[#This Row],[ISIN]],'Novia Web Query'!$A:$E,4,FALSE)/100</f>
        <v>1.6500000000000001E-2</v>
      </c>
      <c r="E2010" s="3" t="str">
        <f>VLOOKUP(NoviaFunds[[#This Row],[ISIN]],'Novia Web Query'!$A:$E,5,FALSE)</f>
        <v>01/01/2021</v>
      </c>
      <c r="F2010" t="str">
        <f>VLOOKUP(NoviaFunds[[#This Row],[Sector]],Sectors[],2,FALSE)</f>
        <v>Emerging Markets</v>
      </c>
    </row>
    <row r="2011" spans="1:6" x14ac:dyDescent="0.2">
      <c r="A2011" t="str">
        <f>'Novia Web Query'!A2008</f>
        <v>GB00B1YX4S73</v>
      </c>
      <c r="B2011" t="str">
        <f>VLOOKUP(NoviaFunds[[#This Row],[ISIN]],'Novia Web Query'!$A:$E,2,FALSE)</f>
        <v>JPM Emerging Markets B Acc in GB</v>
      </c>
      <c r="C2011" t="str">
        <f>VLOOKUP(NoviaFunds[[#This Row],[ISIN]],'Novia Web Query'!$A:$E,3,FALSE)</f>
        <v>UT Global Emerging Markets</v>
      </c>
      <c r="D2011" s="139">
        <f>VLOOKUP(NoviaFunds[[#This Row],[ISIN]],'Novia Web Query'!$A:$E,4,FALSE)/100</f>
        <v>1.09E-2</v>
      </c>
      <c r="E2011" s="3" t="str">
        <f>VLOOKUP(NoviaFunds[[#This Row],[ISIN]],'Novia Web Query'!$A:$E,5,FALSE)</f>
        <v>01/01/2021</v>
      </c>
      <c r="F2011" t="str">
        <f>VLOOKUP(NoviaFunds[[#This Row],[Sector]],Sectors[],2,FALSE)</f>
        <v>Emerging Markets</v>
      </c>
    </row>
    <row r="2012" spans="1:6" x14ac:dyDescent="0.2">
      <c r="A2012" t="str">
        <f>'Novia Web Query'!A2009</f>
        <v>GB00B1YX4W10</v>
      </c>
      <c r="B2012" t="str">
        <f>VLOOKUP(NoviaFunds[[#This Row],[ISIN]],'Novia Web Query'!$A:$E,2,FALSE)</f>
        <v>JPM Emerging Markets B Inc TR in GB**</v>
      </c>
      <c r="C2012" t="str">
        <f>VLOOKUP(NoviaFunds[[#This Row],[ISIN]],'Novia Web Query'!$A:$E,3,FALSE)</f>
        <v>UT Global Emerging Markets</v>
      </c>
      <c r="D2012" s="139">
        <f>VLOOKUP(NoviaFunds[[#This Row],[ISIN]],'Novia Web Query'!$A:$E,4,FALSE)/100</f>
        <v>1.15E-2</v>
      </c>
      <c r="E2012" s="3" t="str">
        <f>VLOOKUP(NoviaFunds[[#This Row],[ISIN]],'Novia Web Query'!$A:$E,5,FALSE)</f>
        <v>01/01/2021</v>
      </c>
      <c r="F2012" t="str">
        <f>VLOOKUP(NoviaFunds[[#This Row],[Sector]],Sectors[],2,FALSE)</f>
        <v>Emerging Markets</v>
      </c>
    </row>
    <row r="2013" spans="1:6" x14ac:dyDescent="0.2">
      <c r="A2013" t="str">
        <f>'Novia Web Query'!A2010</f>
        <v>GB0030881774</v>
      </c>
      <c r="B2013" t="str">
        <f>VLOOKUP(NoviaFunds[[#This Row],[ISIN]],'Novia Web Query'!$A:$E,2,FALSE)</f>
        <v>JPM Emerging Markets C Acc in GB</v>
      </c>
      <c r="C2013" t="str">
        <f>VLOOKUP(NoviaFunds[[#This Row],[ISIN]],'Novia Web Query'!$A:$E,3,FALSE)</f>
        <v>UT Global Emerging Markets</v>
      </c>
      <c r="D2013" s="139">
        <f>VLOOKUP(NoviaFunds[[#This Row],[ISIN]],'Novia Web Query'!$A:$E,4,FALSE)/100</f>
        <v>8.3000000000000001E-3</v>
      </c>
      <c r="E2013" s="3" t="str">
        <f>VLOOKUP(NoviaFunds[[#This Row],[ISIN]],'Novia Web Query'!$A:$E,5,FALSE)</f>
        <v>08/07/2021</v>
      </c>
      <c r="F2013" t="str">
        <f>VLOOKUP(NoviaFunds[[#This Row],[Sector]],Sectors[],2,FALSE)</f>
        <v>Emerging Markets</v>
      </c>
    </row>
    <row r="2014" spans="1:6" x14ac:dyDescent="0.2">
      <c r="A2014" t="str">
        <f>'Novia Web Query'!A2011</f>
        <v>GB00BBVHWS80</v>
      </c>
      <c r="B2014" t="str">
        <f>VLOOKUP(NoviaFunds[[#This Row],[ISIN]],'Novia Web Query'!$A:$E,2,FALSE)</f>
        <v>JPM Emerging Markets C Inc TR in GB**</v>
      </c>
      <c r="C2014" t="str">
        <f>VLOOKUP(NoviaFunds[[#This Row],[ISIN]],'Novia Web Query'!$A:$E,3,FALSE)</f>
        <v>UT Global Emerging Markets</v>
      </c>
      <c r="D2014" s="139">
        <f>VLOOKUP(NoviaFunds[[#This Row],[ISIN]],'Novia Web Query'!$A:$E,4,FALSE)/100</f>
        <v>8.3000000000000001E-3</v>
      </c>
      <c r="E2014" s="3" t="str">
        <f>VLOOKUP(NoviaFunds[[#This Row],[ISIN]],'Novia Web Query'!$A:$E,5,FALSE)</f>
        <v>08/07/2021</v>
      </c>
      <c r="F2014" t="str">
        <f>VLOOKUP(NoviaFunds[[#This Row],[Sector]],Sectors[],2,FALSE)</f>
        <v>Emerging Markets</v>
      </c>
    </row>
    <row r="2015" spans="1:6" x14ac:dyDescent="0.2">
      <c r="A2015" t="str">
        <f>'Novia Web Query'!A2012</f>
        <v>GB00B56DF680</v>
      </c>
      <c r="B2015" t="str">
        <f>VLOOKUP(NoviaFunds[[#This Row],[ISIN]],'Novia Web Query'!$A:$E,2,FALSE)</f>
        <v>JPM Emerging Markets Income A Acc in GB</v>
      </c>
      <c r="C2015" t="str">
        <f>VLOOKUP(NoviaFunds[[#This Row],[ISIN]],'Novia Web Query'!$A:$E,3,FALSE)</f>
        <v>UT Global Emerging Markets</v>
      </c>
      <c r="D2015" s="139">
        <f>VLOOKUP(NoviaFunds[[#This Row],[ISIN]],'Novia Web Query'!$A:$E,4,FALSE)/100</f>
        <v>1.6500000000000001E-2</v>
      </c>
      <c r="E2015" s="3" t="str">
        <f>VLOOKUP(NoviaFunds[[#This Row],[ISIN]],'Novia Web Query'!$A:$E,5,FALSE)</f>
        <v>01/01/2021</v>
      </c>
      <c r="F2015" t="str">
        <f>VLOOKUP(NoviaFunds[[#This Row],[Sector]],Sectors[],2,FALSE)</f>
        <v>Emerging Markets</v>
      </c>
    </row>
    <row r="2016" spans="1:6" x14ac:dyDescent="0.2">
      <c r="A2016" t="str">
        <f>'Novia Web Query'!A2013</f>
        <v>GB00B50VRT53</v>
      </c>
      <c r="B2016" t="str">
        <f>VLOOKUP(NoviaFunds[[#This Row],[ISIN]],'Novia Web Query'!$A:$E,2,FALSE)</f>
        <v>JPM Emerging Markets Income A Inc TR in GB</v>
      </c>
      <c r="C2016" t="str">
        <f>VLOOKUP(NoviaFunds[[#This Row],[ISIN]],'Novia Web Query'!$A:$E,3,FALSE)</f>
        <v>UT Global Emerging Markets</v>
      </c>
      <c r="D2016" s="139">
        <f>VLOOKUP(NoviaFunds[[#This Row],[ISIN]],'Novia Web Query'!$A:$E,4,FALSE)/100</f>
        <v>1.6500000000000001E-2</v>
      </c>
      <c r="E2016" s="3" t="str">
        <f>VLOOKUP(NoviaFunds[[#This Row],[ISIN]],'Novia Web Query'!$A:$E,5,FALSE)</f>
        <v>01/01/2021</v>
      </c>
      <c r="F2016" t="str">
        <f>VLOOKUP(NoviaFunds[[#This Row],[Sector]],Sectors[],2,FALSE)</f>
        <v>Emerging Markets</v>
      </c>
    </row>
    <row r="2017" spans="1:6" x14ac:dyDescent="0.2">
      <c r="A2017" t="str">
        <f>'Novia Web Query'!A2014</f>
        <v>GB00B5T0GN09</v>
      </c>
      <c r="B2017" t="str">
        <f>VLOOKUP(NoviaFunds[[#This Row],[ISIN]],'Novia Web Query'!$A:$E,2,FALSE)</f>
        <v>JPM Emerging Markets Income B Acc in GB**</v>
      </c>
      <c r="C2017" t="str">
        <f>VLOOKUP(NoviaFunds[[#This Row],[ISIN]],'Novia Web Query'!$A:$E,3,FALSE)</f>
        <v>UT Global Emerging Markets</v>
      </c>
      <c r="D2017" s="139">
        <f>VLOOKUP(NoviaFunds[[#This Row],[ISIN]],'Novia Web Query'!$A:$E,4,FALSE)/100</f>
        <v>1.15E-2</v>
      </c>
      <c r="E2017" s="3" t="str">
        <f>VLOOKUP(NoviaFunds[[#This Row],[ISIN]],'Novia Web Query'!$A:$E,5,FALSE)</f>
        <v>01/01/2021</v>
      </c>
      <c r="F2017" t="str">
        <f>VLOOKUP(NoviaFunds[[#This Row],[Sector]],Sectors[],2,FALSE)</f>
        <v>Emerging Markets</v>
      </c>
    </row>
    <row r="2018" spans="1:6" x14ac:dyDescent="0.2">
      <c r="A2018" t="str">
        <f>'Novia Web Query'!A2015</f>
        <v>GB00B592H774</v>
      </c>
      <c r="B2018" t="str">
        <f>VLOOKUP(NoviaFunds[[#This Row],[ISIN]],'Novia Web Query'!$A:$E,2,FALSE)</f>
        <v>JPM Emerging Markets Income B Inc TR in GB</v>
      </c>
      <c r="C2018" t="str">
        <f>VLOOKUP(NoviaFunds[[#This Row],[ISIN]],'Novia Web Query'!$A:$E,3,FALSE)</f>
        <v>UT Global Emerging Markets</v>
      </c>
      <c r="D2018" s="139">
        <f>VLOOKUP(NoviaFunds[[#This Row],[ISIN]],'Novia Web Query'!$A:$E,4,FALSE)/100</f>
        <v>1.15E-2</v>
      </c>
      <c r="E2018" s="3" t="str">
        <f>VLOOKUP(NoviaFunds[[#This Row],[ISIN]],'Novia Web Query'!$A:$E,5,FALSE)</f>
        <v>01/01/2021</v>
      </c>
      <c r="F2018" t="str">
        <f>VLOOKUP(NoviaFunds[[#This Row],[Sector]],Sectors[],2,FALSE)</f>
        <v>Emerging Markets</v>
      </c>
    </row>
    <row r="2019" spans="1:6" x14ac:dyDescent="0.2">
      <c r="A2019" t="str">
        <f>'Novia Web Query'!A2016</f>
        <v>GB00B5M5KY18</v>
      </c>
      <c r="B2019" t="str">
        <f>VLOOKUP(NoviaFunds[[#This Row],[ISIN]],'Novia Web Query'!$A:$E,2,FALSE)</f>
        <v>JPM Emerging Markets Income C Acc in GB</v>
      </c>
      <c r="C2019" t="str">
        <f>VLOOKUP(NoviaFunds[[#This Row],[ISIN]],'Novia Web Query'!$A:$E,3,FALSE)</f>
        <v>UT Global Emerging Markets</v>
      </c>
      <c r="D2019" s="139">
        <f>VLOOKUP(NoviaFunds[[#This Row],[ISIN]],'Novia Web Query'!$A:$E,4,FALSE)/100</f>
        <v>9.0000000000000011E-3</v>
      </c>
      <c r="E2019" s="3" t="str">
        <f>VLOOKUP(NoviaFunds[[#This Row],[ISIN]],'Novia Web Query'!$A:$E,5,FALSE)</f>
        <v>01/01/2021</v>
      </c>
      <c r="F2019" t="str">
        <f>VLOOKUP(NoviaFunds[[#This Row],[Sector]],Sectors[],2,FALSE)</f>
        <v>Emerging Markets</v>
      </c>
    </row>
    <row r="2020" spans="1:6" x14ac:dyDescent="0.2">
      <c r="A2020" t="str">
        <f>'Novia Web Query'!A2017</f>
        <v>GB00B5N1BC33</v>
      </c>
      <c r="B2020" t="str">
        <f>VLOOKUP(NoviaFunds[[#This Row],[ISIN]],'Novia Web Query'!$A:$E,2,FALSE)</f>
        <v>JPM Emerging Markets Income C Inc TR in GB**</v>
      </c>
      <c r="C2020" t="str">
        <f>VLOOKUP(NoviaFunds[[#This Row],[ISIN]],'Novia Web Query'!$A:$E,3,FALSE)</f>
        <v>UT Global Emerging Markets</v>
      </c>
      <c r="D2020" s="139">
        <f>VLOOKUP(NoviaFunds[[#This Row],[ISIN]],'Novia Web Query'!$A:$E,4,FALSE)/100</f>
        <v>9.0000000000000011E-3</v>
      </c>
      <c r="E2020" s="3" t="str">
        <f>VLOOKUP(NoviaFunds[[#This Row],[ISIN]],'Novia Web Query'!$A:$E,5,FALSE)</f>
        <v>01/01/2021</v>
      </c>
      <c r="F2020" t="str">
        <f>VLOOKUP(NoviaFunds[[#This Row],[Sector]],Sectors[],2,FALSE)</f>
        <v>Emerging Markets</v>
      </c>
    </row>
    <row r="2021" spans="1:6" x14ac:dyDescent="0.2">
      <c r="A2021" t="str">
        <f>'Novia Web Query'!A2018</f>
        <v>GB00BL0DTP33</v>
      </c>
      <c r="B2021" t="str">
        <f>VLOOKUP(NoviaFunds[[#This Row],[ISIN]],'Novia Web Query'!$A:$E,2,FALSE)</f>
        <v>JPM Emerging Markets Sustainable Equity C Acc in GB</v>
      </c>
      <c r="C2021" t="str">
        <f>VLOOKUP(NoviaFunds[[#This Row],[ISIN]],'Novia Web Query'!$A:$E,3,FALSE)</f>
        <v>UT Global Emerging Markets</v>
      </c>
      <c r="D2021" s="139">
        <f>VLOOKUP(NoviaFunds[[#This Row],[ISIN]],'Novia Web Query'!$A:$E,4,FALSE)/100</f>
        <v>9.0000000000000011E-3</v>
      </c>
      <c r="E2021" s="3" t="str">
        <f>VLOOKUP(NoviaFunds[[#This Row],[ISIN]],'Novia Web Query'!$A:$E,5,FALSE)</f>
        <v>08/12/2020</v>
      </c>
      <c r="F2021" t="str">
        <f>VLOOKUP(NoviaFunds[[#This Row],[Sector]],Sectors[],2,FALSE)</f>
        <v>Emerging Markets</v>
      </c>
    </row>
    <row r="2022" spans="1:6" x14ac:dyDescent="0.2">
      <c r="A2022" t="str">
        <f>'Novia Web Query'!A2019</f>
        <v>GB00BL0DTN19</v>
      </c>
      <c r="B2022" t="str">
        <f>VLOOKUP(NoviaFunds[[#This Row],[ISIN]],'Novia Web Query'!$A:$E,2,FALSE)</f>
        <v>JPM Emerging Markets Sustainable Equity C Inc GBP in GB</v>
      </c>
      <c r="C2022" t="str">
        <f>VLOOKUP(NoviaFunds[[#This Row],[ISIN]],'Novia Web Query'!$A:$E,3,FALSE)</f>
        <v>UT Global Emerging Markets</v>
      </c>
      <c r="D2022" s="139">
        <f>VLOOKUP(NoviaFunds[[#This Row],[ISIN]],'Novia Web Query'!$A:$E,4,FALSE)/100</f>
        <v>9.0000000000000011E-3</v>
      </c>
      <c r="E2022" s="3" t="str">
        <f>VLOOKUP(NoviaFunds[[#This Row],[ISIN]],'Novia Web Query'!$A:$E,5,FALSE)</f>
        <v>08/12/2020</v>
      </c>
      <c r="F2022" t="str">
        <f>VLOOKUP(NoviaFunds[[#This Row],[Sector]],Sectors[],2,FALSE)</f>
        <v>Emerging Markets</v>
      </c>
    </row>
    <row r="2023" spans="1:6" x14ac:dyDescent="0.2">
      <c r="A2023" t="str">
        <f>'Novia Web Query'!A2020</f>
        <v>GB00BL0DTQ40</v>
      </c>
      <c r="B2023" t="str">
        <f>VLOOKUP(NoviaFunds[[#This Row],[ISIN]],'Novia Web Query'!$A:$E,2,FALSE)</f>
        <v>JPM Emerging Markets Sustainable Equity S Acc in GB</v>
      </c>
      <c r="C2023" t="str">
        <f>VLOOKUP(NoviaFunds[[#This Row],[ISIN]],'Novia Web Query'!$A:$E,3,FALSE)</f>
        <v>UT Global Emerging Markets</v>
      </c>
      <c r="D2023" s="139">
        <f>VLOOKUP(NoviaFunds[[#This Row],[ISIN]],'Novia Web Query'!$A:$E,4,FALSE)/100</f>
        <v>5.3E-3</v>
      </c>
      <c r="E2023" s="3" t="str">
        <f>VLOOKUP(NoviaFunds[[#This Row],[ISIN]],'Novia Web Query'!$A:$E,5,FALSE)</f>
        <v>08/12/2020</v>
      </c>
      <c r="F2023" t="str">
        <f>VLOOKUP(NoviaFunds[[#This Row],[Sector]],Sectors[],2,FALSE)</f>
        <v>Emerging Markets</v>
      </c>
    </row>
    <row r="2024" spans="1:6" x14ac:dyDescent="0.2">
      <c r="A2024" t="str">
        <f>'Novia Web Query'!A2021</f>
        <v>GB00BL0DTR56</v>
      </c>
      <c r="B2024" t="str">
        <f>VLOOKUP(NoviaFunds[[#This Row],[ISIN]],'Novia Web Query'!$A:$E,2,FALSE)</f>
        <v>JPM Emerging Markets Sustainable Equity S Inc TR in GB</v>
      </c>
      <c r="C2024" t="str">
        <f>VLOOKUP(NoviaFunds[[#This Row],[ISIN]],'Novia Web Query'!$A:$E,3,FALSE)</f>
        <v>UT Global Emerging Markets</v>
      </c>
      <c r="D2024" s="139">
        <f>VLOOKUP(NoviaFunds[[#This Row],[ISIN]],'Novia Web Query'!$A:$E,4,FALSE)/100</f>
        <v>5.3E-3</v>
      </c>
      <c r="E2024" s="3" t="str">
        <f>VLOOKUP(NoviaFunds[[#This Row],[ISIN]],'Novia Web Query'!$A:$E,5,FALSE)</f>
        <v>08/12/2020</v>
      </c>
      <c r="F2024" t="str">
        <f>VLOOKUP(NoviaFunds[[#This Row],[Sector]],Sectors[],2,FALSE)</f>
        <v>Emerging Markets</v>
      </c>
    </row>
    <row r="2025" spans="1:6" x14ac:dyDescent="0.2">
      <c r="A2025" t="str">
        <f>'Novia Web Query'!A2022</f>
        <v>GB0030879141</v>
      </c>
      <c r="B2025" t="str">
        <f>VLOOKUP(NoviaFunds[[#This Row],[ISIN]],'Novia Web Query'!$A:$E,2,FALSE)</f>
        <v>JPM Europe (ex-UK) Sustainable Equity A Acc in GB</v>
      </c>
      <c r="C2025" t="str">
        <f>VLOOKUP(NoviaFunds[[#This Row],[ISIN]],'Novia Web Query'!$A:$E,3,FALSE)</f>
        <v>UT Europe Excluding UK</v>
      </c>
      <c r="D2025" s="139">
        <f>VLOOKUP(NoviaFunds[[#This Row],[ISIN]],'Novia Web Query'!$A:$E,4,FALSE)/100</f>
        <v>1.09E-2</v>
      </c>
      <c r="E2025" s="3" t="str">
        <f>VLOOKUP(NoviaFunds[[#This Row],[ISIN]],'Novia Web Query'!$A:$E,5,FALSE)</f>
        <v>01/01/2021</v>
      </c>
      <c r="F2025" t="str">
        <f>VLOOKUP(NoviaFunds[[#This Row],[Sector]],Sectors[],2,FALSE)</f>
        <v>European Equities</v>
      </c>
    </row>
    <row r="2026" spans="1:6" x14ac:dyDescent="0.2">
      <c r="A2026" t="str">
        <f>'Novia Web Query'!A2023</f>
        <v>GB00B1XMTB32</v>
      </c>
      <c r="B2026" t="str">
        <f>VLOOKUP(NoviaFunds[[#This Row],[ISIN]],'Novia Web Query'!$A:$E,2,FALSE)</f>
        <v>JPM Europe (ex-UK) Sustainable Equity A Inc TR in GB</v>
      </c>
      <c r="C2026" t="str">
        <f>VLOOKUP(NoviaFunds[[#This Row],[ISIN]],'Novia Web Query'!$A:$E,3,FALSE)</f>
        <v>UT Europe Excluding UK</v>
      </c>
      <c r="D2026" s="139">
        <f>VLOOKUP(NoviaFunds[[#This Row],[ISIN]],'Novia Web Query'!$A:$E,4,FALSE)/100</f>
        <v>1.15E-2</v>
      </c>
      <c r="E2026" s="3" t="str">
        <f>VLOOKUP(NoviaFunds[[#This Row],[ISIN]],'Novia Web Query'!$A:$E,5,FALSE)</f>
        <v>01/01/2021</v>
      </c>
      <c r="F2026" t="str">
        <f>VLOOKUP(NoviaFunds[[#This Row],[Sector]],Sectors[],2,FALSE)</f>
        <v>European Equities</v>
      </c>
    </row>
    <row r="2027" spans="1:6" x14ac:dyDescent="0.2">
      <c r="A2027" t="str">
        <f>'Novia Web Query'!A2024</f>
        <v>GB00B235HP90</v>
      </c>
      <c r="B2027" t="str">
        <f>VLOOKUP(NoviaFunds[[#This Row],[ISIN]],'Novia Web Query'!$A:$E,2,FALSE)</f>
        <v>JPM Europe (ex-UK) Sustainable Equity C Acc in GB</v>
      </c>
      <c r="C2027" t="str">
        <f>VLOOKUP(NoviaFunds[[#This Row],[ISIN]],'Novia Web Query'!$A:$E,3,FALSE)</f>
        <v>UT Europe Excluding UK</v>
      </c>
      <c r="D2027" s="139">
        <f>VLOOKUP(NoviaFunds[[#This Row],[ISIN]],'Novia Web Query'!$A:$E,4,FALSE)/100</f>
        <v>6.3E-3</v>
      </c>
      <c r="E2027" s="3" t="str">
        <f>VLOOKUP(NoviaFunds[[#This Row],[ISIN]],'Novia Web Query'!$A:$E,5,FALSE)</f>
        <v>08/07/2021</v>
      </c>
      <c r="F2027" t="str">
        <f>VLOOKUP(NoviaFunds[[#This Row],[Sector]],Sectors[],2,FALSE)</f>
        <v>European Equities</v>
      </c>
    </row>
    <row r="2028" spans="1:6" x14ac:dyDescent="0.2">
      <c r="A2028" t="str">
        <f>'Novia Web Query'!A2025</f>
        <v>GB00B235HR15</v>
      </c>
      <c r="B2028" t="str">
        <f>VLOOKUP(NoviaFunds[[#This Row],[ISIN]],'Novia Web Query'!$A:$E,2,FALSE)</f>
        <v>JPM Europe (ex-UK) Sustainable Equity C Inc TR in GB**</v>
      </c>
      <c r="C2028" t="str">
        <f>VLOOKUP(NoviaFunds[[#This Row],[ISIN]],'Novia Web Query'!$A:$E,3,FALSE)</f>
        <v>UT Europe Excluding UK</v>
      </c>
      <c r="D2028" s="139">
        <f>VLOOKUP(NoviaFunds[[#This Row],[ISIN]],'Novia Web Query'!$A:$E,4,FALSE)/100</f>
        <v>6.5000000000000006E-3</v>
      </c>
      <c r="E2028" s="3" t="str">
        <f>VLOOKUP(NoviaFunds[[#This Row],[ISIN]],'Novia Web Query'!$A:$E,5,FALSE)</f>
        <v>01/01/2021</v>
      </c>
      <c r="F2028" t="str">
        <f>VLOOKUP(NoviaFunds[[#This Row],[Sector]],Sectors[],2,FALSE)</f>
        <v>European Equities</v>
      </c>
    </row>
    <row r="2029" spans="1:6" x14ac:dyDescent="0.2">
      <c r="A2029" t="str">
        <f>'Novia Web Query'!A2026</f>
        <v>GB00B02L5M76</v>
      </c>
      <c r="B2029" t="str">
        <f>VLOOKUP(NoviaFunds[[#This Row],[ISIN]],'Novia Web Query'!$A:$E,2,FALSE)</f>
        <v>JPM Europe Dynamic Ex UK A Acc in GB</v>
      </c>
      <c r="C2029" t="str">
        <f>VLOOKUP(NoviaFunds[[#This Row],[ISIN]],'Novia Web Query'!$A:$E,3,FALSE)</f>
        <v>UT Europe Excluding UK</v>
      </c>
      <c r="D2029" s="139">
        <f>VLOOKUP(NoviaFunds[[#This Row],[ISIN]],'Novia Web Query'!$A:$E,4,FALSE)/100</f>
        <v>1.5600000000000001E-2</v>
      </c>
      <c r="E2029" s="3" t="str">
        <f>VLOOKUP(NoviaFunds[[#This Row],[ISIN]],'Novia Web Query'!$A:$E,5,FALSE)</f>
        <v>01/01/2021</v>
      </c>
      <c r="F2029" t="str">
        <f>VLOOKUP(NoviaFunds[[#This Row],[Sector]],Sectors[],2,FALSE)</f>
        <v>European Equities</v>
      </c>
    </row>
    <row r="2030" spans="1:6" x14ac:dyDescent="0.2">
      <c r="A2030" t="str">
        <f>'Novia Web Query'!A2027</f>
        <v>GB00B1JFB215</v>
      </c>
      <c r="B2030" t="str">
        <f>VLOOKUP(NoviaFunds[[#This Row],[ISIN]],'Novia Web Query'!$A:$E,2,FALSE)</f>
        <v>JPM Europe Dynamic Ex UK A Inc TR in GB</v>
      </c>
      <c r="C2030" t="str">
        <f>VLOOKUP(NoviaFunds[[#This Row],[ISIN]],'Novia Web Query'!$A:$E,3,FALSE)</f>
        <v>UT Europe Excluding UK</v>
      </c>
      <c r="D2030" s="139">
        <f>VLOOKUP(NoviaFunds[[#This Row],[ISIN]],'Novia Web Query'!$A:$E,4,FALSE)/100</f>
        <v>1.6500000000000001E-2</v>
      </c>
      <c r="E2030" s="3" t="str">
        <f>VLOOKUP(NoviaFunds[[#This Row],[ISIN]],'Novia Web Query'!$A:$E,5,FALSE)</f>
        <v>01/01/2021</v>
      </c>
      <c r="F2030" t="str">
        <f>VLOOKUP(NoviaFunds[[#This Row],[Sector]],Sectors[],2,FALSE)</f>
        <v>European Equities</v>
      </c>
    </row>
    <row r="2031" spans="1:6" x14ac:dyDescent="0.2">
      <c r="A2031" t="str">
        <f>'Novia Web Query'!A2028</f>
        <v>GB00B845HL62</v>
      </c>
      <c r="B2031" t="str">
        <f>VLOOKUP(NoviaFunds[[#This Row],[ISIN]],'Novia Web Query'!$A:$E,2,FALSE)</f>
        <v>JPM Europe Dynamic Ex UK C Acc in GB</v>
      </c>
      <c r="C2031" t="str">
        <f>VLOOKUP(NoviaFunds[[#This Row],[ISIN]],'Novia Web Query'!$A:$E,3,FALSE)</f>
        <v>UT Europe Excluding UK</v>
      </c>
      <c r="D2031" s="139">
        <f>VLOOKUP(NoviaFunds[[#This Row],[ISIN]],'Novia Web Query'!$A:$E,4,FALSE)/100</f>
        <v>8.199999999999999E-3</v>
      </c>
      <c r="E2031" s="3" t="str">
        <f>VLOOKUP(NoviaFunds[[#This Row],[ISIN]],'Novia Web Query'!$A:$E,5,FALSE)</f>
        <v>01/01/2021</v>
      </c>
      <c r="F2031" t="str">
        <f>VLOOKUP(NoviaFunds[[#This Row],[Sector]],Sectors[],2,FALSE)</f>
        <v>European Equities</v>
      </c>
    </row>
    <row r="2032" spans="1:6" x14ac:dyDescent="0.2">
      <c r="A2032" t="str">
        <f>'Novia Web Query'!A2029</f>
        <v>GB00BCV7MM92</v>
      </c>
      <c r="B2032" t="str">
        <f>VLOOKUP(NoviaFunds[[#This Row],[ISIN]],'Novia Web Query'!$A:$E,2,FALSE)</f>
        <v>JPM Europe Dynamic Ex UK C Hedged Acc GBP in GB</v>
      </c>
      <c r="C2032" t="str">
        <f>VLOOKUP(NoviaFunds[[#This Row],[ISIN]],'Novia Web Query'!$A:$E,3,FALSE)</f>
        <v>UT Europe Excluding UK</v>
      </c>
      <c r="D2032" s="139">
        <f>VLOOKUP(NoviaFunds[[#This Row],[ISIN]],'Novia Web Query'!$A:$E,4,FALSE)/100</f>
        <v>9.0000000000000011E-3</v>
      </c>
      <c r="E2032" s="3" t="str">
        <f>VLOOKUP(NoviaFunds[[#This Row],[ISIN]],'Novia Web Query'!$A:$E,5,FALSE)</f>
        <v>08/07/2021</v>
      </c>
      <c r="F2032" t="str">
        <f>VLOOKUP(NoviaFunds[[#This Row],[Sector]],Sectors[],2,FALSE)</f>
        <v>European Equities</v>
      </c>
    </row>
    <row r="2033" spans="1:6" x14ac:dyDescent="0.2">
      <c r="A2033" t="str">
        <f>'Novia Web Query'!A2030</f>
        <v>GB00B7YLCD41</v>
      </c>
      <c r="B2033" t="str">
        <f>VLOOKUP(NoviaFunds[[#This Row],[ISIN]],'Novia Web Query'!$A:$E,2,FALSE)</f>
        <v>JPM Europe Dynamic Ex UK C Inc TR in GB**</v>
      </c>
      <c r="C2033" t="str">
        <f>VLOOKUP(NoviaFunds[[#This Row],[ISIN]],'Novia Web Query'!$A:$E,3,FALSE)</f>
        <v>UT Europe Excluding UK</v>
      </c>
      <c r="D2033" s="139">
        <f>VLOOKUP(NoviaFunds[[#This Row],[ISIN]],'Novia Web Query'!$A:$E,4,FALSE)/100</f>
        <v>8.8999999999999999E-3</v>
      </c>
      <c r="E2033" s="3" t="str">
        <f>VLOOKUP(NoviaFunds[[#This Row],[ISIN]],'Novia Web Query'!$A:$E,5,FALSE)</f>
        <v>08/07/2021</v>
      </c>
      <c r="F2033" t="str">
        <f>VLOOKUP(NoviaFunds[[#This Row],[Sector]],Sectors[],2,FALSE)</f>
        <v>European Equities</v>
      </c>
    </row>
    <row r="2034" spans="1:6" x14ac:dyDescent="0.2">
      <c r="A2034" t="str">
        <f>'Novia Web Query'!A2031</f>
        <v>GB0030881006</v>
      </c>
      <c r="B2034" t="str">
        <f>VLOOKUP(NoviaFunds[[#This Row],[ISIN]],'Novia Web Query'!$A:$E,2,FALSE)</f>
        <v>JPM Europe Smaller Companies A Acc in GB</v>
      </c>
      <c r="C2034" t="str">
        <f>VLOOKUP(NoviaFunds[[#This Row],[ISIN]],'Novia Web Query'!$A:$E,3,FALSE)</f>
        <v>UT European Smaller Companies</v>
      </c>
      <c r="D2034" s="139">
        <f>VLOOKUP(NoviaFunds[[#This Row],[ISIN]],'Novia Web Query'!$A:$E,4,FALSE)/100</f>
        <v>1.5900000000000001E-2</v>
      </c>
      <c r="E2034" s="3" t="str">
        <f>VLOOKUP(NoviaFunds[[#This Row],[ISIN]],'Novia Web Query'!$A:$E,5,FALSE)</f>
        <v>01/01/2021</v>
      </c>
      <c r="F2034" t="str">
        <f>VLOOKUP(NoviaFunds[[#This Row],[Sector]],Sectors[],2,FALSE)</f>
        <v>European Equities</v>
      </c>
    </row>
    <row r="2035" spans="1:6" x14ac:dyDescent="0.2">
      <c r="A2035" t="str">
        <f>'Novia Web Query'!A2032</f>
        <v>GB00B1XMT248</v>
      </c>
      <c r="B2035" t="str">
        <f>VLOOKUP(NoviaFunds[[#This Row],[ISIN]],'Novia Web Query'!$A:$E,2,FALSE)</f>
        <v>JPM Europe Smaller Companies A Inc TR in GB</v>
      </c>
      <c r="C2035" t="str">
        <f>VLOOKUP(NoviaFunds[[#This Row],[ISIN]],'Novia Web Query'!$A:$E,3,FALSE)</f>
        <v>UT European Smaller Companies</v>
      </c>
      <c r="D2035" s="139">
        <f>VLOOKUP(NoviaFunds[[#This Row],[ISIN]],'Novia Web Query'!$A:$E,4,FALSE)/100</f>
        <v>1.6500000000000001E-2</v>
      </c>
      <c r="E2035" s="3" t="str">
        <f>VLOOKUP(NoviaFunds[[#This Row],[ISIN]],'Novia Web Query'!$A:$E,5,FALSE)</f>
        <v>01/01/2021</v>
      </c>
      <c r="F2035" t="str">
        <f>VLOOKUP(NoviaFunds[[#This Row],[Sector]],Sectors[],2,FALSE)</f>
        <v>European Equities</v>
      </c>
    </row>
    <row r="2036" spans="1:6" x14ac:dyDescent="0.2">
      <c r="A2036" t="str">
        <f>'Novia Web Query'!A2033</f>
        <v>GB00B5SDTW07</v>
      </c>
      <c r="B2036" t="str">
        <f>VLOOKUP(NoviaFunds[[#This Row],[ISIN]],'Novia Web Query'!$A:$E,2,FALSE)</f>
        <v>JPM Europe Smaller Companies C Acc in GB</v>
      </c>
      <c r="C2036" t="str">
        <f>VLOOKUP(NoviaFunds[[#This Row],[ISIN]],'Novia Web Query'!$A:$E,3,FALSE)</f>
        <v>UT European Smaller Companies</v>
      </c>
      <c r="D2036" s="139">
        <f>VLOOKUP(NoviaFunds[[#This Row],[ISIN]],'Novia Web Query'!$A:$E,4,FALSE)/100</f>
        <v>8.8000000000000005E-3</v>
      </c>
      <c r="E2036" s="3" t="str">
        <f>VLOOKUP(NoviaFunds[[#This Row],[ISIN]],'Novia Web Query'!$A:$E,5,FALSE)</f>
        <v>01/01/2021</v>
      </c>
      <c r="F2036" t="str">
        <f>VLOOKUP(NoviaFunds[[#This Row],[Sector]],Sectors[],2,FALSE)</f>
        <v>European Equities</v>
      </c>
    </row>
    <row r="2037" spans="1:6" x14ac:dyDescent="0.2">
      <c r="A2037" t="str">
        <f>'Novia Web Query'!A2034</f>
        <v>GB00B83T7Q40</v>
      </c>
      <c r="B2037" t="str">
        <f>VLOOKUP(NoviaFunds[[#This Row],[ISIN]],'Novia Web Query'!$A:$E,2,FALSE)</f>
        <v>JPM Europe Smaller Companies C Inc TR in GB**</v>
      </c>
      <c r="C2037" t="str">
        <f>VLOOKUP(NoviaFunds[[#This Row],[ISIN]],'Novia Web Query'!$A:$E,3,FALSE)</f>
        <v>UT European Smaller Companies</v>
      </c>
      <c r="D2037" s="139">
        <f>VLOOKUP(NoviaFunds[[#This Row],[ISIN]],'Novia Web Query'!$A:$E,4,FALSE)/100</f>
        <v>9.0000000000000011E-3</v>
      </c>
      <c r="E2037" s="3" t="str">
        <f>VLOOKUP(NoviaFunds[[#This Row],[ISIN]],'Novia Web Query'!$A:$E,5,FALSE)</f>
        <v>01/01/2021</v>
      </c>
      <c r="F2037" t="str">
        <f>VLOOKUP(NoviaFunds[[#This Row],[Sector]],Sectors[],2,FALSE)</f>
        <v>European Equities</v>
      </c>
    </row>
    <row r="2038" spans="1:6" x14ac:dyDescent="0.2">
      <c r="A2038" t="str">
        <f>'Novia Web Query'!A2035</f>
        <v>GB00BV9GHX75</v>
      </c>
      <c r="B2038" t="str">
        <f>VLOOKUP(NoviaFunds[[#This Row],[ISIN]],'Novia Web Query'!$A:$E,2,FALSE)</f>
        <v>JPM Global Bond Opportunities C Gr Acc in GB</v>
      </c>
      <c r="C2038" t="str">
        <f>VLOOKUP(NoviaFunds[[#This Row],[ISIN]],'Novia Web Query'!$A:$E,3,FALSE)</f>
        <v>UT Sterling Strategic Bond</v>
      </c>
      <c r="D2038" s="139">
        <f>VLOOKUP(NoviaFunds[[#This Row],[ISIN]],'Novia Web Query'!$A:$E,4,FALSE)/100</f>
        <v>6.5000000000000006E-3</v>
      </c>
      <c r="E2038" s="3" t="str">
        <f>VLOOKUP(NoviaFunds[[#This Row],[ISIN]],'Novia Web Query'!$A:$E,5,FALSE)</f>
        <v>01/01/2021</v>
      </c>
      <c r="F2038" t="str">
        <f>VLOOKUP(NoviaFunds[[#This Row],[Sector]],Sectors[],2,FALSE)</f>
        <v>Other Bonds</v>
      </c>
    </row>
    <row r="2039" spans="1:6" x14ac:dyDescent="0.2">
      <c r="A2039" t="str">
        <f>'Novia Web Query'!A2036</f>
        <v>GB00BV9GHW68</v>
      </c>
      <c r="B2039" t="str">
        <f>VLOOKUP(NoviaFunds[[#This Row],[ISIN]],'Novia Web Query'!$A:$E,2,FALSE)</f>
        <v>JPM Global Bond Opportunities C Gr Inc TR in GB</v>
      </c>
      <c r="C2039" t="str">
        <f>VLOOKUP(NoviaFunds[[#This Row],[ISIN]],'Novia Web Query'!$A:$E,3,FALSE)</f>
        <v>UT Sterling Strategic Bond</v>
      </c>
      <c r="D2039" s="139">
        <f>VLOOKUP(NoviaFunds[[#This Row],[ISIN]],'Novia Web Query'!$A:$E,4,FALSE)/100</f>
        <v>6.5000000000000006E-3</v>
      </c>
      <c r="E2039" s="3" t="str">
        <f>VLOOKUP(NoviaFunds[[#This Row],[ISIN]],'Novia Web Query'!$A:$E,5,FALSE)</f>
        <v>01/01/2021</v>
      </c>
      <c r="F2039" t="str">
        <f>VLOOKUP(NoviaFunds[[#This Row],[Sector]],Sectors[],2,FALSE)</f>
        <v>Other Bonds</v>
      </c>
    </row>
    <row r="2040" spans="1:6" x14ac:dyDescent="0.2">
      <c r="A2040" t="str">
        <f>'Novia Web Query'!A2037</f>
        <v>GB00BV9GJ311</v>
      </c>
      <c r="B2040" t="str">
        <f>VLOOKUP(NoviaFunds[[#This Row],[ISIN]],'Novia Web Query'!$A:$E,2,FALSE)</f>
        <v>JPM Global Bond Opportunities X Gr Acc in GB**</v>
      </c>
      <c r="C2040" t="str">
        <f>VLOOKUP(NoviaFunds[[#This Row],[ISIN]],'Novia Web Query'!$A:$E,3,FALSE)</f>
        <v>UT Sterling Strategic Bond</v>
      </c>
      <c r="D2040" s="139">
        <f>VLOOKUP(NoviaFunds[[#This Row],[ISIN]],'Novia Web Query'!$A:$E,4,FALSE)/100</f>
        <v>5.9999999999999995E-4</v>
      </c>
      <c r="E2040" s="3" t="str">
        <f>VLOOKUP(NoviaFunds[[#This Row],[ISIN]],'Novia Web Query'!$A:$E,5,FALSE)</f>
        <v>01/01/2021</v>
      </c>
      <c r="F2040" t="str">
        <f>VLOOKUP(NoviaFunds[[#This Row],[Sector]],Sectors[],2,FALSE)</f>
        <v>Other Bonds</v>
      </c>
    </row>
    <row r="2041" spans="1:6" x14ac:dyDescent="0.2">
      <c r="A2041" t="str">
        <f>'Novia Web Query'!A2038</f>
        <v>GB00B1JNDX07</v>
      </c>
      <c r="B2041" t="str">
        <f>VLOOKUP(NoviaFunds[[#This Row],[ISIN]],'Novia Web Query'!$A:$E,2,FALSE)</f>
        <v>JPM Global Equity Income A Hedged Acc GBP in GB</v>
      </c>
      <c r="C2041" t="str">
        <f>VLOOKUP(NoviaFunds[[#This Row],[ISIN]],'Novia Web Query'!$A:$E,3,FALSE)</f>
        <v>UT Global Equity Income</v>
      </c>
      <c r="D2041" s="139">
        <f>VLOOKUP(NoviaFunds[[#This Row],[ISIN]],'Novia Web Query'!$A:$E,4,FALSE)/100</f>
        <v>1.6500000000000001E-2</v>
      </c>
      <c r="E2041" s="3" t="str">
        <f>VLOOKUP(NoviaFunds[[#This Row],[ISIN]],'Novia Web Query'!$A:$E,5,FALSE)</f>
        <v>01/01/2021</v>
      </c>
      <c r="F2041" t="str">
        <f>VLOOKUP(NoviaFunds[[#This Row],[Sector]],Sectors[],2,FALSE)</f>
        <v>Other Equities</v>
      </c>
    </row>
    <row r="2042" spans="1:6" x14ac:dyDescent="0.2">
      <c r="A2042" t="str">
        <f>'Novia Web Query'!A2039</f>
        <v>GB00B1JNDZ21</v>
      </c>
      <c r="B2042" t="str">
        <f>VLOOKUP(NoviaFunds[[#This Row],[ISIN]],'Novia Web Query'!$A:$E,2,FALSE)</f>
        <v>JPM Global Equity Income A Hedged Inc GBP TR in GB</v>
      </c>
      <c r="C2042" t="str">
        <f>VLOOKUP(NoviaFunds[[#This Row],[ISIN]],'Novia Web Query'!$A:$E,3,FALSE)</f>
        <v>UT Global Equity Income</v>
      </c>
      <c r="D2042" s="139">
        <f>VLOOKUP(NoviaFunds[[#This Row],[ISIN]],'Novia Web Query'!$A:$E,4,FALSE)/100</f>
        <v>1.6500000000000001E-2</v>
      </c>
      <c r="E2042" s="3" t="str">
        <f>VLOOKUP(NoviaFunds[[#This Row],[ISIN]],'Novia Web Query'!$A:$E,5,FALSE)</f>
        <v>01/01/2021</v>
      </c>
      <c r="F2042" t="str">
        <f>VLOOKUP(NoviaFunds[[#This Row],[Sector]],Sectors[],2,FALSE)</f>
        <v>Other Equities</v>
      </c>
    </row>
    <row r="2043" spans="1:6" x14ac:dyDescent="0.2">
      <c r="A2043" t="str">
        <f>'Novia Web Query'!A2040</f>
        <v>GB00B235J206</v>
      </c>
      <c r="B2043" t="str">
        <f>VLOOKUP(NoviaFunds[[#This Row],[ISIN]],'Novia Web Query'!$A:$E,2,FALSE)</f>
        <v>JPM Global Equity Income C Acc in GB</v>
      </c>
      <c r="C2043" t="str">
        <f>VLOOKUP(NoviaFunds[[#This Row],[ISIN]],'Novia Web Query'!$A:$E,3,FALSE)</f>
        <v>UT Global Equity Income</v>
      </c>
      <c r="D2043" s="139">
        <f>VLOOKUP(NoviaFunds[[#This Row],[ISIN]],'Novia Web Query'!$A:$E,4,FALSE)/100</f>
        <v>9.0000000000000011E-3</v>
      </c>
      <c r="E2043" s="3" t="str">
        <f>VLOOKUP(NoviaFunds[[#This Row],[ISIN]],'Novia Web Query'!$A:$E,5,FALSE)</f>
        <v>01/01/2021</v>
      </c>
      <c r="F2043" t="str">
        <f>VLOOKUP(NoviaFunds[[#This Row],[Sector]],Sectors[],2,FALSE)</f>
        <v>Other Equities</v>
      </c>
    </row>
    <row r="2044" spans="1:6" x14ac:dyDescent="0.2">
      <c r="A2044" t="str">
        <f>'Novia Web Query'!A2041</f>
        <v>GB00B8DB5B19</v>
      </c>
      <c r="B2044" t="str">
        <f>VLOOKUP(NoviaFunds[[#This Row],[ISIN]],'Novia Web Query'!$A:$E,2,FALSE)</f>
        <v>JPM Global Equity Income C Hedged Acc GBP in GB</v>
      </c>
      <c r="C2044" t="str">
        <f>VLOOKUP(NoviaFunds[[#This Row],[ISIN]],'Novia Web Query'!$A:$E,3,FALSE)</f>
        <v>UT Global Equity Income</v>
      </c>
      <c r="D2044" s="139">
        <f>VLOOKUP(NoviaFunds[[#This Row],[ISIN]],'Novia Web Query'!$A:$E,4,FALSE)/100</f>
        <v>9.0000000000000011E-3</v>
      </c>
      <c r="E2044" s="3" t="str">
        <f>VLOOKUP(NoviaFunds[[#This Row],[ISIN]],'Novia Web Query'!$A:$E,5,FALSE)</f>
        <v>01/01/2021</v>
      </c>
      <c r="F2044" t="str">
        <f>VLOOKUP(NoviaFunds[[#This Row],[Sector]],Sectors[],2,FALSE)</f>
        <v>Other Equities</v>
      </c>
    </row>
    <row r="2045" spans="1:6" x14ac:dyDescent="0.2">
      <c r="A2045" t="str">
        <f>'Novia Web Query'!A2042</f>
        <v>GB00B235J313</v>
      </c>
      <c r="B2045" t="str">
        <f>VLOOKUP(NoviaFunds[[#This Row],[ISIN]],'Novia Web Query'!$A:$E,2,FALSE)</f>
        <v>JPM Global Equity Income C Hedged Inc GBP TR in GB</v>
      </c>
      <c r="C2045" t="str">
        <f>VLOOKUP(NoviaFunds[[#This Row],[ISIN]],'Novia Web Query'!$A:$E,3,FALSE)</f>
        <v>UT Global Equity Income</v>
      </c>
      <c r="D2045" s="139">
        <f>VLOOKUP(NoviaFunds[[#This Row],[ISIN]],'Novia Web Query'!$A:$E,4,FALSE)/100</f>
        <v>9.0000000000000011E-3</v>
      </c>
      <c r="E2045" s="3" t="str">
        <f>VLOOKUP(NoviaFunds[[#This Row],[ISIN]],'Novia Web Query'!$A:$E,5,FALSE)</f>
        <v>01/01/2021</v>
      </c>
      <c r="F2045" t="str">
        <f>VLOOKUP(NoviaFunds[[#This Row],[Sector]],Sectors[],2,FALSE)</f>
        <v>Other Equities</v>
      </c>
    </row>
    <row r="2046" spans="1:6" x14ac:dyDescent="0.2">
      <c r="A2046" t="str">
        <f>'Novia Web Query'!A2043</f>
        <v>GB00B78FJ533</v>
      </c>
      <c r="B2046" t="str">
        <f>VLOOKUP(NoviaFunds[[#This Row],[ISIN]],'Novia Web Query'!$A:$E,2,FALSE)</f>
        <v>JPM Global Equity Income C Inc TR in GB**</v>
      </c>
      <c r="C2046" t="str">
        <f>VLOOKUP(NoviaFunds[[#This Row],[ISIN]],'Novia Web Query'!$A:$E,3,FALSE)</f>
        <v>UT Global Equity Income</v>
      </c>
      <c r="D2046" s="139">
        <f>VLOOKUP(NoviaFunds[[#This Row],[ISIN]],'Novia Web Query'!$A:$E,4,FALSE)/100</f>
        <v>9.0000000000000011E-3</v>
      </c>
      <c r="E2046" s="3" t="str">
        <f>VLOOKUP(NoviaFunds[[#This Row],[ISIN]],'Novia Web Query'!$A:$E,5,FALSE)</f>
        <v>01/01/2021</v>
      </c>
      <c r="F2046" t="str">
        <f>VLOOKUP(NoviaFunds[[#This Row],[Sector]],Sectors[],2,FALSE)</f>
        <v>Other Equities</v>
      </c>
    </row>
    <row r="2047" spans="1:6" x14ac:dyDescent="0.2">
      <c r="A2047" t="str">
        <f>'Novia Web Query'!A2044</f>
        <v>GB0030877327</v>
      </c>
      <c r="B2047" t="str">
        <f>VLOOKUP(NoviaFunds[[#This Row],[ISIN]],'Novia Web Query'!$A:$E,2,FALSE)</f>
        <v>JPM Global Ex UK Bond A Gr Acc in GB</v>
      </c>
      <c r="C2047" t="str">
        <f>VLOOKUP(NoviaFunds[[#This Row],[ISIN]],'Novia Web Query'!$A:$E,3,FALSE)</f>
        <v>UT Global Bonds</v>
      </c>
      <c r="D2047" s="139">
        <f>VLOOKUP(NoviaFunds[[#This Row],[ISIN]],'Novia Web Query'!$A:$E,4,FALSE)/100</f>
        <v>8.6E-3</v>
      </c>
      <c r="E2047" s="3" t="str">
        <f>VLOOKUP(NoviaFunds[[#This Row],[ISIN]],'Novia Web Query'!$A:$E,5,FALSE)</f>
        <v>01/01/2021</v>
      </c>
      <c r="F2047" t="str">
        <f>VLOOKUP(NoviaFunds[[#This Row],[Sector]],Sectors[],2,FALSE)</f>
        <v>Global Investment Grade</v>
      </c>
    </row>
    <row r="2048" spans="1:6" x14ac:dyDescent="0.2">
      <c r="A2048" t="str">
        <f>'Novia Web Query'!A2045</f>
        <v>GB00B235J081</v>
      </c>
      <c r="B2048" t="str">
        <f>VLOOKUP(NoviaFunds[[#This Row],[ISIN]],'Novia Web Query'!$A:$E,2,FALSE)</f>
        <v>JPM Global Ex UK Bond C Gr Acc in GB</v>
      </c>
      <c r="C2048" t="str">
        <f>VLOOKUP(NoviaFunds[[#This Row],[ISIN]],'Novia Web Query'!$A:$E,3,FALSE)</f>
        <v>UT Global Bonds</v>
      </c>
      <c r="D2048" s="139">
        <f>VLOOKUP(NoviaFunds[[#This Row],[ISIN]],'Novia Web Query'!$A:$E,4,FALSE)/100</f>
        <v>5.5000000000000005E-3</v>
      </c>
      <c r="E2048" s="3" t="str">
        <f>VLOOKUP(NoviaFunds[[#This Row],[ISIN]],'Novia Web Query'!$A:$E,5,FALSE)</f>
        <v>01/01/2021</v>
      </c>
      <c r="F2048" t="str">
        <f>VLOOKUP(NoviaFunds[[#This Row],[Sector]],Sectors[],2,FALSE)</f>
        <v>Global Investment Grade</v>
      </c>
    </row>
    <row r="2049" spans="1:6" x14ac:dyDescent="0.2">
      <c r="A2049" t="str">
        <f>'Novia Web Query'!A2046</f>
        <v>GB00B235J198</v>
      </c>
      <c r="B2049" t="str">
        <f>VLOOKUP(NoviaFunds[[#This Row],[ISIN]],'Novia Web Query'!$A:$E,2,FALSE)</f>
        <v>JPM Global Ex UK Bond C Gr Inc TR in GB**</v>
      </c>
      <c r="C2049" t="str">
        <f>VLOOKUP(NoviaFunds[[#This Row],[ISIN]],'Novia Web Query'!$A:$E,3,FALSE)</f>
        <v>UT Global Bonds</v>
      </c>
      <c r="D2049" s="139">
        <f>VLOOKUP(NoviaFunds[[#This Row],[ISIN]],'Novia Web Query'!$A:$E,4,FALSE)/100</f>
        <v>5.5000000000000005E-3</v>
      </c>
      <c r="E2049" s="3" t="str">
        <f>VLOOKUP(NoviaFunds[[#This Row],[ISIN]],'Novia Web Query'!$A:$E,5,FALSE)</f>
        <v>01/01/2021</v>
      </c>
      <c r="F2049" t="str">
        <f>VLOOKUP(NoviaFunds[[#This Row],[Sector]],Sectors[],2,FALSE)</f>
        <v>Global Investment Grade</v>
      </c>
    </row>
    <row r="2050" spans="1:6" x14ac:dyDescent="0.2">
      <c r="A2050" t="str">
        <f>'Novia Web Query'!A2047</f>
        <v>GB0008350976</v>
      </c>
      <c r="B2050" t="str">
        <f>VLOOKUP(NoviaFunds[[#This Row],[ISIN]],'Novia Web Query'!$A:$E,2,FALSE)</f>
        <v>JPM Global High Yield Bond A Gr Acc in GB</v>
      </c>
      <c r="C2050" t="str">
        <f>VLOOKUP(NoviaFunds[[#This Row],[ISIN]],'Novia Web Query'!$A:$E,3,FALSE)</f>
        <v>UT Sterling High Yield</v>
      </c>
      <c r="D2050" s="139">
        <f>VLOOKUP(NoviaFunds[[#This Row],[ISIN]],'Novia Web Query'!$A:$E,4,FALSE)/100</f>
        <v>1.2E-2</v>
      </c>
      <c r="E2050" s="3" t="str">
        <f>VLOOKUP(NoviaFunds[[#This Row],[ISIN]],'Novia Web Query'!$A:$E,5,FALSE)</f>
        <v>01/01/2021</v>
      </c>
      <c r="F2050" t="str">
        <f>VLOOKUP(NoviaFunds[[#This Row],[Sector]],Sectors[],2,FALSE)</f>
        <v>High Yield</v>
      </c>
    </row>
    <row r="2051" spans="1:6" x14ac:dyDescent="0.2">
      <c r="A2051" t="str">
        <f>'Novia Web Query'!A2048</f>
        <v>GB0008350869</v>
      </c>
      <c r="B2051" t="str">
        <f>VLOOKUP(NoviaFunds[[#This Row],[ISIN]],'Novia Web Query'!$A:$E,2,FALSE)</f>
        <v>JPM Global High Yield Bond A Gr Inc TR in GB</v>
      </c>
      <c r="C2051" t="str">
        <f>VLOOKUP(NoviaFunds[[#This Row],[ISIN]],'Novia Web Query'!$A:$E,3,FALSE)</f>
        <v>UT Sterling High Yield</v>
      </c>
      <c r="D2051" s="139">
        <f>VLOOKUP(NoviaFunds[[#This Row],[ISIN]],'Novia Web Query'!$A:$E,4,FALSE)/100</f>
        <v>1.1899999999999999E-2</v>
      </c>
      <c r="E2051" s="3" t="str">
        <f>VLOOKUP(NoviaFunds[[#This Row],[ISIN]],'Novia Web Query'!$A:$E,5,FALSE)</f>
        <v>01/01/2021</v>
      </c>
      <c r="F2051" t="str">
        <f>VLOOKUP(NoviaFunds[[#This Row],[Sector]],Sectors[],2,FALSE)</f>
        <v>High Yield</v>
      </c>
    </row>
    <row r="2052" spans="1:6" x14ac:dyDescent="0.2">
      <c r="A2052" t="str">
        <f>'Novia Web Query'!A2049</f>
        <v>GB00B1YXBL93</v>
      </c>
      <c r="B2052" t="str">
        <f>VLOOKUP(NoviaFunds[[#This Row],[ISIN]],'Novia Web Query'!$A:$E,2,FALSE)</f>
        <v>JPM Global High Yield Bond B Gr Inc TR in GB**</v>
      </c>
      <c r="C2052" t="str">
        <f>VLOOKUP(NoviaFunds[[#This Row],[ISIN]],'Novia Web Query'!$A:$E,3,FALSE)</f>
        <v>UT Sterling High Yield</v>
      </c>
      <c r="D2052" s="139">
        <f>VLOOKUP(NoviaFunds[[#This Row],[ISIN]],'Novia Web Query'!$A:$E,4,FALSE)/100</f>
        <v>9.0000000000000011E-3</v>
      </c>
      <c r="E2052" s="3" t="str">
        <f>VLOOKUP(NoviaFunds[[#This Row],[ISIN]],'Novia Web Query'!$A:$E,5,FALSE)</f>
        <v>01/01/2021</v>
      </c>
      <c r="F2052" t="str">
        <f>VLOOKUP(NoviaFunds[[#This Row],[Sector]],Sectors[],2,FALSE)</f>
        <v>High Yield</v>
      </c>
    </row>
    <row r="2053" spans="1:6" x14ac:dyDescent="0.2">
      <c r="A2053" t="str">
        <f>'Novia Web Query'!A2050</f>
        <v>GB00B235QY15</v>
      </c>
      <c r="B2053" t="str">
        <f>VLOOKUP(NoviaFunds[[#This Row],[ISIN]],'Novia Web Query'!$A:$E,2,FALSE)</f>
        <v>JPM Global High Yield Bond C Gr Acc in GB</v>
      </c>
      <c r="C2053" t="str">
        <f>VLOOKUP(NoviaFunds[[#This Row],[ISIN]],'Novia Web Query'!$A:$E,3,FALSE)</f>
        <v>UT Sterling High Yield</v>
      </c>
      <c r="D2053" s="139">
        <f>VLOOKUP(NoviaFunds[[#This Row],[ISIN]],'Novia Web Query'!$A:$E,4,FALSE)/100</f>
        <v>6.9999999999999993E-3</v>
      </c>
      <c r="E2053" s="3" t="str">
        <f>VLOOKUP(NoviaFunds[[#This Row],[ISIN]],'Novia Web Query'!$A:$E,5,FALSE)</f>
        <v>01/01/2021</v>
      </c>
      <c r="F2053" t="str">
        <f>VLOOKUP(NoviaFunds[[#This Row],[Sector]],Sectors[],2,FALSE)</f>
        <v>High Yield</v>
      </c>
    </row>
    <row r="2054" spans="1:6" x14ac:dyDescent="0.2">
      <c r="A2054" t="str">
        <f>'Novia Web Query'!A2051</f>
        <v>GB00B235R159</v>
      </c>
      <c r="B2054" t="str">
        <f>VLOOKUP(NoviaFunds[[#This Row],[ISIN]],'Novia Web Query'!$A:$E,2,FALSE)</f>
        <v>JPM Global High Yield Bond C Gr Inc TR in GB**</v>
      </c>
      <c r="C2054" t="str">
        <f>VLOOKUP(NoviaFunds[[#This Row],[ISIN]],'Novia Web Query'!$A:$E,3,FALSE)</f>
        <v>UT Sterling High Yield</v>
      </c>
      <c r="D2054" s="139">
        <f>VLOOKUP(NoviaFunds[[#This Row],[ISIN]],'Novia Web Query'!$A:$E,4,FALSE)/100</f>
        <v>6.9999999999999993E-3</v>
      </c>
      <c r="E2054" s="3" t="str">
        <f>VLOOKUP(NoviaFunds[[#This Row],[ISIN]],'Novia Web Query'!$A:$E,5,FALSE)</f>
        <v>01/01/2021</v>
      </c>
      <c r="F2054" t="str">
        <f>VLOOKUP(NoviaFunds[[#This Row],[Sector]],Sectors[],2,FALSE)</f>
        <v>High Yield</v>
      </c>
    </row>
    <row r="2055" spans="1:6" x14ac:dyDescent="0.2">
      <c r="A2055" t="str">
        <f>'Novia Web Query'!A2052</f>
        <v>GB00B09RGK38</v>
      </c>
      <c r="B2055" t="str">
        <f>VLOOKUP(NoviaFunds[[#This Row],[ISIN]],'Novia Web Query'!$A:$E,2,FALSE)</f>
        <v>JPM Global Macro A Acc in GB</v>
      </c>
      <c r="C2055" t="str">
        <f>VLOOKUP(NoviaFunds[[#This Row],[ISIN]],'Novia Web Query'!$A:$E,3,FALSE)</f>
        <v>UT Targeted Absolute Return</v>
      </c>
      <c r="D2055" s="139">
        <f>VLOOKUP(NoviaFunds[[#This Row],[ISIN]],'Novia Web Query'!$A:$E,4,FALSE)/100</f>
        <v>1.3300000000000001E-2</v>
      </c>
      <c r="E2055" s="3" t="str">
        <f>VLOOKUP(NoviaFunds[[#This Row],[ISIN]],'Novia Web Query'!$A:$E,5,FALSE)</f>
        <v>01/01/2021</v>
      </c>
      <c r="F2055" t="str">
        <f>VLOOKUP(NoviaFunds[[#This Row],[Sector]],Sectors[],2,FALSE)</f>
        <v>Absolute Return</v>
      </c>
    </row>
    <row r="2056" spans="1:6" x14ac:dyDescent="0.2">
      <c r="A2056" t="str">
        <f>'Novia Web Query'!A2053</f>
        <v>GB00B235HC61</v>
      </c>
      <c r="B2056" t="str">
        <f>VLOOKUP(NoviaFunds[[#This Row],[ISIN]],'Novia Web Query'!$A:$E,2,FALSE)</f>
        <v>JPM Global Macro C Acc in GB</v>
      </c>
      <c r="C2056" t="str">
        <f>VLOOKUP(NoviaFunds[[#This Row],[ISIN]],'Novia Web Query'!$A:$E,3,FALSE)</f>
        <v>UT Targeted Absolute Return</v>
      </c>
      <c r="D2056" s="139">
        <f>VLOOKUP(NoviaFunds[[#This Row],[ISIN]],'Novia Web Query'!$A:$E,4,FALSE)/100</f>
        <v>7.1999999999999998E-3</v>
      </c>
      <c r="E2056" s="3" t="str">
        <f>VLOOKUP(NoviaFunds[[#This Row],[ISIN]],'Novia Web Query'!$A:$E,5,FALSE)</f>
        <v>01/01/2021</v>
      </c>
      <c r="F2056" t="str">
        <f>VLOOKUP(NoviaFunds[[#This Row],[Sector]],Sectors[],2,FALSE)</f>
        <v>Absolute Return</v>
      </c>
    </row>
    <row r="2057" spans="1:6" x14ac:dyDescent="0.2">
      <c r="A2057" t="str">
        <f>'Novia Web Query'!A2054</f>
        <v>GB00B235HG00</v>
      </c>
      <c r="B2057" t="str">
        <f>VLOOKUP(NoviaFunds[[#This Row],[ISIN]],'Novia Web Query'!$A:$E,2,FALSE)</f>
        <v>JPM Global Macro C Inc TR in GB**</v>
      </c>
      <c r="C2057" t="str">
        <f>VLOOKUP(NoviaFunds[[#This Row],[ISIN]],'Novia Web Query'!$A:$E,3,FALSE)</f>
        <v>UT Targeted Absolute Return</v>
      </c>
      <c r="D2057" s="139">
        <f>VLOOKUP(NoviaFunds[[#This Row],[ISIN]],'Novia Web Query'!$A:$E,4,FALSE)/100</f>
        <v>7.4999999999999997E-3</v>
      </c>
      <c r="E2057" s="3" t="str">
        <f>VLOOKUP(NoviaFunds[[#This Row],[ISIN]],'Novia Web Query'!$A:$E,5,FALSE)</f>
        <v>01/01/2021</v>
      </c>
      <c r="F2057" t="str">
        <f>VLOOKUP(NoviaFunds[[#This Row],[Sector]],Sectors[],2,FALSE)</f>
        <v>Absolute Return</v>
      </c>
    </row>
    <row r="2058" spans="1:6" x14ac:dyDescent="0.2">
      <c r="A2058" t="str">
        <f>'Novia Web Query'!A2055</f>
        <v>GB00B4WKYF80</v>
      </c>
      <c r="B2058" t="str">
        <f>VLOOKUP(NoviaFunds[[#This Row],[ISIN]],'Novia Web Query'!$A:$E,2,FALSE)</f>
        <v>JPM Global Macro Opportunities C Acc in GB</v>
      </c>
      <c r="C2058" t="str">
        <f>VLOOKUP(NoviaFunds[[#This Row],[ISIN]],'Novia Web Query'!$A:$E,3,FALSE)</f>
        <v>UT Targeted Absolute Return</v>
      </c>
      <c r="D2058" s="139">
        <f>VLOOKUP(NoviaFunds[[#This Row],[ISIN]],'Novia Web Query'!$A:$E,4,FALSE)/100</f>
        <v>6.6E-3</v>
      </c>
      <c r="E2058" s="3" t="str">
        <f>VLOOKUP(NoviaFunds[[#This Row],[ISIN]],'Novia Web Query'!$A:$E,5,FALSE)</f>
        <v>01/01/2021</v>
      </c>
      <c r="F2058" t="str">
        <f>VLOOKUP(NoviaFunds[[#This Row],[Sector]],Sectors[],2,FALSE)</f>
        <v>Absolute Return</v>
      </c>
    </row>
    <row r="2059" spans="1:6" x14ac:dyDescent="0.2">
      <c r="A2059" t="str">
        <f>'Novia Web Query'!A2056</f>
        <v>GB00B44CT796</v>
      </c>
      <c r="B2059" t="str">
        <f>VLOOKUP(NoviaFunds[[#This Row],[ISIN]],'Novia Web Query'!$A:$E,2,FALSE)</f>
        <v>JPM Global Macro Opportunities C Inc TR in GB</v>
      </c>
      <c r="C2059" t="str">
        <f>VLOOKUP(NoviaFunds[[#This Row],[ISIN]],'Novia Web Query'!$A:$E,3,FALSE)</f>
        <v>UT Targeted Absolute Return</v>
      </c>
      <c r="D2059" s="139">
        <f>VLOOKUP(NoviaFunds[[#This Row],[ISIN]],'Novia Web Query'!$A:$E,4,FALSE)/100</f>
        <v>6.7000000000000002E-3</v>
      </c>
      <c r="E2059" s="3" t="str">
        <f>VLOOKUP(NoviaFunds[[#This Row],[ISIN]],'Novia Web Query'!$A:$E,5,FALSE)</f>
        <v>01/01/2021</v>
      </c>
      <c r="F2059" t="str">
        <f>VLOOKUP(NoviaFunds[[#This Row],[Sector]],Sectors[],2,FALSE)</f>
        <v>Absolute Return</v>
      </c>
    </row>
    <row r="2060" spans="1:6" x14ac:dyDescent="0.2">
      <c r="A2060" t="str">
        <f>'Novia Web Query'!A2057</f>
        <v>GB0030877871</v>
      </c>
      <c r="B2060" t="str">
        <f>VLOOKUP(NoviaFunds[[#This Row],[ISIN]],'Novia Web Query'!$A:$E,2,FALSE)</f>
        <v>JPM Global Unconstrained Equity A Acc in GB</v>
      </c>
      <c r="C2060" t="str">
        <f>VLOOKUP(NoviaFunds[[#This Row],[ISIN]],'Novia Web Query'!$A:$E,3,FALSE)</f>
        <v>UT Global</v>
      </c>
      <c r="D2060" s="139">
        <f>VLOOKUP(NoviaFunds[[#This Row],[ISIN]],'Novia Web Query'!$A:$E,4,FALSE)/100</f>
        <v>1.5900000000000001E-2</v>
      </c>
      <c r="E2060" s="3" t="str">
        <f>VLOOKUP(NoviaFunds[[#This Row],[ISIN]],'Novia Web Query'!$A:$E,5,FALSE)</f>
        <v>08/02/2021</v>
      </c>
      <c r="F2060" t="str">
        <f>VLOOKUP(NoviaFunds[[#This Row],[Sector]],Sectors[],2,FALSE)</f>
        <v>Other Equities</v>
      </c>
    </row>
    <row r="2061" spans="1:6" x14ac:dyDescent="0.2">
      <c r="A2061" t="str">
        <f>'Novia Web Query'!A2058</f>
        <v>GB00B1XMTN53</v>
      </c>
      <c r="B2061" t="str">
        <f>VLOOKUP(NoviaFunds[[#This Row],[ISIN]],'Novia Web Query'!$A:$E,2,FALSE)</f>
        <v>JPM Global Unconstrained Equity A Inc TR in GB</v>
      </c>
      <c r="C2061" t="str">
        <f>VLOOKUP(NoviaFunds[[#This Row],[ISIN]],'Novia Web Query'!$A:$E,3,FALSE)</f>
        <v>UT Global</v>
      </c>
      <c r="D2061" s="139">
        <f>VLOOKUP(NoviaFunds[[#This Row],[ISIN]],'Novia Web Query'!$A:$E,4,FALSE)/100</f>
        <v>1.6500000000000001E-2</v>
      </c>
      <c r="E2061" s="3" t="str">
        <f>VLOOKUP(NoviaFunds[[#This Row],[ISIN]],'Novia Web Query'!$A:$E,5,FALSE)</f>
        <v>08/02/2021</v>
      </c>
      <c r="F2061" t="str">
        <f>VLOOKUP(NoviaFunds[[#This Row],[Sector]],Sectors[],2,FALSE)</f>
        <v>Other Equities</v>
      </c>
    </row>
    <row r="2062" spans="1:6" x14ac:dyDescent="0.2">
      <c r="A2062" t="str">
        <f>'Novia Web Query'!A2059</f>
        <v>GB00B235QT61</v>
      </c>
      <c r="B2062" t="str">
        <f>VLOOKUP(NoviaFunds[[#This Row],[ISIN]],'Novia Web Query'!$A:$E,2,FALSE)</f>
        <v>JPM Global Unconstrained Equity C Acc in GB</v>
      </c>
      <c r="C2062" t="str">
        <f>VLOOKUP(NoviaFunds[[#This Row],[ISIN]],'Novia Web Query'!$A:$E,3,FALSE)</f>
        <v>UT Global</v>
      </c>
      <c r="D2062" s="139">
        <f>VLOOKUP(NoviaFunds[[#This Row],[ISIN]],'Novia Web Query'!$A:$E,4,FALSE)/100</f>
        <v>8.3999999999999995E-3</v>
      </c>
      <c r="E2062" s="3" t="str">
        <f>VLOOKUP(NoviaFunds[[#This Row],[ISIN]],'Novia Web Query'!$A:$E,5,FALSE)</f>
        <v>08/02/2021</v>
      </c>
      <c r="F2062" t="str">
        <f>VLOOKUP(NoviaFunds[[#This Row],[Sector]],Sectors[],2,FALSE)</f>
        <v>Other Equities</v>
      </c>
    </row>
    <row r="2063" spans="1:6" x14ac:dyDescent="0.2">
      <c r="A2063" t="str">
        <f>'Novia Web Query'!A2060</f>
        <v>GB00B71SRV18</v>
      </c>
      <c r="B2063" t="str">
        <f>VLOOKUP(NoviaFunds[[#This Row],[ISIN]],'Novia Web Query'!$A:$E,2,FALSE)</f>
        <v>JPM Global Unconstrained Equity C Inc TR in GB**</v>
      </c>
      <c r="C2063" t="str">
        <f>VLOOKUP(NoviaFunds[[#This Row],[ISIN]],'Novia Web Query'!$A:$E,3,FALSE)</f>
        <v>UT Global</v>
      </c>
      <c r="D2063" s="139">
        <f>VLOOKUP(NoviaFunds[[#This Row],[ISIN]],'Novia Web Query'!$A:$E,4,FALSE)/100</f>
        <v>9.0000000000000011E-3</v>
      </c>
      <c r="E2063" s="3" t="str">
        <f>VLOOKUP(NoviaFunds[[#This Row],[ISIN]],'Novia Web Query'!$A:$E,5,FALSE)</f>
        <v>08/02/2021</v>
      </c>
      <c r="F2063" t="str">
        <f>VLOOKUP(NoviaFunds[[#This Row],[Sector]],Sectors[],2,FALSE)</f>
        <v>Other Equities</v>
      </c>
    </row>
    <row r="2064" spans="1:6" x14ac:dyDescent="0.2">
      <c r="A2064" t="str">
        <f>'Novia Web Query'!A2061</f>
        <v>GB0030879471</v>
      </c>
      <c r="B2064" t="str">
        <f>VLOOKUP(NoviaFunds[[#This Row],[ISIN]],'Novia Web Query'!$A:$E,2,FALSE)</f>
        <v>JPM Japan A Acc in GB</v>
      </c>
      <c r="C2064" t="str">
        <f>VLOOKUP(NoviaFunds[[#This Row],[ISIN]],'Novia Web Query'!$A:$E,3,FALSE)</f>
        <v>UT Japan</v>
      </c>
      <c r="D2064" s="139">
        <f>VLOOKUP(NoviaFunds[[#This Row],[ISIN]],'Novia Web Query'!$A:$E,4,FALSE)/100</f>
        <v>1.5900000000000001E-2</v>
      </c>
      <c r="E2064" s="3" t="str">
        <f>VLOOKUP(NoviaFunds[[#This Row],[ISIN]],'Novia Web Query'!$A:$E,5,FALSE)</f>
        <v>01/01/2021</v>
      </c>
      <c r="F2064" t="str">
        <f>VLOOKUP(NoviaFunds[[#This Row],[Sector]],Sectors[],2,FALSE)</f>
        <v>Japanese Equities</v>
      </c>
    </row>
    <row r="2065" spans="1:6" x14ac:dyDescent="0.2">
      <c r="A2065" t="str">
        <f>'Novia Web Query'!A2062</f>
        <v>GB00B1XMTP77</v>
      </c>
      <c r="B2065" t="str">
        <f>VLOOKUP(NoviaFunds[[#This Row],[ISIN]],'Novia Web Query'!$A:$E,2,FALSE)</f>
        <v>JPM Japan A Inc TR in GB</v>
      </c>
      <c r="C2065" t="str">
        <f>VLOOKUP(NoviaFunds[[#This Row],[ISIN]],'Novia Web Query'!$A:$E,3,FALSE)</f>
        <v>UT Japan</v>
      </c>
      <c r="D2065" s="139">
        <f>VLOOKUP(NoviaFunds[[#This Row],[ISIN]],'Novia Web Query'!$A:$E,4,FALSE)/100</f>
        <v>1.6500000000000001E-2</v>
      </c>
      <c r="E2065" s="3" t="str">
        <f>VLOOKUP(NoviaFunds[[#This Row],[ISIN]],'Novia Web Query'!$A:$E,5,FALSE)</f>
        <v>01/01/2021</v>
      </c>
      <c r="F2065" t="str">
        <f>VLOOKUP(NoviaFunds[[#This Row],[Sector]],Sectors[],2,FALSE)</f>
        <v>Japanese Equities</v>
      </c>
    </row>
    <row r="2066" spans="1:6" x14ac:dyDescent="0.2">
      <c r="A2066" t="str">
        <f>'Novia Web Query'!A2063</f>
        <v>GB00B235RG08</v>
      </c>
      <c r="B2066" t="str">
        <f>VLOOKUP(NoviaFunds[[#This Row],[ISIN]],'Novia Web Query'!$A:$E,2,FALSE)</f>
        <v>JPM Japan C Acc in GB</v>
      </c>
      <c r="C2066" t="str">
        <f>VLOOKUP(NoviaFunds[[#This Row],[ISIN]],'Novia Web Query'!$A:$E,3,FALSE)</f>
        <v>UT Japan</v>
      </c>
      <c r="D2066" s="139">
        <f>VLOOKUP(NoviaFunds[[#This Row],[ISIN]],'Novia Web Query'!$A:$E,4,FALSE)/100</f>
        <v>8.199999999999999E-3</v>
      </c>
      <c r="E2066" s="3" t="str">
        <f>VLOOKUP(NoviaFunds[[#This Row],[ISIN]],'Novia Web Query'!$A:$E,5,FALSE)</f>
        <v>01/01/2021</v>
      </c>
      <c r="F2066" t="str">
        <f>VLOOKUP(NoviaFunds[[#This Row],[Sector]],Sectors[],2,FALSE)</f>
        <v>Japanese Equities</v>
      </c>
    </row>
    <row r="2067" spans="1:6" x14ac:dyDescent="0.2">
      <c r="A2067" t="str">
        <f>'Novia Web Query'!A2064</f>
        <v>GB00B9Z1HQ52</v>
      </c>
      <c r="B2067" t="str">
        <f>VLOOKUP(NoviaFunds[[#This Row],[ISIN]],'Novia Web Query'!$A:$E,2,FALSE)</f>
        <v>JPM Japan C Hedged Acc in GB</v>
      </c>
      <c r="C2067" t="str">
        <f>VLOOKUP(NoviaFunds[[#This Row],[ISIN]],'Novia Web Query'!$A:$E,3,FALSE)</f>
        <v>UT Japan</v>
      </c>
      <c r="D2067" s="139">
        <f>VLOOKUP(NoviaFunds[[#This Row],[ISIN]],'Novia Web Query'!$A:$E,4,FALSE)/100</f>
        <v>8.3000000000000001E-3</v>
      </c>
      <c r="E2067" s="3" t="str">
        <f>VLOOKUP(NoviaFunds[[#This Row],[ISIN]],'Novia Web Query'!$A:$E,5,FALSE)</f>
        <v>01/01/2021</v>
      </c>
      <c r="F2067" t="str">
        <f>VLOOKUP(NoviaFunds[[#This Row],[Sector]],Sectors[],2,FALSE)</f>
        <v>Japanese Equities</v>
      </c>
    </row>
    <row r="2068" spans="1:6" x14ac:dyDescent="0.2">
      <c r="A2068" t="str">
        <f>'Novia Web Query'!A2065</f>
        <v>GB00B235RJ39</v>
      </c>
      <c r="B2068" t="str">
        <f>VLOOKUP(NoviaFunds[[#This Row],[ISIN]],'Novia Web Query'!$A:$E,2,FALSE)</f>
        <v>JPM Japan C Inc TR in GB**</v>
      </c>
      <c r="C2068" t="str">
        <f>VLOOKUP(NoviaFunds[[#This Row],[ISIN]],'Novia Web Query'!$A:$E,3,FALSE)</f>
        <v>UT Japan</v>
      </c>
      <c r="D2068" s="139">
        <f>VLOOKUP(NoviaFunds[[#This Row],[ISIN]],'Novia Web Query'!$A:$E,4,FALSE)/100</f>
        <v>7.9000000000000008E-3</v>
      </c>
      <c r="E2068" s="3" t="str">
        <f>VLOOKUP(NoviaFunds[[#This Row],[ISIN]],'Novia Web Query'!$A:$E,5,FALSE)</f>
        <v>08/07/2021</v>
      </c>
      <c r="F2068" t="str">
        <f>VLOOKUP(NoviaFunds[[#This Row],[Sector]],Sectors[],2,FALSE)</f>
        <v>Japanese Equities</v>
      </c>
    </row>
    <row r="2069" spans="1:6" x14ac:dyDescent="0.2">
      <c r="A2069" t="str">
        <f>'Novia Web Query'!A2066</f>
        <v>GB00B4N1ZJ15</v>
      </c>
      <c r="B2069" t="str">
        <f>VLOOKUP(NoviaFunds[[#This Row],[ISIN]],'Novia Web Query'!$A:$E,2,FALSE)</f>
        <v>JPM Multi Asset Income A Acc in GB</v>
      </c>
      <c r="C2069" t="str">
        <f>VLOOKUP(NoviaFunds[[#This Row],[ISIN]],'Novia Web Query'!$A:$E,3,FALSE)</f>
        <v>UT Mixed Investment 20-60% Shares</v>
      </c>
      <c r="D2069" s="139">
        <f>VLOOKUP(NoviaFunds[[#This Row],[ISIN]],'Novia Web Query'!$A:$E,4,FALSE)/100</f>
        <v>1.3999999999999999E-2</v>
      </c>
      <c r="E2069" s="3" t="str">
        <f>VLOOKUP(NoviaFunds[[#This Row],[ISIN]],'Novia Web Query'!$A:$E,5,FALSE)</f>
        <v>01/01/2021</v>
      </c>
      <c r="F2069" t="str">
        <f>VLOOKUP(NoviaFunds[[#This Row],[Sector]],Sectors[],2,FALSE)</f>
        <v>Mixed 20%-60%</v>
      </c>
    </row>
    <row r="2070" spans="1:6" x14ac:dyDescent="0.2">
      <c r="A2070" t="str">
        <f>'Novia Web Query'!A2067</f>
        <v>GB00B4N1ZR98</v>
      </c>
      <c r="B2070" t="str">
        <f>VLOOKUP(NoviaFunds[[#This Row],[ISIN]],'Novia Web Query'!$A:$E,2,FALSE)</f>
        <v>JPM Multi Asset Income A Inc TR in GB</v>
      </c>
      <c r="C2070" t="str">
        <f>VLOOKUP(NoviaFunds[[#This Row],[ISIN]],'Novia Web Query'!$A:$E,3,FALSE)</f>
        <v>UT Mixed Investment 20-60% Shares</v>
      </c>
      <c r="D2070" s="139">
        <f>VLOOKUP(NoviaFunds[[#This Row],[ISIN]],'Novia Web Query'!$A:$E,4,FALSE)/100</f>
        <v>1.3999999999999999E-2</v>
      </c>
      <c r="E2070" s="3" t="str">
        <f>VLOOKUP(NoviaFunds[[#This Row],[ISIN]],'Novia Web Query'!$A:$E,5,FALSE)</f>
        <v>01/01/2021</v>
      </c>
      <c r="F2070" t="str">
        <f>VLOOKUP(NoviaFunds[[#This Row],[Sector]],Sectors[],2,FALSE)</f>
        <v>Mixed 20%-60%</v>
      </c>
    </row>
    <row r="2071" spans="1:6" x14ac:dyDescent="0.2">
      <c r="A2071" t="str">
        <f>'Novia Web Query'!A2068</f>
        <v>GB00B4N20M25</v>
      </c>
      <c r="B2071" t="str">
        <f>VLOOKUP(NoviaFunds[[#This Row],[ISIN]],'Novia Web Query'!$A:$E,2,FALSE)</f>
        <v>JPM Multi Asset Income C Acc in GB</v>
      </c>
      <c r="C2071" t="str">
        <f>VLOOKUP(NoviaFunds[[#This Row],[ISIN]],'Novia Web Query'!$A:$E,3,FALSE)</f>
        <v>UT Mixed Investment 20-60% Shares</v>
      </c>
      <c r="D2071" s="139">
        <f>VLOOKUP(NoviaFunds[[#This Row],[ISIN]],'Novia Web Query'!$A:$E,4,FALSE)/100</f>
        <v>7.4000000000000003E-3</v>
      </c>
      <c r="E2071" s="3" t="str">
        <f>VLOOKUP(NoviaFunds[[#This Row],[ISIN]],'Novia Web Query'!$A:$E,5,FALSE)</f>
        <v>01/01/2021</v>
      </c>
      <c r="F2071" t="str">
        <f>VLOOKUP(NoviaFunds[[#This Row],[Sector]],Sectors[],2,FALSE)</f>
        <v>Mixed 20%-60%</v>
      </c>
    </row>
    <row r="2072" spans="1:6" x14ac:dyDescent="0.2">
      <c r="A2072" t="str">
        <f>'Novia Web Query'!A2069</f>
        <v>GB00B4N20S86</v>
      </c>
      <c r="B2072" t="str">
        <f>VLOOKUP(NoviaFunds[[#This Row],[ISIN]],'Novia Web Query'!$A:$E,2,FALSE)</f>
        <v>JPM Multi Asset Income C Inc TR in GB**</v>
      </c>
      <c r="C2072" t="str">
        <f>VLOOKUP(NoviaFunds[[#This Row],[ISIN]],'Novia Web Query'!$A:$E,3,FALSE)</f>
        <v>UT Mixed Investment 20-60% Shares</v>
      </c>
      <c r="D2072" s="139">
        <f>VLOOKUP(NoviaFunds[[#This Row],[ISIN]],'Novia Web Query'!$A:$E,4,FALSE)/100</f>
        <v>7.4999999999999997E-3</v>
      </c>
      <c r="E2072" s="3" t="str">
        <f>VLOOKUP(NoviaFunds[[#This Row],[ISIN]],'Novia Web Query'!$A:$E,5,FALSE)</f>
        <v>01/01/2021</v>
      </c>
      <c r="F2072" t="str">
        <f>VLOOKUP(NoviaFunds[[#This Row],[Sector]],Sectors[],2,FALSE)</f>
        <v>Mixed 20%-60%</v>
      </c>
    </row>
    <row r="2073" spans="1:6" x14ac:dyDescent="0.2">
      <c r="A2073" t="str">
        <f>'Novia Web Query'!A2070</f>
        <v>GB0030876352</v>
      </c>
      <c r="B2073" t="str">
        <f>VLOOKUP(NoviaFunds[[#This Row],[ISIN]],'Novia Web Query'!$A:$E,2,FALSE)</f>
        <v>JPM Multi Manager Growth A Acc in GB</v>
      </c>
      <c r="C2073" t="str">
        <f>VLOOKUP(NoviaFunds[[#This Row],[ISIN]],'Novia Web Query'!$A:$E,3,FALSE)</f>
        <v>UT Global</v>
      </c>
      <c r="D2073" s="139">
        <f>VLOOKUP(NoviaFunds[[#This Row],[ISIN]],'Novia Web Query'!$A:$E,4,FALSE)/100</f>
        <v>1.32E-2</v>
      </c>
      <c r="E2073" s="3" t="str">
        <f>VLOOKUP(NoviaFunds[[#This Row],[ISIN]],'Novia Web Query'!$A:$E,5,FALSE)</f>
        <v>01/01/2021</v>
      </c>
      <c r="F2073" t="str">
        <f>VLOOKUP(NoviaFunds[[#This Row],[Sector]],Sectors[],2,FALSE)</f>
        <v>Other Equities</v>
      </c>
    </row>
    <row r="2074" spans="1:6" x14ac:dyDescent="0.2">
      <c r="A2074" t="str">
        <f>'Novia Web Query'!A2071</f>
        <v>GB0030869779</v>
      </c>
      <c r="B2074" t="str">
        <f>VLOOKUP(NoviaFunds[[#This Row],[ISIN]],'Novia Web Query'!$A:$E,2,FALSE)</f>
        <v>JPM Multi Manager Growth A Inc TR in GB</v>
      </c>
      <c r="C2074" t="str">
        <f>VLOOKUP(NoviaFunds[[#This Row],[ISIN]],'Novia Web Query'!$A:$E,3,FALSE)</f>
        <v>UT Global</v>
      </c>
      <c r="D2074" s="139">
        <f>VLOOKUP(NoviaFunds[[#This Row],[ISIN]],'Novia Web Query'!$A:$E,4,FALSE)/100</f>
        <v>1.3000000000000001E-2</v>
      </c>
      <c r="E2074" s="3" t="str">
        <f>VLOOKUP(NoviaFunds[[#This Row],[ISIN]],'Novia Web Query'!$A:$E,5,FALSE)</f>
        <v>01/01/2021</v>
      </c>
      <c r="F2074" t="str">
        <f>VLOOKUP(NoviaFunds[[#This Row],[Sector]],Sectors[],2,FALSE)</f>
        <v>Other Equities</v>
      </c>
    </row>
    <row r="2075" spans="1:6" x14ac:dyDescent="0.2">
      <c r="A2075" t="str">
        <f>'Novia Web Query'!A2072</f>
        <v>GB00B235R829</v>
      </c>
      <c r="B2075" t="str">
        <f>VLOOKUP(NoviaFunds[[#This Row],[ISIN]],'Novia Web Query'!$A:$E,2,FALSE)</f>
        <v>JPM Multi Manager Growth C Acc in GB</v>
      </c>
      <c r="C2075" t="str">
        <f>VLOOKUP(NoviaFunds[[#This Row],[ISIN]],'Novia Web Query'!$A:$E,3,FALSE)</f>
        <v>UT Global</v>
      </c>
      <c r="D2075" s="139">
        <f>VLOOKUP(NoviaFunds[[#This Row],[ISIN]],'Novia Web Query'!$A:$E,4,FALSE)/100</f>
        <v>7.7000000000000002E-3</v>
      </c>
      <c r="E2075" s="3" t="str">
        <f>VLOOKUP(NoviaFunds[[#This Row],[ISIN]],'Novia Web Query'!$A:$E,5,FALSE)</f>
        <v>01/01/2021</v>
      </c>
      <c r="F2075" t="str">
        <f>VLOOKUP(NoviaFunds[[#This Row],[Sector]],Sectors[],2,FALSE)</f>
        <v>Other Equities</v>
      </c>
    </row>
    <row r="2076" spans="1:6" x14ac:dyDescent="0.2">
      <c r="A2076" t="str">
        <f>'Novia Web Query'!A2073</f>
        <v>GB00B235RD76</v>
      </c>
      <c r="B2076" t="str">
        <f>VLOOKUP(NoviaFunds[[#This Row],[ISIN]],'Novia Web Query'!$A:$E,2,FALSE)</f>
        <v>JPM Multi Manager Growth C Inc TR in GB**</v>
      </c>
      <c r="C2076" t="str">
        <f>VLOOKUP(NoviaFunds[[#This Row],[ISIN]],'Novia Web Query'!$A:$E,3,FALSE)</f>
        <v>UT Global</v>
      </c>
      <c r="D2076" s="139">
        <f>VLOOKUP(NoviaFunds[[#This Row],[ISIN]],'Novia Web Query'!$A:$E,4,FALSE)/100</f>
        <v>7.0999999999999995E-3</v>
      </c>
      <c r="E2076" s="3" t="str">
        <f>VLOOKUP(NoviaFunds[[#This Row],[ISIN]],'Novia Web Query'!$A:$E,5,FALSE)</f>
        <v>01/01/2021</v>
      </c>
      <c r="F2076" t="str">
        <f>VLOOKUP(NoviaFunds[[#This Row],[Sector]],Sectors[],2,FALSE)</f>
        <v>Other Equities</v>
      </c>
    </row>
    <row r="2077" spans="1:6" x14ac:dyDescent="0.2">
      <c r="A2077" t="str">
        <f>'Novia Web Query'!A2074</f>
        <v>GB0031835118</v>
      </c>
      <c r="B2077" t="str">
        <f>VLOOKUP(NoviaFunds[[#This Row],[ISIN]],'Novia Web Query'!$A:$E,2,FALSE)</f>
        <v>JPM Natural Resources A Acc in GB</v>
      </c>
      <c r="C2077" t="str">
        <f>VLOOKUP(NoviaFunds[[#This Row],[ISIN]],'Novia Web Query'!$A:$E,3,FALSE)</f>
        <v>UT Commodity/Natural Resources</v>
      </c>
      <c r="D2077" s="139">
        <f>VLOOKUP(NoviaFunds[[#This Row],[ISIN]],'Novia Web Query'!$A:$E,4,FALSE)/100</f>
        <v>1.55E-2</v>
      </c>
      <c r="E2077" s="3" t="str">
        <f>VLOOKUP(NoviaFunds[[#This Row],[ISIN]],'Novia Web Query'!$A:$E,5,FALSE)</f>
        <v>01/01/2021</v>
      </c>
      <c r="F2077" t="e">
        <f>VLOOKUP(NoviaFunds[[#This Row],[Sector]],Sectors[],2,FALSE)</f>
        <v>#N/A</v>
      </c>
    </row>
    <row r="2078" spans="1:6" x14ac:dyDescent="0.2">
      <c r="A2078" t="str">
        <f>'Novia Web Query'!A2075</f>
        <v>GB00B1XMTQ84</v>
      </c>
      <c r="B2078" t="str">
        <f>VLOOKUP(NoviaFunds[[#This Row],[ISIN]],'Novia Web Query'!$A:$E,2,FALSE)</f>
        <v>JPM Natural Resources A Inc TR in GB</v>
      </c>
      <c r="C2078" t="str">
        <f>VLOOKUP(NoviaFunds[[#This Row],[ISIN]],'Novia Web Query'!$A:$E,3,FALSE)</f>
        <v>UT Commodity/Natural Resources</v>
      </c>
      <c r="D2078" s="139">
        <f>VLOOKUP(NoviaFunds[[#This Row],[ISIN]],'Novia Web Query'!$A:$E,4,FALSE)/100</f>
        <v>1.6500000000000001E-2</v>
      </c>
      <c r="E2078" s="3" t="str">
        <f>VLOOKUP(NoviaFunds[[#This Row],[ISIN]],'Novia Web Query'!$A:$E,5,FALSE)</f>
        <v>01/01/2021</v>
      </c>
      <c r="F2078" t="e">
        <f>VLOOKUP(NoviaFunds[[#This Row],[Sector]],Sectors[],2,FALSE)</f>
        <v>#N/A</v>
      </c>
    </row>
    <row r="2079" spans="1:6" x14ac:dyDescent="0.2">
      <c r="A2079" t="str">
        <f>'Novia Web Query'!A2076</f>
        <v>GB00B88MP089</v>
      </c>
      <c r="B2079" t="str">
        <f>VLOOKUP(NoviaFunds[[#This Row],[ISIN]],'Novia Web Query'!$A:$E,2,FALSE)</f>
        <v>JPM Natural Resources C Acc in GB</v>
      </c>
      <c r="C2079" t="str">
        <f>VLOOKUP(NoviaFunds[[#This Row],[ISIN]],'Novia Web Query'!$A:$E,3,FALSE)</f>
        <v>UT Commodity/Natural Resources</v>
      </c>
      <c r="D2079" s="139">
        <f>VLOOKUP(NoviaFunds[[#This Row],[ISIN]],'Novia Web Query'!$A:$E,4,FALSE)/100</f>
        <v>8.199999999999999E-3</v>
      </c>
      <c r="E2079" s="3" t="str">
        <f>VLOOKUP(NoviaFunds[[#This Row],[ISIN]],'Novia Web Query'!$A:$E,5,FALSE)</f>
        <v>01/01/2021</v>
      </c>
      <c r="F2079" t="e">
        <f>VLOOKUP(NoviaFunds[[#This Row],[Sector]],Sectors[],2,FALSE)</f>
        <v>#N/A</v>
      </c>
    </row>
    <row r="2080" spans="1:6" x14ac:dyDescent="0.2">
      <c r="A2080" t="str">
        <f>'Novia Web Query'!A2077</f>
        <v>GB00B61M9437</v>
      </c>
      <c r="B2080" t="str">
        <f>VLOOKUP(NoviaFunds[[#This Row],[ISIN]],'Novia Web Query'!$A:$E,2,FALSE)</f>
        <v>JPM Natural Resources C Inc TR in GB**</v>
      </c>
      <c r="C2080" t="str">
        <f>VLOOKUP(NoviaFunds[[#This Row],[ISIN]],'Novia Web Query'!$A:$E,3,FALSE)</f>
        <v>UT Commodity/Natural Resources</v>
      </c>
      <c r="D2080" s="139">
        <f>VLOOKUP(NoviaFunds[[#This Row],[ISIN]],'Novia Web Query'!$A:$E,4,FALSE)/100</f>
        <v>9.0000000000000011E-3</v>
      </c>
      <c r="E2080" s="3" t="str">
        <f>VLOOKUP(NoviaFunds[[#This Row],[ISIN]],'Novia Web Query'!$A:$E,5,FALSE)</f>
        <v>01/01/2021</v>
      </c>
      <c r="F2080" t="e">
        <f>VLOOKUP(NoviaFunds[[#This Row],[Sector]],Sectors[],2,FALSE)</f>
        <v>#N/A</v>
      </c>
    </row>
    <row r="2081" spans="1:6" x14ac:dyDescent="0.2">
      <c r="A2081" t="str">
        <f>'Novia Web Query'!A2078</f>
        <v>GB0030877541</v>
      </c>
      <c r="B2081" t="str">
        <f>VLOOKUP(NoviaFunds[[#This Row],[ISIN]],'Novia Web Query'!$A:$E,2,FALSE)</f>
        <v>JPM Sterling Corporate Bond A Gr Acc in GB</v>
      </c>
      <c r="C2081" t="str">
        <f>VLOOKUP(NoviaFunds[[#This Row],[ISIN]],'Novia Web Query'!$A:$E,3,FALSE)</f>
        <v>UT Sterling Corporate Bond</v>
      </c>
      <c r="D2081" s="139">
        <f>VLOOKUP(NoviaFunds[[#This Row],[ISIN]],'Novia Web Query'!$A:$E,4,FALSE)/100</f>
        <v>9.1000000000000004E-3</v>
      </c>
      <c r="E2081" s="3" t="str">
        <f>VLOOKUP(NoviaFunds[[#This Row],[ISIN]],'Novia Web Query'!$A:$E,5,FALSE)</f>
        <v>01/01/2021</v>
      </c>
      <c r="F2081" t="str">
        <f>VLOOKUP(NoviaFunds[[#This Row],[Sector]],Sectors[],2,FALSE)</f>
        <v>Sterling Corporate Bonds</v>
      </c>
    </row>
    <row r="2082" spans="1:6" x14ac:dyDescent="0.2">
      <c r="A2082" t="str">
        <f>'Novia Web Query'!A2079</f>
        <v>GB0030877434</v>
      </c>
      <c r="B2082" t="str">
        <f>VLOOKUP(NoviaFunds[[#This Row],[ISIN]],'Novia Web Query'!$A:$E,2,FALSE)</f>
        <v>JPM Sterling Corporate Bond A Gr Inc TR in GB</v>
      </c>
      <c r="C2082" t="str">
        <f>VLOOKUP(NoviaFunds[[#This Row],[ISIN]],'Novia Web Query'!$A:$E,3,FALSE)</f>
        <v>UT Sterling Corporate Bond</v>
      </c>
      <c r="D2082" s="139">
        <f>VLOOKUP(NoviaFunds[[#This Row],[ISIN]],'Novia Web Query'!$A:$E,4,FALSE)/100</f>
        <v>9.4999999999999998E-3</v>
      </c>
      <c r="E2082" s="3" t="str">
        <f>VLOOKUP(NoviaFunds[[#This Row],[ISIN]],'Novia Web Query'!$A:$E,5,FALSE)</f>
        <v>01/01/2021</v>
      </c>
      <c r="F2082" t="str">
        <f>VLOOKUP(NoviaFunds[[#This Row],[Sector]],Sectors[],2,FALSE)</f>
        <v>Sterling Corporate Bonds</v>
      </c>
    </row>
    <row r="2083" spans="1:6" x14ac:dyDescent="0.2">
      <c r="A2083" t="str">
        <f>'Novia Web Query'!A2080</f>
        <v>GB00B235SF65</v>
      </c>
      <c r="B2083" t="str">
        <f>VLOOKUP(NoviaFunds[[#This Row],[ISIN]],'Novia Web Query'!$A:$E,2,FALSE)</f>
        <v>JPM Sterling Corporate Bond C Gr Acc in GB</v>
      </c>
      <c r="C2083" t="str">
        <f>VLOOKUP(NoviaFunds[[#This Row],[ISIN]],'Novia Web Query'!$A:$E,3,FALSE)</f>
        <v>UT Sterling Corporate Bond</v>
      </c>
      <c r="D2083" s="139">
        <f>VLOOKUP(NoviaFunds[[#This Row],[ISIN]],'Novia Web Query'!$A:$E,4,FALSE)/100</f>
        <v>5.5000000000000005E-3</v>
      </c>
      <c r="E2083" s="3" t="str">
        <f>VLOOKUP(NoviaFunds[[#This Row],[ISIN]],'Novia Web Query'!$A:$E,5,FALSE)</f>
        <v>08/07/2021</v>
      </c>
      <c r="F2083" t="str">
        <f>VLOOKUP(NoviaFunds[[#This Row],[Sector]],Sectors[],2,FALSE)</f>
        <v>Sterling Corporate Bonds</v>
      </c>
    </row>
    <row r="2084" spans="1:6" x14ac:dyDescent="0.2">
      <c r="A2084" t="str">
        <f>'Novia Web Query'!A2081</f>
        <v>GB00B235SK19</v>
      </c>
      <c r="B2084" t="str">
        <f>VLOOKUP(NoviaFunds[[#This Row],[ISIN]],'Novia Web Query'!$A:$E,2,FALSE)</f>
        <v>JPM Sterling Corporate Bond C Gr Inc TR in GB**</v>
      </c>
      <c r="C2084" t="str">
        <f>VLOOKUP(NoviaFunds[[#This Row],[ISIN]],'Novia Web Query'!$A:$E,3,FALSE)</f>
        <v>UT Sterling Corporate Bond</v>
      </c>
      <c r="D2084" s="139">
        <f>VLOOKUP(NoviaFunds[[#This Row],[ISIN]],'Novia Web Query'!$A:$E,4,FALSE)/100</f>
        <v>5.3E-3</v>
      </c>
      <c r="E2084" s="3" t="str">
        <f>VLOOKUP(NoviaFunds[[#This Row],[ISIN]],'Novia Web Query'!$A:$E,5,FALSE)</f>
        <v>01/01/2021</v>
      </c>
      <c r="F2084" t="str">
        <f>VLOOKUP(NoviaFunds[[#This Row],[Sector]],Sectors[],2,FALSE)</f>
        <v>Sterling Corporate Bonds</v>
      </c>
    </row>
    <row r="2085" spans="1:6" x14ac:dyDescent="0.2">
      <c r="A2085" t="str">
        <f>'Novia Web Query'!A2082</f>
        <v>GB0009698001</v>
      </c>
      <c r="B2085" t="str">
        <f>VLOOKUP(NoviaFunds[[#This Row],[ISIN]],'Novia Web Query'!$A:$E,2,FALSE)</f>
        <v>JPM UK Dynamic A Acc in GB</v>
      </c>
      <c r="C2085" t="str">
        <f>VLOOKUP(NoviaFunds[[#This Row],[ISIN]],'Novia Web Query'!$A:$E,3,FALSE)</f>
        <v>UT UK All Companies</v>
      </c>
      <c r="D2085" s="139">
        <f>VLOOKUP(NoviaFunds[[#This Row],[ISIN]],'Novia Web Query'!$A:$E,4,FALSE)/100</f>
        <v>1.55E-2</v>
      </c>
      <c r="E2085" s="3" t="str">
        <f>VLOOKUP(NoviaFunds[[#This Row],[ISIN]],'Novia Web Query'!$A:$E,5,FALSE)</f>
        <v>01/01/2021</v>
      </c>
      <c r="F2085" t="str">
        <f>VLOOKUP(NoviaFunds[[#This Row],[Sector]],Sectors[],2,FALSE)</f>
        <v>UK Equities</v>
      </c>
    </row>
    <row r="2086" spans="1:6" x14ac:dyDescent="0.2">
      <c r="A2086" t="str">
        <f>'Novia Web Query'!A2083</f>
        <v>GB00B6X9BB33</v>
      </c>
      <c r="B2086" t="str">
        <f>VLOOKUP(NoviaFunds[[#This Row],[ISIN]],'Novia Web Query'!$A:$E,2,FALSE)</f>
        <v>JPM UK Dynamic C Acc in GB</v>
      </c>
      <c r="C2086" t="str">
        <f>VLOOKUP(NoviaFunds[[#This Row],[ISIN]],'Novia Web Query'!$A:$E,3,FALSE)</f>
        <v>UT UK All Companies</v>
      </c>
      <c r="D2086" s="139">
        <f>VLOOKUP(NoviaFunds[[#This Row],[ISIN]],'Novia Web Query'!$A:$E,4,FALSE)/100</f>
        <v>8.5000000000000006E-3</v>
      </c>
      <c r="E2086" s="3" t="str">
        <f>VLOOKUP(NoviaFunds[[#This Row],[ISIN]],'Novia Web Query'!$A:$E,5,FALSE)</f>
        <v>01/01/2021</v>
      </c>
      <c r="F2086" t="str">
        <f>VLOOKUP(NoviaFunds[[#This Row],[Sector]],Sectors[],2,FALSE)</f>
        <v>UK Equities</v>
      </c>
    </row>
    <row r="2087" spans="1:6" x14ac:dyDescent="0.2">
      <c r="A2087" t="str">
        <f>'Novia Web Query'!A2084</f>
        <v>GB00B6THL002</v>
      </c>
      <c r="B2087" t="str">
        <f>VLOOKUP(NoviaFunds[[#This Row],[ISIN]],'Novia Web Query'!$A:$E,2,FALSE)</f>
        <v>JPM UK Dynamic C Inc TR in GB**</v>
      </c>
      <c r="C2087" t="str">
        <f>VLOOKUP(NoviaFunds[[#This Row],[ISIN]],'Novia Web Query'!$A:$E,3,FALSE)</f>
        <v>UT UK All Companies</v>
      </c>
      <c r="D2087" s="139">
        <f>VLOOKUP(NoviaFunds[[#This Row],[ISIN]],'Novia Web Query'!$A:$E,4,FALSE)/100</f>
        <v>8.3000000000000001E-3</v>
      </c>
      <c r="E2087" s="3" t="str">
        <f>VLOOKUP(NoviaFunds[[#This Row],[ISIN]],'Novia Web Query'!$A:$E,5,FALSE)</f>
        <v>01/01/2021</v>
      </c>
      <c r="F2087" t="str">
        <f>VLOOKUP(NoviaFunds[[#This Row],[Sector]],Sectors[],2,FALSE)</f>
        <v>UK Equities</v>
      </c>
    </row>
    <row r="2088" spans="1:6" x14ac:dyDescent="0.2">
      <c r="A2088" t="str">
        <f>'Novia Web Query'!A2085</f>
        <v>GB00B55QSH09</v>
      </c>
      <c r="B2088" t="str">
        <f>VLOOKUP(NoviaFunds[[#This Row],[ISIN]],'Novia Web Query'!$A:$E,2,FALSE)</f>
        <v>JPM UK Equity Core E Acc in GB</v>
      </c>
      <c r="C2088" t="str">
        <f>VLOOKUP(NoviaFunds[[#This Row],[ISIN]],'Novia Web Query'!$A:$E,3,FALSE)</f>
        <v>UT UK All Companies</v>
      </c>
      <c r="D2088" s="139">
        <f>VLOOKUP(NoviaFunds[[#This Row],[ISIN]],'Novia Web Query'!$A:$E,4,FALSE)/100</f>
        <v>3.0000000000000001E-3</v>
      </c>
      <c r="E2088" s="3" t="str">
        <f>VLOOKUP(NoviaFunds[[#This Row],[ISIN]],'Novia Web Query'!$A:$E,5,FALSE)</f>
        <v>08/07/2021</v>
      </c>
      <c r="F2088" t="str">
        <f>VLOOKUP(NoviaFunds[[#This Row],[Sector]],Sectors[],2,FALSE)</f>
        <v>UK Equities</v>
      </c>
    </row>
    <row r="2089" spans="1:6" x14ac:dyDescent="0.2">
      <c r="A2089" t="str">
        <f>'Novia Web Query'!A2086</f>
        <v>GB00B58L4H43</v>
      </c>
      <c r="B2089" t="str">
        <f>VLOOKUP(NoviaFunds[[#This Row],[ISIN]],'Novia Web Query'!$A:$E,2,FALSE)</f>
        <v>JPM UK Equity Core E Inc TR in GB</v>
      </c>
      <c r="C2089" t="str">
        <f>VLOOKUP(NoviaFunds[[#This Row],[ISIN]],'Novia Web Query'!$A:$E,3,FALSE)</f>
        <v>UT UK All Companies</v>
      </c>
      <c r="D2089" s="139">
        <f>VLOOKUP(NoviaFunds[[#This Row],[ISIN]],'Novia Web Query'!$A:$E,4,FALSE)/100</f>
        <v>3.0000000000000001E-3</v>
      </c>
      <c r="E2089" s="3" t="str">
        <f>VLOOKUP(NoviaFunds[[#This Row],[ISIN]],'Novia Web Query'!$A:$E,5,FALSE)</f>
        <v>08/07/2021</v>
      </c>
      <c r="F2089" t="str">
        <f>VLOOKUP(NoviaFunds[[#This Row],[Sector]],Sectors[],2,FALSE)</f>
        <v>UK Equities</v>
      </c>
    </row>
    <row r="2090" spans="1:6" x14ac:dyDescent="0.2">
      <c r="A2090" t="str">
        <f>'Novia Web Query'!A2087</f>
        <v>GB00BF09LN16</v>
      </c>
      <c r="B2090" t="str">
        <f>VLOOKUP(NoviaFunds[[#This Row],[ISIN]],'Novia Web Query'!$A:$E,2,FALSE)</f>
        <v>JPM UK Equity Core E Quarterly Acc in GB</v>
      </c>
      <c r="C2090" t="str">
        <f>VLOOKUP(NoviaFunds[[#This Row],[ISIN]],'Novia Web Query'!$A:$E,3,FALSE)</f>
        <v>UT UK All Companies</v>
      </c>
      <c r="D2090" s="139">
        <f>VLOOKUP(NoviaFunds[[#This Row],[ISIN]],'Novia Web Query'!$A:$E,4,FALSE)/100</f>
        <v>2.8000000000000004E-3</v>
      </c>
      <c r="E2090" s="3" t="str">
        <f>VLOOKUP(NoviaFunds[[#This Row],[ISIN]],'Novia Web Query'!$A:$E,5,FALSE)</f>
        <v>08/07/2021</v>
      </c>
      <c r="F2090" t="str">
        <f>VLOOKUP(NoviaFunds[[#This Row],[Sector]],Sectors[],2,FALSE)</f>
        <v>UK Equities</v>
      </c>
    </row>
    <row r="2091" spans="1:6" x14ac:dyDescent="0.2">
      <c r="A2091" t="str">
        <f>'Novia Web Query'!A2088</f>
        <v>GB00BYM41F95</v>
      </c>
      <c r="B2091" t="str">
        <f>VLOOKUP(NoviaFunds[[#This Row],[ISIN]],'Novia Web Query'!$A:$E,2,FALSE)</f>
        <v>JPM UK Equity Core E Quarterly Inc TR in GB</v>
      </c>
      <c r="C2091" t="str">
        <f>VLOOKUP(NoviaFunds[[#This Row],[ISIN]],'Novia Web Query'!$A:$E,3,FALSE)</f>
        <v>UT UK All Companies</v>
      </c>
      <c r="D2091" s="139">
        <f>VLOOKUP(NoviaFunds[[#This Row],[ISIN]],'Novia Web Query'!$A:$E,4,FALSE)/100</f>
        <v>3.5999999999999999E-3</v>
      </c>
      <c r="E2091" s="3" t="str">
        <f>VLOOKUP(NoviaFunds[[#This Row],[ISIN]],'Novia Web Query'!$A:$E,5,FALSE)</f>
        <v>01/01/2021</v>
      </c>
      <c r="F2091" t="str">
        <f>VLOOKUP(NoviaFunds[[#This Row],[Sector]],Sectors[],2,FALSE)</f>
        <v>UK Equities</v>
      </c>
    </row>
    <row r="2092" spans="1:6" x14ac:dyDescent="0.2">
      <c r="A2092" t="str">
        <f>'Novia Web Query'!A2089</f>
        <v>GB00B3FJQ821</v>
      </c>
      <c r="B2092" t="str">
        <f>VLOOKUP(NoviaFunds[[#This Row],[ISIN]],'Novia Web Query'!$A:$E,2,FALSE)</f>
        <v>JPM UK Equity Growth A Acc in GB</v>
      </c>
      <c r="C2092" t="str">
        <f>VLOOKUP(NoviaFunds[[#This Row],[ISIN]],'Novia Web Query'!$A:$E,3,FALSE)</f>
        <v>UT UK All Companies</v>
      </c>
      <c r="D2092" s="139">
        <f>VLOOKUP(NoviaFunds[[#This Row],[ISIN]],'Novia Web Query'!$A:$E,4,FALSE)/100</f>
        <v>1.55E-2</v>
      </c>
      <c r="E2092" s="3" t="str">
        <f>VLOOKUP(NoviaFunds[[#This Row],[ISIN]],'Novia Web Query'!$A:$E,5,FALSE)</f>
        <v>01/01/2021</v>
      </c>
      <c r="F2092" t="str">
        <f>VLOOKUP(NoviaFunds[[#This Row],[Sector]],Sectors[],2,FALSE)</f>
        <v>UK Equities</v>
      </c>
    </row>
    <row r="2093" spans="1:6" x14ac:dyDescent="0.2">
      <c r="A2093" t="str">
        <f>'Novia Web Query'!A2090</f>
        <v>GB00B3FJQD79</v>
      </c>
      <c r="B2093" t="str">
        <f>VLOOKUP(NoviaFunds[[#This Row],[ISIN]],'Novia Web Query'!$A:$E,2,FALSE)</f>
        <v>JPM UK Equity Growth C Acc in GB</v>
      </c>
      <c r="C2093" t="str">
        <f>VLOOKUP(NoviaFunds[[#This Row],[ISIN]],'Novia Web Query'!$A:$E,3,FALSE)</f>
        <v>UT UK All Companies</v>
      </c>
      <c r="D2093" s="139">
        <f>VLOOKUP(NoviaFunds[[#This Row],[ISIN]],'Novia Web Query'!$A:$E,4,FALSE)/100</f>
        <v>8.5000000000000006E-3</v>
      </c>
      <c r="E2093" s="3" t="str">
        <f>VLOOKUP(NoviaFunds[[#This Row],[ISIN]],'Novia Web Query'!$A:$E,5,FALSE)</f>
        <v>01/01/2021</v>
      </c>
      <c r="F2093" t="str">
        <f>VLOOKUP(NoviaFunds[[#This Row],[Sector]],Sectors[],2,FALSE)</f>
        <v>UK Equities</v>
      </c>
    </row>
    <row r="2094" spans="1:6" x14ac:dyDescent="0.2">
      <c r="A2094" t="str">
        <f>'Novia Web Query'!A2091</f>
        <v>GB00B3FJQH18</v>
      </c>
      <c r="B2094" t="str">
        <f>VLOOKUP(NoviaFunds[[#This Row],[ISIN]],'Novia Web Query'!$A:$E,2,FALSE)</f>
        <v>JPM UK Equity Growth C Inc TR in GB**</v>
      </c>
      <c r="C2094" t="str">
        <f>VLOOKUP(NoviaFunds[[#This Row],[ISIN]],'Novia Web Query'!$A:$E,3,FALSE)</f>
        <v>UT UK All Companies</v>
      </c>
      <c r="D2094" s="139">
        <f>VLOOKUP(NoviaFunds[[#This Row],[ISIN]],'Novia Web Query'!$A:$E,4,FALSE)/100</f>
        <v>9.0000000000000011E-3</v>
      </c>
      <c r="E2094" s="3" t="str">
        <f>VLOOKUP(NoviaFunds[[#This Row],[ISIN]],'Novia Web Query'!$A:$E,5,FALSE)</f>
        <v>01/01/2021</v>
      </c>
      <c r="F2094" t="str">
        <f>VLOOKUP(NoviaFunds[[#This Row],[Sector]],Sectors[],2,FALSE)</f>
        <v>UK Equities</v>
      </c>
    </row>
    <row r="2095" spans="1:6" x14ac:dyDescent="0.2">
      <c r="A2095" t="str">
        <f>'Novia Web Query'!A2092</f>
        <v>GB00BYTRDH73</v>
      </c>
      <c r="B2095" t="str">
        <f>VLOOKUP(NoviaFunds[[#This Row],[ISIN]],'Novia Web Query'!$A:$E,2,FALSE)</f>
        <v>JPM UK Equity Income C Acc in GB</v>
      </c>
      <c r="C2095" t="str">
        <f>VLOOKUP(NoviaFunds[[#This Row],[ISIN]],'Novia Web Query'!$A:$E,3,FALSE)</f>
        <v>UT UK Equity Income</v>
      </c>
      <c r="D2095" s="139">
        <f>VLOOKUP(NoviaFunds[[#This Row],[ISIN]],'Novia Web Query'!$A:$E,4,FALSE)/100</f>
        <v>7.4999999999999997E-3</v>
      </c>
      <c r="E2095" s="3" t="str">
        <f>VLOOKUP(NoviaFunds[[#This Row],[ISIN]],'Novia Web Query'!$A:$E,5,FALSE)</f>
        <v>01/01/2021</v>
      </c>
      <c r="F2095" t="str">
        <f>VLOOKUP(NoviaFunds[[#This Row],[Sector]],Sectors[],2,FALSE)</f>
        <v>UK Equities</v>
      </c>
    </row>
    <row r="2096" spans="1:6" x14ac:dyDescent="0.2">
      <c r="A2096" t="str">
        <f>'Novia Web Query'!A2093</f>
        <v>GB00BYTRDJ97</v>
      </c>
      <c r="B2096" t="str">
        <f>VLOOKUP(NoviaFunds[[#This Row],[ISIN]],'Novia Web Query'!$A:$E,2,FALSE)</f>
        <v>JPM UK Equity Income C Inc TR in GB</v>
      </c>
      <c r="C2096" t="str">
        <f>VLOOKUP(NoviaFunds[[#This Row],[ISIN]],'Novia Web Query'!$A:$E,3,FALSE)</f>
        <v>UT UK Equity Income</v>
      </c>
      <c r="D2096" s="139">
        <f>VLOOKUP(NoviaFunds[[#This Row],[ISIN]],'Novia Web Query'!$A:$E,4,FALSE)/100</f>
        <v>7.4999999999999997E-3</v>
      </c>
      <c r="E2096" s="3" t="str">
        <f>VLOOKUP(NoviaFunds[[#This Row],[ISIN]],'Novia Web Query'!$A:$E,5,FALSE)</f>
        <v>01/01/2021</v>
      </c>
      <c r="F2096" t="str">
        <f>VLOOKUP(NoviaFunds[[#This Row],[Sector]],Sectors[],2,FALSE)</f>
        <v>UK Equities</v>
      </c>
    </row>
    <row r="2097" spans="1:6" x14ac:dyDescent="0.2">
      <c r="A2097" t="str">
        <f>'Novia Web Query'!A2094</f>
        <v>GB00BW4Q9B11</v>
      </c>
      <c r="B2097" t="str">
        <f>VLOOKUP(NoviaFunds[[#This Row],[ISIN]],'Novia Web Query'!$A:$E,2,FALSE)</f>
        <v>JPM UK Equity Plus C Acc in GB</v>
      </c>
      <c r="C2097" t="str">
        <f>VLOOKUP(NoviaFunds[[#This Row],[ISIN]],'Novia Web Query'!$A:$E,3,FALSE)</f>
        <v>UT UK All Companies</v>
      </c>
      <c r="D2097" s="139">
        <f>VLOOKUP(NoviaFunds[[#This Row],[ISIN]],'Novia Web Query'!$A:$E,4,FALSE)/100</f>
        <v>8.0000000000000002E-3</v>
      </c>
      <c r="E2097" s="3" t="str">
        <f>VLOOKUP(NoviaFunds[[#This Row],[ISIN]],'Novia Web Query'!$A:$E,5,FALSE)</f>
        <v>01/01/2021</v>
      </c>
      <c r="F2097" t="str">
        <f>VLOOKUP(NoviaFunds[[#This Row],[Sector]],Sectors[],2,FALSE)</f>
        <v>UK Equities</v>
      </c>
    </row>
    <row r="2098" spans="1:6" x14ac:dyDescent="0.2">
      <c r="A2098" t="str">
        <f>'Novia Web Query'!A2095</f>
        <v>GB00BW4Q9992</v>
      </c>
      <c r="B2098" t="str">
        <f>VLOOKUP(NoviaFunds[[#This Row],[ISIN]],'Novia Web Query'!$A:$E,2,FALSE)</f>
        <v>JPM UK Equity Plus C Inc TR in GB</v>
      </c>
      <c r="C2098" t="str">
        <f>VLOOKUP(NoviaFunds[[#This Row],[ISIN]],'Novia Web Query'!$A:$E,3,FALSE)</f>
        <v>UT UK All Companies</v>
      </c>
      <c r="D2098" s="139">
        <f>VLOOKUP(NoviaFunds[[#This Row],[ISIN]],'Novia Web Query'!$A:$E,4,FALSE)/100</f>
        <v>8.199999999999999E-3</v>
      </c>
      <c r="E2098" s="3" t="str">
        <f>VLOOKUP(NoviaFunds[[#This Row],[ISIN]],'Novia Web Query'!$A:$E,5,FALSE)</f>
        <v>01/01/2021</v>
      </c>
      <c r="F2098" t="str">
        <f>VLOOKUP(NoviaFunds[[#This Row],[Sector]],Sectors[],2,FALSE)</f>
        <v>UK Equities</v>
      </c>
    </row>
    <row r="2099" spans="1:6" x14ac:dyDescent="0.2">
      <c r="A2099" t="str">
        <f>'Novia Web Query'!A2096</f>
        <v>GB00BYMFGF73</v>
      </c>
      <c r="B2099" t="str">
        <f>VLOOKUP(NoviaFunds[[#This Row],[ISIN]],'Novia Web Query'!$A:$E,2,FALSE)</f>
        <v>JPM UK Equity Plus S Acc TR in GB**</v>
      </c>
      <c r="C2099" t="str">
        <f>VLOOKUP(NoviaFunds[[#This Row],[ISIN]],'Novia Web Query'!$A:$E,3,FALSE)</f>
        <v>UT UK All Companies</v>
      </c>
      <c r="D2099" s="139">
        <f>VLOOKUP(NoviaFunds[[#This Row],[ISIN]],'Novia Web Query'!$A:$E,4,FALSE)/100</f>
        <v>5.3E-3</v>
      </c>
      <c r="E2099" s="3" t="str">
        <f>VLOOKUP(NoviaFunds[[#This Row],[ISIN]],'Novia Web Query'!$A:$E,5,FALSE)</f>
        <v>01/01/2021</v>
      </c>
      <c r="F2099" t="str">
        <f>VLOOKUP(NoviaFunds[[#This Row],[Sector]],Sectors[],2,FALSE)</f>
        <v>UK Equities</v>
      </c>
    </row>
    <row r="2100" spans="1:6" x14ac:dyDescent="0.2">
      <c r="A2100" t="str">
        <f>'Novia Web Query'!A2097</f>
        <v>GB0004124904</v>
      </c>
      <c r="B2100" t="str">
        <f>VLOOKUP(NoviaFunds[[#This Row],[ISIN]],'Novia Web Query'!$A:$E,2,FALSE)</f>
        <v>JPM UK Equity Value A Acc in GB</v>
      </c>
      <c r="C2100" t="str">
        <f>VLOOKUP(NoviaFunds[[#This Row],[ISIN]],'Novia Web Query'!$A:$E,3,FALSE)</f>
        <v>UT UK All Companies</v>
      </c>
      <c r="D2100" s="139">
        <f>VLOOKUP(NoviaFunds[[#This Row],[ISIN]],'Novia Web Query'!$A:$E,4,FALSE)/100</f>
        <v>1.2500000000000001E-2</v>
      </c>
      <c r="E2100" s="3" t="str">
        <f>VLOOKUP(NoviaFunds[[#This Row],[ISIN]],'Novia Web Query'!$A:$E,5,FALSE)</f>
        <v>01/01/2021</v>
      </c>
      <c r="F2100" t="str">
        <f>VLOOKUP(NoviaFunds[[#This Row],[Sector]],Sectors[],2,FALSE)</f>
        <v>UK Equities</v>
      </c>
    </row>
    <row r="2101" spans="1:6" x14ac:dyDescent="0.2">
      <c r="A2101" t="str">
        <f>'Novia Web Query'!A2098</f>
        <v>GB00B235SZ61</v>
      </c>
      <c r="B2101" t="str">
        <f>VLOOKUP(NoviaFunds[[#This Row],[ISIN]],'Novia Web Query'!$A:$E,2,FALSE)</f>
        <v>JPM UK Equity Value C Acc in GB</v>
      </c>
      <c r="C2101" t="str">
        <f>VLOOKUP(NoviaFunds[[#This Row],[ISIN]],'Novia Web Query'!$A:$E,3,FALSE)</f>
        <v>UT UK All Companies</v>
      </c>
      <c r="D2101" s="139">
        <f>VLOOKUP(NoviaFunds[[#This Row],[ISIN]],'Novia Web Query'!$A:$E,4,FALSE)/100</f>
        <v>7.4999999999999997E-3</v>
      </c>
      <c r="E2101" s="3" t="str">
        <f>VLOOKUP(NoviaFunds[[#This Row],[ISIN]],'Novia Web Query'!$A:$E,5,FALSE)</f>
        <v>01/01/2021</v>
      </c>
      <c r="F2101" t="str">
        <f>VLOOKUP(NoviaFunds[[#This Row],[Sector]],Sectors[],2,FALSE)</f>
        <v>UK Equities</v>
      </c>
    </row>
    <row r="2102" spans="1:6" x14ac:dyDescent="0.2">
      <c r="A2102" t="str">
        <f>'Novia Web Query'!A2099</f>
        <v>GB00B235T312</v>
      </c>
      <c r="B2102" t="str">
        <f>VLOOKUP(NoviaFunds[[#This Row],[ISIN]],'Novia Web Query'!$A:$E,2,FALSE)</f>
        <v>JPM UK Equity Value C Inc TR in GB**</v>
      </c>
      <c r="C2102" t="str">
        <f>VLOOKUP(NoviaFunds[[#This Row],[ISIN]],'Novia Web Query'!$A:$E,3,FALSE)</f>
        <v>UT UK All Companies</v>
      </c>
      <c r="D2102" s="139">
        <f>VLOOKUP(NoviaFunds[[#This Row],[ISIN]],'Novia Web Query'!$A:$E,4,FALSE)/100</f>
        <v>7.4999999999999997E-3</v>
      </c>
      <c r="E2102" s="3" t="str">
        <f>VLOOKUP(NoviaFunds[[#This Row],[ISIN]],'Novia Web Query'!$A:$E,5,FALSE)</f>
        <v>01/01/2021</v>
      </c>
      <c r="F2102" t="str">
        <f>VLOOKUP(NoviaFunds[[#This Row],[Sector]],Sectors[],2,FALSE)</f>
        <v>UK Equities</v>
      </c>
    </row>
    <row r="2103" spans="1:6" x14ac:dyDescent="0.2">
      <c r="A2103" t="str">
        <f>'Novia Web Query'!A2100</f>
        <v>GB0030880255</v>
      </c>
      <c r="B2103" t="str">
        <f>VLOOKUP(NoviaFunds[[#This Row],[ISIN]],'Novia Web Query'!$A:$E,2,FALSE)</f>
        <v>JPM UK Smaller Companies A Acc in GB</v>
      </c>
      <c r="C2103" t="str">
        <f>VLOOKUP(NoviaFunds[[#This Row],[ISIN]],'Novia Web Query'!$A:$E,3,FALSE)</f>
        <v>UT UK Smaller Companies</v>
      </c>
      <c r="D2103" s="139">
        <f>VLOOKUP(NoviaFunds[[#This Row],[ISIN]],'Novia Web Query'!$A:$E,4,FALSE)/100</f>
        <v>1.6E-2</v>
      </c>
      <c r="E2103" s="3" t="str">
        <f>VLOOKUP(NoviaFunds[[#This Row],[ISIN]],'Novia Web Query'!$A:$E,5,FALSE)</f>
        <v>01/01/2021</v>
      </c>
      <c r="F2103" t="str">
        <f>VLOOKUP(NoviaFunds[[#This Row],[Sector]],Sectors[],2,FALSE)</f>
        <v>UK Equities</v>
      </c>
    </row>
    <row r="2104" spans="1:6" x14ac:dyDescent="0.2">
      <c r="A2104" t="str">
        <f>'Novia Web Query'!A2101</f>
        <v>GB00B84LQR33</v>
      </c>
      <c r="B2104" t="str">
        <f>VLOOKUP(NoviaFunds[[#This Row],[ISIN]],'Novia Web Query'!$A:$E,2,FALSE)</f>
        <v>JPM UK Smaller Companies C Acc in GB</v>
      </c>
      <c r="C2104" t="str">
        <f>VLOOKUP(NoviaFunds[[#This Row],[ISIN]],'Novia Web Query'!$A:$E,3,FALSE)</f>
        <v>UT UK Smaller Companies</v>
      </c>
      <c r="D2104" s="139">
        <f>VLOOKUP(NoviaFunds[[#This Row],[ISIN]],'Novia Web Query'!$A:$E,4,FALSE)/100</f>
        <v>9.0000000000000011E-3</v>
      </c>
      <c r="E2104" s="3" t="str">
        <f>VLOOKUP(NoviaFunds[[#This Row],[ISIN]],'Novia Web Query'!$A:$E,5,FALSE)</f>
        <v>01/01/2021</v>
      </c>
      <c r="F2104" t="str">
        <f>VLOOKUP(NoviaFunds[[#This Row],[Sector]],Sectors[],2,FALSE)</f>
        <v>UK Equities</v>
      </c>
    </row>
    <row r="2105" spans="1:6" x14ac:dyDescent="0.2">
      <c r="A2105" t="str">
        <f>'Novia Web Query'!A2102</f>
        <v>GB00B8MZ4L75</v>
      </c>
      <c r="B2105" t="str">
        <f>VLOOKUP(NoviaFunds[[#This Row],[ISIN]],'Novia Web Query'!$A:$E,2,FALSE)</f>
        <v>JPM UK Smaller Companies C Inc TR in GB**</v>
      </c>
      <c r="C2105" t="str">
        <f>VLOOKUP(NoviaFunds[[#This Row],[ISIN]],'Novia Web Query'!$A:$E,3,FALSE)</f>
        <v>UT UK Smaller Companies</v>
      </c>
      <c r="D2105" s="139">
        <f>VLOOKUP(NoviaFunds[[#This Row],[ISIN]],'Novia Web Query'!$A:$E,4,FALSE)/100</f>
        <v>9.0000000000000011E-3</v>
      </c>
      <c r="E2105" s="3" t="str">
        <f>VLOOKUP(NoviaFunds[[#This Row],[ISIN]],'Novia Web Query'!$A:$E,5,FALSE)</f>
        <v>01/01/2021</v>
      </c>
      <c r="F2105" t="str">
        <f>VLOOKUP(NoviaFunds[[#This Row],[Sector]],Sectors[],2,FALSE)</f>
        <v>UK Equities</v>
      </c>
    </row>
    <row r="2106" spans="1:6" x14ac:dyDescent="0.2">
      <c r="A2106" t="str">
        <f>'Novia Web Query'!A2103</f>
        <v>GB00B3RJ9B43</v>
      </c>
      <c r="B2106" t="str">
        <f>VLOOKUP(NoviaFunds[[#This Row],[ISIN]],'Novia Web Query'!$A:$E,2,FALSE)</f>
        <v>JPM Unconstrained Bond A Gr Acc in GB</v>
      </c>
      <c r="C2106" t="str">
        <f>VLOOKUP(NoviaFunds[[#This Row],[ISIN]],'Novia Web Query'!$A:$E,3,FALSE)</f>
        <v>UT Targeted Absolute Return</v>
      </c>
      <c r="D2106" s="139">
        <f>VLOOKUP(NoviaFunds[[#This Row],[ISIN]],'Novia Web Query'!$A:$E,4,FALSE)/100</f>
        <v>1.15E-2</v>
      </c>
      <c r="E2106" s="3" t="str">
        <f>VLOOKUP(NoviaFunds[[#This Row],[ISIN]],'Novia Web Query'!$A:$E,5,FALSE)</f>
        <v>01/01/2021</v>
      </c>
      <c r="F2106" t="str">
        <f>VLOOKUP(NoviaFunds[[#This Row],[Sector]],Sectors[],2,FALSE)</f>
        <v>Absolute Return</v>
      </c>
    </row>
    <row r="2107" spans="1:6" x14ac:dyDescent="0.2">
      <c r="A2107" t="str">
        <f>'Novia Web Query'!A2104</f>
        <v>GB00B3RJ9K34</v>
      </c>
      <c r="B2107" t="str">
        <f>VLOOKUP(NoviaFunds[[#This Row],[ISIN]],'Novia Web Query'!$A:$E,2,FALSE)</f>
        <v>JPM Unconstrained Bond A Gr Inc TR in GB</v>
      </c>
      <c r="C2107" t="str">
        <f>VLOOKUP(NoviaFunds[[#This Row],[ISIN]],'Novia Web Query'!$A:$E,3,FALSE)</f>
        <v>UT Targeted Absolute Return</v>
      </c>
      <c r="D2107" s="139">
        <f>VLOOKUP(NoviaFunds[[#This Row],[ISIN]],'Novia Web Query'!$A:$E,4,FALSE)/100</f>
        <v>1.15E-2</v>
      </c>
      <c r="E2107" s="3" t="str">
        <f>VLOOKUP(NoviaFunds[[#This Row],[ISIN]],'Novia Web Query'!$A:$E,5,FALSE)</f>
        <v>01/01/2021</v>
      </c>
      <c r="F2107" t="str">
        <f>VLOOKUP(NoviaFunds[[#This Row],[Sector]],Sectors[],2,FALSE)</f>
        <v>Absolute Return</v>
      </c>
    </row>
    <row r="2108" spans="1:6" x14ac:dyDescent="0.2">
      <c r="A2108" t="str">
        <f>'Novia Web Query'!A2105</f>
        <v>GB00B3RJB414</v>
      </c>
      <c r="B2108" t="str">
        <f>VLOOKUP(NoviaFunds[[#This Row],[ISIN]],'Novia Web Query'!$A:$E,2,FALSE)</f>
        <v>JPM Unconstrained Bond B Gr Inc TR in GB**</v>
      </c>
      <c r="C2108" t="str">
        <f>VLOOKUP(NoviaFunds[[#This Row],[ISIN]],'Novia Web Query'!$A:$E,3,FALSE)</f>
        <v>UT Targeted Absolute Return</v>
      </c>
      <c r="D2108" s="139">
        <f>VLOOKUP(NoviaFunds[[#This Row],[ISIN]],'Novia Web Query'!$A:$E,4,FALSE)/100</f>
        <v>8.0000000000000002E-3</v>
      </c>
      <c r="E2108" s="3" t="str">
        <f>VLOOKUP(NoviaFunds[[#This Row],[ISIN]],'Novia Web Query'!$A:$E,5,FALSE)</f>
        <v>01/01/2021</v>
      </c>
      <c r="F2108" t="str">
        <f>VLOOKUP(NoviaFunds[[#This Row],[Sector]],Sectors[],2,FALSE)</f>
        <v>Absolute Return</v>
      </c>
    </row>
    <row r="2109" spans="1:6" x14ac:dyDescent="0.2">
      <c r="A2109" t="str">
        <f>'Novia Web Query'!A2106</f>
        <v>GB00B3RJBC99</v>
      </c>
      <c r="B2109" t="str">
        <f>VLOOKUP(NoviaFunds[[#This Row],[ISIN]],'Novia Web Query'!$A:$E,2,FALSE)</f>
        <v>JPM Unconstrained Bond C Gr Acc in GB</v>
      </c>
      <c r="C2109" t="str">
        <f>VLOOKUP(NoviaFunds[[#This Row],[ISIN]],'Novia Web Query'!$A:$E,3,FALSE)</f>
        <v>UT Targeted Absolute Return</v>
      </c>
      <c r="D2109" s="139">
        <f>VLOOKUP(NoviaFunds[[#This Row],[ISIN]],'Novia Web Query'!$A:$E,4,FALSE)/100</f>
        <v>6.1999999999999998E-3</v>
      </c>
      <c r="E2109" s="3" t="str">
        <f>VLOOKUP(NoviaFunds[[#This Row],[ISIN]],'Novia Web Query'!$A:$E,5,FALSE)</f>
        <v>08/07/2021</v>
      </c>
      <c r="F2109" t="str">
        <f>VLOOKUP(NoviaFunds[[#This Row],[Sector]],Sectors[],2,FALSE)</f>
        <v>Absolute Return</v>
      </c>
    </row>
    <row r="2110" spans="1:6" x14ac:dyDescent="0.2">
      <c r="A2110" t="str">
        <f>'Novia Web Query'!A2107</f>
        <v>GB00B3RJBL80</v>
      </c>
      <c r="B2110" t="str">
        <f>VLOOKUP(NoviaFunds[[#This Row],[ISIN]],'Novia Web Query'!$A:$E,2,FALSE)</f>
        <v>JPM Unconstrained Bond C Gr Inc TR in GB**</v>
      </c>
      <c r="C2110" t="str">
        <f>VLOOKUP(NoviaFunds[[#This Row],[ISIN]],'Novia Web Query'!$A:$E,3,FALSE)</f>
        <v>UT Targeted Absolute Return</v>
      </c>
      <c r="D2110" s="139">
        <f>VLOOKUP(NoviaFunds[[#This Row],[ISIN]],'Novia Web Query'!$A:$E,4,FALSE)/100</f>
        <v>6.5000000000000006E-3</v>
      </c>
      <c r="E2110" s="3" t="str">
        <f>VLOOKUP(NoviaFunds[[#This Row],[ISIN]],'Novia Web Query'!$A:$E,5,FALSE)</f>
        <v>08/07/2021</v>
      </c>
      <c r="F2110" t="str">
        <f>VLOOKUP(NoviaFunds[[#This Row],[Sector]],Sectors[],2,FALSE)</f>
        <v>Absolute Return</v>
      </c>
    </row>
    <row r="2111" spans="1:6" x14ac:dyDescent="0.2">
      <c r="A2111" t="str">
        <f>'Novia Web Query'!A2108</f>
        <v>GB00B3FJQ045</v>
      </c>
      <c r="B2111" t="str">
        <f>VLOOKUP(NoviaFunds[[#This Row],[ISIN]],'Novia Web Query'!$A:$E,2,FALSE)</f>
        <v>JPM US Equity Income A Acc in GB</v>
      </c>
      <c r="C2111" t="str">
        <f>VLOOKUP(NoviaFunds[[#This Row],[ISIN]],'Novia Web Query'!$A:$E,3,FALSE)</f>
        <v>UT North America</v>
      </c>
      <c r="D2111" s="139">
        <f>VLOOKUP(NoviaFunds[[#This Row],[ISIN]],'Novia Web Query'!$A:$E,4,FALSE)/100</f>
        <v>1.5600000000000001E-2</v>
      </c>
      <c r="E2111" s="3" t="str">
        <f>VLOOKUP(NoviaFunds[[#This Row],[ISIN]],'Novia Web Query'!$A:$E,5,FALSE)</f>
        <v>01/01/2021</v>
      </c>
      <c r="F2111" t="str">
        <f>VLOOKUP(NoviaFunds[[#This Row],[Sector]],Sectors[],2,FALSE)</f>
        <v>USA Equities</v>
      </c>
    </row>
    <row r="2112" spans="1:6" x14ac:dyDescent="0.2">
      <c r="A2112" t="str">
        <f>'Novia Web Query'!A2109</f>
        <v>GB00B4N1G326</v>
      </c>
      <c r="B2112" t="str">
        <f>VLOOKUP(NoviaFunds[[#This Row],[ISIN]],'Novia Web Query'!$A:$E,2,FALSE)</f>
        <v>JPM US Equity Income A Hedged TR in GB</v>
      </c>
      <c r="C2112" t="str">
        <f>VLOOKUP(NoviaFunds[[#This Row],[ISIN]],'Novia Web Query'!$A:$E,3,FALSE)</f>
        <v>UT North America</v>
      </c>
      <c r="D2112" s="139">
        <f>VLOOKUP(NoviaFunds[[#This Row],[ISIN]],'Novia Web Query'!$A:$E,4,FALSE)/100</f>
        <v>1.6500000000000001E-2</v>
      </c>
      <c r="E2112" s="3" t="str">
        <f>VLOOKUP(NoviaFunds[[#This Row],[ISIN]],'Novia Web Query'!$A:$E,5,FALSE)</f>
        <v>01/01/2021</v>
      </c>
      <c r="F2112" t="str">
        <f>VLOOKUP(NoviaFunds[[#This Row],[Sector]],Sectors[],2,FALSE)</f>
        <v>USA Equities</v>
      </c>
    </row>
    <row r="2113" spans="1:6" x14ac:dyDescent="0.2">
      <c r="A2113" t="str">
        <f>'Novia Web Query'!A2110</f>
        <v>GB00B3FJQ151</v>
      </c>
      <c r="B2113" t="str">
        <f>VLOOKUP(NoviaFunds[[#This Row],[ISIN]],'Novia Web Query'!$A:$E,2,FALSE)</f>
        <v>JPM US Equity Income A Inc TR in GB</v>
      </c>
      <c r="C2113" t="str">
        <f>VLOOKUP(NoviaFunds[[#This Row],[ISIN]],'Novia Web Query'!$A:$E,3,FALSE)</f>
        <v>UT North America</v>
      </c>
      <c r="D2113" s="139">
        <f>VLOOKUP(NoviaFunds[[#This Row],[ISIN]],'Novia Web Query'!$A:$E,4,FALSE)/100</f>
        <v>1.5900000000000001E-2</v>
      </c>
      <c r="E2113" s="3" t="str">
        <f>VLOOKUP(NoviaFunds[[#This Row],[ISIN]],'Novia Web Query'!$A:$E,5,FALSE)</f>
        <v>01/01/2021</v>
      </c>
      <c r="F2113" t="str">
        <f>VLOOKUP(NoviaFunds[[#This Row],[Sector]],Sectors[],2,FALSE)</f>
        <v>USA Equities</v>
      </c>
    </row>
    <row r="2114" spans="1:6" x14ac:dyDescent="0.2">
      <c r="A2114" t="str">
        <f>'Novia Web Query'!A2111</f>
        <v>GB00B3FJQ268</v>
      </c>
      <c r="B2114" t="str">
        <f>VLOOKUP(NoviaFunds[[#This Row],[ISIN]],'Novia Web Query'!$A:$E,2,FALSE)</f>
        <v>JPM US Equity Income B Acc in GB**</v>
      </c>
      <c r="C2114" t="str">
        <f>VLOOKUP(NoviaFunds[[#This Row],[ISIN]],'Novia Web Query'!$A:$E,3,FALSE)</f>
        <v>UT North America</v>
      </c>
      <c r="D2114" s="139">
        <f>VLOOKUP(NoviaFunds[[#This Row],[ISIN]],'Novia Web Query'!$A:$E,4,FALSE)/100</f>
        <v>1.15E-2</v>
      </c>
      <c r="E2114" s="3" t="str">
        <f>VLOOKUP(NoviaFunds[[#This Row],[ISIN]],'Novia Web Query'!$A:$E,5,FALSE)</f>
        <v>01/01/2021</v>
      </c>
      <c r="F2114" t="str">
        <f>VLOOKUP(NoviaFunds[[#This Row],[Sector]],Sectors[],2,FALSE)</f>
        <v>USA Equities</v>
      </c>
    </row>
    <row r="2115" spans="1:6" x14ac:dyDescent="0.2">
      <c r="A2115" t="str">
        <f>'Novia Web Query'!A2112</f>
        <v>GB00B3FJQ375</v>
      </c>
      <c r="B2115" t="str">
        <f>VLOOKUP(NoviaFunds[[#This Row],[ISIN]],'Novia Web Query'!$A:$E,2,FALSE)</f>
        <v>JPM US Equity Income B Inc TR in GB</v>
      </c>
      <c r="C2115" t="str">
        <f>VLOOKUP(NoviaFunds[[#This Row],[ISIN]],'Novia Web Query'!$A:$E,3,FALSE)</f>
        <v>UT North America</v>
      </c>
      <c r="D2115" s="139">
        <f>VLOOKUP(NoviaFunds[[#This Row],[ISIN]],'Novia Web Query'!$A:$E,4,FALSE)/100</f>
        <v>1.1299999999999999E-2</v>
      </c>
      <c r="E2115" s="3" t="str">
        <f>VLOOKUP(NoviaFunds[[#This Row],[ISIN]],'Novia Web Query'!$A:$E,5,FALSE)</f>
        <v>01/01/2021</v>
      </c>
      <c r="F2115" t="str">
        <f>VLOOKUP(NoviaFunds[[#This Row],[Sector]],Sectors[],2,FALSE)</f>
        <v>USA Equities</v>
      </c>
    </row>
    <row r="2116" spans="1:6" x14ac:dyDescent="0.2">
      <c r="A2116" t="str">
        <f>'Novia Web Query'!A2113</f>
        <v>GB00B3FJQ482</v>
      </c>
      <c r="B2116" t="str">
        <f>VLOOKUP(NoviaFunds[[#This Row],[ISIN]],'Novia Web Query'!$A:$E,2,FALSE)</f>
        <v>JPM US Equity Income C Acc in GB</v>
      </c>
      <c r="C2116" t="str">
        <f>VLOOKUP(NoviaFunds[[#This Row],[ISIN]],'Novia Web Query'!$A:$E,3,FALSE)</f>
        <v>UT North America</v>
      </c>
      <c r="D2116" s="139">
        <f>VLOOKUP(NoviaFunds[[#This Row],[ISIN]],'Novia Web Query'!$A:$E,4,FALSE)/100</f>
        <v>7.9000000000000008E-3</v>
      </c>
      <c r="E2116" s="3" t="str">
        <f>VLOOKUP(NoviaFunds[[#This Row],[ISIN]],'Novia Web Query'!$A:$E,5,FALSE)</f>
        <v>01/01/2021</v>
      </c>
      <c r="F2116" t="str">
        <f>VLOOKUP(NoviaFunds[[#This Row],[Sector]],Sectors[],2,FALSE)</f>
        <v>USA Equities</v>
      </c>
    </row>
    <row r="2117" spans="1:6" x14ac:dyDescent="0.2">
      <c r="A2117" t="str">
        <f>'Novia Web Query'!A2114</f>
        <v>GB00B7N03064</v>
      </c>
      <c r="B2117" t="str">
        <f>VLOOKUP(NoviaFunds[[#This Row],[ISIN]],'Novia Web Query'!$A:$E,2,FALSE)</f>
        <v>JPM US Equity Income C Hedged Inc TR in GB</v>
      </c>
      <c r="C2117" t="str">
        <f>VLOOKUP(NoviaFunds[[#This Row],[ISIN]],'Novia Web Query'!$A:$E,3,FALSE)</f>
        <v>UT North America</v>
      </c>
      <c r="D2117" s="139">
        <f>VLOOKUP(NoviaFunds[[#This Row],[ISIN]],'Novia Web Query'!$A:$E,4,FALSE)/100</f>
        <v>8.199999999999999E-3</v>
      </c>
      <c r="E2117" s="3" t="str">
        <f>VLOOKUP(NoviaFunds[[#This Row],[ISIN]],'Novia Web Query'!$A:$E,5,FALSE)</f>
        <v>01/01/2021</v>
      </c>
      <c r="F2117" t="str">
        <f>VLOOKUP(NoviaFunds[[#This Row],[Sector]],Sectors[],2,FALSE)</f>
        <v>USA Equities</v>
      </c>
    </row>
    <row r="2118" spans="1:6" x14ac:dyDescent="0.2">
      <c r="A2118" t="str">
        <f>'Novia Web Query'!A2115</f>
        <v>GB00B3FJQ599</v>
      </c>
      <c r="B2118" t="str">
        <f>VLOOKUP(NoviaFunds[[#This Row],[ISIN]],'Novia Web Query'!$A:$E,2,FALSE)</f>
        <v>JPM US Equity Income C Inc TR in GB</v>
      </c>
      <c r="C2118" t="str">
        <f>VLOOKUP(NoviaFunds[[#This Row],[ISIN]],'Novia Web Query'!$A:$E,3,FALSE)</f>
        <v>UT North America</v>
      </c>
      <c r="D2118" s="139">
        <f>VLOOKUP(NoviaFunds[[#This Row],[ISIN]],'Novia Web Query'!$A:$E,4,FALSE)/100</f>
        <v>7.8000000000000005E-3</v>
      </c>
      <c r="E2118" s="3" t="str">
        <f>VLOOKUP(NoviaFunds[[#This Row],[ISIN]],'Novia Web Query'!$A:$E,5,FALSE)</f>
        <v>01/01/2021</v>
      </c>
      <c r="F2118" t="str">
        <f>VLOOKUP(NoviaFunds[[#This Row],[Sector]],Sectors[],2,FALSE)</f>
        <v>USA Equities</v>
      </c>
    </row>
    <row r="2119" spans="1:6" x14ac:dyDescent="0.2">
      <c r="A2119" t="str">
        <f>'Novia Web Query'!A2116</f>
        <v>GB00B2Q5DW58</v>
      </c>
      <c r="B2119" t="str">
        <f>VLOOKUP(NoviaFunds[[#This Row],[ISIN]],'Novia Web Query'!$A:$E,2,FALSE)</f>
        <v>JPM US Select A Acc in GB</v>
      </c>
      <c r="C2119" t="str">
        <f>VLOOKUP(NoviaFunds[[#This Row],[ISIN]],'Novia Web Query'!$A:$E,3,FALSE)</f>
        <v>UT North America</v>
      </c>
      <c r="D2119" s="139">
        <f>VLOOKUP(NoviaFunds[[#This Row],[ISIN]],'Novia Web Query'!$A:$E,4,FALSE)/100</f>
        <v>1.06E-2</v>
      </c>
      <c r="E2119" s="3" t="str">
        <f>VLOOKUP(NoviaFunds[[#This Row],[ISIN]],'Novia Web Query'!$A:$E,5,FALSE)</f>
        <v>01/01/2021</v>
      </c>
      <c r="F2119" t="str">
        <f>VLOOKUP(NoviaFunds[[#This Row],[Sector]],Sectors[],2,FALSE)</f>
        <v>USA Equities</v>
      </c>
    </row>
    <row r="2120" spans="1:6" x14ac:dyDescent="0.2">
      <c r="A2120" t="str">
        <f>'Novia Web Query'!A2117</f>
        <v>GB00B2Q5DX65</v>
      </c>
      <c r="B2120" t="str">
        <f>VLOOKUP(NoviaFunds[[#This Row],[ISIN]],'Novia Web Query'!$A:$E,2,FALSE)</f>
        <v>JPM US Select A Inc TR in GB</v>
      </c>
      <c r="C2120" t="str">
        <f>VLOOKUP(NoviaFunds[[#This Row],[ISIN]],'Novia Web Query'!$A:$E,3,FALSE)</f>
        <v>UT North America</v>
      </c>
      <c r="D2120" s="139">
        <f>VLOOKUP(NoviaFunds[[#This Row],[ISIN]],'Novia Web Query'!$A:$E,4,FALSE)/100</f>
        <v>1.15E-2</v>
      </c>
      <c r="E2120" s="3" t="str">
        <f>VLOOKUP(NoviaFunds[[#This Row],[ISIN]],'Novia Web Query'!$A:$E,5,FALSE)</f>
        <v>01/01/2021</v>
      </c>
      <c r="F2120" t="str">
        <f>VLOOKUP(NoviaFunds[[#This Row],[Sector]],Sectors[],2,FALSE)</f>
        <v>USA Equities</v>
      </c>
    </row>
    <row r="2121" spans="1:6" x14ac:dyDescent="0.2">
      <c r="A2121" t="str">
        <f>'Novia Web Query'!A2118</f>
        <v>GB00B2Q5DR06</v>
      </c>
      <c r="B2121" t="str">
        <f>VLOOKUP(NoviaFunds[[#This Row],[ISIN]],'Novia Web Query'!$A:$E,2,FALSE)</f>
        <v>JPM US Select C Acc in GB</v>
      </c>
      <c r="C2121" t="str">
        <f>VLOOKUP(NoviaFunds[[#This Row],[ISIN]],'Novia Web Query'!$A:$E,3,FALSE)</f>
        <v>UT North America</v>
      </c>
      <c r="D2121" s="139">
        <f>VLOOKUP(NoviaFunds[[#This Row],[ISIN]],'Novia Web Query'!$A:$E,4,FALSE)/100</f>
        <v>5.6000000000000008E-3</v>
      </c>
      <c r="E2121" s="3" t="str">
        <f>VLOOKUP(NoviaFunds[[#This Row],[ISIN]],'Novia Web Query'!$A:$E,5,FALSE)</f>
        <v>01/01/2021</v>
      </c>
      <c r="F2121" t="str">
        <f>VLOOKUP(NoviaFunds[[#This Row],[Sector]],Sectors[],2,FALSE)</f>
        <v>USA Equities</v>
      </c>
    </row>
    <row r="2122" spans="1:6" x14ac:dyDescent="0.2">
      <c r="A2122" t="str">
        <f>'Novia Web Query'!A2119</f>
        <v>GB00B2Q5DQ98</v>
      </c>
      <c r="B2122" t="str">
        <f>VLOOKUP(NoviaFunds[[#This Row],[ISIN]],'Novia Web Query'!$A:$E,2,FALSE)</f>
        <v>JPM US Select C Inc TR in GB**</v>
      </c>
      <c r="C2122" t="str">
        <f>VLOOKUP(NoviaFunds[[#This Row],[ISIN]],'Novia Web Query'!$A:$E,3,FALSE)</f>
        <v>UT North America</v>
      </c>
      <c r="D2122" s="139">
        <f>VLOOKUP(NoviaFunds[[#This Row],[ISIN]],'Novia Web Query'!$A:$E,4,FALSE)/100</f>
        <v>6.4000000000000003E-3</v>
      </c>
      <c r="E2122" s="3" t="str">
        <f>VLOOKUP(NoviaFunds[[#This Row],[ISIN]],'Novia Web Query'!$A:$E,5,FALSE)</f>
        <v>01/01/2021</v>
      </c>
      <c r="F2122" t="str">
        <f>VLOOKUP(NoviaFunds[[#This Row],[Sector]],Sectors[],2,FALSE)</f>
        <v>USA Equities</v>
      </c>
    </row>
    <row r="2123" spans="1:6" x14ac:dyDescent="0.2">
      <c r="A2123" t="str">
        <f>'Novia Web Query'!A2120</f>
        <v>GB0030880032</v>
      </c>
      <c r="B2123" t="str">
        <f>VLOOKUP(NoviaFunds[[#This Row],[ISIN]],'Novia Web Query'!$A:$E,2,FALSE)</f>
        <v>JPM US Small Cap Growth A Acc in GB</v>
      </c>
      <c r="C2123" t="str">
        <f>VLOOKUP(NoviaFunds[[#This Row],[ISIN]],'Novia Web Query'!$A:$E,3,FALSE)</f>
        <v>UT North American Smaller Companies</v>
      </c>
      <c r="D2123" s="139">
        <f>VLOOKUP(NoviaFunds[[#This Row],[ISIN]],'Novia Web Query'!$A:$E,4,FALSE)/100</f>
        <v>1.43E-2</v>
      </c>
      <c r="E2123" s="3" t="str">
        <f>VLOOKUP(NoviaFunds[[#This Row],[ISIN]],'Novia Web Query'!$A:$E,5,FALSE)</f>
        <v>01/01/2021</v>
      </c>
      <c r="F2123" t="str">
        <f>VLOOKUP(NoviaFunds[[#This Row],[Sector]],Sectors[],2,FALSE)</f>
        <v>USA Equities</v>
      </c>
    </row>
    <row r="2124" spans="1:6" x14ac:dyDescent="0.2">
      <c r="A2124" t="str">
        <f>'Novia Web Query'!A2121</f>
        <v>GB00B8H99P30</v>
      </c>
      <c r="B2124" t="str">
        <f>VLOOKUP(NoviaFunds[[#This Row],[ISIN]],'Novia Web Query'!$A:$E,2,FALSE)</f>
        <v>JPM US Small Cap Growth C Acc in GB</v>
      </c>
      <c r="C2124" t="str">
        <f>VLOOKUP(NoviaFunds[[#This Row],[ISIN]],'Novia Web Query'!$A:$E,3,FALSE)</f>
        <v>UT North American Smaller Companies</v>
      </c>
      <c r="D2124" s="139">
        <f>VLOOKUP(NoviaFunds[[#This Row],[ISIN]],'Novia Web Query'!$A:$E,4,FALSE)/100</f>
        <v>7.4999999999999997E-3</v>
      </c>
      <c r="E2124" s="3" t="str">
        <f>VLOOKUP(NoviaFunds[[#This Row],[ISIN]],'Novia Web Query'!$A:$E,5,FALSE)</f>
        <v>01/01/2021</v>
      </c>
      <c r="F2124" t="str">
        <f>VLOOKUP(NoviaFunds[[#This Row],[Sector]],Sectors[],2,FALSE)</f>
        <v>USA Equities</v>
      </c>
    </row>
    <row r="2125" spans="1:6" x14ac:dyDescent="0.2">
      <c r="A2125" t="str">
        <f>'Novia Web Query'!A2122</f>
        <v>GB00B88VFM76</v>
      </c>
      <c r="B2125" t="str">
        <f>VLOOKUP(NoviaFunds[[#This Row],[ISIN]],'Novia Web Query'!$A:$E,2,FALSE)</f>
        <v>JPM US Small Cap Growth C Inc in GB**</v>
      </c>
      <c r="C2125" t="str">
        <f>VLOOKUP(NoviaFunds[[#This Row],[ISIN]],'Novia Web Query'!$A:$E,3,FALSE)</f>
        <v>UT North American Smaller Companies</v>
      </c>
      <c r="D2125" s="139">
        <f>VLOOKUP(NoviaFunds[[#This Row],[ISIN]],'Novia Web Query'!$A:$E,4,FALSE)/100</f>
        <v>8.0000000000000002E-3</v>
      </c>
      <c r="E2125" s="3" t="str">
        <f>VLOOKUP(NoviaFunds[[#This Row],[ISIN]],'Novia Web Query'!$A:$E,5,FALSE)</f>
        <v>01/01/2021</v>
      </c>
      <c r="F2125" t="str">
        <f>VLOOKUP(NoviaFunds[[#This Row],[Sector]],Sectors[],2,FALSE)</f>
        <v>USA Equities</v>
      </c>
    </row>
    <row r="2126" spans="1:6" x14ac:dyDescent="0.2">
      <c r="A2126" t="str">
        <f>'Novia Web Query'!A2123</f>
        <v>GB00B54HB974</v>
      </c>
      <c r="B2126" t="str">
        <f>VLOOKUP(NoviaFunds[[#This Row],[ISIN]],'Novia Web Query'!$A:$E,2,FALSE)</f>
        <v>Jupiter Asian I Acc TR in GB</v>
      </c>
      <c r="C2126" t="str">
        <f>VLOOKUP(NoviaFunds[[#This Row],[ISIN]],'Novia Web Query'!$A:$E,3,FALSE)</f>
        <v>UT Asia Pacific Excluding Japan</v>
      </c>
      <c r="D2126" s="139">
        <f>VLOOKUP(NoviaFunds[[#This Row],[ISIN]],'Novia Web Query'!$A:$E,4,FALSE)/100</f>
        <v>9.8999999999999991E-3</v>
      </c>
      <c r="E2126" s="3" t="str">
        <f>VLOOKUP(NoviaFunds[[#This Row],[ISIN]],'Novia Web Query'!$A:$E,5,FALSE)</f>
        <v>31/12/2020</v>
      </c>
      <c r="F2126" t="str">
        <f>VLOOKUP(NoviaFunds[[#This Row],[Sector]],Sectors[],2,FALSE)</f>
        <v>Asia Pacific</v>
      </c>
    </row>
    <row r="2127" spans="1:6" x14ac:dyDescent="0.2">
      <c r="A2127" t="str">
        <f>'Novia Web Query'!A2124</f>
        <v>GB00B8JWRF62</v>
      </c>
      <c r="B2127" t="str">
        <f>VLOOKUP(NoviaFunds[[#This Row],[ISIN]],'Novia Web Query'!$A:$E,2,FALSE)</f>
        <v>Jupiter Asian I Inc TR in GB**</v>
      </c>
      <c r="C2127" t="str">
        <f>VLOOKUP(NoviaFunds[[#This Row],[ISIN]],'Novia Web Query'!$A:$E,3,FALSE)</f>
        <v>UT Asia Pacific Excluding Japan</v>
      </c>
      <c r="D2127" s="139">
        <f>VLOOKUP(NoviaFunds[[#This Row],[ISIN]],'Novia Web Query'!$A:$E,4,FALSE)/100</f>
        <v>9.8999999999999991E-3</v>
      </c>
      <c r="E2127" s="3" t="str">
        <f>VLOOKUP(NoviaFunds[[#This Row],[ISIN]],'Novia Web Query'!$A:$E,5,FALSE)</f>
        <v>31/12/2020</v>
      </c>
      <c r="F2127" t="str">
        <f>VLOOKUP(NoviaFunds[[#This Row],[Sector]],Sectors[],2,FALSE)</f>
        <v>Asia Pacific</v>
      </c>
    </row>
    <row r="2128" spans="1:6" x14ac:dyDescent="0.2">
      <c r="A2128" t="str">
        <f>'Novia Web Query'!A2125</f>
        <v>GB00BZ2YND85</v>
      </c>
      <c r="B2128" t="str">
        <f>VLOOKUP(NoviaFunds[[#This Row],[ISIN]],'Novia Web Query'!$A:$E,2,FALSE)</f>
        <v>Jupiter Asian Income I Acc in GB</v>
      </c>
      <c r="C2128" t="str">
        <f>VLOOKUP(NoviaFunds[[#This Row],[ISIN]],'Novia Web Query'!$A:$E,3,FALSE)</f>
        <v>UT Asia Pacific Excluding Japan</v>
      </c>
      <c r="D2128" s="139">
        <f>VLOOKUP(NoviaFunds[[#This Row],[ISIN]],'Novia Web Query'!$A:$E,4,FALSE)/100</f>
        <v>9.7999999999999997E-3</v>
      </c>
      <c r="E2128" s="3" t="str">
        <f>VLOOKUP(NoviaFunds[[#This Row],[ISIN]],'Novia Web Query'!$A:$E,5,FALSE)</f>
        <v>31/12/2020</v>
      </c>
      <c r="F2128" t="str">
        <f>VLOOKUP(NoviaFunds[[#This Row],[Sector]],Sectors[],2,FALSE)</f>
        <v>Asia Pacific</v>
      </c>
    </row>
    <row r="2129" spans="1:6" x14ac:dyDescent="0.2">
      <c r="A2129" t="str">
        <f>'Novia Web Query'!A2126</f>
        <v>GB00BZ2YMT70</v>
      </c>
      <c r="B2129" t="str">
        <f>VLOOKUP(NoviaFunds[[#This Row],[ISIN]],'Novia Web Query'!$A:$E,2,FALSE)</f>
        <v>Jupiter Asian Income I Inc TR in GB</v>
      </c>
      <c r="C2129" t="str">
        <f>VLOOKUP(NoviaFunds[[#This Row],[ISIN]],'Novia Web Query'!$A:$E,3,FALSE)</f>
        <v>UT Asia Pacific Excluding Japan</v>
      </c>
      <c r="D2129" s="139">
        <f>VLOOKUP(NoviaFunds[[#This Row],[ISIN]],'Novia Web Query'!$A:$E,4,FALSE)/100</f>
        <v>9.7999999999999997E-3</v>
      </c>
      <c r="E2129" s="3" t="str">
        <f>VLOOKUP(NoviaFunds[[#This Row],[ISIN]],'Novia Web Query'!$A:$E,5,FALSE)</f>
        <v>31/12/2020</v>
      </c>
      <c r="F2129" t="str">
        <f>VLOOKUP(NoviaFunds[[#This Row],[Sector]],Sectors[],2,FALSE)</f>
        <v>Asia Pacific</v>
      </c>
    </row>
    <row r="2130" spans="1:6" x14ac:dyDescent="0.2">
      <c r="A2130" t="str">
        <f>'Novia Web Query'!A2127</f>
        <v>GB0006662208</v>
      </c>
      <c r="B2130" t="str">
        <f>VLOOKUP(NoviaFunds[[#This Row],[ISIN]],'Novia Web Query'!$A:$E,2,FALSE)</f>
        <v>Jupiter Asian L Inc TR in GB</v>
      </c>
      <c r="C2130" t="str">
        <f>VLOOKUP(NoviaFunds[[#This Row],[ISIN]],'Novia Web Query'!$A:$E,3,FALSE)</f>
        <v>UT Asia Pacific Excluding Japan</v>
      </c>
      <c r="D2130" s="139">
        <f>VLOOKUP(NoviaFunds[[#This Row],[ISIN]],'Novia Web Query'!$A:$E,4,FALSE)/100</f>
        <v>1.7399999999999999E-2</v>
      </c>
      <c r="E2130" s="3" t="str">
        <f>VLOOKUP(NoviaFunds[[#This Row],[ISIN]],'Novia Web Query'!$A:$E,5,FALSE)</f>
        <v>31/12/2020</v>
      </c>
      <c r="F2130" t="str">
        <f>VLOOKUP(NoviaFunds[[#This Row],[Sector]],Sectors[],2,FALSE)</f>
        <v>Asia Pacific</v>
      </c>
    </row>
    <row r="2131" spans="1:6" x14ac:dyDescent="0.2">
      <c r="A2131" t="str">
        <f>'Novia Web Query'!A2128</f>
        <v>GB00B3ZPHC12</v>
      </c>
      <c r="B2131" t="str">
        <f>VLOOKUP(NoviaFunds[[#This Row],[ISIN]],'Novia Web Query'!$A:$E,2,FALSE)</f>
        <v>Jupiter China I Acc in GB</v>
      </c>
      <c r="C2131" t="str">
        <f>VLOOKUP(NoviaFunds[[#This Row],[ISIN]],'Novia Web Query'!$A:$E,3,FALSE)</f>
        <v>UT China/Greater China</v>
      </c>
      <c r="D2131" s="139">
        <f>VLOOKUP(NoviaFunds[[#This Row],[ISIN]],'Novia Web Query'!$A:$E,4,FALSE)/100</f>
        <v>9.8999999999999991E-3</v>
      </c>
      <c r="E2131" s="3" t="str">
        <f>VLOOKUP(NoviaFunds[[#This Row],[ISIN]],'Novia Web Query'!$A:$E,5,FALSE)</f>
        <v>31/12/2020</v>
      </c>
      <c r="F2131" t="str">
        <f>VLOOKUP(NoviaFunds[[#This Row],[Sector]],Sectors[],2,FALSE)</f>
        <v>Asia Pacific</v>
      </c>
    </row>
    <row r="2132" spans="1:6" x14ac:dyDescent="0.2">
      <c r="A2132" t="str">
        <f>'Novia Web Query'!A2129</f>
        <v>GB00B86PDR24</v>
      </c>
      <c r="B2132" t="str">
        <f>VLOOKUP(NoviaFunds[[#This Row],[ISIN]],'Novia Web Query'!$A:$E,2,FALSE)</f>
        <v>Jupiter China I Inc TR in GB**</v>
      </c>
      <c r="C2132" t="str">
        <f>VLOOKUP(NoviaFunds[[#This Row],[ISIN]],'Novia Web Query'!$A:$E,3,FALSE)</f>
        <v>UT China/Greater China</v>
      </c>
      <c r="D2132" s="139">
        <f>VLOOKUP(NoviaFunds[[#This Row],[ISIN]],'Novia Web Query'!$A:$E,4,FALSE)/100</f>
        <v>9.8999999999999991E-3</v>
      </c>
      <c r="E2132" s="3" t="str">
        <f>VLOOKUP(NoviaFunds[[#This Row],[ISIN]],'Novia Web Query'!$A:$E,5,FALSE)</f>
        <v>31/12/2020</v>
      </c>
      <c r="F2132" t="str">
        <f>VLOOKUP(NoviaFunds[[#This Row],[Sector]],Sectors[],2,FALSE)</f>
        <v>Asia Pacific</v>
      </c>
    </row>
    <row r="2133" spans="1:6" x14ac:dyDescent="0.2">
      <c r="A2133" t="str">
        <f>'Novia Web Query'!A2130</f>
        <v>GB00B1DTDX49</v>
      </c>
      <c r="B2133" t="str">
        <f>VLOOKUP(NoviaFunds[[#This Row],[ISIN]],'Novia Web Query'!$A:$E,2,FALSE)</f>
        <v>Jupiter China L Acc in GB</v>
      </c>
      <c r="C2133" t="str">
        <f>VLOOKUP(NoviaFunds[[#This Row],[ISIN]],'Novia Web Query'!$A:$E,3,FALSE)</f>
        <v>UT China/Greater China</v>
      </c>
      <c r="D2133" s="139">
        <f>VLOOKUP(NoviaFunds[[#This Row],[ISIN]],'Novia Web Query'!$A:$E,4,FALSE)/100</f>
        <v>1.7399999999999999E-2</v>
      </c>
      <c r="E2133" s="3" t="str">
        <f>VLOOKUP(NoviaFunds[[#This Row],[ISIN]],'Novia Web Query'!$A:$E,5,FALSE)</f>
        <v>31/12/2020</v>
      </c>
      <c r="F2133" t="str">
        <f>VLOOKUP(NoviaFunds[[#This Row],[Sector]],Sectors[],2,FALSE)</f>
        <v>Asia Pacific</v>
      </c>
    </row>
    <row r="2134" spans="1:6" x14ac:dyDescent="0.2">
      <c r="A2134" t="str">
        <f>'Novia Web Query'!A2131</f>
        <v>GB00B1DTDY55</v>
      </c>
      <c r="B2134" t="str">
        <f>VLOOKUP(NoviaFunds[[#This Row],[ISIN]],'Novia Web Query'!$A:$E,2,FALSE)</f>
        <v>Jupiter China L Inc TR in GB</v>
      </c>
      <c r="C2134" t="str">
        <f>VLOOKUP(NoviaFunds[[#This Row],[ISIN]],'Novia Web Query'!$A:$E,3,FALSE)</f>
        <v>UT China/Greater China</v>
      </c>
      <c r="D2134" s="139">
        <f>VLOOKUP(NoviaFunds[[#This Row],[ISIN]],'Novia Web Query'!$A:$E,4,FALSE)/100</f>
        <v>1.7399999999999999E-2</v>
      </c>
      <c r="E2134" s="3" t="str">
        <f>VLOOKUP(NoviaFunds[[#This Row],[ISIN]],'Novia Web Query'!$A:$E,5,FALSE)</f>
        <v>31/12/2020</v>
      </c>
      <c r="F2134" t="str">
        <f>VLOOKUP(NoviaFunds[[#This Row],[Sector]],Sectors[],2,FALSE)</f>
        <v>Asia Pacific</v>
      </c>
    </row>
    <row r="2135" spans="1:6" x14ac:dyDescent="0.2">
      <c r="A2135" t="str">
        <f>'Novia Web Query'!A2132</f>
        <v>GB00B743QD80</v>
      </c>
      <c r="B2135" t="str">
        <f>VLOOKUP(NoviaFunds[[#This Row],[ISIN]],'Novia Web Query'!$A:$E,2,FALSE)</f>
        <v>Jupiter Corporate Bond I Acc TR in GB</v>
      </c>
      <c r="C2135" t="str">
        <f>VLOOKUP(NoviaFunds[[#This Row],[ISIN]],'Novia Web Query'!$A:$E,3,FALSE)</f>
        <v>UT Sterling Corporate Bond</v>
      </c>
      <c r="D2135" s="139">
        <f>VLOOKUP(NoviaFunds[[#This Row],[ISIN]],'Novia Web Query'!$A:$E,4,FALSE)/100</f>
        <v>4.8999999999999998E-3</v>
      </c>
      <c r="E2135" s="3" t="str">
        <f>VLOOKUP(NoviaFunds[[#This Row],[ISIN]],'Novia Web Query'!$A:$E,5,FALSE)</f>
        <v>30/04/2021</v>
      </c>
      <c r="F2135" t="str">
        <f>VLOOKUP(NoviaFunds[[#This Row],[Sector]],Sectors[],2,FALSE)</f>
        <v>Sterling Corporate Bonds</v>
      </c>
    </row>
    <row r="2136" spans="1:6" x14ac:dyDescent="0.2">
      <c r="A2136" t="str">
        <f>'Novia Web Query'!A2133</f>
        <v>GB00B743QK57</v>
      </c>
      <c r="B2136" t="str">
        <f>VLOOKUP(NoviaFunds[[#This Row],[ISIN]],'Novia Web Query'!$A:$E,2,FALSE)</f>
        <v>Jupiter Corporate Bond I Inc TR in GB**</v>
      </c>
      <c r="C2136" t="str">
        <f>VLOOKUP(NoviaFunds[[#This Row],[ISIN]],'Novia Web Query'!$A:$E,3,FALSE)</f>
        <v>UT Sterling Corporate Bond</v>
      </c>
      <c r="D2136" s="139">
        <f>VLOOKUP(NoviaFunds[[#This Row],[ISIN]],'Novia Web Query'!$A:$E,4,FALSE)/100</f>
        <v>4.8999999999999998E-3</v>
      </c>
      <c r="E2136" s="3" t="str">
        <f>VLOOKUP(NoviaFunds[[#This Row],[ISIN]],'Novia Web Query'!$A:$E,5,FALSE)</f>
        <v>30/04/2021</v>
      </c>
      <c r="F2136" t="str">
        <f>VLOOKUP(NoviaFunds[[#This Row],[Sector]],Sectors[],2,FALSE)</f>
        <v>Sterling Corporate Bonds</v>
      </c>
    </row>
    <row r="2137" spans="1:6" x14ac:dyDescent="0.2">
      <c r="A2137" t="str">
        <f>'Novia Web Query'!A2134</f>
        <v>GB0002691805</v>
      </c>
      <c r="B2137" t="str">
        <f>VLOOKUP(NoviaFunds[[#This Row],[ISIN]],'Novia Web Query'!$A:$E,2,FALSE)</f>
        <v>Jupiter Corporate Bond L Inc TR in GB</v>
      </c>
      <c r="C2137" t="str">
        <f>VLOOKUP(NoviaFunds[[#This Row],[ISIN]],'Novia Web Query'!$A:$E,3,FALSE)</f>
        <v>UT Sterling Corporate Bond</v>
      </c>
      <c r="D2137" s="139">
        <f>VLOOKUP(NoviaFunds[[#This Row],[ISIN]],'Novia Web Query'!$A:$E,4,FALSE)/100</f>
        <v>1.09E-2</v>
      </c>
      <c r="E2137" s="3" t="str">
        <f>VLOOKUP(NoviaFunds[[#This Row],[ISIN]],'Novia Web Query'!$A:$E,5,FALSE)</f>
        <v>30/04/2021</v>
      </c>
      <c r="F2137" t="str">
        <f>VLOOKUP(NoviaFunds[[#This Row],[Sector]],Sectors[],2,FALSE)</f>
        <v>Sterling Corporate Bonds</v>
      </c>
    </row>
    <row r="2138" spans="1:6" x14ac:dyDescent="0.2">
      <c r="A2138" t="str">
        <f>'Novia Web Query'!A2135</f>
        <v>GB00B4KLC262</v>
      </c>
      <c r="B2138" t="str">
        <f>VLOOKUP(NoviaFunds[[#This Row],[ISIN]],'Novia Web Query'!$A:$E,2,FALSE)</f>
        <v>Jupiter Ecology I Acc TR in GB</v>
      </c>
      <c r="C2138" t="str">
        <f>VLOOKUP(NoviaFunds[[#This Row],[ISIN]],'Novia Web Query'!$A:$E,3,FALSE)</f>
        <v>UT Global</v>
      </c>
      <c r="D2138" s="139">
        <f>VLOOKUP(NoviaFunds[[#This Row],[ISIN]],'Novia Web Query'!$A:$E,4,FALSE)/100</f>
        <v>7.8000000000000005E-3</v>
      </c>
      <c r="E2138" s="3" t="str">
        <f>VLOOKUP(NoviaFunds[[#This Row],[ISIN]],'Novia Web Query'!$A:$E,5,FALSE)</f>
        <v>31/12/2020</v>
      </c>
      <c r="F2138" t="str">
        <f>VLOOKUP(NoviaFunds[[#This Row],[Sector]],Sectors[],2,FALSE)</f>
        <v>Other Equities</v>
      </c>
    </row>
    <row r="2139" spans="1:6" x14ac:dyDescent="0.2">
      <c r="A2139" t="str">
        <f>'Novia Web Query'!A2136</f>
        <v>GB00B7W6PR65</v>
      </c>
      <c r="B2139" t="str">
        <f>VLOOKUP(NoviaFunds[[#This Row],[ISIN]],'Novia Web Query'!$A:$E,2,FALSE)</f>
        <v>Jupiter Ecology I Inc TR in GB**</v>
      </c>
      <c r="C2139" t="str">
        <f>VLOOKUP(NoviaFunds[[#This Row],[ISIN]],'Novia Web Query'!$A:$E,3,FALSE)</f>
        <v>UT Global</v>
      </c>
      <c r="D2139" s="139">
        <f>VLOOKUP(NoviaFunds[[#This Row],[ISIN]],'Novia Web Query'!$A:$E,4,FALSE)/100</f>
        <v>7.8000000000000005E-3</v>
      </c>
      <c r="E2139" s="3" t="str">
        <f>VLOOKUP(NoviaFunds[[#This Row],[ISIN]],'Novia Web Query'!$A:$E,5,FALSE)</f>
        <v>31/12/2020</v>
      </c>
      <c r="F2139" t="str">
        <f>VLOOKUP(NoviaFunds[[#This Row],[Sector]],Sectors[],2,FALSE)</f>
        <v>Other Equities</v>
      </c>
    </row>
    <row r="2140" spans="1:6" x14ac:dyDescent="0.2">
      <c r="A2140" t="str">
        <f>'Novia Web Query'!A2137</f>
        <v>GB0005812150</v>
      </c>
      <c r="B2140" t="str">
        <f>VLOOKUP(NoviaFunds[[#This Row],[ISIN]],'Novia Web Query'!$A:$E,2,FALSE)</f>
        <v>Jupiter Ecology L Inc TR in GB</v>
      </c>
      <c r="C2140" t="str">
        <f>VLOOKUP(NoviaFunds[[#This Row],[ISIN]],'Novia Web Query'!$A:$E,3,FALSE)</f>
        <v>UT Global</v>
      </c>
      <c r="D2140" s="139">
        <f>VLOOKUP(NoviaFunds[[#This Row],[ISIN]],'Novia Web Query'!$A:$E,4,FALSE)/100</f>
        <v>1.6799999999999999E-2</v>
      </c>
      <c r="E2140" s="3" t="str">
        <f>VLOOKUP(NoviaFunds[[#This Row],[ISIN]],'Novia Web Query'!$A:$E,5,FALSE)</f>
        <v>31/12/2020</v>
      </c>
      <c r="F2140" t="str">
        <f>VLOOKUP(NoviaFunds[[#This Row],[Sector]],Sectors[],2,FALSE)</f>
        <v>Other Equities</v>
      </c>
    </row>
    <row r="2141" spans="1:6" x14ac:dyDescent="0.2">
      <c r="A2141" t="str">
        <f>'Novia Web Query'!A2138</f>
        <v>GB00B45MWP75</v>
      </c>
      <c r="B2141" t="str">
        <f>VLOOKUP(NoviaFunds[[#This Row],[ISIN]],'Novia Web Query'!$A:$E,2,FALSE)</f>
        <v>Jupiter Emerging European Opportunities I Acc in GB</v>
      </c>
      <c r="C2141" t="str">
        <f>VLOOKUP(NoviaFunds[[#This Row],[ISIN]],'Novia Web Query'!$A:$E,3,FALSE)</f>
        <v>UT Specialist</v>
      </c>
      <c r="D2141" s="139">
        <f>VLOOKUP(NoviaFunds[[#This Row],[ISIN]],'Novia Web Query'!$A:$E,4,FALSE)/100</f>
        <v>9.8999999999999991E-3</v>
      </c>
      <c r="E2141" s="3" t="str">
        <f>VLOOKUP(NoviaFunds[[#This Row],[ISIN]],'Novia Web Query'!$A:$E,5,FALSE)</f>
        <v>31/12/2020</v>
      </c>
      <c r="F2141" t="str">
        <f>VLOOKUP(NoviaFunds[[#This Row],[Sector]],Sectors[],2,FALSE)</f>
        <v>Specialist</v>
      </c>
    </row>
    <row r="2142" spans="1:6" x14ac:dyDescent="0.2">
      <c r="A2142" t="str">
        <f>'Novia Web Query'!A2139</f>
        <v>GB0031862534</v>
      </c>
      <c r="B2142" t="str">
        <f>VLOOKUP(NoviaFunds[[#This Row],[ISIN]],'Novia Web Query'!$A:$E,2,FALSE)</f>
        <v>Jupiter Emerging European Opportunities L Acc in GB</v>
      </c>
      <c r="C2142" t="str">
        <f>VLOOKUP(NoviaFunds[[#This Row],[ISIN]],'Novia Web Query'!$A:$E,3,FALSE)</f>
        <v>UT Specialist</v>
      </c>
      <c r="D2142" s="139">
        <f>VLOOKUP(NoviaFunds[[#This Row],[ISIN]],'Novia Web Query'!$A:$E,4,FALSE)/100</f>
        <v>1.7399999999999999E-2</v>
      </c>
      <c r="E2142" s="3" t="str">
        <f>VLOOKUP(NoviaFunds[[#This Row],[ISIN]],'Novia Web Query'!$A:$E,5,FALSE)</f>
        <v>31/12/2020</v>
      </c>
      <c r="F2142" t="str">
        <f>VLOOKUP(NoviaFunds[[#This Row],[Sector]],Sectors[],2,FALSE)</f>
        <v>Specialist</v>
      </c>
    </row>
    <row r="2143" spans="1:6" x14ac:dyDescent="0.2">
      <c r="A2143" t="str">
        <f>'Novia Web Query'!A2140</f>
        <v>GB00B5STJW84</v>
      </c>
      <c r="B2143" t="str">
        <f>VLOOKUP(NoviaFunds[[#This Row],[ISIN]],'Novia Web Query'!$A:$E,2,FALSE)</f>
        <v>Jupiter European I Acc TR in GB</v>
      </c>
      <c r="C2143" t="str">
        <f>VLOOKUP(NoviaFunds[[#This Row],[ISIN]],'Novia Web Query'!$A:$E,3,FALSE)</f>
        <v>UT Europe Excluding UK</v>
      </c>
      <c r="D2143" s="139">
        <f>VLOOKUP(NoviaFunds[[#This Row],[ISIN]],'Novia Web Query'!$A:$E,4,FALSE)/100</f>
        <v>9.8999999999999991E-3</v>
      </c>
      <c r="E2143" s="3" t="str">
        <f>VLOOKUP(NoviaFunds[[#This Row],[ISIN]],'Novia Web Query'!$A:$E,5,FALSE)</f>
        <v>31/12/2020</v>
      </c>
      <c r="F2143" t="str">
        <f>VLOOKUP(NoviaFunds[[#This Row],[Sector]],Sectors[],2,FALSE)</f>
        <v>European Equities</v>
      </c>
    </row>
    <row r="2144" spans="1:6" x14ac:dyDescent="0.2">
      <c r="A2144" t="str">
        <f>'Novia Web Query'!A2141</f>
        <v>GB00B4NVSH01</v>
      </c>
      <c r="B2144" t="str">
        <f>VLOOKUP(NoviaFunds[[#This Row],[ISIN]],'Novia Web Query'!$A:$E,2,FALSE)</f>
        <v>Jupiter European I Inc TR in GB**</v>
      </c>
      <c r="C2144" t="str">
        <f>VLOOKUP(NoviaFunds[[#This Row],[ISIN]],'Novia Web Query'!$A:$E,3,FALSE)</f>
        <v>UT Europe Excluding UK</v>
      </c>
      <c r="D2144" s="139">
        <f>VLOOKUP(NoviaFunds[[#This Row],[ISIN]],'Novia Web Query'!$A:$E,4,FALSE)/100</f>
        <v>9.8999999999999991E-3</v>
      </c>
      <c r="E2144" s="3" t="str">
        <f>VLOOKUP(NoviaFunds[[#This Row],[ISIN]],'Novia Web Query'!$A:$E,5,FALSE)</f>
        <v>31/12/2020</v>
      </c>
      <c r="F2144" t="str">
        <f>VLOOKUP(NoviaFunds[[#This Row],[Sector]],Sectors[],2,FALSE)</f>
        <v>European Equities</v>
      </c>
    </row>
    <row r="2145" spans="1:6" x14ac:dyDescent="0.2">
      <c r="A2145" t="str">
        <f>'Novia Web Query'!A2142</f>
        <v>GB00B6QMYW18</v>
      </c>
      <c r="B2145" t="str">
        <f>VLOOKUP(NoviaFunds[[#This Row],[ISIN]],'Novia Web Query'!$A:$E,2,FALSE)</f>
        <v>Jupiter European Income I Acc in GB</v>
      </c>
      <c r="C2145" t="str">
        <f>VLOOKUP(NoviaFunds[[#This Row],[ISIN]],'Novia Web Query'!$A:$E,3,FALSE)</f>
        <v>UT Europe Excluding UK</v>
      </c>
      <c r="D2145" s="139">
        <f>VLOOKUP(NoviaFunds[[#This Row],[ISIN]],'Novia Web Query'!$A:$E,4,FALSE)/100</f>
        <v>9.8999999999999991E-3</v>
      </c>
      <c r="E2145" s="3" t="str">
        <f>VLOOKUP(NoviaFunds[[#This Row],[ISIN]],'Novia Web Query'!$A:$E,5,FALSE)</f>
        <v>31/12/2020</v>
      </c>
      <c r="F2145" t="str">
        <f>VLOOKUP(NoviaFunds[[#This Row],[Sector]],Sectors[],2,FALSE)</f>
        <v>European Equities</v>
      </c>
    </row>
    <row r="2146" spans="1:6" x14ac:dyDescent="0.2">
      <c r="A2146" t="str">
        <f>'Novia Web Query'!A2143</f>
        <v>GB00B5BJPR27</v>
      </c>
      <c r="B2146" t="str">
        <f>VLOOKUP(NoviaFunds[[#This Row],[ISIN]],'Novia Web Query'!$A:$E,2,FALSE)</f>
        <v>Jupiter European Income I Inc TR in GB**</v>
      </c>
      <c r="C2146" t="str">
        <f>VLOOKUP(NoviaFunds[[#This Row],[ISIN]],'Novia Web Query'!$A:$E,3,FALSE)</f>
        <v>UT Europe Excluding UK</v>
      </c>
      <c r="D2146" s="139">
        <f>VLOOKUP(NoviaFunds[[#This Row],[ISIN]],'Novia Web Query'!$A:$E,4,FALSE)/100</f>
        <v>9.8999999999999991E-3</v>
      </c>
      <c r="E2146" s="3" t="str">
        <f>VLOOKUP(NoviaFunds[[#This Row],[ISIN]],'Novia Web Query'!$A:$E,5,FALSE)</f>
        <v>31/12/2020</v>
      </c>
      <c r="F2146" t="str">
        <f>VLOOKUP(NoviaFunds[[#This Row],[Sector]],Sectors[],2,FALSE)</f>
        <v>European Equities</v>
      </c>
    </row>
    <row r="2147" spans="1:6" x14ac:dyDescent="0.2">
      <c r="A2147" t="str">
        <f>'Novia Web Query'!A2144</f>
        <v>GB00B1VV2H94</v>
      </c>
      <c r="B2147" t="str">
        <f>VLOOKUP(NoviaFunds[[#This Row],[ISIN]],'Novia Web Query'!$A:$E,2,FALSE)</f>
        <v>Jupiter European Income L Acc in GB</v>
      </c>
      <c r="C2147" t="str">
        <f>VLOOKUP(NoviaFunds[[#This Row],[ISIN]],'Novia Web Query'!$A:$E,3,FALSE)</f>
        <v>UT Europe Excluding UK</v>
      </c>
      <c r="D2147" s="139">
        <f>VLOOKUP(NoviaFunds[[#This Row],[ISIN]],'Novia Web Query'!$A:$E,4,FALSE)/100</f>
        <v>1.7399999999999999E-2</v>
      </c>
      <c r="E2147" s="3" t="str">
        <f>VLOOKUP(NoviaFunds[[#This Row],[ISIN]],'Novia Web Query'!$A:$E,5,FALSE)</f>
        <v>31/12/2020</v>
      </c>
      <c r="F2147" t="str">
        <f>VLOOKUP(NoviaFunds[[#This Row],[Sector]],Sectors[],2,FALSE)</f>
        <v>European Equities</v>
      </c>
    </row>
    <row r="2148" spans="1:6" x14ac:dyDescent="0.2">
      <c r="A2148" t="str">
        <f>'Novia Web Query'!A2145</f>
        <v>GB00B1VV2K24</v>
      </c>
      <c r="B2148" t="str">
        <f>VLOOKUP(NoviaFunds[[#This Row],[ISIN]],'Novia Web Query'!$A:$E,2,FALSE)</f>
        <v>Jupiter European Income L Inc TR in GB</v>
      </c>
      <c r="C2148" t="str">
        <f>VLOOKUP(NoviaFunds[[#This Row],[ISIN]],'Novia Web Query'!$A:$E,3,FALSE)</f>
        <v>UT Europe Excluding UK</v>
      </c>
      <c r="D2148" s="139">
        <f>VLOOKUP(NoviaFunds[[#This Row],[ISIN]],'Novia Web Query'!$A:$E,4,FALSE)/100</f>
        <v>1.7399999999999999E-2</v>
      </c>
      <c r="E2148" s="3" t="str">
        <f>VLOOKUP(NoviaFunds[[#This Row],[ISIN]],'Novia Web Query'!$A:$E,5,FALSE)</f>
        <v>31/12/2020</v>
      </c>
      <c r="F2148" t="str">
        <f>VLOOKUP(NoviaFunds[[#This Row],[Sector]],Sectors[],2,FALSE)</f>
        <v>European Equities</v>
      </c>
    </row>
    <row r="2149" spans="1:6" x14ac:dyDescent="0.2">
      <c r="A2149" t="str">
        <f>'Novia Web Query'!A2146</f>
        <v>GB0006664683</v>
      </c>
      <c r="B2149" t="str">
        <f>VLOOKUP(NoviaFunds[[#This Row],[ISIN]],'Novia Web Query'!$A:$E,2,FALSE)</f>
        <v>Jupiter European L Inc TR in GB</v>
      </c>
      <c r="C2149" t="str">
        <f>VLOOKUP(NoviaFunds[[#This Row],[ISIN]],'Novia Web Query'!$A:$E,3,FALSE)</f>
        <v>UT Europe Excluding UK</v>
      </c>
      <c r="D2149" s="139">
        <f>VLOOKUP(NoviaFunds[[#This Row],[ISIN]],'Novia Web Query'!$A:$E,4,FALSE)/100</f>
        <v>1.7399999999999999E-2</v>
      </c>
      <c r="E2149" s="3" t="str">
        <f>VLOOKUP(NoviaFunds[[#This Row],[ISIN]],'Novia Web Query'!$A:$E,5,FALSE)</f>
        <v>31/12/2020</v>
      </c>
      <c r="F2149" t="str">
        <f>VLOOKUP(NoviaFunds[[#This Row],[Sector]],Sectors[],2,FALSE)</f>
        <v>European Equities</v>
      </c>
    </row>
    <row r="2150" spans="1:6" x14ac:dyDescent="0.2">
      <c r="A2150" t="str">
        <f>'Novia Web Query'!A2147</f>
        <v>GB00B60WTT90</v>
      </c>
      <c r="B2150" t="str">
        <f>VLOOKUP(NoviaFunds[[#This Row],[ISIN]],'Novia Web Query'!$A:$E,2,FALSE)</f>
        <v>Jupiter European Special Situations I Acc in GB</v>
      </c>
      <c r="C2150" t="str">
        <f>VLOOKUP(NoviaFunds[[#This Row],[ISIN]],'Novia Web Query'!$A:$E,3,FALSE)</f>
        <v>UT Europe Excluding UK</v>
      </c>
      <c r="D2150" s="139">
        <f>VLOOKUP(NoviaFunds[[#This Row],[ISIN]],'Novia Web Query'!$A:$E,4,FALSE)/100</f>
        <v>9.8999999999999991E-3</v>
      </c>
      <c r="E2150" s="3" t="str">
        <f>VLOOKUP(NoviaFunds[[#This Row],[ISIN]],'Novia Web Query'!$A:$E,5,FALSE)</f>
        <v>31/12/2020</v>
      </c>
      <c r="F2150" t="str">
        <f>VLOOKUP(NoviaFunds[[#This Row],[Sector]],Sectors[],2,FALSE)</f>
        <v>European Equities</v>
      </c>
    </row>
    <row r="2151" spans="1:6" x14ac:dyDescent="0.2">
      <c r="A2151" t="str">
        <f>'Novia Web Query'!A2148</f>
        <v>GB0004911540</v>
      </c>
      <c r="B2151" t="str">
        <f>VLOOKUP(NoviaFunds[[#This Row],[ISIN]],'Novia Web Query'!$A:$E,2,FALSE)</f>
        <v>Jupiter European Special Situations L Acc in GB</v>
      </c>
      <c r="C2151" t="str">
        <f>VLOOKUP(NoviaFunds[[#This Row],[ISIN]],'Novia Web Query'!$A:$E,3,FALSE)</f>
        <v>UT Europe Excluding UK</v>
      </c>
      <c r="D2151" s="139">
        <f>VLOOKUP(NoviaFunds[[#This Row],[ISIN]],'Novia Web Query'!$A:$E,4,FALSE)/100</f>
        <v>1.7399999999999999E-2</v>
      </c>
      <c r="E2151" s="3" t="str">
        <f>VLOOKUP(NoviaFunds[[#This Row],[ISIN]],'Novia Web Query'!$A:$E,5,FALSE)</f>
        <v>31/12/2020</v>
      </c>
      <c r="F2151" t="str">
        <f>VLOOKUP(NoviaFunds[[#This Row],[Sector]],Sectors[],2,FALSE)</f>
        <v>European Equities</v>
      </c>
    </row>
    <row r="2152" spans="1:6" x14ac:dyDescent="0.2">
      <c r="A2152" t="str">
        <f>'Novia Web Query'!A2149</f>
        <v>GB00B5LG4657</v>
      </c>
      <c r="B2152" t="str">
        <f>VLOOKUP(NoviaFunds[[#This Row],[ISIN]],'Novia Web Query'!$A:$E,2,FALSE)</f>
        <v>Jupiter Financial Opportunities I Acc TR in GB</v>
      </c>
      <c r="C2152" t="str">
        <f>VLOOKUP(NoviaFunds[[#This Row],[ISIN]],'Novia Web Query'!$A:$E,3,FALSE)</f>
        <v>UT Financials and Financial Innovat</v>
      </c>
      <c r="D2152" s="139">
        <f>VLOOKUP(NoviaFunds[[#This Row],[ISIN]],'Novia Web Query'!$A:$E,4,FALSE)/100</f>
        <v>9.7999999999999997E-3</v>
      </c>
      <c r="E2152" s="3" t="str">
        <f>VLOOKUP(NoviaFunds[[#This Row],[ISIN]],'Novia Web Query'!$A:$E,5,FALSE)</f>
        <v>31/12/2020</v>
      </c>
      <c r="F2152" t="e">
        <f>VLOOKUP(NoviaFunds[[#This Row],[Sector]],Sectors[],2,FALSE)</f>
        <v>#N/A</v>
      </c>
    </row>
    <row r="2153" spans="1:6" x14ac:dyDescent="0.2">
      <c r="A2153" t="str">
        <f>'Novia Web Query'!A2150</f>
        <v>GB00B8JYV946</v>
      </c>
      <c r="B2153" t="str">
        <f>VLOOKUP(NoviaFunds[[#This Row],[ISIN]],'Novia Web Query'!$A:$E,2,FALSE)</f>
        <v>Jupiter Financial Opportunities I Inc TR in GB**</v>
      </c>
      <c r="C2153" t="str">
        <f>VLOOKUP(NoviaFunds[[#This Row],[ISIN]],'Novia Web Query'!$A:$E,3,FALSE)</f>
        <v>UT Financials and Financial Innovat</v>
      </c>
      <c r="D2153" s="139">
        <f>VLOOKUP(NoviaFunds[[#This Row],[ISIN]],'Novia Web Query'!$A:$E,4,FALSE)/100</f>
        <v>9.7999999999999997E-3</v>
      </c>
      <c r="E2153" s="3" t="str">
        <f>VLOOKUP(NoviaFunds[[#This Row],[ISIN]],'Novia Web Query'!$A:$E,5,FALSE)</f>
        <v>31/12/2020</v>
      </c>
      <c r="F2153" t="e">
        <f>VLOOKUP(NoviaFunds[[#This Row],[Sector]],Sectors[],2,FALSE)</f>
        <v>#N/A</v>
      </c>
    </row>
    <row r="2154" spans="1:6" x14ac:dyDescent="0.2">
      <c r="A2154" t="str">
        <f>'Novia Web Query'!A2151</f>
        <v>GB0004790191</v>
      </c>
      <c r="B2154" t="str">
        <f>VLOOKUP(NoviaFunds[[#This Row],[ISIN]],'Novia Web Query'!$A:$E,2,FALSE)</f>
        <v>Jupiter Financial Opportunities L Inc TR in GB</v>
      </c>
      <c r="C2154" t="str">
        <f>VLOOKUP(NoviaFunds[[#This Row],[ISIN]],'Novia Web Query'!$A:$E,3,FALSE)</f>
        <v>UT Financials and Financial Innovat</v>
      </c>
      <c r="D2154" s="139">
        <f>VLOOKUP(NoviaFunds[[#This Row],[ISIN]],'Novia Web Query'!$A:$E,4,FALSE)/100</f>
        <v>1.7299999999999999E-2</v>
      </c>
      <c r="E2154" s="3" t="str">
        <f>VLOOKUP(NoviaFunds[[#This Row],[ISIN]],'Novia Web Query'!$A:$E,5,FALSE)</f>
        <v>31/12/2020</v>
      </c>
      <c r="F2154" t="e">
        <f>VLOOKUP(NoviaFunds[[#This Row],[Sector]],Sectors[],2,FALSE)</f>
        <v>#N/A</v>
      </c>
    </row>
    <row r="2155" spans="1:6" x14ac:dyDescent="0.2">
      <c r="A2155" t="str">
        <f>'Novia Web Query'!A2152</f>
        <v>GB00B6Q84T67</v>
      </c>
      <c r="B2155" t="str">
        <f>VLOOKUP(NoviaFunds[[#This Row],[ISIN]],'Novia Web Query'!$A:$E,2,FALSE)</f>
        <v>Jupiter Flexible Macro I Acc in GB</v>
      </c>
      <c r="C2155" t="str">
        <f>VLOOKUP(NoviaFunds[[#This Row],[ISIN]],'Novia Web Query'!$A:$E,3,FALSE)</f>
        <v>UT Targeted Absolute Return</v>
      </c>
      <c r="D2155" s="139">
        <f>VLOOKUP(NoviaFunds[[#This Row],[ISIN]],'Novia Web Query'!$A:$E,4,FALSE)/100</f>
        <v>8.5000000000000006E-3</v>
      </c>
      <c r="E2155" s="3" t="str">
        <f>VLOOKUP(NoviaFunds[[#This Row],[ISIN]],'Novia Web Query'!$A:$E,5,FALSE)</f>
        <v>31/12/2020</v>
      </c>
      <c r="F2155" t="str">
        <f>VLOOKUP(NoviaFunds[[#This Row],[Sector]],Sectors[],2,FALSE)</f>
        <v>Absolute Return</v>
      </c>
    </row>
    <row r="2156" spans="1:6" x14ac:dyDescent="0.2">
      <c r="A2156" t="str">
        <f>'Novia Web Query'!A2153</f>
        <v>GB00B5129B32</v>
      </c>
      <c r="B2156" t="str">
        <f>VLOOKUP(NoviaFunds[[#This Row],[ISIN]],'Novia Web Query'!$A:$E,2,FALSE)</f>
        <v>Jupiter Flexible Macro L Acc in GB</v>
      </c>
      <c r="C2156" t="str">
        <f>VLOOKUP(NoviaFunds[[#This Row],[ISIN]],'Novia Web Query'!$A:$E,3,FALSE)</f>
        <v>UT Targeted Absolute Return</v>
      </c>
      <c r="D2156" s="139">
        <f>VLOOKUP(NoviaFunds[[#This Row],[ISIN]],'Novia Web Query'!$A:$E,4,FALSE)/100</f>
        <v>1.47E-2</v>
      </c>
      <c r="E2156" s="3" t="str">
        <f>VLOOKUP(NoviaFunds[[#This Row],[ISIN]],'Novia Web Query'!$A:$E,5,FALSE)</f>
        <v>31/12/2020</v>
      </c>
      <c r="F2156" t="str">
        <f>VLOOKUP(NoviaFunds[[#This Row],[Sector]],Sectors[],2,FALSE)</f>
        <v>Absolute Return</v>
      </c>
    </row>
    <row r="2157" spans="1:6" x14ac:dyDescent="0.2">
      <c r="A2157" t="str">
        <f>'Novia Web Query'!A2154</f>
        <v>GB00B6R1VR15</v>
      </c>
      <c r="B2157" t="str">
        <f>VLOOKUP(NoviaFunds[[#This Row],[ISIN]],'Novia Web Query'!$A:$E,2,FALSE)</f>
        <v>Jupiter Fund of Investment Trusts I Acc TR in GB</v>
      </c>
      <c r="C2157" t="str">
        <f>VLOOKUP(NoviaFunds[[#This Row],[ISIN]],'Novia Web Query'!$A:$E,3,FALSE)</f>
        <v>UT Global</v>
      </c>
      <c r="D2157" s="139">
        <f>VLOOKUP(NoviaFunds[[#This Row],[ISIN]],'Novia Web Query'!$A:$E,4,FALSE)/100</f>
        <v>9.8999999999999991E-3</v>
      </c>
      <c r="E2157" s="3" t="str">
        <f>VLOOKUP(NoviaFunds[[#This Row],[ISIN]],'Novia Web Query'!$A:$E,5,FALSE)</f>
        <v>31/12/2020</v>
      </c>
      <c r="F2157" t="str">
        <f>VLOOKUP(NoviaFunds[[#This Row],[Sector]],Sectors[],2,FALSE)</f>
        <v>Other Equities</v>
      </c>
    </row>
    <row r="2158" spans="1:6" x14ac:dyDescent="0.2">
      <c r="A2158" t="str">
        <f>'Novia Web Query'!A2155</f>
        <v>GB00B8JWSG45</v>
      </c>
      <c r="B2158" t="str">
        <f>VLOOKUP(NoviaFunds[[#This Row],[ISIN]],'Novia Web Query'!$A:$E,2,FALSE)</f>
        <v>Jupiter Fund of Investment Trusts I Inc TR in GB**</v>
      </c>
      <c r="C2158" t="str">
        <f>VLOOKUP(NoviaFunds[[#This Row],[ISIN]],'Novia Web Query'!$A:$E,3,FALSE)</f>
        <v>UT Global</v>
      </c>
      <c r="D2158" s="139">
        <f>VLOOKUP(NoviaFunds[[#This Row],[ISIN]],'Novia Web Query'!$A:$E,4,FALSE)/100</f>
        <v>9.8999999999999991E-3</v>
      </c>
      <c r="E2158" s="3" t="str">
        <f>VLOOKUP(NoviaFunds[[#This Row],[ISIN]],'Novia Web Query'!$A:$E,5,FALSE)</f>
        <v>31/12/2020</v>
      </c>
      <c r="F2158" t="str">
        <f>VLOOKUP(NoviaFunds[[#This Row],[Sector]],Sectors[],2,FALSE)</f>
        <v>Other Equities</v>
      </c>
    </row>
    <row r="2159" spans="1:6" x14ac:dyDescent="0.2">
      <c r="A2159" t="str">
        <f>'Novia Web Query'!A2156</f>
        <v>GB0004795034</v>
      </c>
      <c r="B2159" t="str">
        <f>VLOOKUP(NoviaFunds[[#This Row],[ISIN]],'Novia Web Query'!$A:$E,2,FALSE)</f>
        <v>Jupiter Fund of Investment Trusts L Inc TR in GB</v>
      </c>
      <c r="C2159" t="str">
        <f>VLOOKUP(NoviaFunds[[#This Row],[ISIN]],'Novia Web Query'!$A:$E,3,FALSE)</f>
        <v>UT Global</v>
      </c>
      <c r="D2159" s="139">
        <f>VLOOKUP(NoviaFunds[[#This Row],[ISIN]],'Novia Web Query'!$A:$E,4,FALSE)/100</f>
        <v>1.7399999999999999E-2</v>
      </c>
      <c r="E2159" s="3" t="str">
        <f>VLOOKUP(NoviaFunds[[#This Row],[ISIN]],'Novia Web Query'!$A:$E,5,FALSE)</f>
        <v>31/12/2020</v>
      </c>
      <c r="F2159" t="str">
        <f>VLOOKUP(NoviaFunds[[#This Row],[Sector]],Sectors[],2,FALSE)</f>
        <v>Other Equities</v>
      </c>
    </row>
    <row r="2160" spans="1:6" x14ac:dyDescent="0.2">
      <c r="A2160" t="str">
        <f>'Novia Web Query'!A2157</f>
        <v>GB00B4PF5918</v>
      </c>
      <c r="B2160" t="str">
        <f>VLOOKUP(NoviaFunds[[#This Row],[ISIN]],'Novia Web Query'!$A:$E,2,FALSE)</f>
        <v>Jupiter Global Emerging Markets I Acc in GB</v>
      </c>
      <c r="C2160" t="str">
        <f>VLOOKUP(NoviaFunds[[#This Row],[ISIN]],'Novia Web Query'!$A:$E,3,FALSE)</f>
        <v>UT Global Emerging Markets</v>
      </c>
      <c r="D2160" s="139">
        <f>VLOOKUP(NoviaFunds[[#This Row],[ISIN]],'Novia Web Query'!$A:$E,4,FALSE)/100</f>
        <v>9.8999999999999991E-3</v>
      </c>
      <c r="E2160" s="3" t="str">
        <f>VLOOKUP(NoviaFunds[[#This Row],[ISIN]],'Novia Web Query'!$A:$E,5,FALSE)</f>
        <v>31/12/2020</v>
      </c>
      <c r="F2160" t="str">
        <f>VLOOKUP(NoviaFunds[[#This Row],[Sector]],Sectors[],2,FALSE)</f>
        <v>Emerging Markets</v>
      </c>
    </row>
    <row r="2161" spans="1:6" x14ac:dyDescent="0.2">
      <c r="A2161" t="str">
        <f>'Novia Web Query'!A2158</f>
        <v>GB00B6QGZ083</v>
      </c>
      <c r="B2161" t="str">
        <f>VLOOKUP(NoviaFunds[[#This Row],[ISIN]],'Novia Web Query'!$A:$E,2,FALSE)</f>
        <v>Jupiter Global Emerging Markets I Inc TR in GB**</v>
      </c>
      <c r="C2161" t="str">
        <f>VLOOKUP(NoviaFunds[[#This Row],[ISIN]],'Novia Web Query'!$A:$E,3,FALSE)</f>
        <v>UT Global Emerging Markets</v>
      </c>
      <c r="D2161" s="139">
        <f>VLOOKUP(NoviaFunds[[#This Row],[ISIN]],'Novia Web Query'!$A:$E,4,FALSE)/100</f>
        <v>9.8999999999999991E-3</v>
      </c>
      <c r="E2161" s="3" t="str">
        <f>VLOOKUP(NoviaFunds[[#This Row],[ISIN]],'Novia Web Query'!$A:$E,5,FALSE)</f>
        <v>31/12/2020</v>
      </c>
      <c r="F2161" t="str">
        <f>VLOOKUP(NoviaFunds[[#This Row],[Sector]],Sectors[],2,FALSE)</f>
        <v>Emerging Markets</v>
      </c>
    </row>
    <row r="2162" spans="1:6" x14ac:dyDescent="0.2">
      <c r="A2162" t="str">
        <f>'Novia Web Query'!A2159</f>
        <v>GB00B4JVHP59</v>
      </c>
      <c r="B2162" t="str">
        <f>VLOOKUP(NoviaFunds[[#This Row],[ISIN]],'Novia Web Query'!$A:$E,2,FALSE)</f>
        <v>Jupiter Global Emerging Markets L Acc in GB</v>
      </c>
      <c r="C2162" t="str">
        <f>VLOOKUP(NoviaFunds[[#This Row],[ISIN]],'Novia Web Query'!$A:$E,3,FALSE)</f>
        <v>UT Global Emerging Markets</v>
      </c>
      <c r="D2162" s="139">
        <f>VLOOKUP(NoviaFunds[[#This Row],[ISIN]],'Novia Web Query'!$A:$E,4,FALSE)/100</f>
        <v>1.7399999999999999E-2</v>
      </c>
      <c r="E2162" s="3" t="str">
        <f>VLOOKUP(NoviaFunds[[#This Row],[ISIN]],'Novia Web Query'!$A:$E,5,FALSE)</f>
        <v>31/12/2020</v>
      </c>
      <c r="F2162" t="str">
        <f>VLOOKUP(NoviaFunds[[#This Row],[Sector]],Sectors[],2,FALSE)</f>
        <v>Emerging Markets</v>
      </c>
    </row>
    <row r="2163" spans="1:6" x14ac:dyDescent="0.2">
      <c r="A2163" t="str">
        <f>'Novia Web Query'!A2160</f>
        <v>GB00B9CGQG68</v>
      </c>
      <c r="B2163" t="str">
        <f>VLOOKUP(NoviaFunds[[#This Row],[ISIN]],'Novia Web Query'!$A:$E,2,FALSE)</f>
        <v>Jupiter Global Equity Income I Acc in GB</v>
      </c>
      <c r="C2163" t="str">
        <f>VLOOKUP(NoviaFunds[[#This Row],[ISIN]],'Novia Web Query'!$A:$E,3,FALSE)</f>
        <v>UT Global Equity Income</v>
      </c>
      <c r="D2163" s="139">
        <f>VLOOKUP(NoviaFunds[[#This Row],[ISIN]],'Novia Web Query'!$A:$E,4,FALSE)/100</f>
        <v>9.8999999999999991E-3</v>
      </c>
      <c r="E2163" s="3" t="str">
        <f>VLOOKUP(NoviaFunds[[#This Row],[ISIN]],'Novia Web Query'!$A:$E,5,FALSE)</f>
        <v>31/12/2020</v>
      </c>
      <c r="F2163" t="str">
        <f>VLOOKUP(NoviaFunds[[#This Row],[Sector]],Sectors[],2,FALSE)</f>
        <v>Other Equities</v>
      </c>
    </row>
    <row r="2164" spans="1:6" x14ac:dyDescent="0.2">
      <c r="A2164" t="str">
        <f>'Novia Web Query'!A2161</f>
        <v>GB00B9123J73</v>
      </c>
      <c r="B2164" t="str">
        <f>VLOOKUP(NoviaFunds[[#This Row],[ISIN]],'Novia Web Query'!$A:$E,2,FALSE)</f>
        <v>Jupiter Global Equity Income I Inc TR in GB</v>
      </c>
      <c r="C2164" t="str">
        <f>VLOOKUP(NoviaFunds[[#This Row],[ISIN]],'Novia Web Query'!$A:$E,3,FALSE)</f>
        <v>UT Global Equity Income</v>
      </c>
      <c r="D2164" s="139">
        <f>VLOOKUP(NoviaFunds[[#This Row],[ISIN]],'Novia Web Query'!$A:$E,4,FALSE)/100</f>
        <v>9.8999999999999991E-3</v>
      </c>
      <c r="E2164" s="3" t="str">
        <f>VLOOKUP(NoviaFunds[[#This Row],[ISIN]],'Novia Web Query'!$A:$E,5,FALSE)</f>
        <v>31/12/2020</v>
      </c>
      <c r="F2164" t="str">
        <f>VLOOKUP(NoviaFunds[[#This Row],[Sector]],Sectors[],2,FALSE)</f>
        <v>Other Equities</v>
      </c>
    </row>
    <row r="2165" spans="1:6" x14ac:dyDescent="0.2">
      <c r="A2165" t="str">
        <f>'Novia Web Query'!A2162</f>
        <v>GB00B58D9P37</v>
      </c>
      <c r="B2165" t="str">
        <f>VLOOKUP(NoviaFunds[[#This Row],[ISIN]],'Novia Web Query'!$A:$E,2,FALSE)</f>
        <v>Jupiter Global Financial Innovation I Acc in GB</v>
      </c>
      <c r="C2165" t="str">
        <f>VLOOKUP(NoviaFunds[[#This Row],[ISIN]],'Novia Web Query'!$A:$E,3,FALSE)</f>
        <v>UT Financials and Financial Innovat</v>
      </c>
      <c r="D2165" s="139">
        <f>VLOOKUP(NoviaFunds[[#This Row],[ISIN]],'Novia Web Query'!$A:$E,4,FALSE)/100</f>
        <v>9.8999999999999991E-3</v>
      </c>
      <c r="E2165" s="3" t="str">
        <f>VLOOKUP(NoviaFunds[[#This Row],[ISIN]],'Novia Web Query'!$A:$E,5,FALSE)</f>
        <v>31/12/2020</v>
      </c>
      <c r="F2165" t="e">
        <f>VLOOKUP(NoviaFunds[[#This Row],[Sector]],Sectors[],2,FALSE)</f>
        <v>#N/A</v>
      </c>
    </row>
    <row r="2166" spans="1:6" x14ac:dyDescent="0.2">
      <c r="A2166" t="str">
        <f>'Novia Web Query'!A2163</f>
        <v>GB00B551H564</v>
      </c>
      <c r="B2166" t="str">
        <f>VLOOKUP(NoviaFunds[[#This Row],[ISIN]],'Novia Web Query'!$A:$E,2,FALSE)</f>
        <v>Jupiter Global Financial Innovation L Acc in GB</v>
      </c>
      <c r="C2166" t="str">
        <f>VLOOKUP(NoviaFunds[[#This Row],[ISIN]],'Novia Web Query'!$A:$E,3,FALSE)</f>
        <v>UT Financials and Financial Innovat</v>
      </c>
      <c r="D2166" s="139">
        <f>VLOOKUP(NoviaFunds[[#This Row],[ISIN]],'Novia Web Query'!$A:$E,4,FALSE)/100</f>
        <v>1.49E-2</v>
      </c>
      <c r="E2166" s="3" t="str">
        <f>VLOOKUP(NoviaFunds[[#This Row],[ISIN]],'Novia Web Query'!$A:$E,5,FALSE)</f>
        <v>31/12/2020</v>
      </c>
      <c r="F2166" t="e">
        <f>VLOOKUP(NoviaFunds[[#This Row],[Sector]],Sectors[],2,FALSE)</f>
        <v>#N/A</v>
      </c>
    </row>
    <row r="2167" spans="1:6" x14ac:dyDescent="0.2">
      <c r="A2167" t="str">
        <f>'Novia Web Query'!A2164</f>
        <v>GB00B6QMY217</v>
      </c>
      <c r="B2167" t="str">
        <f>VLOOKUP(NoviaFunds[[#This Row],[ISIN]],'Novia Web Query'!$A:$E,2,FALSE)</f>
        <v>Jupiter Global Managed I Acc TR in GB</v>
      </c>
      <c r="C2167" t="str">
        <f>VLOOKUP(NoviaFunds[[#This Row],[ISIN]],'Novia Web Query'!$A:$E,3,FALSE)</f>
        <v>UT Global</v>
      </c>
      <c r="D2167" s="139">
        <f>VLOOKUP(NoviaFunds[[#This Row],[ISIN]],'Novia Web Query'!$A:$E,4,FALSE)/100</f>
        <v>9.7000000000000003E-3</v>
      </c>
      <c r="E2167" s="3" t="str">
        <f>VLOOKUP(NoviaFunds[[#This Row],[ISIN]],'Novia Web Query'!$A:$E,5,FALSE)</f>
        <v>31/12/2020</v>
      </c>
      <c r="F2167" t="str">
        <f>VLOOKUP(NoviaFunds[[#This Row],[Sector]],Sectors[],2,FALSE)</f>
        <v>Other Equities</v>
      </c>
    </row>
    <row r="2168" spans="1:6" x14ac:dyDescent="0.2">
      <c r="A2168" t="str">
        <f>'Novia Web Query'!A2165</f>
        <v>GB00B8JYWW47</v>
      </c>
      <c r="B2168" t="str">
        <f>VLOOKUP(NoviaFunds[[#This Row],[ISIN]],'Novia Web Query'!$A:$E,2,FALSE)</f>
        <v>Jupiter Global Managed I Inc TR in GB**</v>
      </c>
      <c r="C2168" t="str">
        <f>VLOOKUP(NoviaFunds[[#This Row],[ISIN]],'Novia Web Query'!$A:$E,3,FALSE)</f>
        <v>UT Global</v>
      </c>
      <c r="D2168" s="139">
        <f>VLOOKUP(NoviaFunds[[#This Row],[ISIN]],'Novia Web Query'!$A:$E,4,FALSE)/100</f>
        <v>9.7000000000000003E-3</v>
      </c>
      <c r="E2168" s="3" t="str">
        <f>VLOOKUP(NoviaFunds[[#This Row],[ISIN]],'Novia Web Query'!$A:$E,5,FALSE)</f>
        <v>31/12/2020</v>
      </c>
      <c r="F2168" t="str">
        <f>VLOOKUP(NoviaFunds[[#This Row],[Sector]],Sectors[],2,FALSE)</f>
        <v>Other Equities</v>
      </c>
    </row>
    <row r="2169" spans="1:6" x14ac:dyDescent="0.2">
      <c r="A2169" t="str">
        <f>'Novia Web Query'!A2166</f>
        <v>GB00B3Y68S87</v>
      </c>
      <c r="B2169" t="str">
        <f>VLOOKUP(NoviaFunds[[#This Row],[ISIN]],'Novia Web Query'!$A:$E,2,FALSE)</f>
        <v>Jupiter Global Managed L Acc in GB</v>
      </c>
      <c r="C2169" t="str">
        <f>VLOOKUP(NoviaFunds[[#This Row],[ISIN]],'Novia Web Query'!$A:$E,3,FALSE)</f>
        <v>UT Global</v>
      </c>
      <c r="D2169" s="139">
        <f>VLOOKUP(NoviaFunds[[#This Row],[ISIN]],'Novia Web Query'!$A:$E,4,FALSE)/100</f>
        <v>1.72E-2</v>
      </c>
      <c r="E2169" s="3" t="str">
        <f>VLOOKUP(NoviaFunds[[#This Row],[ISIN]],'Novia Web Query'!$A:$E,5,FALSE)</f>
        <v>31/12/2020</v>
      </c>
      <c r="F2169" t="str">
        <f>VLOOKUP(NoviaFunds[[#This Row],[Sector]],Sectors[],2,FALSE)</f>
        <v>Other Equities</v>
      </c>
    </row>
    <row r="2170" spans="1:6" x14ac:dyDescent="0.2">
      <c r="A2170" t="str">
        <f>'Novia Web Query'!A2167</f>
        <v>GB0002440245</v>
      </c>
      <c r="B2170" t="str">
        <f>VLOOKUP(NoviaFunds[[#This Row],[ISIN]],'Novia Web Query'!$A:$E,2,FALSE)</f>
        <v>Jupiter Global Managed L Inc TR in GB</v>
      </c>
      <c r="C2170" t="str">
        <f>VLOOKUP(NoviaFunds[[#This Row],[ISIN]],'Novia Web Query'!$A:$E,3,FALSE)</f>
        <v>UT Global</v>
      </c>
      <c r="D2170" s="139">
        <f>VLOOKUP(NoviaFunds[[#This Row],[ISIN]],'Novia Web Query'!$A:$E,4,FALSE)/100</f>
        <v>1.72E-2</v>
      </c>
      <c r="E2170" s="3" t="str">
        <f>VLOOKUP(NoviaFunds[[#This Row],[ISIN]],'Novia Web Query'!$A:$E,5,FALSE)</f>
        <v>31/12/2020</v>
      </c>
      <c r="F2170" t="str">
        <f>VLOOKUP(NoviaFunds[[#This Row],[Sector]],Sectors[],2,FALSE)</f>
        <v>Other Equities</v>
      </c>
    </row>
    <row r="2171" spans="1:6" x14ac:dyDescent="0.2">
      <c r="A2171" t="str">
        <f>'Novia Web Query'!A2168</f>
        <v>GB00BF5DS374</v>
      </c>
      <c r="B2171" t="str">
        <f>VLOOKUP(NoviaFunds[[#This Row],[ISIN]],'Novia Web Query'!$A:$E,2,FALSE)</f>
        <v>Jupiter Global Value Equity I Acc in GB</v>
      </c>
      <c r="C2171" t="str">
        <f>VLOOKUP(NoviaFunds[[#This Row],[ISIN]],'Novia Web Query'!$A:$E,3,FALSE)</f>
        <v>UT Global</v>
      </c>
      <c r="D2171" s="139">
        <f>VLOOKUP(NoviaFunds[[#This Row],[ISIN]],'Novia Web Query'!$A:$E,4,FALSE)/100</f>
        <v>9.300000000000001E-3</v>
      </c>
      <c r="E2171" s="3" t="str">
        <f>VLOOKUP(NoviaFunds[[#This Row],[ISIN]],'Novia Web Query'!$A:$E,5,FALSE)</f>
        <v>31/12/2020</v>
      </c>
      <c r="F2171" t="str">
        <f>VLOOKUP(NoviaFunds[[#This Row],[Sector]],Sectors[],2,FALSE)</f>
        <v>Other Equities</v>
      </c>
    </row>
    <row r="2172" spans="1:6" x14ac:dyDescent="0.2">
      <c r="A2172" t="str">
        <f>'Novia Web Query'!A2169</f>
        <v>GB00BF5DS150</v>
      </c>
      <c r="B2172" t="str">
        <f>VLOOKUP(NoviaFunds[[#This Row],[ISIN]],'Novia Web Query'!$A:$E,2,FALSE)</f>
        <v>Jupiter Global Value Equity I Inc TR in GB</v>
      </c>
      <c r="C2172" t="str">
        <f>VLOOKUP(NoviaFunds[[#This Row],[ISIN]],'Novia Web Query'!$A:$E,3,FALSE)</f>
        <v>UT Global</v>
      </c>
      <c r="D2172" s="139">
        <f>VLOOKUP(NoviaFunds[[#This Row],[ISIN]],'Novia Web Query'!$A:$E,4,FALSE)/100</f>
        <v>9.300000000000001E-3</v>
      </c>
      <c r="E2172" s="3" t="str">
        <f>VLOOKUP(NoviaFunds[[#This Row],[ISIN]],'Novia Web Query'!$A:$E,5,FALSE)</f>
        <v>31/12/2020</v>
      </c>
      <c r="F2172" t="str">
        <f>VLOOKUP(NoviaFunds[[#This Row],[Sector]],Sectors[],2,FALSE)</f>
        <v>Other Equities</v>
      </c>
    </row>
    <row r="2173" spans="1:6" x14ac:dyDescent="0.2">
      <c r="A2173" t="str">
        <f>'Novia Web Query'!A2170</f>
        <v>GB00B6QQDN77</v>
      </c>
      <c r="B2173" t="str">
        <f>VLOOKUP(NoviaFunds[[#This Row],[ISIN]],'Novia Web Query'!$A:$E,2,FALSE)</f>
        <v>Jupiter Growth &amp; Income I Acc TR in GB</v>
      </c>
      <c r="C2173" t="str">
        <f>VLOOKUP(NoviaFunds[[#This Row],[ISIN]],'Novia Web Query'!$A:$E,3,FALSE)</f>
        <v>UT UK All Companies</v>
      </c>
      <c r="D2173" s="139">
        <f>VLOOKUP(NoviaFunds[[#This Row],[ISIN]],'Novia Web Query'!$A:$E,4,FALSE)/100</f>
        <v>9.8999999999999991E-3</v>
      </c>
      <c r="E2173" s="3" t="str">
        <f>VLOOKUP(NoviaFunds[[#This Row],[ISIN]],'Novia Web Query'!$A:$E,5,FALSE)</f>
        <v>31/12/2020</v>
      </c>
      <c r="F2173" t="str">
        <f>VLOOKUP(NoviaFunds[[#This Row],[Sector]],Sectors[],2,FALSE)</f>
        <v>UK Equities</v>
      </c>
    </row>
    <row r="2174" spans="1:6" x14ac:dyDescent="0.2">
      <c r="A2174" t="str">
        <f>'Novia Web Query'!A2171</f>
        <v>GB00B6QDDF07</v>
      </c>
      <c r="B2174" t="str">
        <f>VLOOKUP(NoviaFunds[[#This Row],[ISIN]],'Novia Web Query'!$A:$E,2,FALSE)</f>
        <v>Jupiter Growth &amp; Income I Inc TR in GB**</v>
      </c>
      <c r="C2174" t="str">
        <f>VLOOKUP(NoviaFunds[[#This Row],[ISIN]],'Novia Web Query'!$A:$E,3,FALSE)</f>
        <v>UT UK All Companies</v>
      </c>
      <c r="D2174" s="139">
        <f>VLOOKUP(NoviaFunds[[#This Row],[ISIN]],'Novia Web Query'!$A:$E,4,FALSE)/100</f>
        <v>9.8999999999999991E-3</v>
      </c>
      <c r="E2174" s="3" t="str">
        <f>VLOOKUP(NoviaFunds[[#This Row],[ISIN]],'Novia Web Query'!$A:$E,5,FALSE)</f>
        <v>31/12/2020</v>
      </c>
      <c r="F2174" t="str">
        <f>VLOOKUP(NoviaFunds[[#This Row],[Sector]],Sectors[],2,FALSE)</f>
        <v>UK Equities</v>
      </c>
    </row>
    <row r="2175" spans="1:6" x14ac:dyDescent="0.2">
      <c r="A2175" t="str">
        <f>'Novia Web Query'!A2172</f>
        <v>GB0001577351</v>
      </c>
      <c r="B2175" t="str">
        <f>VLOOKUP(NoviaFunds[[#This Row],[ISIN]],'Novia Web Query'!$A:$E,2,FALSE)</f>
        <v>Jupiter Growth &amp; Income L Inc TR in GB</v>
      </c>
      <c r="C2175" t="str">
        <f>VLOOKUP(NoviaFunds[[#This Row],[ISIN]],'Novia Web Query'!$A:$E,3,FALSE)</f>
        <v>UT UK All Companies</v>
      </c>
      <c r="D2175" s="139">
        <f>VLOOKUP(NoviaFunds[[#This Row],[ISIN]],'Novia Web Query'!$A:$E,4,FALSE)/100</f>
        <v>1.7399999999999999E-2</v>
      </c>
      <c r="E2175" s="3" t="str">
        <f>VLOOKUP(NoviaFunds[[#This Row],[ISIN]],'Novia Web Query'!$A:$E,5,FALSE)</f>
        <v>31/12/2020</v>
      </c>
      <c r="F2175" t="str">
        <f>VLOOKUP(NoviaFunds[[#This Row],[Sector]],Sectors[],2,FALSE)</f>
        <v>UK Equities</v>
      </c>
    </row>
    <row r="2176" spans="1:6" x14ac:dyDescent="0.2">
      <c r="A2176" t="str">
        <f>'Novia Web Query'!A2173</f>
        <v>GB00B5VXKR95</v>
      </c>
      <c r="B2176" t="str">
        <f>VLOOKUP(NoviaFunds[[#This Row],[ISIN]],'Novia Web Query'!$A:$E,2,FALSE)</f>
        <v>Jupiter Income Trust I Acc TR in GB</v>
      </c>
      <c r="C2176" t="str">
        <f>VLOOKUP(NoviaFunds[[#This Row],[ISIN]],'Novia Web Query'!$A:$E,3,FALSE)</f>
        <v>UT UK Equity Income</v>
      </c>
      <c r="D2176" s="139">
        <f>VLOOKUP(NoviaFunds[[#This Row],[ISIN]],'Novia Web Query'!$A:$E,4,FALSE)/100</f>
        <v>9.3999999999999986E-3</v>
      </c>
      <c r="E2176" s="3" t="str">
        <f>VLOOKUP(NoviaFunds[[#This Row],[ISIN]],'Novia Web Query'!$A:$E,5,FALSE)</f>
        <v>31/12/2020</v>
      </c>
      <c r="F2176" t="str">
        <f>VLOOKUP(NoviaFunds[[#This Row],[Sector]],Sectors[],2,FALSE)</f>
        <v>UK Equities</v>
      </c>
    </row>
    <row r="2177" spans="1:6" x14ac:dyDescent="0.2">
      <c r="A2177" t="str">
        <f>'Novia Web Query'!A2174</f>
        <v>GB00B6QR2553</v>
      </c>
      <c r="B2177" t="str">
        <f>VLOOKUP(NoviaFunds[[#This Row],[ISIN]],'Novia Web Query'!$A:$E,2,FALSE)</f>
        <v>Jupiter Income Trust I Inc TR in GB**</v>
      </c>
      <c r="C2177" t="str">
        <f>VLOOKUP(NoviaFunds[[#This Row],[ISIN]],'Novia Web Query'!$A:$E,3,FALSE)</f>
        <v>UT UK Equity Income</v>
      </c>
      <c r="D2177" s="139">
        <f>VLOOKUP(NoviaFunds[[#This Row],[ISIN]],'Novia Web Query'!$A:$E,4,FALSE)/100</f>
        <v>9.3999999999999986E-3</v>
      </c>
      <c r="E2177" s="3" t="str">
        <f>VLOOKUP(NoviaFunds[[#This Row],[ISIN]],'Novia Web Query'!$A:$E,5,FALSE)</f>
        <v>31/12/2020</v>
      </c>
      <c r="F2177" t="str">
        <f>VLOOKUP(NoviaFunds[[#This Row],[Sector]],Sectors[],2,FALSE)</f>
        <v>UK Equities</v>
      </c>
    </row>
    <row r="2178" spans="1:6" x14ac:dyDescent="0.2">
      <c r="A2178" t="str">
        <f>'Novia Web Query'!A2175</f>
        <v>GB00BF154T58</v>
      </c>
      <c r="B2178" t="str">
        <f>VLOOKUP(NoviaFunds[[#This Row],[ISIN]],'Novia Web Query'!$A:$E,2,FALSE)</f>
        <v>Jupiter Income Trust L Acc in GB</v>
      </c>
      <c r="C2178" t="str">
        <f>VLOOKUP(NoviaFunds[[#This Row],[ISIN]],'Novia Web Query'!$A:$E,3,FALSE)</f>
        <v>UT UK Equity Income</v>
      </c>
      <c r="D2178" s="139">
        <f>VLOOKUP(NoviaFunds[[#This Row],[ISIN]],'Novia Web Query'!$A:$E,4,FALSE)/100</f>
        <v>1.6899999999999998E-2</v>
      </c>
      <c r="E2178" s="3" t="str">
        <f>VLOOKUP(NoviaFunds[[#This Row],[ISIN]],'Novia Web Query'!$A:$E,5,FALSE)</f>
        <v>31/12/2020</v>
      </c>
      <c r="F2178" t="str">
        <f>VLOOKUP(NoviaFunds[[#This Row],[Sector]],Sectors[],2,FALSE)</f>
        <v>UK Equities</v>
      </c>
    </row>
    <row r="2179" spans="1:6" x14ac:dyDescent="0.2">
      <c r="A2179" t="str">
        <f>'Novia Web Query'!A2176</f>
        <v>GB0004791389</v>
      </c>
      <c r="B2179" t="str">
        <f>VLOOKUP(NoviaFunds[[#This Row],[ISIN]],'Novia Web Query'!$A:$E,2,FALSE)</f>
        <v>Jupiter Income Trust L Inc TR in GB</v>
      </c>
      <c r="C2179" t="str">
        <f>VLOOKUP(NoviaFunds[[#This Row],[ISIN]],'Novia Web Query'!$A:$E,3,FALSE)</f>
        <v>UT UK Equity Income</v>
      </c>
      <c r="D2179" s="139">
        <f>VLOOKUP(NoviaFunds[[#This Row],[ISIN]],'Novia Web Query'!$A:$E,4,FALSE)/100</f>
        <v>1.6899999999999998E-2</v>
      </c>
      <c r="E2179" s="3" t="str">
        <f>VLOOKUP(NoviaFunds[[#This Row],[ISIN]],'Novia Web Query'!$A:$E,5,FALSE)</f>
        <v>31/12/2020</v>
      </c>
      <c r="F2179" t="str">
        <f>VLOOKUP(NoviaFunds[[#This Row],[Sector]],Sectors[],2,FALSE)</f>
        <v>UK Equities</v>
      </c>
    </row>
    <row r="2180" spans="1:6" x14ac:dyDescent="0.2">
      <c r="A2180" t="str">
        <f>'Novia Web Query'!A2177</f>
        <v>GB00B4TZHH95</v>
      </c>
      <c r="B2180" t="str">
        <f>VLOOKUP(NoviaFunds[[#This Row],[ISIN]],'Novia Web Query'!$A:$E,2,FALSE)</f>
        <v>Jupiter India I Acc in GB</v>
      </c>
      <c r="C2180" t="str">
        <f>VLOOKUP(NoviaFunds[[#This Row],[ISIN]],'Novia Web Query'!$A:$E,3,FALSE)</f>
        <v>UT India/Indian Subcontinent</v>
      </c>
      <c r="D2180" s="139">
        <f>VLOOKUP(NoviaFunds[[#This Row],[ISIN]],'Novia Web Query'!$A:$E,4,FALSE)/100</f>
        <v>9.8999999999999991E-3</v>
      </c>
      <c r="E2180" s="3" t="str">
        <f>VLOOKUP(NoviaFunds[[#This Row],[ISIN]],'Novia Web Query'!$A:$E,5,FALSE)</f>
        <v>31/12/2020</v>
      </c>
      <c r="F2180" t="e">
        <f>VLOOKUP(NoviaFunds[[#This Row],[Sector]],Sectors[],2,FALSE)</f>
        <v>#N/A</v>
      </c>
    </row>
    <row r="2181" spans="1:6" x14ac:dyDescent="0.2">
      <c r="A2181" t="str">
        <f>'Novia Web Query'!A2178</f>
        <v>GB00B2NHJ040</v>
      </c>
      <c r="B2181" t="str">
        <f>VLOOKUP(NoviaFunds[[#This Row],[ISIN]],'Novia Web Query'!$A:$E,2,FALSE)</f>
        <v>Jupiter India L Acc in GB</v>
      </c>
      <c r="C2181" t="str">
        <f>VLOOKUP(NoviaFunds[[#This Row],[ISIN]],'Novia Web Query'!$A:$E,3,FALSE)</f>
        <v>UT India/Indian Subcontinent</v>
      </c>
      <c r="D2181" s="139">
        <f>VLOOKUP(NoviaFunds[[#This Row],[ISIN]],'Novia Web Query'!$A:$E,4,FALSE)/100</f>
        <v>1.7399999999999999E-2</v>
      </c>
      <c r="E2181" s="3" t="str">
        <f>VLOOKUP(NoviaFunds[[#This Row],[ISIN]],'Novia Web Query'!$A:$E,5,FALSE)</f>
        <v>31/12/2020</v>
      </c>
      <c r="F2181" t="e">
        <f>VLOOKUP(NoviaFunds[[#This Row],[Sector]],Sectors[],2,FALSE)</f>
        <v>#N/A</v>
      </c>
    </row>
    <row r="2182" spans="1:6" x14ac:dyDescent="0.2">
      <c r="A2182" t="str">
        <f>'Novia Web Query'!A2179</f>
        <v>GB00B1XG8R44</v>
      </c>
      <c r="B2182" t="str">
        <f>VLOOKUP(NoviaFunds[[#This Row],[ISIN]],'Novia Web Query'!$A:$E,2,FALSE)</f>
        <v>Jupiter Investment Grade Bond I Acc GBP in GB</v>
      </c>
      <c r="C2182" t="str">
        <f>VLOOKUP(NoviaFunds[[#This Row],[ISIN]],'Novia Web Query'!$A:$E,3,FALSE)</f>
        <v>UT Sterling Corporate Bond</v>
      </c>
      <c r="D2182" s="139">
        <f>VLOOKUP(NoviaFunds[[#This Row],[ISIN]],'Novia Web Query'!$A:$E,4,FALSE)/100</f>
        <v>6.5000000000000006E-3</v>
      </c>
      <c r="E2182" s="3" t="str">
        <f>VLOOKUP(NoviaFunds[[#This Row],[ISIN]],'Novia Web Query'!$A:$E,5,FALSE)</f>
        <v>30/09/2020</v>
      </c>
      <c r="F2182" t="str">
        <f>VLOOKUP(NoviaFunds[[#This Row],[Sector]],Sectors[],2,FALSE)</f>
        <v>Sterling Corporate Bonds</v>
      </c>
    </row>
    <row r="2183" spans="1:6" x14ac:dyDescent="0.2">
      <c r="A2183" t="str">
        <f>'Novia Web Query'!A2180</f>
        <v>GB00B1XG8T67</v>
      </c>
      <c r="B2183" t="str">
        <f>VLOOKUP(NoviaFunds[[#This Row],[ISIN]],'Novia Web Query'!$A:$E,2,FALSE)</f>
        <v>Jupiter Investment Grade Bond I Inc GBP TR in GB</v>
      </c>
      <c r="C2183" t="str">
        <f>VLOOKUP(NoviaFunds[[#This Row],[ISIN]],'Novia Web Query'!$A:$E,3,FALSE)</f>
        <v>UT Sterling Corporate Bond</v>
      </c>
      <c r="D2183" s="139">
        <f>VLOOKUP(NoviaFunds[[#This Row],[ISIN]],'Novia Web Query'!$A:$E,4,FALSE)/100</f>
        <v>6.5000000000000006E-3</v>
      </c>
      <c r="E2183" s="3" t="str">
        <f>VLOOKUP(NoviaFunds[[#This Row],[ISIN]],'Novia Web Query'!$A:$E,5,FALSE)</f>
        <v>30/09/2020</v>
      </c>
      <c r="F2183" t="str">
        <f>VLOOKUP(NoviaFunds[[#This Row],[Sector]],Sectors[],2,FALSE)</f>
        <v>Sterling Corporate Bonds</v>
      </c>
    </row>
    <row r="2184" spans="1:6" x14ac:dyDescent="0.2">
      <c r="A2184" t="str">
        <f>'Novia Web Query'!A2181</f>
        <v>GB00B1XG6V40</v>
      </c>
      <c r="B2184" t="str">
        <f>VLOOKUP(NoviaFunds[[#This Row],[ISIN]],'Novia Web Query'!$A:$E,2,FALSE)</f>
        <v>Jupiter Investment Grade Bond L Acc GBP in GB</v>
      </c>
      <c r="C2184" t="str">
        <f>VLOOKUP(NoviaFunds[[#This Row],[ISIN]],'Novia Web Query'!$A:$E,3,FALSE)</f>
        <v>UT Sterling Corporate Bond</v>
      </c>
      <c r="D2184" s="139">
        <f>VLOOKUP(NoviaFunds[[#This Row],[ISIN]],'Novia Web Query'!$A:$E,4,FALSE)/100</f>
        <v>1.15E-2</v>
      </c>
      <c r="E2184" s="3" t="str">
        <f>VLOOKUP(NoviaFunds[[#This Row],[ISIN]],'Novia Web Query'!$A:$E,5,FALSE)</f>
        <v>30/09/2020</v>
      </c>
      <c r="F2184" t="str">
        <f>VLOOKUP(NoviaFunds[[#This Row],[Sector]],Sectors[],2,FALSE)</f>
        <v>Sterling Corporate Bonds</v>
      </c>
    </row>
    <row r="2185" spans="1:6" x14ac:dyDescent="0.2">
      <c r="A2185" t="str">
        <f>'Novia Web Query'!A2182</f>
        <v>GB00B1XG6X63</v>
      </c>
      <c r="B2185" t="str">
        <f>VLOOKUP(NoviaFunds[[#This Row],[ISIN]],'Novia Web Query'!$A:$E,2,FALSE)</f>
        <v>Jupiter Investment Grade Bond L Inc GBP TR in GB</v>
      </c>
      <c r="C2185" t="str">
        <f>VLOOKUP(NoviaFunds[[#This Row],[ISIN]],'Novia Web Query'!$A:$E,3,FALSE)</f>
        <v>UT Sterling Corporate Bond</v>
      </c>
      <c r="D2185" s="139">
        <f>VLOOKUP(NoviaFunds[[#This Row],[ISIN]],'Novia Web Query'!$A:$E,4,FALSE)/100</f>
        <v>1.15E-2</v>
      </c>
      <c r="E2185" s="3" t="str">
        <f>VLOOKUP(NoviaFunds[[#This Row],[ISIN]],'Novia Web Query'!$A:$E,5,FALSE)</f>
        <v>30/09/2020</v>
      </c>
      <c r="F2185" t="str">
        <f>VLOOKUP(NoviaFunds[[#This Row],[Sector]],Sectors[],2,FALSE)</f>
        <v>Sterling Corporate Bonds</v>
      </c>
    </row>
    <row r="2186" spans="1:6" x14ac:dyDescent="0.2">
      <c r="A2186" t="str">
        <f>'Novia Web Query'!A2183</f>
        <v>GB00B1XG7X39</v>
      </c>
      <c r="B2186" t="str">
        <f>VLOOKUP(NoviaFunds[[#This Row],[ISIN]],'Novia Web Query'!$A:$E,2,FALSE)</f>
        <v>Jupiter Investment Grade Bond P Acc GBP in GB**</v>
      </c>
      <c r="C2186" t="str">
        <f>VLOOKUP(NoviaFunds[[#This Row],[ISIN]],'Novia Web Query'!$A:$E,3,FALSE)</f>
        <v>UT Sterling Corporate Bond</v>
      </c>
      <c r="D2186" s="139">
        <f>VLOOKUP(NoviaFunds[[#This Row],[ISIN]],'Novia Web Query'!$A:$E,4,FALSE)/100</f>
        <v>8.0000000000000002E-3</v>
      </c>
      <c r="E2186" s="3" t="str">
        <f>VLOOKUP(NoviaFunds[[#This Row],[ISIN]],'Novia Web Query'!$A:$E,5,FALSE)</f>
        <v>30/09/2020</v>
      </c>
      <c r="F2186" t="str">
        <f>VLOOKUP(NoviaFunds[[#This Row],[Sector]],Sectors[],2,FALSE)</f>
        <v>Sterling Corporate Bonds</v>
      </c>
    </row>
    <row r="2187" spans="1:6" x14ac:dyDescent="0.2">
      <c r="A2187" t="str">
        <f>'Novia Web Query'!A2184</f>
        <v>GB00B1XG7Z52</v>
      </c>
      <c r="B2187" t="str">
        <f>VLOOKUP(NoviaFunds[[#This Row],[ISIN]],'Novia Web Query'!$A:$E,2,FALSE)</f>
        <v>Jupiter Investment Grade Bond P Inc GBP TR in GB**</v>
      </c>
      <c r="C2187" t="str">
        <f>VLOOKUP(NoviaFunds[[#This Row],[ISIN]],'Novia Web Query'!$A:$E,3,FALSE)</f>
        <v>UT Sterling Corporate Bond</v>
      </c>
      <c r="D2187" s="139">
        <f>VLOOKUP(NoviaFunds[[#This Row],[ISIN]],'Novia Web Query'!$A:$E,4,FALSE)/100</f>
        <v>8.0000000000000002E-3</v>
      </c>
      <c r="E2187" s="3" t="str">
        <f>VLOOKUP(NoviaFunds[[#This Row],[ISIN]],'Novia Web Query'!$A:$E,5,FALSE)</f>
        <v>30/09/2020</v>
      </c>
      <c r="F2187" t="str">
        <f>VLOOKUP(NoviaFunds[[#This Row],[Sector]],Sectors[],2,FALSE)</f>
        <v>Sterling Corporate Bonds</v>
      </c>
    </row>
    <row r="2188" spans="1:6" x14ac:dyDescent="0.2">
      <c r="A2188" t="str">
        <f>'Novia Web Query'!A2185</f>
        <v>GB00BHBX7P06</v>
      </c>
      <c r="B2188" t="str">
        <f>VLOOKUP(NoviaFunds[[#This Row],[ISIN]],'Novia Web Query'!$A:$E,2,FALSE)</f>
        <v>Jupiter Investment Grade Bond U1 Acc GBP in GB**</v>
      </c>
      <c r="C2188" t="str">
        <f>VLOOKUP(NoviaFunds[[#This Row],[ISIN]],'Novia Web Query'!$A:$E,3,FALSE)</f>
        <v>UT Sterling Corporate Bond</v>
      </c>
      <c r="D2188" s="139">
        <f>VLOOKUP(NoviaFunds[[#This Row],[ISIN]],'Novia Web Query'!$A:$E,4,FALSE)/100</f>
        <v>3.4999999999999996E-3</v>
      </c>
      <c r="E2188" s="3" t="str">
        <f>VLOOKUP(NoviaFunds[[#This Row],[ISIN]],'Novia Web Query'!$A:$E,5,FALSE)</f>
        <v>17/09/2020</v>
      </c>
      <c r="F2188" t="str">
        <f>VLOOKUP(NoviaFunds[[#This Row],[Sector]],Sectors[],2,FALSE)</f>
        <v>Sterling Corporate Bonds</v>
      </c>
    </row>
    <row r="2189" spans="1:6" x14ac:dyDescent="0.2">
      <c r="A2189" t="str">
        <f>'Novia Web Query'!A2186</f>
        <v>GB00BHBX7Q13</v>
      </c>
      <c r="B2189" t="str">
        <f>VLOOKUP(NoviaFunds[[#This Row],[ISIN]],'Novia Web Query'!$A:$E,2,FALSE)</f>
        <v>Jupiter Investment Grade Bond U1 Inc GBP TR in GB**</v>
      </c>
      <c r="C2189" t="str">
        <f>VLOOKUP(NoviaFunds[[#This Row],[ISIN]],'Novia Web Query'!$A:$E,3,FALSE)</f>
        <v>UT Sterling Corporate Bond</v>
      </c>
      <c r="D2189" s="139">
        <f>VLOOKUP(NoviaFunds[[#This Row],[ISIN]],'Novia Web Query'!$A:$E,4,FALSE)/100</f>
        <v>3.4999999999999996E-3</v>
      </c>
      <c r="E2189" s="3" t="str">
        <f>VLOOKUP(NoviaFunds[[#This Row],[ISIN]],'Novia Web Query'!$A:$E,5,FALSE)</f>
        <v>17/09/2020</v>
      </c>
      <c r="F2189" t="str">
        <f>VLOOKUP(NoviaFunds[[#This Row],[Sector]],Sectors[],2,FALSE)</f>
        <v>Sterling Corporate Bonds</v>
      </c>
    </row>
    <row r="2190" spans="1:6" x14ac:dyDescent="0.2">
      <c r="A2190" t="str">
        <f>'Novia Web Query'!A2187</f>
        <v>GB00B5TGB445</v>
      </c>
      <c r="B2190" t="str">
        <f>VLOOKUP(NoviaFunds[[#This Row],[ISIN]],'Novia Web Query'!$A:$E,2,FALSE)</f>
        <v>Jupiter Japan Income I Acc in GB</v>
      </c>
      <c r="C2190" t="str">
        <f>VLOOKUP(NoviaFunds[[#This Row],[ISIN]],'Novia Web Query'!$A:$E,3,FALSE)</f>
        <v>UT Japan</v>
      </c>
      <c r="D2190" s="139">
        <f>VLOOKUP(NoviaFunds[[#This Row],[ISIN]],'Novia Web Query'!$A:$E,4,FALSE)/100</f>
        <v>9.7999999999999997E-3</v>
      </c>
      <c r="E2190" s="3" t="str">
        <f>VLOOKUP(NoviaFunds[[#This Row],[ISIN]],'Novia Web Query'!$A:$E,5,FALSE)</f>
        <v>31/12/2020</v>
      </c>
      <c r="F2190" t="str">
        <f>VLOOKUP(NoviaFunds[[#This Row],[Sector]],Sectors[],2,FALSE)</f>
        <v>Japanese Equities</v>
      </c>
    </row>
    <row r="2191" spans="1:6" x14ac:dyDescent="0.2">
      <c r="A2191" t="str">
        <f>'Novia Web Query'!A2188</f>
        <v>GB00B6QC0Z69</v>
      </c>
      <c r="B2191" t="str">
        <f>VLOOKUP(NoviaFunds[[#This Row],[ISIN]],'Novia Web Query'!$A:$E,2,FALSE)</f>
        <v>Jupiter Japan Income I Inc TR in GB**</v>
      </c>
      <c r="C2191" t="str">
        <f>VLOOKUP(NoviaFunds[[#This Row],[ISIN]],'Novia Web Query'!$A:$E,3,FALSE)</f>
        <v>UT Japan</v>
      </c>
      <c r="D2191" s="139">
        <f>VLOOKUP(NoviaFunds[[#This Row],[ISIN]],'Novia Web Query'!$A:$E,4,FALSE)/100</f>
        <v>9.7999999999999997E-3</v>
      </c>
      <c r="E2191" s="3" t="str">
        <f>VLOOKUP(NoviaFunds[[#This Row],[ISIN]],'Novia Web Query'!$A:$E,5,FALSE)</f>
        <v>31/12/2020</v>
      </c>
      <c r="F2191" t="str">
        <f>VLOOKUP(NoviaFunds[[#This Row],[Sector]],Sectors[],2,FALSE)</f>
        <v>Japanese Equities</v>
      </c>
    </row>
    <row r="2192" spans="1:6" x14ac:dyDescent="0.2">
      <c r="A2192" t="str">
        <f>'Novia Web Query'!A2189</f>
        <v>GB00B6496D90</v>
      </c>
      <c r="B2192" t="str">
        <f>VLOOKUP(NoviaFunds[[#This Row],[ISIN]],'Novia Web Query'!$A:$E,2,FALSE)</f>
        <v>Jupiter Japan Income IH Inc TR in GB</v>
      </c>
      <c r="C2192" t="str">
        <f>VLOOKUP(NoviaFunds[[#This Row],[ISIN]],'Novia Web Query'!$A:$E,3,FALSE)</f>
        <v>UT Japan</v>
      </c>
      <c r="D2192" s="139">
        <f>VLOOKUP(NoviaFunds[[#This Row],[ISIN]],'Novia Web Query'!$A:$E,4,FALSE)/100</f>
        <v>1.04E-2</v>
      </c>
      <c r="E2192" s="3" t="str">
        <f>VLOOKUP(NoviaFunds[[#This Row],[ISIN]],'Novia Web Query'!$A:$E,5,FALSE)</f>
        <v>31/12/2020</v>
      </c>
      <c r="F2192" t="str">
        <f>VLOOKUP(NoviaFunds[[#This Row],[Sector]],Sectors[],2,FALSE)</f>
        <v>Japanese Equities</v>
      </c>
    </row>
    <row r="2193" spans="1:6" x14ac:dyDescent="0.2">
      <c r="A2193" t="str">
        <f>'Novia Web Query'!A2190</f>
        <v>GB00B0HZTZ55</v>
      </c>
      <c r="B2193" t="str">
        <f>VLOOKUP(NoviaFunds[[#This Row],[ISIN]],'Novia Web Query'!$A:$E,2,FALSE)</f>
        <v>Jupiter Japan Income L Acc in GB</v>
      </c>
      <c r="C2193" t="str">
        <f>VLOOKUP(NoviaFunds[[#This Row],[ISIN]],'Novia Web Query'!$A:$E,3,FALSE)</f>
        <v>UT Japan</v>
      </c>
      <c r="D2193" s="139">
        <f>VLOOKUP(NoviaFunds[[#This Row],[ISIN]],'Novia Web Query'!$A:$E,4,FALSE)/100</f>
        <v>1.7299999999999999E-2</v>
      </c>
      <c r="E2193" s="3" t="str">
        <f>VLOOKUP(NoviaFunds[[#This Row],[ISIN]],'Novia Web Query'!$A:$E,5,FALSE)</f>
        <v>31/12/2020</v>
      </c>
      <c r="F2193" t="str">
        <f>VLOOKUP(NoviaFunds[[#This Row],[Sector]],Sectors[],2,FALSE)</f>
        <v>Japanese Equities</v>
      </c>
    </row>
    <row r="2194" spans="1:6" x14ac:dyDescent="0.2">
      <c r="A2194" t="str">
        <f>'Novia Web Query'!A2191</f>
        <v>GB00B0HZR397</v>
      </c>
      <c r="B2194" t="str">
        <f>VLOOKUP(NoviaFunds[[#This Row],[ISIN]],'Novia Web Query'!$A:$E,2,FALSE)</f>
        <v>Jupiter Japan Income L Inc TR in GB</v>
      </c>
      <c r="C2194" t="str">
        <f>VLOOKUP(NoviaFunds[[#This Row],[ISIN]],'Novia Web Query'!$A:$E,3,FALSE)</f>
        <v>UT Japan</v>
      </c>
      <c r="D2194" s="139">
        <f>VLOOKUP(NoviaFunds[[#This Row],[ISIN]],'Novia Web Query'!$A:$E,4,FALSE)/100</f>
        <v>1.7299999999999999E-2</v>
      </c>
      <c r="E2194" s="3" t="str">
        <f>VLOOKUP(NoviaFunds[[#This Row],[ISIN]],'Novia Web Query'!$A:$E,5,FALSE)</f>
        <v>31/12/2020</v>
      </c>
      <c r="F2194" t="str">
        <f>VLOOKUP(NoviaFunds[[#This Row],[Sector]],Sectors[],2,FALSE)</f>
        <v>Japanese Equities</v>
      </c>
    </row>
    <row r="2195" spans="1:6" x14ac:dyDescent="0.2">
      <c r="A2195" t="str">
        <f>'Novia Web Query'!A2192</f>
        <v>GB00BFF5BH82</v>
      </c>
      <c r="B2195" t="str">
        <f>VLOOKUP(NoviaFunds[[#This Row],[ISIN]],'Novia Web Query'!$A:$E,2,FALSE)</f>
        <v>Jupiter Japan Income Z TR in GB</v>
      </c>
      <c r="C2195" t="str">
        <f>VLOOKUP(NoviaFunds[[#This Row],[ISIN]],'Novia Web Query'!$A:$E,3,FALSE)</f>
        <v>UT Japan</v>
      </c>
      <c r="D2195" s="139">
        <f>VLOOKUP(NoviaFunds[[#This Row],[ISIN]],'Novia Web Query'!$A:$E,4,FALSE)/100</f>
        <v>8.0000000000000002E-3</v>
      </c>
      <c r="E2195" s="3" t="str">
        <f>VLOOKUP(NoviaFunds[[#This Row],[ISIN]],'Novia Web Query'!$A:$E,5,FALSE)</f>
        <v>31/12/2020</v>
      </c>
      <c r="F2195" t="str">
        <f>VLOOKUP(NoviaFunds[[#This Row],[Sector]],Sectors[],2,FALSE)</f>
        <v>Japanese Equities</v>
      </c>
    </row>
    <row r="2196" spans="1:6" x14ac:dyDescent="0.2">
      <c r="A2196" t="str">
        <f>'Novia Web Query'!A2193</f>
        <v>GB00B1XG9607</v>
      </c>
      <c r="B2196" t="str">
        <f>VLOOKUP(NoviaFunds[[#This Row],[ISIN]],'Novia Web Query'!$A:$E,2,FALSE)</f>
        <v>Jupiter Merian Asia Pacific I Acc in GB</v>
      </c>
      <c r="C2196" t="str">
        <f>VLOOKUP(NoviaFunds[[#This Row],[ISIN]],'Novia Web Query'!$A:$E,3,FALSE)</f>
        <v>UT Asia Pacific Excluding Japan</v>
      </c>
      <c r="D2196" s="139">
        <f>VLOOKUP(NoviaFunds[[#This Row],[ISIN]],'Novia Web Query'!$A:$E,4,FALSE)/100</f>
        <v>0.01</v>
      </c>
      <c r="E2196" s="3" t="str">
        <f>VLOOKUP(NoviaFunds[[#This Row],[ISIN]],'Novia Web Query'!$A:$E,5,FALSE)</f>
        <v>30/09/2020</v>
      </c>
      <c r="F2196" t="str">
        <f>VLOOKUP(NoviaFunds[[#This Row],[Sector]],Sectors[],2,FALSE)</f>
        <v>Asia Pacific</v>
      </c>
    </row>
    <row r="2197" spans="1:6" x14ac:dyDescent="0.2">
      <c r="A2197" t="str">
        <f>'Novia Web Query'!A2194</f>
        <v>GB00B1XG7F56</v>
      </c>
      <c r="B2197" t="str">
        <f>VLOOKUP(NoviaFunds[[#This Row],[ISIN]],'Novia Web Query'!$A:$E,2,FALSE)</f>
        <v>Jupiter Merian Asia Pacific L Acc in GB</v>
      </c>
      <c r="C2197" t="str">
        <f>VLOOKUP(NoviaFunds[[#This Row],[ISIN]],'Novia Web Query'!$A:$E,3,FALSE)</f>
        <v>UT Asia Pacific Excluding Japan</v>
      </c>
      <c r="D2197" s="139">
        <f>VLOOKUP(NoviaFunds[[#This Row],[ISIN]],'Novia Web Query'!$A:$E,4,FALSE)/100</f>
        <v>1.7500000000000002E-2</v>
      </c>
      <c r="E2197" s="3" t="str">
        <f>VLOOKUP(NoviaFunds[[#This Row],[ISIN]],'Novia Web Query'!$A:$E,5,FALSE)</f>
        <v>30/09/2020</v>
      </c>
      <c r="F2197" t="str">
        <f>VLOOKUP(NoviaFunds[[#This Row],[Sector]],Sectors[],2,FALSE)</f>
        <v>Asia Pacific</v>
      </c>
    </row>
    <row r="2198" spans="1:6" x14ac:dyDescent="0.2">
      <c r="A2198" t="str">
        <f>'Novia Web Query'!A2195</f>
        <v>GB00B1XG9714</v>
      </c>
      <c r="B2198" t="str">
        <f>VLOOKUP(NoviaFunds[[#This Row],[ISIN]],'Novia Web Query'!$A:$E,2,FALSE)</f>
        <v>Jupiter Merian European Equity (ex UK) I Acc GBP in GB</v>
      </c>
      <c r="C2198" t="str">
        <f>VLOOKUP(NoviaFunds[[#This Row],[ISIN]],'Novia Web Query'!$A:$E,3,FALSE)</f>
        <v>UT Europe Excluding UK</v>
      </c>
      <c r="D2198" s="139">
        <f>VLOOKUP(NoviaFunds[[#This Row],[ISIN]],'Novia Web Query'!$A:$E,4,FALSE)/100</f>
        <v>9.0000000000000011E-3</v>
      </c>
      <c r="E2198" s="3" t="str">
        <f>VLOOKUP(NoviaFunds[[#This Row],[ISIN]],'Novia Web Query'!$A:$E,5,FALSE)</f>
        <v>30/09/2020</v>
      </c>
      <c r="F2198" t="str">
        <f>VLOOKUP(NoviaFunds[[#This Row],[Sector]],Sectors[],2,FALSE)</f>
        <v>European Equities</v>
      </c>
    </row>
    <row r="2199" spans="1:6" x14ac:dyDescent="0.2">
      <c r="A2199" t="str">
        <f>'Novia Web Query'!A2196</f>
        <v>GB00B1XG7G63</v>
      </c>
      <c r="B2199" t="str">
        <f>VLOOKUP(NoviaFunds[[#This Row],[ISIN]],'Novia Web Query'!$A:$E,2,FALSE)</f>
        <v>Jupiter Merian European Equity (ex UK) L Acc GBP in GB</v>
      </c>
      <c r="C2199" t="str">
        <f>VLOOKUP(NoviaFunds[[#This Row],[ISIN]],'Novia Web Query'!$A:$E,3,FALSE)</f>
        <v>UT Europe Excluding UK</v>
      </c>
      <c r="D2199" s="139">
        <f>VLOOKUP(NoviaFunds[[#This Row],[ISIN]],'Novia Web Query'!$A:$E,4,FALSE)/100</f>
        <v>1.6500000000000001E-2</v>
      </c>
      <c r="E2199" s="3" t="str">
        <f>VLOOKUP(NoviaFunds[[#This Row],[ISIN]],'Novia Web Query'!$A:$E,5,FALSE)</f>
        <v>30/09/2020</v>
      </c>
      <c r="F2199" t="str">
        <f>VLOOKUP(NoviaFunds[[#This Row],[Sector]],Sectors[],2,FALSE)</f>
        <v>European Equities</v>
      </c>
    </row>
    <row r="2200" spans="1:6" x14ac:dyDescent="0.2">
      <c r="A2200" t="str">
        <f>'Novia Web Query'!A2197</f>
        <v>GB00B1XG9821</v>
      </c>
      <c r="B2200" t="str">
        <f>VLOOKUP(NoviaFunds[[#This Row],[ISIN]],'Novia Web Query'!$A:$E,2,FALSE)</f>
        <v>Jupiter Merian Global Equity I Acc GBP in GB</v>
      </c>
      <c r="C2200" t="str">
        <f>VLOOKUP(NoviaFunds[[#This Row],[ISIN]],'Novia Web Query'!$A:$E,3,FALSE)</f>
        <v>UT Global</v>
      </c>
      <c r="D2200" s="139">
        <f>VLOOKUP(NoviaFunds[[#This Row],[ISIN]],'Novia Web Query'!$A:$E,4,FALSE)/100</f>
        <v>0.01</v>
      </c>
      <c r="E2200" s="3" t="str">
        <f>VLOOKUP(NoviaFunds[[#This Row],[ISIN]],'Novia Web Query'!$A:$E,5,FALSE)</f>
        <v>30/09/2020</v>
      </c>
      <c r="F2200" t="str">
        <f>VLOOKUP(NoviaFunds[[#This Row],[Sector]],Sectors[],2,FALSE)</f>
        <v>Other Equities</v>
      </c>
    </row>
    <row r="2201" spans="1:6" x14ac:dyDescent="0.2">
      <c r="A2201" t="str">
        <f>'Novia Web Query'!A2198</f>
        <v>GB00B1XG7H70</v>
      </c>
      <c r="B2201" t="str">
        <f>VLOOKUP(NoviaFunds[[#This Row],[ISIN]],'Novia Web Query'!$A:$E,2,FALSE)</f>
        <v>Jupiter Merian Global Equity L Acc GBP in GB</v>
      </c>
      <c r="C2201" t="str">
        <f>VLOOKUP(NoviaFunds[[#This Row],[ISIN]],'Novia Web Query'!$A:$E,3,FALSE)</f>
        <v>UT Global</v>
      </c>
      <c r="D2201" s="139">
        <f>VLOOKUP(NoviaFunds[[#This Row],[ISIN]],'Novia Web Query'!$A:$E,4,FALSE)/100</f>
        <v>1.7500000000000002E-2</v>
      </c>
      <c r="E2201" s="3" t="str">
        <f>VLOOKUP(NoviaFunds[[#This Row],[ISIN]],'Novia Web Query'!$A:$E,5,FALSE)</f>
        <v>30/09/2020</v>
      </c>
      <c r="F2201" t="str">
        <f>VLOOKUP(NoviaFunds[[#This Row],[Sector]],Sectors[],2,FALSE)</f>
        <v>Other Equities</v>
      </c>
    </row>
    <row r="2202" spans="1:6" x14ac:dyDescent="0.2">
      <c r="A2202" t="str">
        <f>'Novia Web Query'!A2199</f>
        <v>GB00BHBX7W72</v>
      </c>
      <c r="B2202" t="str">
        <f>VLOOKUP(NoviaFunds[[#This Row],[ISIN]],'Novia Web Query'!$A:$E,2,FALSE)</f>
        <v>Jupiter Merian Global Equity U1 Acc GBP in GB</v>
      </c>
      <c r="C2202" t="str">
        <f>VLOOKUP(NoviaFunds[[#This Row],[ISIN]],'Novia Web Query'!$A:$E,3,FALSE)</f>
        <v>UT Global</v>
      </c>
      <c r="D2202" s="139">
        <f>VLOOKUP(NoviaFunds[[#This Row],[ISIN]],'Novia Web Query'!$A:$E,4,FALSE)/100</f>
        <v>9.300000000000001E-3</v>
      </c>
      <c r="E2202" s="3" t="str">
        <f>VLOOKUP(NoviaFunds[[#This Row],[ISIN]],'Novia Web Query'!$A:$E,5,FALSE)</f>
        <v>30/09/2020</v>
      </c>
      <c r="F2202" t="str">
        <f>VLOOKUP(NoviaFunds[[#This Row],[Sector]],Sectors[],2,FALSE)</f>
        <v>Other Equities</v>
      </c>
    </row>
    <row r="2203" spans="1:6" x14ac:dyDescent="0.2">
      <c r="A2203" t="str">
        <f>'Novia Web Query'!A2200</f>
        <v>GB00B1XG8G39</v>
      </c>
      <c r="B2203" t="str">
        <f>VLOOKUP(NoviaFunds[[#This Row],[ISIN]],'Novia Web Query'!$A:$E,2,FALSE)</f>
        <v>Jupiter Merian Global Strategic Bond I Acc GBP in GB</v>
      </c>
      <c r="C2203" t="str">
        <f>VLOOKUP(NoviaFunds[[#This Row],[ISIN]],'Novia Web Query'!$A:$E,3,FALSE)</f>
        <v>UT Sterling Strategic Bond</v>
      </c>
      <c r="D2203" s="139">
        <f>VLOOKUP(NoviaFunds[[#This Row],[ISIN]],'Novia Web Query'!$A:$E,4,FALSE)/100</f>
        <v>6.5000000000000006E-3</v>
      </c>
      <c r="E2203" s="3" t="str">
        <f>VLOOKUP(NoviaFunds[[#This Row],[ISIN]],'Novia Web Query'!$A:$E,5,FALSE)</f>
        <v>30/09/2020</v>
      </c>
      <c r="F2203" t="str">
        <f>VLOOKUP(NoviaFunds[[#This Row],[Sector]],Sectors[],2,FALSE)</f>
        <v>Other Bonds</v>
      </c>
    </row>
    <row r="2204" spans="1:6" x14ac:dyDescent="0.2">
      <c r="A2204" t="str">
        <f>'Novia Web Query'!A2201</f>
        <v>GB00B1XG8J69</v>
      </c>
      <c r="B2204" t="str">
        <f>VLOOKUP(NoviaFunds[[#This Row],[ISIN]],'Novia Web Query'!$A:$E,2,FALSE)</f>
        <v>Jupiter Merian Global Strategic Bond I Inc GBP TR in GB**</v>
      </c>
      <c r="C2204" t="str">
        <f>VLOOKUP(NoviaFunds[[#This Row],[ISIN]],'Novia Web Query'!$A:$E,3,FALSE)</f>
        <v>UT Sterling Strategic Bond</v>
      </c>
      <c r="D2204" s="139">
        <f>VLOOKUP(NoviaFunds[[#This Row],[ISIN]],'Novia Web Query'!$A:$E,4,FALSE)/100</f>
        <v>6.5000000000000006E-3</v>
      </c>
      <c r="E2204" s="3" t="str">
        <f>VLOOKUP(NoviaFunds[[#This Row],[ISIN]],'Novia Web Query'!$A:$E,5,FALSE)</f>
        <v>30/09/2020</v>
      </c>
      <c r="F2204" t="str">
        <f>VLOOKUP(NoviaFunds[[#This Row],[Sector]],Sectors[],2,FALSE)</f>
        <v>Other Bonds</v>
      </c>
    </row>
    <row r="2205" spans="1:6" x14ac:dyDescent="0.2">
      <c r="A2205" t="str">
        <f>'Novia Web Query'!A2202</f>
        <v>GB00B1XG7J94</v>
      </c>
      <c r="B2205" t="str">
        <f>VLOOKUP(NoviaFunds[[#This Row],[ISIN]],'Novia Web Query'!$A:$E,2,FALSE)</f>
        <v>Jupiter Merian Global Strategic Bond L Acc GBP in GB</v>
      </c>
      <c r="C2205" t="str">
        <f>VLOOKUP(NoviaFunds[[#This Row],[ISIN]],'Novia Web Query'!$A:$E,3,FALSE)</f>
        <v>UT Sterling Strategic Bond</v>
      </c>
      <c r="D2205" s="139">
        <f>VLOOKUP(NoviaFunds[[#This Row],[ISIN]],'Novia Web Query'!$A:$E,4,FALSE)/100</f>
        <v>1.15E-2</v>
      </c>
      <c r="E2205" s="3" t="str">
        <f>VLOOKUP(NoviaFunds[[#This Row],[ISIN]],'Novia Web Query'!$A:$E,5,FALSE)</f>
        <v>30/09/2020</v>
      </c>
      <c r="F2205" t="str">
        <f>VLOOKUP(NoviaFunds[[#This Row],[Sector]],Sectors[],2,FALSE)</f>
        <v>Other Bonds</v>
      </c>
    </row>
    <row r="2206" spans="1:6" x14ac:dyDescent="0.2">
      <c r="A2206" t="str">
        <f>'Novia Web Query'!A2203</f>
        <v>GB00B1XG7L17</v>
      </c>
      <c r="B2206" t="str">
        <f>VLOOKUP(NoviaFunds[[#This Row],[ISIN]],'Novia Web Query'!$A:$E,2,FALSE)</f>
        <v>Jupiter Merian Global Strategic Bond L Inc GBP TR in GB</v>
      </c>
      <c r="C2206" t="str">
        <f>VLOOKUP(NoviaFunds[[#This Row],[ISIN]],'Novia Web Query'!$A:$E,3,FALSE)</f>
        <v>UT Sterling Strategic Bond</v>
      </c>
      <c r="D2206" s="139">
        <f>VLOOKUP(NoviaFunds[[#This Row],[ISIN]],'Novia Web Query'!$A:$E,4,FALSE)/100</f>
        <v>1.15E-2</v>
      </c>
      <c r="E2206" s="3" t="str">
        <f>VLOOKUP(NoviaFunds[[#This Row],[ISIN]],'Novia Web Query'!$A:$E,5,FALSE)</f>
        <v>30/09/2020</v>
      </c>
      <c r="F2206" t="str">
        <f>VLOOKUP(NoviaFunds[[#This Row],[Sector]],Sectors[],2,FALSE)</f>
        <v>Other Bonds</v>
      </c>
    </row>
    <row r="2207" spans="1:6" x14ac:dyDescent="0.2">
      <c r="A2207" t="str">
        <f>'Novia Web Query'!A2204</f>
        <v>GB00B1XG9G04</v>
      </c>
      <c r="B2207" t="str">
        <f>VLOOKUP(NoviaFunds[[#This Row],[ISIN]],'Novia Web Query'!$A:$E,2,FALSE)</f>
        <v>Jupiter Merian North American Equity I Acc GBP in GB</v>
      </c>
      <c r="C2207" t="str">
        <f>VLOOKUP(NoviaFunds[[#This Row],[ISIN]],'Novia Web Query'!$A:$E,3,FALSE)</f>
        <v>UT North America</v>
      </c>
      <c r="D2207" s="139">
        <f>VLOOKUP(NoviaFunds[[#This Row],[ISIN]],'Novia Web Query'!$A:$E,4,FALSE)/100</f>
        <v>9.4999999999999998E-3</v>
      </c>
      <c r="E2207" s="3" t="str">
        <f>VLOOKUP(NoviaFunds[[#This Row],[ISIN]],'Novia Web Query'!$A:$E,5,FALSE)</f>
        <v>30/09/2020</v>
      </c>
      <c r="F2207" t="str">
        <f>VLOOKUP(NoviaFunds[[#This Row],[Sector]],Sectors[],2,FALSE)</f>
        <v>USA Equities</v>
      </c>
    </row>
    <row r="2208" spans="1:6" x14ac:dyDescent="0.2">
      <c r="A2208" t="str">
        <f>'Novia Web Query'!A2205</f>
        <v>GB00B1XG7P54</v>
      </c>
      <c r="B2208" t="str">
        <f>VLOOKUP(NoviaFunds[[#This Row],[ISIN]],'Novia Web Query'!$A:$E,2,FALSE)</f>
        <v>Jupiter Merian North American Equity L Acc GBP in GB</v>
      </c>
      <c r="C2208" t="str">
        <f>VLOOKUP(NoviaFunds[[#This Row],[ISIN]],'Novia Web Query'!$A:$E,3,FALSE)</f>
        <v>UT North America</v>
      </c>
      <c r="D2208" s="139">
        <f>VLOOKUP(NoviaFunds[[#This Row],[ISIN]],'Novia Web Query'!$A:$E,4,FALSE)/100</f>
        <v>1.7000000000000001E-2</v>
      </c>
      <c r="E2208" s="3" t="str">
        <f>VLOOKUP(NoviaFunds[[#This Row],[ISIN]],'Novia Web Query'!$A:$E,5,FALSE)</f>
        <v>30/09/2020</v>
      </c>
      <c r="F2208" t="str">
        <f>VLOOKUP(NoviaFunds[[#This Row],[Sector]],Sectors[],2,FALSE)</f>
        <v>USA Equities</v>
      </c>
    </row>
    <row r="2209" spans="1:6" x14ac:dyDescent="0.2">
      <c r="A2209" t="str">
        <f>'Novia Web Query'!A2206</f>
        <v>GB00BHBX8800</v>
      </c>
      <c r="B2209" t="str">
        <f>VLOOKUP(NoviaFunds[[#This Row],[ISIN]],'Novia Web Query'!$A:$E,2,FALSE)</f>
        <v>Jupiter Merian North American Equity U1 Acc GBP in GB</v>
      </c>
      <c r="C2209" t="str">
        <f>VLOOKUP(NoviaFunds[[#This Row],[ISIN]],'Novia Web Query'!$A:$E,3,FALSE)</f>
        <v>UT North America</v>
      </c>
      <c r="D2209" s="139">
        <f>VLOOKUP(NoviaFunds[[#This Row],[ISIN]],'Novia Web Query'!$A:$E,4,FALSE)/100</f>
        <v>8.8000000000000005E-3</v>
      </c>
      <c r="E2209" s="3" t="str">
        <f>VLOOKUP(NoviaFunds[[#This Row],[ISIN]],'Novia Web Query'!$A:$E,5,FALSE)</f>
        <v>30/09/2020</v>
      </c>
      <c r="F2209" t="str">
        <f>VLOOKUP(NoviaFunds[[#This Row],[Sector]],Sectors[],2,FALSE)</f>
        <v>USA Equities</v>
      </c>
    </row>
    <row r="2210" spans="1:6" x14ac:dyDescent="0.2">
      <c r="A2210" t="str">
        <f>'Novia Web Query'!A2207</f>
        <v>GB00BHBX8917</v>
      </c>
      <c r="B2210" t="str">
        <f>VLOOKUP(NoviaFunds[[#This Row],[ISIN]],'Novia Web Query'!$A:$E,2,FALSE)</f>
        <v>Jupiter Merian North American Equity U2 Acc GBP in GB</v>
      </c>
      <c r="C2210" t="str">
        <f>VLOOKUP(NoviaFunds[[#This Row],[ISIN]],'Novia Web Query'!$A:$E,3,FALSE)</f>
        <v>UT North America</v>
      </c>
      <c r="D2210" s="139">
        <f>VLOOKUP(NoviaFunds[[#This Row],[ISIN]],'Novia Web Query'!$A:$E,4,FALSE)/100</f>
        <v>8.0000000000000002E-3</v>
      </c>
      <c r="E2210" s="3" t="str">
        <f>VLOOKUP(NoviaFunds[[#This Row],[ISIN]],'Novia Web Query'!$A:$E,5,FALSE)</f>
        <v>30/09/2020</v>
      </c>
      <c r="F2210" t="str">
        <f>VLOOKUP(NoviaFunds[[#This Row],[Sector]],Sectors[],2,FALSE)</f>
        <v>USA Equities</v>
      </c>
    </row>
    <row r="2211" spans="1:6" x14ac:dyDescent="0.2">
      <c r="A2211" t="str">
        <f>'Novia Web Query'!A2208</f>
        <v>GB00B4351D99</v>
      </c>
      <c r="B2211" t="str">
        <f>VLOOKUP(NoviaFunds[[#This Row],[ISIN]],'Novia Web Query'!$A:$E,2,FALSE)</f>
        <v>Jupiter Merlin Balanced Portfolio I Acc in GB</v>
      </c>
      <c r="C2211" t="str">
        <f>VLOOKUP(NoviaFunds[[#This Row],[ISIN]],'Novia Web Query'!$A:$E,3,FALSE)</f>
        <v>UT Mixed Investment 40-85% Shares</v>
      </c>
      <c r="D2211" s="139">
        <f>VLOOKUP(NoviaFunds[[#This Row],[ISIN]],'Novia Web Query'!$A:$E,4,FALSE)/100</f>
        <v>1.5800000000000002E-2</v>
      </c>
      <c r="E2211" s="3" t="str">
        <f>VLOOKUP(NoviaFunds[[#This Row],[ISIN]],'Novia Web Query'!$A:$E,5,FALSE)</f>
        <v>31/12/2020</v>
      </c>
      <c r="F2211" t="str">
        <f>VLOOKUP(NoviaFunds[[#This Row],[Sector]],Sectors[],2,FALSE)</f>
        <v>Mixed 40%-85%</v>
      </c>
    </row>
    <row r="2212" spans="1:6" x14ac:dyDescent="0.2">
      <c r="A2212" t="str">
        <f>'Novia Web Query'!A2209</f>
        <v>GB00B3X5X818</v>
      </c>
      <c r="B2212" t="str">
        <f>VLOOKUP(NoviaFunds[[#This Row],[ISIN]],'Novia Web Query'!$A:$E,2,FALSE)</f>
        <v>Jupiter Merlin Balanced Portfolio I Inc TR in GB**</v>
      </c>
      <c r="C2212" t="str">
        <f>VLOOKUP(NoviaFunds[[#This Row],[ISIN]],'Novia Web Query'!$A:$E,3,FALSE)</f>
        <v>UT Mixed Investment 40-85% Shares</v>
      </c>
      <c r="D2212" s="139">
        <f>VLOOKUP(NoviaFunds[[#This Row],[ISIN]],'Novia Web Query'!$A:$E,4,FALSE)/100</f>
        <v>1.5800000000000002E-2</v>
      </c>
      <c r="E2212" s="3" t="str">
        <f>VLOOKUP(NoviaFunds[[#This Row],[ISIN]],'Novia Web Query'!$A:$E,5,FALSE)</f>
        <v>31/12/2020</v>
      </c>
      <c r="F2212" t="str">
        <f>VLOOKUP(NoviaFunds[[#This Row],[Sector]],Sectors[],2,FALSE)</f>
        <v>Mixed 40%-85%</v>
      </c>
    </row>
    <row r="2213" spans="1:6" x14ac:dyDescent="0.2">
      <c r="A2213" t="str">
        <f>'Novia Web Query'!A2210</f>
        <v>GB0031845141</v>
      </c>
      <c r="B2213" t="str">
        <f>VLOOKUP(NoviaFunds[[#This Row],[ISIN]],'Novia Web Query'!$A:$E,2,FALSE)</f>
        <v>Jupiter Merlin Balanced Portfolio L Acc in GB</v>
      </c>
      <c r="C2213" t="str">
        <f>VLOOKUP(NoviaFunds[[#This Row],[ISIN]],'Novia Web Query'!$A:$E,3,FALSE)</f>
        <v>UT Mixed Investment 40-85% Shares</v>
      </c>
      <c r="D2213" s="139">
        <f>VLOOKUP(NoviaFunds[[#This Row],[ISIN]],'Novia Web Query'!$A:$E,4,FALSE)/100</f>
        <v>2.3300000000000001E-2</v>
      </c>
      <c r="E2213" s="3" t="str">
        <f>VLOOKUP(NoviaFunds[[#This Row],[ISIN]],'Novia Web Query'!$A:$E,5,FALSE)</f>
        <v>31/12/2020</v>
      </c>
      <c r="F2213" t="str">
        <f>VLOOKUP(NoviaFunds[[#This Row],[Sector]],Sectors[],2,FALSE)</f>
        <v>Mixed 40%-85%</v>
      </c>
    </row>
    <row r="2214" spans="1:6" x14ac:dyDescent="0.2">
      <c r="A2214" t="str">
        <f>'Novia Web Query'!A2211</f>
        <v>GB0031910754</v>
      </c>
      <c r="B2214" t="str">
        <f>VLOOKUP(NoviaFunds[[#This Row],[ISIN]],'Novia Web Query'!$A:$E,2,FALSE)</f>
        <v>Jupiter Merlin Balanced Portfolio L Inc TR in GB</v>
      </c>
      <c r="C2214" t="str">
        <f>VLOOKUP(NoviaFunds[[#This Row],[ISIN]],'Novia Web Query'!$A:$E,3,FALSE)</f>
        <v>UT Mixed Investment 40-85% Shares</v>
      </c>
      <c r="D2214" s="139">
        <f>VLOOKUP(NoviaFunds[[#This Row],[ISIN]],'Novia Web Query'!$A:$E,4,FALSE)/100</f>
        <v>2.3300000000000001E-2</v>
      </c>
      <c r="E2214" s="3" t="str">
        <f>VLOOKUP(NoviaFunds[[#This Row],[ISIN]],'Novia Web Query'!$A:$E,5,FALSE)</f>
        <v>31/12/2020</v>
      </c>
      <c r="F2214" t="str">
        <f>VLOOKUP(NoviaFunds[[#This Row],[Sector]],Sectors[],2,FALSE)</f>
        <v>Mixed 40%-85%</v>
      </c>
    </row>
    <row r="2215" spans="1:6" x14ac:dyDescent="0.2">
      <c r="A2215" t="str">
        <f>'Novia Web Query'!A2212</f>
        <v>GB00B8GDLS36</v>
      </c>
      <c r="B2215" t="str">
        <f>VLOOKUP(NoviaFunds[[#This Row],[ISIN]],'Novia Web Query'!$A:$E,2,FALSE)</f>
        <v>Jupiter Merlin Conservative Portfolio I Acc in GB</v>
      </c>
      <c r="C2215" t="str">
        <f>VLOOKUP(NoviaFunds[[#This Row],[ISIN]],'Novia Web Query'!$A:$E,3,FALSE)</f>
        <v>UT Mixed Investment 0-35% Shares</v>
      </c>
      <c r="D2215" s="139">
        <f>VLOOKUP(NoviaFunds[[#This Row],[ISIN]],'Novia Web Query'!$A:$E,4,FALSE)/100</f>
        <v>9.300000000000001E-3</v>
      </c>
      <c r="E2215" s="3" t="str">
        <f>VLOOKUP(NoviaFunds[[#This Row],[ISIN]],'Novia Web Query'!$A:$E,5,FALSE)</f>
        <v>31/12/2020</v>
      </c>
      <c r="F2215" t="str">
        <f>VLOOKUP(NoviaFunds[[#This Row],[Sector]],Sectors[],2,FALSE)</f>
        <v>Mixed 0%-35%</v>
      </c>
    </row>
    <row r="2216" spans="1:6" x14ac:dyDescent="0.2">
      <c r="A2216" t="str">
        <f>'Novia Web Query'!A2213</f>
        <v>GB00B8GDLV64</v>
      </c>
      <c r="B2216" t="str">
        <f>VLOOKUP(NoviaFunds[[#This Row],[ISIN]],'Novia Web Query'!$A:$E,2,FALSE)</f>
        <v>Jupiter Merlin Conservative Portfolio I Inc TR in GB</v>
      </c>
      <c r="C2216" t="str">
        <f>VLOOKUP(NoviaFunds[[#This Row],[ISIN]],'Novia Web Query'!$A:$E,3,FALSE)</f>
        <v>UT Mixed Investment 0-35% Shares</v>
      </c>
      <c r="D2216" s="139">
        <f>VLOOKUP(NoviaFunds[[#This Row],[ISIN]],'Novia Web Query'!$A:$E,4,FALSE)/100</f>
        <v>9.300000000000001E-3</v>
      </c>
      <c r="E2216" s="3" t="str">
        <f>VLOOKUP(NoviaFunds[[#This Row],[ISIN]],'Novia Web Query'!$A:$E,5,FALSE)</f>
        <v>31/12/2020</v>
      </c>
      <c r="F2216" t="str">
        <f>VLOOKUP(NoviaFunds[[#This Row],[Sector]],Sectors[],2,FALSE)</f>
        <v>Mixed 0%-35%</v>
      </c>
    </row>
    <row r="2217" spans="1:6" x14ac:dyDescent="0.2">
      <c r="A2217" t="str">
        <f>'Novia Web Query'!A2214</f>
        <v>GB00B8GDMB34</v>
      </c>
      <c r="B2217" t="str">
        <f>VLOOKUP(NoviaFunds[[#This Row],[ISIN]],'Novia Web Query'!$A:$E,2,FALSE)</f>
        <v>Jupiter Merlin Conservative Portfolio L Acc in GB</v>
      </c>
      <c r="C2217" t="str">
        <f>VLOOKUP(NoviaFunds[[#This Row],[ISIN]],'Novia Web Query'!$A:$E,3,FALSE)</f>
        <v>UT Mixed Investment 0-35% Shares</v>
      </c>
      <c r="D2217" s="139">
        <f>VLOOKUP(NoviaFunds[[#This Row],[ISIN]],'Novia Web Query'!$A:$E,4,FALSE)/100</f>
        <v>1.6799999999999999E-2</v>
      </c>
      <c r="E2217" s="3" t="str">
        <f>VLOOKUP(NoviaFunds[[#This Row],[ISIN]],'Novia Web Query'!$A:$E,5,FALSE)</f>
        <v>31/12/2020</v>
      </c>
      <c r="F2217" t="str">
        <f>VLOOKUP(NoviaFunds[[#This Row],[Sector]],Sectors[],2,FALSE)</f>
        <v>Mixed 0%-35%</v>
      </c>
    </row>
    <row r="2218" spans="1:6" x14ac:dyDescent="0.2">
      <c r="A2218" t="str">
        <f>'Novia Web Query'!A2215</f>
        <v>GB00B6QGLF53</v>
      </c>
      <c r="B2218" t="str">
        <f>VLOOKUP(NoviaFunds[[#This Row],[ISIN]],'Novia Web Query'!$A:$E,2,FALSE)</f>
        <v>Jupiter Merlin Growth Portfolio I Acc in GB</v>
      </c>
      <c r="C2218" t="str">
        <f>VLOOKUP(NoviaFunds[[#This Row],[ISIN]],'Novia Web Query'!$A:$E,3,FALSE)</f>
        <v>UT Flexible Investment</v>
      </c>
      <c r="D2218" s="139">
        <f>VLOOKUP(NoviaFunds[[#This Row],[ISIN]],'Novia Web Query'!$A:$E,4,FALSE)/100</f>
        <v>1.72E-2</v>
      </c>
      <c r="E2218" s="3" t="str">
        <f>VLOOKUP(NoviaFunds[[#This Row],[ISIN]],'Novia Web Query'!$A:$E,5,FALSE)</f>
        <v>31/12/2020</v>
      </c>
      <c r="F2218" t="str">
        <f>VLOOKUP(NoviaFunds[[#This Row],[Sector]],Sectors[],2,FALSE)</f>
        <v>Flexible</v>
      </c>
    </row>
    <row r="2219" spans="1:6" x14ac:dyDescent="0.2">
      <c r="A2219" t="str">
        <f>'Novia Web Query'!A2216</f>
        <v>GB00B8K5LH40</v>
      </c>
      <c r="B2219" t="str">
        <f>VLOOKUP(NoviaFunds[[#This Row],[ISIN]],'Novia Web Query'!$A:$E,2,FALSE)</f>
        <v>Jupiter Merlin Growth Portfolio I Inc TR in GB**</v>
      </c>
      <c r="C2219" t="str">
        <f>VLOOKUP(NoviaFunds[[#This Row],[ISIN]],'Novia Web Query'!$A:$E,3,FALSE)</f>
        <v>UT Flexible Investment</v>
      </c>
      <c r="D2219" s="139">
        <f>VLOOKUP(NoviaFunds[[#This Row],[ISIN]],'Novia Web Query'!$A:$E,4,FALSE)/100</f>
        <v>1.72E-2</v>
      </c>
      <c r="E2219" s="3" t="str">
        <f>VLOOKUP(NoviaFunds[[#This Row],[ISIN]],'Novia Web Query'!$A:$E,5,FALSE)</f>
        <v>31/12/2020</v>
      </c>
      <c r="F2219" t="str">
        <f>VLOOKUP(NoviaFunds[[#This Row],[Sector]],Sectors[],2,FALSE)</f>
        <v>Flexible</v>
      </c>
    </row>
    <row r="2220" spans="1:6" x14ac:dyDescent="0.2">
      <c r="A2220" t="str">
        <f>'Novia Web Query'!A2217</f>
        <v>GB0003629267</v>
      </c>
      <c r="B2220" t="str">
        <f>VLOOKUP(NoviaFunds[[#This Row],[ISIN]],'Novia Web Query'!$A:$E,2,FALSE)</f>
        <v>Jupiter Merlin Growth Portfolio L Acc in GB</v>
      </c>
      <c r="C2220" t="str">
        <f>VLOOKUP(NoviaFunds[[#This Row],[ISIN]],'Novia Web Query'!$A:$E,3,FALSE)</f>
        <v>UT Flexible Investment</v>
      </c>
      <c r="D2220" s="139">
        <f>VLOOKUP(NoviaFunds[[#This Row],[ISIN]],'Novia Web Query'!$A:$E,4,FALSE)/100</f>
        <v>2.4700000000000003E-2</v>
      </c>
      <c r="E2220" s="3" t="str">
        <f>VLOOKUP(NoviaFunds[[#This Row],[ISIN]],'Novia Web Query'!$A:$E,5,FALSE)</f>
        <v>31/12/2020</v>
      </c>
      <c r="F2220" t="str">
        <f>VLOOKUP(NoviaFunds[[#This Row],[Sector]],Sectors[],2,FALSE)</f>
        <v>Flexible</v>
      </c>
    </row>
    <row r="2221" spans="1:6" x14ac:dyDescent="0.2">
      <c r="A2221" t="str">
        <f>'Novia Web Query'!A2218</f>
        <v>GB0003629150</v>
      </c>
      <c r="B2221" t="str">
        <f>VLOOKUP(NoviaFunds[[#This Row],[ISIN]],'Novia Web Query'!$A:$E,2,FALSE)</f>
        <v>Jupiter Merlin Growth Portfolio L Inc TR in GB</v>
      </c>
      <c r="C2221" t="str">
        <f>VLOOKUP(NoviaFunds[[#This Row],[ISIN]],'Novia Web Query'!$A:$E,3,FALSE)</f>
        <v>UT Flexible Investment</v>
      </c>
      <c r="D2221" s="139">
        <f>VLOOKUP(NoviaFunds[[#This Row],[ISIN]],'Novia Web Query'!$A:$E,4,FALSE)/100</f>
        <v>2.4700000000000003E-2</v>
      </c>
      <c r="E2221" s="3" t="str">
        <f>VLOOKUP(NoviaFunds[[#This Row],[ISIN]],'Novia Web Query'!$A:$E,5,FALSE)</f>
        <v>31/12/2020</v>
      </c>
      <c r="F2221" t="str">
        <f>VLOOKUP(NoviaFunds[[#This Row],[Sector]],Sectors[],2,FALSE)</f>
        <v>Flexible</v>
      </c>
    </row>
    <row r="2222" spans="1:6" x14ac:dyDescent="0.2">
      <c r="A2222" t="str">
        <f>'Novia Web Query'!A2219</f>
        <v>GB00B4N2L746</v>
      </c>
      <c r="B2222" t="str">
        <f>VLOOKUP(NoviaFunds[[#This Row],[ISIN]],'Novia Web Query'!$A:$E,2,FALSE)</f>
        <v>Jupiter Merlin Income Portfolio I Acc in GB</v>
      </c>
      <c r="C2222" t="str">
        <f>VLOOKUP(NoviaFunds[[#This Row],[ISIN]],'Novia Web Query'!$A:$E,3,FALSE)</f>
        <v>UT Mixed Investment 20-60% Shares</v>
      </c>
      <c r="D2222" s="139">
        <f>VLOOKUP(NoviaFunds[[#This Row],[ISIN]],'Novia Web Query'!$A:$E,4,FALSE)/100</f>
        <v>1.41E-2</v>
      </c>
      <c r="E2222" s="3" t="str">
        <f>VLOOKUP(NoviaFunds[[#This Row],[ISIN]],'Novia Web Query'!$A:$E,5,FALSE)</f>
        <v>31/12/2020</v>
      </c>
      <c r="F2222" t="str">
        <f>VLOOKUP(NoviaFunds[[#This Row],[Sector]],Sectors[],2,FALSE)</f>
        <v>Mixed 20%-60%</v>
      </c>
    </row>
    <row r="2223" spans="1:6" x14ac:dyDescent="0.2">
      <c r="A2223" t="str">
        <f>'Novia Web Query'!A2220</f>
        <v>GB00B6QMDC41</v>
      </c>
      <c r="B2223" t="str">
        <f>VLOOKUP(NoviaFunds[[#This Row],[ISIN]],'Novia Web Query'!$A:$E,2,FALSE)</f>
        <v>Jupiter Merlin Income Portfolio I Inc TR in GB**</v>
      </c>
      <c r="C2223" t="str">
        <f>VLOOKUP(NoviaFunds[[#This Row],[ISIN]],'Novia Web Query'!$A:$E,3,FALSE)</f>
        <v>UT Mixed Investment 20-60% Shares</v>
      </c>
      <c r="D2223" s="139">
        <f>VLOOKUP(NoviaFunds[[#This Row],[ISIN]],'Novia Web Query'!$A:$E,4,FALSE)/100</f>
        <v>1.41E-2</v>
      </c>
      <c r="E2223" s="3" t="str">
        <f>VLOOKUP(NoviaFunds[[#This Row],[ISIN]],'Novia Web Query'!$A:$E,5,FALSE)</f>
        <v>31/12/2020</v>
      </c>
      <c r="F2223" t="str">
        <f>VLOOKUP(NoviaFunds[[#This Row],[Sector]],Sectors[],2,FALSE)</f>
        <v>Mixed 20%-60%</v>
      </c>
    </row>
    <row r="2224" spans="1:6" x14ac:dyDescent="0.2">
      <c r="A2224" t="str">
        <f>'Novia Web Query'!A2221</f>
        <v>GB0003629374</v>
      </c>
      <c r="B2224" t="str">
        <f>VLOOKUP(NoviaFunds[[#This Row],[ISIN]],'Novia Web Query'!$A:$E,2,FALSE)</f>
        <v>Jupiter Merlin Income Portfolio L Acc in GB</v>
      </c>
      <c r="C2224" t="str">
        <f>VLOOKUP(NoviaFunds[[#This Row],[ISIN]],'Novia Web Query'!$A:$E,3,FALSE)</f>
        <v>UT Mixed Investment 20-60% Shares</v>
      </c>
      <c r="D2224" s="139">
        <f>VLOOKUP(NoviaFunds[[#This Row],[ISIN]],'Novia Web Query'!$A:$E,4,FALSE)/100</f>
        <v>2.1600000000000001E-2</v>
      </c>
      <c r="E2224" s="3" t="str">
        <f>VLOOKUP(NoviaFunds[[#This Row],[ISIN]],'Novia Web Query'!$A:$E,5,FALSE)</f>
        <v>31/12/2020</v>
      </c>
      <c r="F2224" t="str">
        <f>VLOOKUP(NoviaFunds[[#This Row],[Sector]],Sectors[],2,FALSE)</f>
        <v>Mixed 20%-60%</v>
      </c>
    </row>
    <row r="2225" spans="1:6" x14ac:dyDescent="0.2">
      <c r="A2225" t="str">
        <f>'Novia Web Query'!A2222</f>
        <v>GB0003629481</v>
      </c>
      <c r="B2225" t="str">
        <f>VLOOKUP(NoviaFunds[[#This Row],[ISIN]],'Novia Web Query'!$A:$E,2,FALSE)</f>
        <v>Jupiter Merlin Income Portfolio L Inc TR in GB</v>
      </c>
      <c r="C2225" t="str">
        <f>VLOOKUP(NoviaFunds[[#This Row],[ISIN]],'Novia Web Query'!$A:$E,3,FALSE)</f>
        <v>UT Mixed Investment 20-60% Shares</v>
      </c>
      <c r="D2225" s="139">
        <f>VLOOKUP(NoviaFunds[[#This Row],[ISIN]],'Novia Web Query'!$A:$E,4,FALSE)/100</f>
        <v>2.1600000000000001E-2</v>
      </c>
      <c r="E2225" s="3" t="str">
        <f>VLOOKUP(NoviaFunds[[#This Row],[ISIN]],'Novia Web Query'!$A:$E,5,FALSE)</f>
        <v>31/12/2020</v>
      </c>
      <c r="F2225" t="str">
        <f>VLOOKUP(NoviaFunds[[#This Row],[Sector]],Sectors[],2,FALSE)</f>
        <v>Mixed 20%-60%</v>
      </c>
    </row>
    <row r="2226" spans="1:6" x14ac:dyDescent="0.2">
      <c r="A2226" t="str">
        <f>'Novia Web Query'!A2223</f>
        <v>GB00B53LG951</v>
      </c>
      <c r="B2226" t="str">
        <f>VLOOKUP(NoviaFunds[[#This Row],[ISIN]],'Novia Web Query'!$A:$E,2,FALSE)</f>
        <v>Jupiter Merlin Worldwide Portfolio I Acc TR in GB</v>
      </c>
      <c r="C2226" t="str">
        <f>VLOOKUP(NoviaFunds[[#This Row],[ISIN]],'Novia Web Query'!$A:$E,3,FALSE)</f>
        <v>UT Global</v>
      </c>
      <c r="D2226" s="139">
        <f>VLOOKUP(NoviaFunds[[#This Row],[ISIN]],'Novia Web Query'!$A:$E,4,FALSE)/100</f>
        <v>1.77E-2</v>
      </c>
      <c r="E2226" s="3" t="str">
        <f>VLOOKUP(NoviaFunds[[#This Row],[ISIN]],'Novia Web Query'!$A:$E,5,FALSE)</f>
        <v>31/12/2020</v>
      </c>
      <c r="F2226" t="str">
        <f>VLOOKUP(NoviaFunds[[#This Row],[Sector]],Sectors[],2,FALSE)</f>
        <v>Other Equities</v>
      </c>
    </row>
    <row r="2227" spans="1:6" x14ac:dyDescent="0.2">
      <c r="A2227" t="str">
        <f>'Novia Web Query'!A2224</f>
        <v>GB00B8D78Y38</v>
      </c>
      <c r="B2227" t="str">
        <f>VLOOKUP(NoviaFunds[[#This Row],[ISIN]],'Novia Web Query'!$A:$E,2,FALSE)</f>
        <v>Jupiter Merlin Worldwide Portfolio I Inc TR in GB**</v>
      </c>
      <c r="C2227" t="str">
        <f>VLOOKUP(NoviaFunds[[#This Row],[ISIN]],'Novia Web Query'!$A:$E,3,FALSE)</f>
        <v>UT Global</v>
      </c>
      <c r="D2227" s="139">
        <f>VLOOKUP(NoviaFunds[[#This Row],[ISIN]],'Novia Web Query'!$A:$E,4,FALSE)/100</f>
        <v>1.77E-2</v>
      </c>
      <c r="E2227" s="3" t="str">
        <f>VLOOKUP(NoviaFunds[[#This Row],[ISIN]],'Novia Web Query'!$A:$E,5,FALSE)</f>
        <v>31/12/2020</v>
      </c>
      <c r="F2227" t="str">
        <f>VLOOKUP(NoviaFunds[[#This Row],[Sector]],Sectors[],2,FALSE)</f>
        <v>Other Equities</v>
      </c>
    </row>
    <row r="2228" spans="1:6" x14ac:dyDescent="0.2">
      <c r="A2228" t="str">
        <f>'Novia Web Query'!A2225</f>
        <v>GB0031667834</v>
      </c>
      <c r="B2228" t="str">
        <f>VLOOKUP(NoviaFunds[[#This Row],[ISIN]],'Novia Web Query'!$A:$E,2,FALSE)</f>
        <v>Jupiter Merlin Worldwide Portfolio L Acc in GB</v>
      </c>
      <c r="C2228" t="str">
        <f>VLOOKUP(NoviaFunds[[#This Row],[ISIN]],'Novia Web Query'!$A:$E,3,FALSE)</f>
        <v>UT Global</v>
      </c>
      <c r="D2228" s="139">
        <f>VLOOKUP(NoviaFunds[[#This Row],[ISIN]],'Novia Web Query'!$A:$E,4,FALSE)/100</f>
        <v>2.52E-2</v>
      </c>
      <c r="E2228" s="3" t="str">
        <f>VLOOKUP(NoviaFunds[[#This Row],[ISIN]],'Novia Web Query'!$A:$E,5,FALSE)</f>
        <v>31/12/2020</v>
      </c>
      <c r="F2228" t="str">
        <f>VLOOKUP(NoviaFunds[[#This Row],[Sector]],Sectors[],2,FALSE)</f>
        <v>Other Equities</v>
      </c>
    </row>
    <row r="2229" spans="1:6" x14ac:dyDescent="0.2">
      <c r="A2229" t="str">
        <f>'Novia Web Query'!A2226</f>
        <v>GB0003699831</v>
      </c>
      <c r="B2229" t="str">
        <f>VLOOKUP(NoviaFunds[[#This Row],[ISIN]],'Novia Web Query'!$A:$E,2,FALSE)</f>
        <v>Jupiter Merlin Worldwide Portfolio L Inc TR in GB</v>
      </c>
      <c r="C2229" t="str">
        <f>VLOOKUP(NoviaFunds[[#This Row],[ISIN]],'Novia Web Query'!$A:$E,3,FALSE)</f>
        <v>UT Global</v>
      </c>
      <c r="D2229" s="139">
        <f>VLOOKUP(NoviaFunds[[#This Row],[ISIN]],'Novia Web Query'!$A:$E,4,FALSE)/100</f>
        <v>2.52E-2</v>
      </c>
      <c r="E2229" s="3" t="str">
        <f>VLOOKUP(NoviaFunds[[#This Row],[ISIN]],'Novia Web Query'!$A:$E,5,FALSE)</f>
        <v>31/12/2020</v>
      </c>
      <c r="F2229" t="str">
        <f>VLOOKUP(NoviaFunds[[#This Row],[Sector]],Sectors[],2,FALSE)</f>
        <v>Other Equities</v>
      </c>
    </row>
    <row r="2230" spans="1:6" x14ac:dyDescent="0.2">
      <c r="A2230" t="str">
        <f>'Novia Web Query'!A4432</f>
        <v>IE00BYVJRH94</v>
      </c>
      <c r="B2230" t="str">
        <f>VLOOKUP(NoviaFunds[[#This Row],[ISIN]],'Novia Web Query'!$A:$E,2,FALSE)</f>
        <v>Jupiter Gold &amp; Silver I Acc</v>
      </c>
      <c r="C2230" t="s">
        <v>591</v>
      </c>
      <c r="D2230" s="139">
        <f>VLOOKUP(NoviaFunds[[#This Row],[ISIN]],'Novia Web Query'!$A:$E,4,FALSE)/100</f>
        <v>8.8000000000000005E-3</v>
      </c>
      <c r="E2230" s="3">
        <f>VLOOKUP(NoviaFunds[[#This Row],[ISIN]],'Novia Web Query'!$A:$E,5,FALSE)</f>
        <v>44104</v>
      </c>
      <c r="F2230" t="str">
        <f>VLOOKUP(NoviaFunds[[#This Row],[Sector]],Sectors[],2,FALSE)</f>
        <v>Specialist</v>
      </c>
    </row>
    <row r="2231" spans="1:6" x14ac:dyDescent="0.2">
      <c r="A2231" t="str">
        <f>'Novia Web Query'!A2227</f>
        <v>GB00B4WLF922</v>
      </c>
      <c r="B2231" t="str">
        <f>VLOOKUP(NoviaFunds[[#This Row],[ISIN]],'Novia Web Query'!$A:$E,2,FALSE)</f>
        <v>Jupiter Monthly Alternative Income I Acc in GB</v>
      </c>
      <c r="C2231" t="str">
        <f>VLOOKUP(NoviaFunds[[#This Row],[ISIN]],'Novia Web Query'!$A:$E,3,FALSE)</f>
        <v>UT Specialist</v>
      </c>
      <c r="D2231" s="139">
        <f>VLOOKUP(NoviaFunds[[#This Row],[ISIN]],'Novia Web Query'!$A:$E,4,FALSE)/100</f>
        <v>9.3999999999999986E-3</v>
      </c>
      <c r="E2231" s="3" t="str">
        <f>VLOOKUP(NoviaFunds[[#This Row],[ISIN]],'Novia Web Query'!$A:$E,5,FALSE)</f>
        <v>31/12/2020</v>
      </c>
      <c r="F2231" t="str">
        <f>VLOOKUP(NoviaFunds[[#This Row],[Sector]],Sectors[],2,FALSE)</f>
        <v>Specialist</v>
      </c>
    </row>
    <row r="2232" spans="1:6" x14ac:dyDescent="0.2">
      <c r="A2232" t="str">
        <f>'Novia Web Query'!A2228</f>
        <v>GB00B4M78461</v>
      </c>
      <c r="B2232" t="str">
        <f>VLOOKUP(NoviaFunds[[#This Row],[ISIN]],'Novia Web Query'!$A:$E,2,FALSE)</f>
        <v>Jupiter Monthly Alternative Income I Inc TR in GB**</v>
      </c>
      <c r="C2232" t="str">
        <f>VLOOKUP(NoviaFunds[[#This Row],[ISIN]],'Novia Web Query'!$A:$E,3,FALSE)</f>
        <v>UT Specialist</v>
      </c>
      <c r="D2232" s="139">
        <f>VLOOKUP(NoviaFunds[[#This Row],[ISIN]],'Novia Web Query'!$A:$E,4,FALSE)/100</f>
        <v>9.3999999999999986E-3</v>
      </c>
      <c r="E2232" s="3" t="str">
        <f>VLOOKUP(NoviaFunds[[#This Row],[ISIN]],'Novia Web Query'!$A:$E,5,FALSE)</f>
        <v>31/12/2020</v>
      </c>
      <c r="F2232" t="str">
        <f>VLOOKUP(NoviaFunds[[#This Row],[Sector]],Sectors[],2,FALSE)</f>
        <v>Specialist</v>
      </c>
    </row>
    <row r="2233" spans="1:6" x14ac:dyDescent="0.2">
      <c r="A2233" t="str">
        <f>'Novia Web Query'!A2229</f>
        <v>GB0009500314</v>
      </c>
      <c r="B2233" t="str">
        <f>VLOOKUP(NoviaFunds[[#This Row],[ISIN]],'Novia Web Query'!$A:$E,2,FALSE)</f>
        <v>Jupiter Monthly Alternative Income L Acc in GB</v>
      </c>
      <c r="C2233" t="str">
        <f>VLOOKUP(NoviaFunds[[#This Row],[ISIN]],'Novia Web Query'!$A:$E,3,FALSE)</f>
        <v>UT Specialist</v>
      </c>
      <c r="D2233" s="139">
        <f>VLOOKUP(NoviaFunds[[#This Row],[ISIN]],'Novia Web Query'!$A:$E,4,FALSE)/100</f>
        <v>1.6899999999999998E-2</v>
      </c>
      <c r="E2233" s="3" t="str">
        <f>VLOOKUP(NoviaFunds[[#This Row],[ISIN]],'Novia Web Query'!$A:$E,5,FALSE)</f>
        <v>31/12/2020</v>
      </c>
      <c r="F2233" t="str">
        <f>VLOOKUP(NoviaFunds[[#This Row],[Sector]],Sectors[],2,FALSE)</f>
        <v>Specialist</v>
      </c>
    </row>
    <row r="2234" spans="1:6" x14ac:dyDescent="0.2">
      <c r="A2234" t="str">
        <f>'Novia Web Query'!A2230</f>
        <v>GB0009500207</v>
      </c>
      <c r="B2234" t="str">
        <f>VLOOKUP(NoviaFunds[[#This Row],[ISIN]],'Novia Web Query'!$A:$E,2,FALSE)</f>
        <v>Jupiter Monthly Alternative Income L Inc TR in GB</v>
      </c>
      <c r="C2234" t="str">
        <f>VLOOKUP(NoviaFunds[[#This Row],[ISIN]],'Novia Web Query'!$A:$E,3,FALSE)</f>
        <v>UT Specialist</v>
      </c>
      <c r="D2234" s="139">
        <f>VLOOKUP(NoviaFunds[[#This Row],[ISIN]],'Novia Web Query'!$A:$E,4,FALSE)/100</f>
        <v>1.6899999999999998E-2</v>
      </c>
      <c r="E2234" s="3" t="str">
        <f>VLOOKUP(NoviaFunds[[#This Row],[ISIN]],'Novia Web Query'!$A:$E,5,FALSE)</f>
        <v>31/12/2020</v>
      </c>
      <c r="F2234" t="str">
        <f>VLOOKUP(NoviaFunds[[#This Row],[Sector]],Sectors[],2,FALSE)</f>
        <v>Specialist</v>
      </c>
    </row>
    <row r="2235" spans="1:6" x14ac:dyDescent="0.2">
      <c r="A2235" t="str">
        <f>'Novia Web Query'!A2231</f>
        <v>GB00B1XG8W96</v>
      </c>
      <c r="B2235" t="str">
        <f>VLOOKUP(NoviaFunds[[#This Row],[ISIN]],'Novia Web Query'!$A:$E,2,FALSE)</f>
        <v>Jupiter Monthly Income Bond I Acc GBP in GB</v>
      </c>
      <c r="C2235" t="str">
        <f>VLOOKUP(NoviaFunds[[#This Row],[ISIN]],'Novia Web Query'!$A:$E,3,FALSE)</f>
        <v>UT Sterling Strategic Bond</v>
      </c>
      <c r="D2235" s="139">
        <f>VLOOKUP(NoviaFunds[[#This Row],[ISIN]],'Novia Web Query'!$A:$E,4,FALSE)/100</f>
        <v>6.5000000000000006E-3</v>
      </c>
      <c r="E2235" s="3" t="str">
        <f>VLOOKUP(NoviaFunds[[#This Row],[ISIN]],'Novia Web Query'!$A:$E,5,FALSE)</f>
        <v>17/09/2020</v>
      </c>
      <c r="F2235" t="str">
        <f>VLOOKUP(NoviaFunds[[#This Row],[Sector]],Sectors[],2,FALSE)</f>
        <v>Other Bonds</v>
      </c>
    </row>
    <row r="2236" spans="1:6" x14ac:dyDescent="0.2">
      <c r="A2236" t="str">
        <f>'Novia Web Query'!A2232</f>
        <v>GB00B1XG8Y11</v>
      </c>
      <c r="B2236" t="str">
        <f>VLOOKUP(NoviaFunds[[#This Row],[ISIN]],'Novia Web Query'!$A:$E,2,FALSE)</f>
        <v>Jupiter Monthly Income Bond I Inc GBP TR in GB</v>
      </c>
      <c r="C2236" t="str">
        <f>VLOOKUP(NoviaFunds[[#This Row],[ISIN]],'Novia Web Query'!$A:$E,3,FALSE)</f>
        <v>UT Sterling Strategic Bond</v>
      </c>
      <c r="D2236" s="139">
        <f>VLOOKUP(NoviaFunds[[#This Row],[ISIN]],'Novia Web Query'!$A:$E,4,FALSE)/100</f>
        <v>6.5000000000000006E-3</v>
      </c>
      <c r="E2236" s="3" t="str">
        <f>VLOOKUP(NoviaFunds[[#This Row],[ISIN]],'Novia Web Query'!$A:$E,5,FALSE)</f>
        <v>17/09/2020</v>
      </c>
      <c r="F2236" t="str">
        <f>VLOOKUP(NoviaFunds[[#This Row],[Sector]],Sectors[],2,FALSE)</f>
        <v>Other Bonds</v>
      </c>
    </row>
    <row r="2237" spans="1:6" x14ac:dyDescent="0.2">
      <c r="A2237" t="str">
        <f>'Novia Web Query'!A2233</f>
        <v>GB00B1XG6Z87</v>
      </c>
      <c r="B2237" t="str">
        <f>VLOOKUP(NoviaFunds[[#This Row],[ISIN]],'Novia Web Query'!$A:$E,2,FALSE)</f>
        <v>Jupiter Monthly Income Bond L Acc GBP in GB</v>
      </c>
      <c r="C2237" t="str">
        <f>VLOOKUP(NoviaFunds[[#This Row],[ISIN]],'Novia Web Query'!$A:$E,3,FALSE)</f>
        <v>UT Sterling Strategic Bond</v>
      </c>
      <c r="D2237" s="139">
        <f>VLOOKUP(NoviaFunds[[#This Row],[ISIN]],'Novia Web Query'!$A:$E,4,FALSE)/100</f>
        <v>1.15E-2</v>
      </c>
      <c r="E2237" s="3" t="str">
        <f>VLOOKUP(NoviaFunds[[#This Row],[ISIN]],'Novia Web Query'!$A:$E,5,FALSE)</f>
        <v>17/09/2020</v>
      </c>
      <c r="F2237" t="str">
        <f>VLOOKUP(NoviaFunds[[#This Row],[Sector]],Sectors[],2,FALSE)</f>
        <v>Other Bonds</v>
      </c>
    </row>
    <row r="2238" spans="1:6" x14ac:dyDescent="0.2">
      <c r="A2238" t="str">
        <f>'Novia Web Query'!A2234</f>
        <v>GB00B1XG7114</v>
      </c>
      <c r="B2238" t="str">
        <f>VLOOKUP(NoviaFunds[[#This Row],[ISIN]],'Novia Web Query'!$A:$E,2,FALSE)</f>
        <v>Jupiter Monthly Income Bond L Inc GBP TR in GB</v>
      </c>
      <c r="C2238" t="str">
        <f>VLOOKUP(NoviaFunds[[#This Row],[ISIN]],'Novia Web Query'!$A:$E,3,FALSE)</f>
        <v>UT Sterling Strategic Bond</v>
      </c>
      <c r="D2238" s="139">
        <f>VLOOKUP(NoviaFunds[[#This Row],[ISIN]],'Novia Web Query'!$A:$E,4,FALSE)/100</f>
        <v>1.15E-2</v>
      </c>
      <c r="E2238" s="3" t="str">
        <f>VLOOKUP(NoviaFunds[[#This Row],[ISIN]],'Novia Web Query'!$A:$E,5,FALSE)</f>
        <v>17/09/2020</v>
      </c>
      <c r="F2238" t="str">
        <f>VLOOKUP(NoviaFunds[[#This Row],[Sector]],Sectors[],2,FALSE)</f>
        <v>Other Bonds</v>
      </c>
    </row>
    <row r="2239" spans="1:6" x14ac:dyDescent="0.2">
      <c r="A2239" t="str">
        <f>'Novia Web Query'!A2235</f>
        <v>GB00B6531T16</v>
      </c>
      <c r="B2239" t="str">
        <f>VLOOKUP(NoviaFunds[[#This Row],[ISIN]],'Novia Web Query'!$A:$E,2,FALSE)</f>
        <v>Jupiter Multi-Asset Income and Growth I Inc TR in GB</v>
      </c>
      <c r="C2239" t="str">
        <f>VLOOKUP(NoviaFunds[[#This Row],[ISIN]],'Novia Web Query'!$A:$E,3,FALSE)</f>
        <v>UT Mixed Investment 40-85% Shares</v>
      </c>
      <c r="D2239" s="139">
        <f>VLOOKUP(NoviaFunds[[#This Row],[ISIN]],'Novia Web Query'!$A:$E,4,FALSE)/100</f>
        <v>8.8999999999999999E-3</v>
      </c>
      <c r="E2239" s="3" t="str">
        <f>VLOOKUP(NoviaFunds[[#This Row],[ISIN]],'Novia Web Query'!$A:$E,5,FALSE)</f>
        <v>08/09/2021</v>
      </c>
      <c r="F2239" t="str">
        <f>VLOOKUP(NoviaFunds[[#This Row],[Sector]],Sectors[],2,FALSE)</f>
        <v>Mixed 40%-85%</v>
      </c>
    </row>
    <row r="2240" spans="1:6" x14ac:dyDescent="0.2">
      <c r="A2240" t="str">
        <f>'Novia Web Query'!A2236</f>
        <v>GB0004792684</v>
      </c>
      <c r="B2240" t="str">
        <f>VLOOKUP(NoviaFunds[[#This Row],[ISIN]],'Novia Web Query'!$A:$E,2,FALSE)</f>
        <v>Jupiter Multi-Asset Income and Growth L Inc TR in GB</v>
      </c>
      <c r="C2240" t="str">
        <f>VLOOKUP(NoviaFunds[[#This Row],[ISIN]],'Novia Web Query'!$A:$E,3,FALSE)</f>
        <v>UT Mixed Investment 40-85% Shares</v>
      </c>
      <c r="D2240" s="139">
        <f>VLOOKUP(NoviaFunds[[#This Row],[ISIN]],'Novia Web Query'!$A:$E,4,FALSE)/100</f>
        <v>1.6399999999999998E-2</v>
      </c>
      <c r="E2240" s="3" t="str">
        <f>VLOOKUP(NoviaFunds[[#This Row],[ISIN]],'Novia Web Query'!$A:$E,5,FALSE)</f>
        <v>08/09/2021</v>
      </c>
      <c r="F2240" t="str">
        <f>VLOOKUP(NoviaFunds[[#This Row],[Sector]],Sectors[],2,FALSE)</f>
        <v>Mixed 40%-85%</v>
      </c>
    </row>
    <row r="2241" spans="1:6" x14ac:dyDescent="0.2">
      <c r="A2241" t="str">
        <f>'Novia Web Query'!A2237</f>
        <v>GB00B52HN049</v>
      </c>
      <c r="B2241" t="str">
        <f>VLOOKUP(NoviaFunds[[#This Row],[ISIN]],'Novia Web Query'!$A:$E,2,FALSE)</f>
        <v>Jupiter Multi-Asset Income I Acc in GB</v>
      </c>
      <c r="C2241" t="str">
        <f>VLOOKUP(NoviaFunds[[#This Row],[ISIN]],'Novia Web Query'!$A:$E,3,FALSE)</f>
        <v>UT Mixed Investment 0-35% Shares</v>
      </c>
      <c r="D2241" s="139">
        <f>VLOOKUP(NoviaFunds[[#This Row],[ISIN]],'Novia Web Query'!$A:$E,4,FALSE)/100</f>
        <v>6.0999999999999995E-3</v>
      </c>
      <c r="E2241" s="3" t="str">
        <f>VLOOKUP(NoviaFunds[[#This Row],[ISIN]],'Novia Web Query'!$A:$E,5,FALSE)</f>
        <v>31/12/2020</v>
      </c>
      <c r="F2241" t="str">
        <f>VLOOKUP(NoviaFunds[[#This Row],[Sector]],Sectors[],2,FALSE)</f>
        <v>Mixed 0%-35%</v>
      </c>
    </row>
    <row r="2242" spans="1:6" x14ac:dyDescent="0.2">
      <c r="A2242" t="str">
        <f>'Novia Web Query'!A2238</f>
        <v>GB00B4WDT300</v>
      </c>
      <c r="B2242" t="str">
        <f>VLOOKUP(NoviaFunds[[#This Row],[ISIN]],'Novia Web Query'!$A:$E,2,FALSE)</f>
        <v>Jupiter Multi-Asset Income I Inc TR in GB**</v>
      </c>
      <c r="C2242" t="str">
        <f>VLOOKUP(NoviaFunds[[#This Row],[ISIN]],'Novia Web Query'!$A:$E,3,FALSE)</f>
        <v>UT Mixed Investment 0-35% Shares</v>
      </c>
      <c r="D2242" s="139">
        <f>VLOOKUP(NoviaFunds[[#This Row],[ISIN]],'Novia Web Query'!$A:$E,4,FALSE)/100</f>
        <v>6.0999999999999995E-3</v>
      </c>
      <c r="E2242" s="3" t="str">
        <f>VLOOKUP(NoviaFunds[[#This Row],[ISIN]],'Novia Web Query'!$A:$E,5,FALSE)</f>
        <v>31/12/2020</v>
      </c>
      <c r="F2242" t="str">
        <f>VLOOKUP(NoviaFunds[[#This Row],[Sector]],Sectors[],2,FALSE)</f>
        <v>Mixed 0%-35%</v>
      </c>
    </row>
    <row r="2243" spans="1:6" x14ac:dyDescent="0.2">
      <c r="A2243" t="str">
        <f>'Novia Web Query'!A2239</f>
        <v>GB0031294183</v>
      </c>
      <c r="B2243" t="str">
        <f>VLOOKUP(NoviaFunds[[#This Row],[ISIN]],'Novia Web Query'!$A:$E,2,FALSE)</f>
        <v>Jupiter Multi-Asset Income L Acc in GB</v>
      </c>
      <c r="C2243" t="str">
        <f>VLOOKUP(NoviaFunds[[#This Row],[ISIN]],'Novia Web Query'!$A:$E,3,FALSE)</f>
        <v>UT Mixed Investment 0-35% Shares</v>
      </c>
      <c r="D2243" s="139">
        <f>VLOOKUP(NoviaFunds[[#This Row],[ISIN]],'Novia Web Query'!$A:$E,4,FALSE)/100</f>
        <v>1.3600000000000001E-2</v>
      </c>
      <c r="E2243" s="3" t="str">
        <f>VLOOKUP(NoviaFunds[[#This Row],[ISIN]],'Novia Web Query'!$A:$E,5,FALSE)</f>
        <v>31/12/2020</v>
      </c>
      <c r="F2243" t="str">
        <f>VLOOKUP(NoviaFunds[[#This Row],[Sector]],Sectors[],2,FALSE)</f>
        <v>Mixed 0%-35%</v>
      </c>
    </row>
    <row r="2244" spans="1:6" x14ac:dyDescent="0.2">
      <c r="A2244" t="str">
        <f>'Novia Web Query'!A2240</f>
        <v>GB0031294290</v>
      </c>
      <c r="B2244" t="str">
        <f>VLOOKUP(NoviaFunds[[#This Row],[ISIN]],'Novia Web Query'!$A:$E,2,FALSE)</f>
        <v>Jupiter Multi-Asset Income L Inc TR in GB</v>
      </c>
      <c r="C2244" t="str">
        <f>VLOOKUP(NoviaFunds[[#This Row],[ISIN]],'Novia Web Query'!$A:$E,3,FALSE)</f>
        <v>UT Mixed Investment 0-35% Shares</v>
      </c>
      <c r="D2244" s="139">
        <f>VLOOKUP(NoviaFunds[[#This Row],[ISIN]],'Novia Web Query'!$A:$E,4,FALSE)/100</f>
        <v>1.3600000000000001E-2</v>
      </c>
      <c r="E2244" s="3" t="str">
        <f>VLOOKUP(NoviaFunds[[#This Row],[ISIN]],'Novia Web Query'!$A:$E,5,FALSE)</f>
        <v>31/12/2020</v>
      </c>
      <c r="F2244" t="str">
        <f>VLOOKUP(NoviaFunds[[#This Row],[Sector]],Sectors[],2,FALSE)</f>
        <v>Mixed 0%-35%</v>
      </c>
    </row>
    <row r="2245" spans="1:6" x14ac:dyDescent="0.2">
      <c r="A2245" t="str">
        <f>'Novia Web Query'!A2241</f>
        <v>GB00B57YXG68</v>
      </c>
      <c r="B2245" t="str">
        <f>VLOOKUP(NoviaFunds[[#This Row],[ISIN]],'Novia Web Query'!$A:$E,2,FALSE)</f>
        <v>Jupiter North American Income I Acc TR in GB</v>
      </c>
      <c r="C2245" t="str">
        <f>VLOOKUP(NoviaFunds[[#This Row],[ISIN]],'Novia Web Query'!$A:$E,3,FALSE)</f>
        <v>UT North America</v>
      </c>
      <c r="D2245" s="139">
        <f>VLOOKUP(NoviaFunds[[#This Row],[ISIN]],'Novia Web Query'!$A:$E,4,FALSE)/100</f>
        <v>9.8999999999999991E-3</v>
      </c>
      <c r="E2245" s="3" t="str">
        <f>VLOOKUP(NoviaFunds[[#This Row],[ISIN]],'Novia Web Query'!$A:$E,5,FALSE)</f>
        <v>31/12/2020</v>
      </c>
      <c r="F2245" t="str">
        <f>VLOOKUP(NoviaFunds[[#This Row],[Sector]],Sectors[],2,FALSE)</f>
        <v>USA Equities</v>
      </c>
    </row>
    <row r="2246" spans="1:6" x14ac:dyDescent="0.2">
      <c r="A2246" t="str">
        <f>'Novia Web Query'!A2242</f>
        <v>GB00B4Y3KV37</v>
      </c>
      <c r="B2246" t="str">
        <f>VLOOKUP(NoviaFunds[[#This Row],[ISIN]],'Novia Web Query'!$A:$E,2,FALSE)</f>
        <v>Jupiter North American Income I Inc TR in GB**</v>
      </c>
      <c r="C2246" t="str">
        <f>VLOOKUP(NoviaFunds[[#This Row],[ISIN]],'Novia Web Query'!$A:$E,3,FALSE)</f>
        <v>UT North America</v>
      </c>
      <c r="D2246" s="139">
        <f>VLOOKUP(NoviaFunds[[#This Row],[ISIN]],'Novia Web Query'!$A:$E,4,FALSE)/100</f>
        <v>9.8999999999999991E-3</v>
      </c>
      <c r="E2246" s="3" t="str">
        <f>VLOOKUP(NoviaFunds[[#This Row],[ISIN]],'Novia Web Query'!$A:$E,5,FALSE)</f>
        <v>31/12/2020</v>
      </c>
      <c r="F2246" t="str">
        <f>VLOOKUP(NoviaFunds[[#This Row],[Sector]],Sectors[],2,FALSE)</f>
        <v>USA Equities</v>
      </c>
    </row>
    <row r="2247" spans="1:6" x14ac:dyDescent="0.2">
      <c r="A2247" t="str">
        <f>'Novia Web Query'!A2243</f>
        <v>GB00B1VV8F90</v>
      </c>
      <c r="B2247" t="str">
        <f>VLOOKUP(NoviaFunds[[#This Row],[ISIN]],'Novia Web Query'!$A:$E,2,FALSE)</f>
        <v>Jupiter North American Income L Acc in GB</v>
      </c>
      <c r="C2247" t="str">
        <f>VLOOKUP(NoviaFunds[[#This Row],[ISIN]],'Novia Web Query'!$A:$E,3,FALSE)</f>
        <v>UT North America</v>
      </c>
      <c r="D2247" s="139">
        <f>VLOOKUP(NoviaFunds[[#This Row],[ISIN]],'Novia Web Query'!$A:$E,4,FALSE)/100</f>
        <v>1.7399999999999999E-2</v>
      </c>
      <c r="E2247" s="3" t="str">
        <f>VLOOKUP(NoviaFunds[[#This Row],[ISIN]],'Novia Web Query'!$A:$E,5,FALSE)</f>
        <v>31/12/2020</v>
      </c>
      <c r="F2247" t="str">
        <f>VLOOKUP(NoviaFunds[[#This Row],[Sector]],Sectors[],2,FALSE)</f>
        <v>USA Equities</v>
      </c>
    </row>
    <row r="2248" spans="1:6" x14ac:dyDescent="0.2">
      <c r="A2248" t="str">
        <f>'Novia Web Query'!A2244</f>
        <v>GB0003840617</v>
      </c>
      <c r="B2248" t="str">
        <f>VLOOKUP(NoviaFunds[[#This Row],[ISIN]],'Novia Web Query'!$A:$E,2,FALSE)</f>
        <v>Jupiter North American Income L Inc TR in GB</v>
      </c>
      <c r="C2248" t="str">
        <f>VLOOKUP(NoviaFunds[[#This Row],[ISIN]],'Novia Web Query'!$A:$E,3,FALSE)</f>
        <v>UT North America</v>
      </c>
      <c r="D2248" s="139">
        <f>VLOOKUP(NoviaFunds[[#This Row],[ISIN]],'Novia Web Query'!$A:$E,4,FALSE)/100</f>
        <v>1.7399999999999999E-2</v>
      </c>
      <c r="E2248" s="3" t="str">
        <f>VLOOKUP(NoviaFunds[[#This Row],[ISIN]],'Novia Web Query'!$A:$E,5,FALSE)</f>
        <v>31/12/2020</v>
      </c>
      <c r="F2248" t="str">
        <f>VLOOKUP(NoviaFunds[[#This Row],[Sector]],Sectors[],2,FALSE)</f>
        <v>USA Equities</v>
      </c>
    </row>
    <row r="2249" spans="1:6" x14ac:dyDescent="0.2">
      <c r="A2249" t="str">
        <f>'Novia Web Query'!A2245</f>
        <v>GB00B40TGH32</v>
      </c>
      <c r="B2249" t="str">
        <f>VLOOKUP(NoviaFunds[[#This Row],[ISIN]],'Novia Web Query'!$A:$E,2,FALSE)</f>
        <v>Jupiter Responsible Income I Acc in GB</v>
      </c>
      <c r="C2249" t="str">
        <f>VLOOKUP(NoviaFunds[[#This Row],[ISIN]],'Novia Web Query'!$A:$E,3,FALSE)</f>
        <v>UT UK All Companies</v>
      </c>
      <c r="D2249" s="139">
        <f>VLOOKUP(NoviaFunds[[#This Row],[ISIN]],'Novia Web Query'!$A:$E,4,FALSE)/100</f>
        <v>9.300000000000001E-3</v>
      </c>
      <c r="E2249" s="3" t="str">
        <f>VLOOKUP(NoviaFunds[[#This Row],[ISIN]],'Novia Web Query'!$A:$E,5,FALSE)</f>
        <v>31/12/2020</v>
      </c>
      <c r="F2249" t="str">
        <f>VLOOKUP(NoviaFunds[[#This Row],[Sector]],Sectors[],2,FALSE)</f>
        <v>UK Equities</v>
      </c>
    </row>
    <row r="2250" spans="1:6" x14ac:dyDescent="0.2">
      <c r="A2250" t="str">
        <f>'Novia Web Query'!A2246</f>
        <v>GB00B5ZWNT55</v>
      </c>
      <c r="B2250" t="str">
        <f>VLOOKUP(NoviaFunds[[#This Row],[ISIN]],'Novia Web Query'!$A:$E,2,FALSE)</f>
        <v>Jupiter Responsible Income I Inc TR in GB**</v>
      </c>
      <c r="C2250" t="str">
        <f>VLOOKUP(NoviaFunds[[#This Row],[ISIN]],'Novia Web Query'!$A:$E,3,FALSE)</f>
        <v>UT UK All Companies</v>
      </c>
      <c r="D2250" s="139">
        <f>VLOOKUP(NoviaFunds[[#This Row],[ISIN]],'Novia Web Query'!$A:$E,4,FALSE)/100</f>
        <v>9.300000000000001E-3</v>
      </c>
      <c r="E2250" s="3" t="str">
        <f>VLOOKUP(NoviaFunds[[#This Row],[ISIN]],'Novia Web Query'!$A:$E,5,FALSE)</f>
        <v>31/12/2020</v>
      </c>
      <c r="F2250" t="str">
        <f>VLOOKUP(NoviaFunds[[#This Row],[Sector]],Sectors[],2,FALSE)</f>
        <v>UK Equities</v>
      </c>
    </row>
    <row r="2251" spans="1:6" x14ac:dyDescent="0.2">
      <c r="A2251" t="str">
        <f>'Novia Web Query'!A2247</f>
        <v>GB0008337569</v>
      </c>
      <c r="B2251" t="str">
        <f>VLOOKUP(NoviaFunds[[#This Row],[ISIN]],'Novia Web Query'!$A:$E,2,FALSE)</f>
        <v>Jupiter Responsible Income L Acc in GB</v>
      </c>
      <c r="C2251" t="str">
        <f>VLOOKUP(NoviaFunds[[#This Row],[ISIN]],'Novia Web Query'!$A:$E,3,FALSE)</f>
        <v>UT UK All Companies</v>
      </c>
      <c r="D2251" s="139">
        <f>VLOOKUP(NoviaFunds[[#This Row],[ISIN]],'Novia Web Query'!$A:$E,4,FALSE)/100</f>
        <v>1.6799999999999999E-2</v>
      </c>
      <c r="E2251" s="3" t="str">
        <f>VLOOKUP(NoviaFunds[[#This Row],[ISIN]],'Novia Web Query'!$A:$E,5,FALSE)</f>
        <v>31/12/2020</v>
      </c>
      <c r="F2251" t="str">
        <f>VLOOKUP(NoviaFunds[[#This Row],[Sector]],Sectors[],2,FALSE)</f>
        <v>UK Equities</v>
      </c>
    </row>
    <row r="2252" spans="1:6" x14ac:dyDescent="0.2">
      <c r="A2252" t="str">
        <f>'Novia Web Query'!A2248</f>
        <v>GB00B0KV5D09</v>
      </c>
      <c r="B2252" t="str">
        <f>VLOOKUP(NoviaFunds[[#This Row],[ISIN]],'Novia Web Query'!$A:$E,2,FALSE)</f>
        <v>Jupiter Responsible Income L Inc TR in GB</v>
      </c>
      <c r="C2252" t="str">
        <f>VLOOKUP(NoviaFunds[[#This Row],[ISIN]],'Novia Web Query'!$A:$E,3,FALSE)</f>
        <v>UT UK All Companies</v>
      </c>
      <c r="D2252" s="139">
        <f>VLOOKUP(NoviaFunds[[#This Row],[ISIN]],'Novia Web Query'!$A:$E,4,FALSE)/100</f>
        <v>1.6799999999999999E-2</v>
      </c>
      <c r="E2252" s="3" t="str">
        <f>VLOOKUP(NoviaFunds[[#This Row],[ISIN]],'Novia Web Query'!$A:$E,5,FALSE)</f>
        <v>31/12/2020</v>
      </c>
      <c r="F2252" t="str">
        <f>VLOOKUP(NoviaFunds[[#This Row],[Sector]],Sectors[],2,FALSE)</f>
        <v>UK Equities</v>
      </c>
    </row>
    <row r="2253" spans="1:6" x14ac:dyDescent="0.2">
      <c r="A2253" t="str">
        <f>'Novia Web Query'!A2249</f>
        <v>GB00B4T6SD53</v>
      </c>
      <c r="B2253" t="str">
        <f>VLOOKUP(NoviaFunds[[#This Row],[ISIN]],'Novia Web Query'!$A:$E,2,FALSE)</f>
        <v>Jupiter Strategic Bond I Acc in GB</v>
      </c>
      <c r="C2253" t="str">
        <f>VLOOKUP(NoviaFunds[[#This Row],[ISIN]],'Novia Web Query'!$A:$E,3,FALSE)</f>
        <v>UT Sterling Strategic Bond</v>
      </c>
      <c r="D2253" s="139">
        <f>VLOOKUP(NoviaFunds[[#This Row],[ISIN]],'Novia Web Query'!$A:$E,4,FALSE)/100</f>
        <v>7.3000000000000001E-3</v>
      </c>
      <c r="E2253" s="3" t="str">
        <f>VLOOKUP(NoviaFunds[[#This Row],[ISIN]],'Novia Web Query'!$A:$E,5,FALSE)</f>
        <v>31/12/2020</v>
      </c>
      <c r="F2253" t="str">
        <f>VLOOKUP(NoviaFunds[[#This Row],[Sector]],Sectors[],2,FALSE)</f>
        <v>Other Bonds</v>
      </c>
    </row>
    <row r="2254" spans="1:6" x14ac:dyDescent="0.2">
      <c r="A2254" t="str">
        <f>'Novia Web Query'!A2250</f>
        <v>GB00B544HM32</v>
      </c>
      <c r="B2254" t="str">
        <f>VLOOKUP(NoviaFunds[[#This Row],[ISIN]],'Novia Web Query'!$A:$E,2,FALSE)</f>
        <v>Jupiter Strategic Bond I Inc TR in GB**</v>
      </c>
      <c r="C2254" t="str">
        <f>VLOOKUP(NoviaFunds[[#This Row],[ISIN]],'Novia Web Query'!$A:$E,3,FALSE)</f>
        <v>UT Sterling Strategic Bond</v>
      </c>
      <c r="D2254" s="139">
        <f>VLOOKUP(NoviaFunds[[#This Row],[ISIN]],'Novia Web Query'!$A:$E,4,FALSE)/100</f>
        <v>7.3000000000000001E-3</v>
      </c>
      <c r="E2254" s="3" t="str">
        <f>VLOOKUP(NoviaFunds[[#This Row],[ISIN]],'Novia Web Query'!$A:$E,5,FALSE)</f>
        <v>31/12/2020</v>
      </c>
      <c r="F2254" t="str">
        <f>VLOOKUP(NoviaFunds[[#This Row],[Sector]],Sectors[],2,FALSE)</f>
        <v>Other Bonds</v>
      </c>
    </row>
    <row r="2255" spans="1:6" x14ac:dyDescent="0.2">
      <c r="A2255" t="str">
        <f>'Novia Web Query'!A2251</f>
        <v>GB00B2RBCS16</v>
      </c>
      <c r="B2255" t="str">
        <f>VLOOKUP(NoviaFunds[[#This Row],[ISIN]],'Novia Web Query'!$A:$E,2,FALSE)</f>
        <v>Jupiter Strategic Bond L Acc in GB</v>
      </c>
      <c r="C2255" t="str">
        <f>VLOOKUP(NoviaFunds[[#This Row],[ISIN]],'Novia Web Query'!$A:$E,3,FALSE)</f>
        <v>UT Sterling Strategic Bond</v>
      </c>
      <c r="D2255" s="139">
        <f>VLOOKUP(NoviaFunds[[#This Row],[ISIN]],'Novia Web Query'!$A:$E,4,FALSE)/100</f>
        <v>1.4800000000000001E-2</v>
      </c>
      <c r="E2255" s="3" t="str">
        <f>VLOOKUP(NoviaFunds[[#This Row],[ISIN]],'Novia Web Query'!$A:$E,5,FALSE)</f>
        <v>31/12/2020</v>
      </c>
      <c r="F2255" t="str">
        <f>VLOOKUP(NoviaFunds[[#This Row],[Sector]],Sectors[],2,FALSE)</f>
        <v>Other Bonds</v>
      </c>
    </row>
    <row r="2256" spans="1:6" x14ac:dyDescent="0.2">
      <c r="A2256" t="str">
        <f>'Novia Web Query'!A2252</f>
        <v>GB00B2RBBC80</v>
      </c>
      <c r="B2256" t="str">
        <f>VLOOKUP(NoviaFunds[[#This Row],[ISIN]],'Novia Web Query'!$A:$E,2,FALSE)</f>
        <v>Jupiter Strategic Bond L Inc TR in GB</v>
      </c>
      <c r="C2256" t="str">
        <f>VLOOKUP(NoviaFunds[[#This Row],[ISIN]],'Novia Web Query'!$A:$E,3,FALSE)</f>
        <v>UT Sterling Strategic Bond</v>
      </c>
      <c r="D2256" s="139">
        <f>VLOOKUP(NoviaFunds[[#This Row],[ISIN]],'Novia Web Query'!$A:$E,4,FALSE)/100</f>
        <v>1.4800000000000001E-2</v>
      </c>
      <c r="E2256" s="3" t="str">
        <f>VLOOKUP(NoviaFunds[[#This Row],[ISIN]],'Novia Web Query'!$A:$E,5,FALSE)</f>
        <v>31/12/2020</v>
      </c>
      <c r="F2256" t="str">
        <f>VLOOKUP(NoviaFunds[[#This Row],[Sector]],Sectors[],2,FALSE)</f>
        <v>Other Bonds</v>
      </c>
    </row>
    <row r="2257" spans="1:6" x14ac:dyDescent="0.2">
      <c r="A2257" t="str">
        <f>'Novia Web Query'!A2253</f>
        <v>GB00BKSFXX05</v>
      </c>
      <c r="B2257" t="str">
        <f>VLOOKUP(NoviaFunds[[#This Row],[ISIN]],'Novia Web Query'!$A:$E,2,FALSE)</f>
        <v>Jupiter Strategic Bond X Acc in GB**</v>
      </c>
      <c r="C2257" t="str">
        <f>VLOOKUP(NoviaFunds[[#This Row],[ISIN]],'Novia Web Query'!$A:$E,3,FALSE)</f>
        <v>UT Sterling Strategic Bond</v>
      </c>
      <c r="D2257" s="139">
        <f>VLOOKUP(NoviaFunds[[#This Row],[ISIN]],'Novia Web Query'!$A:$E,4,FALSE)/100</f>
        <v>6.0000000000000001E-3</v>
      </c>
      <c r="E2257" s="3" t="str">
        <f>VLOOKUP(NoviaFunds[[#This Row],[ISIN]],'Novia Web Query'!$A:$E,5,FALSE)</f>
        <v>31/12/2020</v>
      </c>
      <c r="F2257" t="str">
        <f>VLOOKUP(NoviaFunds[[#This Row],[Sector]],Sectors[],2,FALSE)</f>
        <v>Other Bonds</v>
      </c>
    </row>
    <row r="2258" spans="1:6" x14ac:dyDescent="0.2">
      <c r="A2258" t="str">
        <f>'Novia Web Query'!A2254</f>
        <v>GB00BKSFXW97</v>
      </c>
      <c r="B2258" t="str">
        <f>VLOOKUP(NoviaFunds[[#This Row],[ISIN]],'Novia Web Query'!$A:$E,2,FALSE)</f>
        <v>Jupiter Strategic Bond X Inc TR in GB**</v>
      </c>
      <c r="C2258" t="str">
        <f>VLOOKUP(NoviaFunds[[#This Row],[ISIN]],'Novia Web Query'!$A:$E,3,FALSE)</f>
        <v>UT Sterling Strategic Bond</v>
      </c>
      <c r="D2258" s="139">
        <f>VLOOKUP(NoviaFunds[[#This Row],[ISIN]],'Novia Web Query'!$A:$E,4,FALSE)/100</f>
        <v>6.0000000000000001E-3</v>
      </c>
      <c r="E2258" s="3" t="str">
        <f>VLOOKUP(NoviaFunds[[#This Row],[ISIN]],'Novia Web Query'!$A:$E,5,FALSE)</f>
        <v>31/12/2020</v>
      </c>
      <c r="F2258" t="str">
        <f>VLOOKUP(NoviaFunds[[#This Row],[Sector]],Sectors[],2,FALSE)</f>
        <v>Other Bonds</v>
      </c>
    </row>
    <row r="2259" spans="1:6" x14ac:dyDescent="0.2">
      <c r="A2259" t="str">
        <f>'Novia Web Query'!A2255</f>
        <v>GB00BN8T5935</v>
      </c>
      <c r="B2259" t="str">
        <f>VLOOKUP(NoviaFunds[[#This Row],[ISIN]],'Novia Web Query'!$A:$E,2,FALSE)</f>
        <v>Jupiter Strategic Bond Z Acc in GB</v>
      </c>
      <c r="C2259" t="str">
        <f>VLOOKUP(NoviaFunds[[#This Row],[ISIN]],'Novia Web Query'!$A:$E,3,FALSE)</f>
        <v>UT Sterling Strategic Bond</v>
      </c>
      <c r="D2259" s="139">
        <f>VLOOKUP(NoviaFunds[[#This Row],[ISIN]],'Novia Web Query'!$A:$E,4,FALSE)/100</f>
        <v>7.0999999999999995E-3</v>
      </c>
      <c r="E2259" s="3" t="str">
        <f>VLOOKUP(NoviaFunds[[#This Row],[ISIN]],'Novia Web Query'!$A:$E,5,FALSE)</f>
        <v>31/12/2020</v>
      </c>
      <c r="F2259" t="str">
        <f>VLOOKUP(NoviaFunds[[#This Row],[Sector]],Sectors[],2,FALSE)</f>
        <v>Other Bonds</v>
      </c>
    </row>
    <row r="2260" spans="1:6" x14ac:dyDescent="0.2">
      <c r="A2260" t="str">
        <f>'Novia Web Query'!A2256</f>
        <v>GB00BN8T5596</v>
      </c>
      <c r="B2260" t="str">
        <f>VLOOKUP(NoviaFunds[[#This Row],[ISIN]],'Novia Web Query'!$A:$E,2,FALSE)</f>
        <v>Jupiter Strategic Bond Z Inc TR in GB</v>
      </c>
      <c r="C2260" t="str">
        <f>VLOOKUP(NoviaFunds[[#This Row],[ISIN]],'Novia Web Query'!$A:$E,3,FALSE)</f>
        <v>UT Sterling Strategic Bond</v>
      </c>
      <c r="D2260" s="139">
        <f>VLOOKUP(NoviaFunds[[#This Row],[ISIN]],'Novia Web Query'!$A:$E,4,FALSE)/100</f>
        <v>7.0999999999999995E-3</v>
      </c>
      <c r="E2260" s="3" t="str">
        <f>VLOOKUP(NoviaFunds[[#This Row],[ISIN]],'Novia Web Query'!$A:$E,5,FALSE)</f>
        <v>31/12/2020</v>
      </c>
      <c r="F2260" t="str">
        <f>VLOOKUP(NoviaFunds[[#This Row],[Sector]],Sectors[],2,FALSE)</f>
        <v>Other Bonds</v>
      </c>
    </row>
    <row r="2261" spans="1:6" x14ac:dyDescent="0.2">
      <c r="A2261" t="str">
        <f>'Novia Web Query'!A2257</f>
        <v>GB00BFYN3R70</v>
      </c>
      <c r="B2261" t="str">
        <f>VLOOKUP(NoviaFunds[[#This Row],[ISIN]],'Novia Web Query'!$A:$E,2,FALSE)</f>
        <v>Jupiter UK Alpha I Acc GBP in GB</v>
      </c>
      <c r="C2261" t="str">
        <f>VLOOKUP(NoviaFunds[[#This Row],[ISIN]],'Novia Web Query'!$A:$E,3,FALSE)</f>
        <v>UT UK All Companies</v>
      </c>
      <c r="D2261" s="139">
        <f>VLOOKUP(NoviaFunds[[#This Row],[ISIN]],'Novia Web Query'!$A:$E,4,FALSE)/100</f>
        <v>8.5000000000000006E-3</v>
      </c>
      <c r="E2261" s="3" t="str">
        <f>VLOOKUP(NoviaFunds[[#This Row],[ISIN]],'Novia Web Query'!$A:$E,5,FALSE)</f>
        <v>30/09/2020</v>
      </c>
      <c r="F2261" t="str">
        <f>VLOOKUP(NoviaFunds[[#This Row],[Sector]],Sectors[],2,FALSE)</f>
        <v>UK Equities</v>
      </c>
    </row>
    <row r="2262" spans="1:6" x14ac:dyDescent="0.2">
      <c r="A2262" t="str">
        <f>'Novia Web Query'!A2258</f>
        <v>GB00BFYN3S87</v>
      </c>
      <c r="B2262" t="str">
        <f>VLOOKUP(NoviaFunds[[#This Row],[ISIN]],'Novia Web Query'!$A:$E,2,FALSE)</f>
        <v>Jupiter UK Alpha I Inc GBP TR in GB</v>
      </c>
      <c r="C2262" t="str">
        <f>VLOOKUP(NoviaFunds[[#This Row],[ISIN]],'Novia Web Query'!$A:$E,3,FALSE)</f>
        <v>UT UK All Companies</v>
      </c>
      <c r="D2262" s="139">
        <f>VLOOKUP(NoviaFunds[[#This Row],[ISIN]],'Novia Web Query'!$A:$E,4,FALSE)/100</f>
        <v>8.5000000000000006E-3</v>
      </c>
      <c r="E2262" s="3" t="str">
        <f>VLOOKUP(NoviaFunds[[#This Row],[ISIN]],'Novia Web Query'!$A:$E,5,FALSE)</f>
        <v>30/09/2020</v>
      </c>
      <c r="F2262" t="str">
        <f>VLOOKUP(NoviaFunds[[#This Row],[Sector]],Sectors[],2,FALSE)</f>
        <v>UK Equities</v>
      </c>
    </row>
    <row r="2263" spans="1:6" x14ac:dyDescent="0.2">
      <c r="A2263" t="str">
        <f>'Novia Web Query'!A2259</f>
        <v>GB00B54CH949</v>
      </c>
      <c r="B2263" t="str">
        <f>VLOOKUP(NoviaFunds[[#This Row],[ISIN]],'Novia Web Query'!$A:$E,2,FALSE)</f>
        <v>Jupiter UK Growth I Acc TR in GB</v>
      </c>
      <c r="C2263" t="str">
        <f>VLOOKUP(NoviaFunds[[#This Row],[ISIN]],'Novia Web Query'!$A:$E,3,FALSE)</f>
        <v>UT UK All Companies</v>
      </c>
      <c r="D2263" s="139">
        <f>VLOOKUP(NoviaFunds[[#This Row],[ISIN]],'Novia Web Query'!$A:$E,4,FALSE)/100</f>
        <v>9.8999999999999991E-3</v>
      </c>
      <c r="E2263" s="3" t="str">
        <f>VLOOKUP(NoviaFunds[[#This Row],[ISIN]],'Novia Web Query'!$A:$E,5,FALSE)</f>
        <v>31/12/2020</v>
      </c>
      <c r="F2263" t="str">
        <f>VLOOKUP(NoviaFunds[[#This Row],[Sector]],Sectors[],2,FALSE)</f>
        <v>UK Equities</v>
      </c>
    </row>
    <row r="2264" spans="1:6" x14ac:dyDescent="0.2">
      <c r="A2264" t="str">
        <f>'Novia Web Query'!A2260</f>
        <v>GB00B40C5979</v>
      </c>
      <c r="B2264" t="str">
        <f>VLOOKUP(NoviaFunds[[#This Row],[ISIN]],'Novia Web Query'!$A:$E,2,FALSE)</f>
        <v>Jupiter UK Growth I Inc TR in GB**</v>
      </c>
      <c r="C2264" t="str">
        <f>VLOOKUP(NoviaFunds[[#This Row],[ISIN]],'Novia Web Query'!$A:$E,3,FALSE)</f>
        <v>UT UK All Companies</v>
      </c>
      <c r="D2264" s="139">
        <f>VLOOKUP(NoviaFunds[[#This Row],[ISIN]],'Novia Web Query'!$A:$E,4,FALSE)/100</f>
        <v>9.8999999999999991E-3</v>
      </c>
      <c r="E2264" s="3" t="str">
        <f>VLOOKUP(NoviaFunds[[#This Row],[ISIN]],'Novia Web Query'!$A:$E,5,FALSE)</f>
        <v>31/12/2020</v>
      </c>
      <c r="F2264" t="str">
        <f>VLOOKUP(NoviaFunds[[#This Row],[Sector]],Sectors[],2,FALSE)</f>
        <v>UK Equities</v>
      </c>
    </row>
    <row r="2265" spans="1:6" x14ac:dyDescent="0.2">
      <c r="A2265" t="str">
        <f>'Novia Web Query'!A2261</f>
        <v>GB00BW4NVB69</v>
      </c>
      <c r="B2265" t="str">
        <f>VLOOKUP(NoviaFunds[[#This Row],[ISIN]],'Novia Web Query'!$A:$E,2,FALSE)</f>
        <v>Jupiter UK Growth L Acc in GB</v>
      </c>
      <c r="C2265" t="str">
        <f>VLOOKUP(NoviaFunds[[#This Row],[ISIN]],'Novia Web Query'!$A:$E,3,FALSE)</f>
        <v>UT UK All Companies</v>
      </c>
      <c r="D2265" s="139">
        <f>VLOOKUP(NoviaFunds[[#This Row],[ISIN]],'Novia Web Query'!$A:$E,4,FALSE)/100</f>
        <v>1.7399999999999999E-2</v>
      </c>
      <c r="E2265" s="3" t="str">
        <f>VLOOKUP(NoviaFunds[[#This Row],[ISIN]],'Novia Web Query'!$A:$E,5,FALSE)</f>
        <v>31/12/2020</v>
      </c>
      <c r="F2265" t="str">
        <f>VLOOKUP(NoviaFunds[[#This Row],[Sector]],Sectors[],2,FALSE)</f>
        <v>UK Equities</v>
      </c>
    </row>
    <row r="2266" spans="1:6" x14ac:dyDescent="0.2">
      <c r="A2266" t="str">
        <f>'Novia Web Query'!A2262</f>
        <v>GB0004792130</v>
      </c>
      <c r="B2266" t="str">
        <f>VLOOKUP(NoviaFunds[[#This Row],[ISIN]],'Novia Web Query'!$A:$E,2,FALSE)</f>
        <v>Jupiter UK Growth L Inc TR in GB</v>
      </c>
      <c r="C2266" t="str">
        <f>VLOOKUP(NoviaFunds[[#This Row],[ISIN]],'Novia Web Query'!$A:$E,3,FALSE)</f>
        <v>UT UK All Companies</v>
      </c>
      <c r="D2266" s="139">
        <f>VLOOKUP(NoviaFunds[[#This Row],[ISIN]],'Novia Web Query'!$A:$E,4,FALSE)/100</f>
        <v>1.7399999999999999E-2</v>
      </c>
      <c r="E2266" s="3" t="str">
        <f>VLOOKUP(NoviaFunds[[#This Row],[ISIN]],'Novia Web Query'!$A:$E,5,FALSE)</f>
        <v>31/12/2020</v>
      </c>
      <c r="F2266" t="str">
        <f>VLOOKUP(NoviaFunds[[#This Row],[Sector]],Sectors[],2,FALSE)</f>
        <v>UK Equities</v>
      </c>
    </row>
    <row r="2267" spans="1:6" x14ac:dyDescent="0.2">
      <c r="A2267" t="str">
        <f>'Novia Web Query'!A2263</f>
        <v>GB00B1XG9482</v>
      </c>
      <c r="B2267" t="str">
        <f>VLOOKUP(NoviaFunds[[#This Row],[ISIN]],'Novia Web Query'!$A:$E,2,FALSE)</f>
        <v>Jupiter UK Mid Cap I Acc GBP in GB</v>
      </c>
      <c r="C2267" t="str">
        <f>VLOOKUP(NoviaFunds[[#This Row],[ISIN]],'Novia Web Query'!$A:$E,3,FALSE)</f>
        <v>UT UK All Companies</v>
      </c>
      <c r="D2267" s="139">
        <f>VLOOKUP(NoviaFunds[[#This Row],[ISIN]],'Novia Web Query'!$A:$E,4,FALSE)/100</f>
        <v>8.5000000000000006E-3</v>
      </c>
      <c r="E2267" s="3" t="str">
        <f>VLOOKUP(NoviaFunds[[#This Row],[ISIN]],'Novia Web Query'!$A:$E,5,FALSE)</f>
        <v>30/09/2020</v>
      </c>
      <c r="F2267" t="str">
        <f>VLOOKUP(NoviaFunds[[#This Row],[Sector]],Sectors[],2,FALSE)</f>
        <v>UK Equities</v>
      </c>
    </row>
    <row r="2268" spans="1:6" x14ac:dyDescent="0.2">
      <c r="A2268" t="str">
        <f>'Novia Web Query'!A2264</f>
        <v>GB00B8FC6L92</v>
      </c>
      <c r="B2268" t="str">
        <f>VLOOKUP(NoviaFunds[[#This Row],[ISIN]],'Novia Web Query'!$A:$E,2,FALSE)</f>
        <v>Jupiter UK Mid Cap I Inc GBP TR in GB</v>
      </c>
      <c r="C2268" t="str">
        <f>VLOOKUP(NoviaFunds[[#This Row],[ISIN]],'Novia Web Query'!$A:$E,3,FALSE)</f>
        <v>UT UK All Companies</v>
      </c>
      <c r="D2268" s="139">
        <f>VLOOKUP(NoviaFunds[[#This Row],[ISIN]],'Novia Web Query'!$A:$E,4,FALSE)/100</f>
        <v>8.5000000000000006E-3</v>
      </c>
      <c r="E2268" s="3" t="str">
        <f>VLOOKUP(NoviaFunds[[#This Row],[ISIN]],'Novia Web Query'!$A:$E,5,FALSE)</f>
        <v>30/09/2020</v>
      </c>
      <c r="F2268" t="str">
        <f>VLOOKUP(NoviaFunds[[#This Row],[Sector]],Sectors[],2,FALSE)</f>
        <v>UK Equities</v>
      </c>
    </row>
    <row r="2269" spans="1:6" x14ac:dyDescent="0.2">
      <c r="A2269" t="str">
        <f>'Novia Web Query'!A2265</f>
        <v>GB00B1XG7999</v>
      </c>
      <c r="B2269" t="str">
        <f>VLOOKUP(NoviaFunds[[#This Row],[ISIN]],'Novia Web Query'!$A:$E,2,FALSE)</f>
        <v>Jupiter UK Mid Cap L Acc GBP in GB</v>
      </c>
      <c r="C2269" t="str">
        <f>VLOOKUP(NoviaFunds[[#This Row],[ISIN]],'Novia Web Query'!$A:$E,3,FALSE)</f>
        <v>UT UK All Companies</v>
      </c>
      <c r="D2269" s="139">
        <f>VLOOKUP(NoviaFunds[[#This Row],[ISIN]],'Novia Web Query'!$A:$E,4,FALSE)/100</f>
        <v>1.6E-2</v>
      </c>
      <c r="E2269" s="3" t="str">
        <f>VLOOKUP(NoviaFunds[[#This Row],[ISIN]],'Novia Web Query'!$A:$E,5,FALSE)</f>
        <v>30/09/2020</v>
      </c>
      <c r="F2269" t="str">
        <f>VLOOKUP(NoviaFunds[[#This Row],[Sector]],Sectors[],2,FALSE)</f>
        <v>UK Equities</v>
      </c>
    </row>
    <row r="2270" spans="1:6" x14ac:dyDescent="0.2">
      <c r="A2270" t="str">
        <f>'Novia Web Query'!A2266</f>
        <v>GB00B1XG7B19</v>
      </c>
      <c r="B2270" t="str">
        <f>VLOOKUP(NoviaFunds[[#This Row],[ISIN]],'Novia Web Query'!$A:$E,2,FALSE)</f>
        <v>Jupiter UK Mid Cap L Inc GBP TR in GB</v>
      </c>
      <c r="C2270" t="str">
        <f>VLOOKUP(NoviaFunds[[#This Row],[ISIN]],'Novia Web Query'!$A:$E,3,FALSE)</f>
        <v>UT UK All Companies</v>
      </c>
      <c r="D2270" s="139">
        <f>VLOOKUP(NoviaFunds[[#This Row],[ISIN]],'Novia Web Query'!$A:$E,4,FALSE)/100</f>
        <v>1.6E-2</v>
      </c>
      <c r="E2270" s="3" t="str">
        <f>VLOOKUP(NoviaFunds[[#This Row],[ISIN]],'Novia Web Query'!$A:$E,5,FALSE)</f>
        <v>30/09/2020</v>
      </c>
      <c r="F2270" t="str">
        <f>VLOOKUP(NoviaFunds[[#This Row],[Sector]],Sectors[],2,FALSE)</f>
        <v>UK Equities</v>
      </c>
    </row>
    <row r="2271" spans="1:6" x14ac:dyDescent="0.2">
      <c r="A2271" t="str">
        <f>'Novia Web Query'!A2267</f>
        <v>GB00B1XG8963</v>
      </c>
      <c r="B2271" t="str">
        <f>VLOOKUP(NoviaFunds[[#This Row],[ISIN]],'Novia Web Query'!$A:$E,2,FALSE)</f>
        <v>Jupiter UK Mid Cap P Acc GBP in GB**</v>
      </c>
      <c r="C2271" t="str">
        <f>VLOOKUP(NoviaFunds[[#This Row],[ISIN]],'Novia Web Query'!$A:$E,3,FALSE)</f>
        <v>UT UK All Companies</v>
      </c>
      <c r="D2271" s="139">
        <f>VLOOKUP(NoviaFunds[[#This Row],[ISIN]],'Novia Web Query'!$A:$E,4,FALSE)/100</f>
        <v>1.1000000000000001E-2</v>
      </c>
      <c r="E2271" s="3" t="str">
        <f>VLOOKUP(NoviaFunds[[#This Row],[ISIN]],'Novia Web Query'!$A:$E,5,FALSE)</f>
        <v>30/09/2020</v>
      </c>
      <c r="F2271" t="str">
        <f>VLOOKUP(NoviaFunds[[#This Row],[Sector]],Sectors[],2,FALSE)</f>
        <v>UK Equities</v>
      </c>
    </row>
    <row r="2272" spans="1:6" x14ac:dyDescent="0.2">
      <c r="A2272" t="str">
        <f>'Novia Web Query'!A2268</f>
        <v>GB00BHBX8L33</v>
      </c>
      <c r="B2272" t="str">
        <f>VLOOKUP(NoviaFunds[[#This Row],[ISIN]],'Novia Web Query'!$A:$E,2,FALSE)</f>
        <v>Jupiter UK Mid Cap U1 Acc GBP in GB</v>
      </c>
      <c r="C2272" t="str">
        <f>VLOOKUP(NoviaFunds[[#This Row],[ISIN]],'Novia Web Query'!$A:$E,3,FALSE)</f>
        <v>UT UK All Companies</v>
      </c>
      <c r="D2272" s="139">
        <f>VLOOKUP(NoviaFunds[[#This Row],[ISIN]],'Novia Web Query'!$A:$E,4,FALSE)/100</f>
        <v>7.8000000000000005E-3</v>
      </c>
      <c r="E2272" s="3" t="str">
        <f>VLOOKUP(NoviaFunds[[#This Row],[ISIN]],'Novia Web Query'!$A:$E,5,FALSE)</f>
        <v>30/09/2020</v>
      </c>
      <c r="F2272" t="str">
        <f>VLOOKUP(NoviaFunds[[#This Row],[Sector]],Sectors[],2,FALSE)</f>
        <v>UK Equities</v>
      </c>
    </row>
    <row r="2273" spans="1:6" x14ac:dyDescent="0.2">
      <c r="A2273" t="str">
        <f>'Novia Web Query'!A2269</f>
        <v>GB00BHBX8M40</v>
      </c>
      <c r="B2273" t="str">
        <f>VLOOKUP(NoviaFunds[[#This Row],[ISIN]],'Novia Web Query'!$A:$E,2,FALSE)</f>
        <v>Jupiter UK Mid Cap U1 Inc GBP TR in GB</v>
      </c>
      <c r="C2273" t="str">
        <f>VLOOKUP(NoviaFunds[[#This Row],[ISIN]],'Novia Web Query'!$A:$E,3,FALSE)</f>
        <v>UT UK All Companies</v>
      </c>
      <c r="D2273" s="139">
        <f>VLOOKUP(NoviaFunds[[#This Row],[ISIN]],'Novia Web Query'!$A:$E,4,FALSE)/100</f>
        <v>7.8000000000000005E-3</v>
      </c>
      <c r="E2273" s="3" t="str">
        <f>VLOOKUP(NoviaFunds[[#This Row],[ISIN]],'Novia Web Query'!$A:$E,5,FALSE)</f>
        <v>30/09/2020</v>
      </c>
      <c r="F2273" t="str">
        <f>VLOOKUP(NoviaFunds[[#This Row],[Sector]],Sectors[],2,FALSE)</f>
        <v>UK Equities</v>
      </c>
    </row>
    <row r="2274" spans="1:6" x14ac:dyDescent="0.2">
      <c r="A2274" t="str">
        <f>'Novia Web Query'!A2270</f>
        <v>GB00BBQ2T214</v>
      </c>
      <c r="B2274" t="str">
        <f>VLOOKUP(NoviaFunds[[#This Row],[ISIN]],'Novia Web Query'!$A:$E,2,FALSE)</f>
        <v>Jupiter UK Opportunities I Acc GBP in GB</v>
      </c>
      <c r="C2274" t="str">
        <f>VLOOKUP(NoviaFunds[[#This Row],[ISIN]],'Novia Web Query'!$A:$E,3,FALSE)</f>
        <v>UT Targeted Absolute Return</v>
      </c>
      <c r="D2274" s="139">
        <f>VLOOKUP(NoviaFunds[[#This Row],[ISIN]],'Novia Web Query'!$A:$E,4,FALSE)/100</f>
        <v>9.0000000000000011E-3</v>
      </c>
      <c r="E2274" s="3" t="str">
        <f>VLOOKUP(NoviaFunds[[#This Row],[ISIN]],'Novia Web Query'!$A:$E,5,FALSE)</f>
        <v>30/09/2020</v>
      </c>
      <c r="F2274" t="str">
        <f>VLOOKUP(NoviaFunds[[#This Row],[Sector]],Sectors[],2,FALSE)</f>
        <v>Absolute Return</v>
      </c>
    </row>
    <row r="2275" spans="1:6" x14ac:dyDescent="0.2">
      <c r="A2275" t="str">
        <f>'Novia Web Query'!A2271</f>
        <v>GB00B3LRRF45</v>
      </c>
      <c r="B2275" t="str">
        <f>VLOOKUP(NoviaFunds[[#This Row],[ISIN]],'Novia Web Query'!$A:$E,2,FALSE)</f>
        <v>Jupiter UK Smaller Companies Equity I Acc in GB</v>
      </c>
      <c r="C2275" t="str">
        <f>VLOOKUP(NoviaFunds[[#This Row],[ISIN]],'Novia Web Query'!$A:$E,3,FALSE)</f>
        <v>UT UK Smaller Companies</v>
      </c>
      <c r="D2275" s="139">
        <f>VLOOKUP(NoviaFunds[[#This Row],[ISIN]],'Novia Web Query'!$A:$E,4,FALSE)/100</f>
        <v>9.8999999999999991E-3</v>
      </c>
      <c r="E2275" s="3" t="str">
        <f>VLOOKUP(NoviaFunds[[#This Row],[ISIN]],'Novia Web Query'!$A:$E,5,FALSE)</f>
        <v>31/12/2020</v>
      </c>
      <c r="F2275" t="str">
        <f>VLOOKUP(NoviaFunds[[#This Row],[Sector]],Sectors[],2,FALSE)</f>
        <v>UK Equities</v>
      </c>
    </row>
    <row r="2276" spans="1:6" x14ac:dyDescent="0.2">
      <c r="A2276" t="str">
        <f>'Novia Web Query'!A2272</f>
        <v>GB00B1XG9599</v>
      </c>
      <c r="B2276" t="str">
        <f>VLOOKUP(NoviaFunds[[#This Row],[ISIN]],'Novia Web Query'!$A:$E,2,FALSE)</f>
        <v>Jupiter UK Smaller Companies I Acc GBP in GB</v>
      </c>
      <c r="C2276" t="str">
        <f>VLOOKUP(NoviaFunds[[#This Row],[ISIN]],'Novia Web Query'!$A:$E,3,FALSE)</f>
        <v>UT UK Smaller Companies</v>
      </c>
      <c r="D2276" s="139">
        <f>VLOOKUP(NoviaFunds[[#This Row],[ISIN]],'Novia Web Query'!$A:$E,4,FALSE)/100</f>
        <v>1.03E-2</v>
      </c>
      <c r="E2276" s="3" t="str">
        <f>VLOOKUP(NoviaFunds[[#This Row],[ISIN]],'Novia Web Query'!$A:$E,5,FALSE)</f>
        <v>31/08/2020</v>
      </c>
      <c r="F2276" t="str">
        <f>VLOOKUP(NoviaFunds[[#This Row],[Sector]],Sectors[],2,FALSE)</f>
        <v>UK Equities</v>
      </c>
    </row>
    <row r="2277" spans="1:6" x14ac:dyDescent="0.2">
      <c r="A2277" t="str">
        <f>'Novia Web Query'!A2273</f>
        <v>GB00B8FD4291</v>
      </c>
      <c r="B2277" t="str">
        <f>VLOOKUP(NoviaFunds[[#This Row],[ISIN]],'Novia Web Query'!$A:$E,2,FALSE)</f>
        <v>Jupiter UK Smaller Companies I Inc GBP TR in GB</v>
      </c>
      <c r="C2277" t="str">
        <f>VLOOKUP(NoviaFunds[[#This Row],[ISIN]],'Novia Web Query'!$A:$E,3,FALSE)</f>
        <v>UT UK Smaller Companies</v>
      </c>
      <c r="D2277" s="139">
        <f>VLOOKUP(NoviaFunds[[#This Row],[ISIN]],'Novia Web Query'!$A:$E,4,FALSE)/100</f>
        <v>1.03E-2</v>
      </c>
      <c r="E2277" s="3" t="str">
        <f>VLOOKUP(NoviaFunds[[#This Row],[ISIN]],'Novia Web Query'!$A:$E,5,FALSE)</f>
        <v>30/09/2020</v>
      </c>
      <c r="F2277" t="str">
        <f>VLOOKUP(NoviaFunds[[#This Row],[Sector]],Sectors[],2,FALSE)</f>
        <v>UK Equities</v>
      </c>
    </row>
    <row r="2278" spans="1:6" x14ac:dyDescent="0.2">
      <c r="A2278" t="str">
        <f>'Novia Web Query'!A2274</f>
        <v>GB00B1XG7C26</v>
      </c>
      <c r="B2278" t="str">
        <f>VLOOKUP(NoviaFunds[[#This Row],[ISIN]],'Novia Web Query'!$A:$E,2,FALSE)</f>
        <v>Jupiter UK Smaller Companies L Acc GBP in GB</v>
      </c>
      <c r="C2278" t="str">
        <f>VLOOKUP(NoviaFunds[[#This Row],[ISIN]],'Novia Web Query'!$A:$E,3,FALSE)</f>
        <v>UT UK Smaller Companies</v>
      </c>
      <c r="D2278" s="139">
        <f>VLOOKUP(NoviaFunds[[#This Row],[ISIN]],'Novia Web Query'!$A:$E,4,FALSE)/100</f>
        <v>1.9E-2</v>
      </c>
      <c r="E2278" s="3" t="str">
        <f>VLOOKUP(NoviaFunds[[#This Row],[ISIN]],'Novia Web Query'!$A:$E,5,FALSE)</f>
        <v>30/09/2020</v>
      </c>
      <c r="F2278" t="str">
        <f>VLOOKUP(NoviaFunds[[#This Row],[Sector]],Sectors[],2,FALSE)</f>
        <v>UK Equities</v>
      </c>
    </row>
    <row r="2279" spans="1:6" x14ac:dyDescent="0.2">
      <c r="A2279" t="str">
        <f>'Novia Web Query'!A2275</f>
        <v>GB00B1XG7D33</v>
      </c>
      <c r="B2279" t="str">
        <f>VLOOKUP(NoviaFunds[[#This Row],[ISIN]],'Novia Web Query'!$A:$E,2,FALSE)</f>
        <v>Jupiter UK Smaller Companies L Inc GBP TR in GB</v>
      </c>
      <c r="C2279" t="str">
        <f>VLOOKUP(NoviaFunds[[#This Row],[ISIN]],'Novia Web Query'!$A:$E,3,FALSE)</f>
        <v>UT UK Smaller Companies</v>
      </c>
      <c r="D2279" s="139">
        <f>VLOOKUP(NoviaFunds[[#This Row],[ISIN]],'Novia Web Query'!$A:$E,4,FALSE)/100</f>
        <v>1.9E-2</v>
      </c>
      <c r="E2279" s="3" t="str">
        <f>VLOOKUP(NoviaFunds[[#This Row],[ISIN]],'Novia Web Query'!$A:$E,5,FALSE)</f>
        <v>30/09/2020</v>
      </c>
      <c r="F2279" t="str">
        <f>VLOOKUP(NoviaFunds[[#This Row],[Sector]],Sectors[],2,FALSE)</f>
        <v>UK Equities</v>
      </c>
    </row>
    <row r="2280" spans="1:6" x14ac:dyDescent="0.2">
      <c r="A2280" t="str">
        <f>'Novia Web Query'!A2276</f>
        <v>GB00B1XG8B83</v>
      </c>
      <c r="B2280" t="str">
        <f>VLOOKUP(NoviaFunds[[#This Row],[ISIN]],'Novia Web Query'!$A:$E,2,FALSE)</f>
        <v>Jupiter UK Smaller Companies P Acc GBP in GB**</v>
      </c>
      <c r="C2280" t="str">
        <f>VLOOKUP(NoviaFunds[[#This Row],[ISIN]],'Novia Web Query'!$A:$E,3,FALSE)</f>
        <v>UT UK Smaller Companies</v>
      </c>
      <c r="D2280" s="139">
        <f>VLOOKUP(NoviaFunds[[#This Row],[ISIN]],'Novia Web Query'!$A:$E,4,FALSE)/100</f>
        <v>1.3999999999999999E-2</v>
      </c>
      <c r="E2280" s="3" t="str">
        <f>VLOOKUP(NoviaFunds[[#This Row],[ISIN]],'Novia Web Query'!$A:$E,5,FALSE)</f>
        <v>30/09/2020</v>
      </c>
      <c r="F2280" t="str">
        <f>VLOOKUP(NoviaFunds[[#This Row],[Sector]],Sectors[],2,FALSE)</f>
        <v>UK Equities</v>
      </c>
    </row>
    <row r="2281" spans="1:6" x14ac:dyDescent="0.2">
      <c r="A2281" t="str">
        <f>'Novia Web Query'!A2277</f>
        <v>GB00BHBX8S02</v>
      </c>
      <c r="B2281" t="str">
        <f>VLOOKUP(NoviaFunds[[#This Row],[ISIN]],'Novia Web Query'!$A:$E,2,FALSE)</f>
        <v>Jupiter UK Smaller Companies U1 Acc GBP in GB</v>
      </c>
      <c r="C2281" t="str">
        <f>VLOOKUP(NoviaFunds[[#This Row],[ISIN]],'Novia Web Query'!$A:$E,3,FALSE)</f>
        <v>UT UK Smaller Companies</v>
      </c>
      <c r="D2281" s="139">
        <f>VLOOKUP(NoviaFunds[[#This Row],[ISIN]],'Novia Web Query'!$A:$E,4,FALSE)/100</f>
        <v>9.3999999999999986E-3</v>
      </c>
      <c r="E2281" s="3" t="str">
        <f>VLOOKUP(NoviaFunds[[#This Row],[ISIN]],'Novia Web Query'!$A:$E,5,FALSE)</f>
        <v>30/09/2020</v>
      </c>
      <c r="F2281" t="str">
        <f>VLOOKUP(NoviaFunds[[#This Row],[Sector]],Sectors[],2,FALSE)</f>
        <v>UK Equities</v>
      </c>
    </row>
    <row r="2282" spans="1:6" x14ac:dyDescent="0.2">
      <c r="A2282" t="str">
        <f>'Novia Web Query'!A2278</f>
        <v>GB00B4KL9F89</v>
      </c>
      <c r="B2282" t="str">
        <f>VLOOKUP(NoviaFunds[[#This Row],[ISIN]],'Novia Web Query'!$A:$E,2,FALSE)</f>
        <v>Jupiter UK Special Situations I Acc TR in GB</v>
      </c>
      <c r="C2282" t="str">
        <f>VLOOKUP(NoviaFunds[[#This Row],[ISIN]],'Novia Web Query'!$A:$E,3,FALSE)</f>
        <v>UT UK All Companies</v>
      </c>
      <c r="D2282" s="139">
        <f>VLOOKUP(NoviaFunds[[#This Row],[ISIN]],'Novia Web Query'!$A:$E,4,FALSE)/100</f>
        <v>7.6E-3</v>
      </c>
      <c r="E2282" s="3" t="str">
        <f>VLOOKUP(NoviaFunds[[#This Row],[ISIN]],'Novia Web Query'!$A:$E,5,FALSE)</f>
        <v>31/12/2020</v>
      </c>
      <c r="F2282" t="str">
        <f>VLOOKUP(NoviaFunds[[#This Row],[Sector]],Sectors[],2,FALSE)</f>
        <v>UK Equities</v>
      </c>
    </row>
    <row r="2283" spans="1:6" x14ac:dyDescent="0.2">
      <c r="A2283" t="str">
        <f>'Novia Web Query'!A2279</f>
        <v>GB00B66H8P73</v>
      </c>
      <c r="B2283" t="str">
        <f>VLOOKUP(NoviaFunds[[#This Row],[ISIN]],'Novia Web Query'!$A:$E,2,FALSE)</f>
        <v>Jupiter UK Special Situations I Inc TR in GB**</v>
      </c>
      <c r="C2283" t="str">
        <f>VLOOKUP(NoviaFunds[[#This Row],[ISIN]],'Novia Web Query'!$A:$E,3,FALSE)</f>
        <v>UT UK All Companies</v>
      </c>
      <c r="D2283" s="139">
        <f>VLOOKUP(NoviaFunds[[#This Row],[ISIN]],'Novia Web Query'!$A:$E,4,FALSE)/100</f>
        <v>7.6E-3</v>
      </c>
      <c r="E2283" s="3" t="str">
        <f>VLOOKUP(NoviaFunds[[#This Row],[ISIN]],'Novia Web Query'!$A:$E,5,FALSE)</f>
        <v>31/12/2020</v>
      </c>
      <c r="F2283" t="str">
        <f>VLOOKUP(NoviaFunds[[#This Row],[Sector]],Sectors[],2,FALSE)</f>
        <v>UK Equities</v>
      </c>
    </row>
    <row r="2284" spans="1:6" x14ac:dyDescent="0.2">
      <c r="A2284" t="str">
        <f>'Novia Web Query'!A2280</f>
        <v>GB0004777347</v>
      </c>
      <c r="B2284" t="str">
        <f>VLOOKUP(NoviaFunds[[#This Row],[ISIN]],'Novia Web Query'!$A:$E,2,FALSE)</f>
        <v>Jupiter UK Special Situations L Inc TR in GB</v>
      </c>
      <c r="C2284" t="str">
        <f>VLOOKUP(NoviaFunds[[#This Row],[ISIN]],'Novia Web Query'!$A:$E,3,FALSE)</f>
        <v>UT UK All Companies</v>
      </c>
      <c r="D2284" s="139">
        <f>VLOOKUP(NoviaFunds[[#This Row],[ISIN]],'Novia Web Query'!$A:$E,4,FALSE)/100</f>
        <v>1.7399999999999999E-2</v>
      </c>
      <c r="E2284" s="3" t="str">
        <f>VLOOKUP(NoviaFunds[[#This Row],[ISIN]],'Novia Web Query'!$A:$E,5,FALSE)</f>
        <v>31/12/2020</v>
      </c>
      <c r="F2284" t="str">
        <f>VLOOKUP(NoviaFunds[[#This Row],[Sector]],Sectors[],2,FALSE)</f>
        <v>UK Equities</v>
      </c>
    </row>
    <row r="2285" spans="1:6" x14ac:dyDescent="0.2">
      <c r="A2285" t="str">
        <f>'Novia Web Query'!A2281</f>
        <v>GB00B8Y8GR43</v>
      </c>
      <c r="B2285" t="str">
        <f>VLOOKUP(NoviaFunds[[#This Row],[ISIN]],'Novia Web Query'!$A:$E,2,FALSE)</f>
        <v>Kennox Asset Management Ltd Kennox Strategic Value Inst Acc TR in GB**</v>
      </c>
      <c r="C2285" t="str">
        <f>VLOOKUP(NoviaFunds[[#This Row],[ISIN]],'Novia Web Query'!$A:$E,3,FALSE)</f>
        <v>UT Global</v>
      </c>
      <c r="D2285" s="139">
        <f>VLOOKUP(NoviaFunds[[#This Row],[ISIN]],'Novia Web Query'!$A:$E,4,FALSE)/100</f>
        <v>1.1699999999999999E-2</v>
      </c>
      <c r="E2285" s="3" t="str">
        <f>VLOOKUP(NoviaFunds[[#This Row],[ISIN]],'Novia Web Query'!$A:$E,5,FALSE)</f>
        <v>29/01/2021</v>
      </c>
      <c r="F2285" t="str">
        <f>VLOOKUP(NoviaFunds[[#This Row],[Sector]],Sectors[],2,FALSE)</f>
        <v>Other Equities</v>
      </c>
    </row>
    <row r="2286" spans="1:6" x14ac:dyDescent="0.2">
      <c r="A2286" t="str">
        <f>'Novia Web Query'!A2282</f>
        <v>GB00B3YDJ200</v>
      </c>
      <c r="B2286" t="str">
        <f>VLOOKUP(NoviaFunds[[#This Row],[ISIN]],'Novia Web Query'!$A:$E,2,FALSE)</f>
        <v>Kennox Asset Management Ltd Kennox Strategic Value Inst Inc TR in GB**</v>
      </c>
      <c r="C2286" t="str">
        <f>VLOOKUP(NoviaFunds[[#This Row],[ISIN]],'Novia Web Query'!$A:$E,3,FALSE)</f>
        <v>UT Global</v>
      </c>
      <c r="D2286" s="139">
        <f>VLOOKUP(NoviaFunds[[#This Row],[ISIN]],'Novia Web Query'!$A:$E,4,FALSE)/100</f>
        <v>1.1699999999999999E-2</v>
      </c>
      <c r="E2286" s="3" t="str">
        <f>VLOOKUP(NoviaFunds[[#This Row],[ISIN]],'Novia Web Query'!$A:$E,5,FALSE)</f>
        <v>29/01/2021</v>
      </c>
      <c r="F2286" t="str">
        <f>VLOOKUP(NoviaFunds[[#This Row],[Sector]],Sectors[],2,FALSE)</f>
        <v>Other Equities</v>
      </c>
    </row>
    <row r="2287" spans="1:6" x14ac:dyDescent="0.2">
      <c r="A2287" t="str">
        <f>'Novia Web Query'!A2283</f>
        <v>GB0008468174</v>
      </c>
      <c r="B2287" t="str">
        <f>VLOOKUP(NoviaFunds[[#This Row],[ISIN]],'Novia Web Query'!$A:$E,2,FALSE)</f>
        <v>L&amp;G (N) Tracker Trust A Acc in GB</v>
      </c>
      <c r="C2287" t="str">
        <f>VLOOKUP(NoviaFunds[[#This Row],[ISIN]],'Novia Web Query'!$A:$E,3,FALSE)</f>
        <v>UT UK All Companies</v>
      </c>
      <c r="D2287" s="139">
        <f>VLOOKUP(NoviaFunds[[#This Row],[ISIN]],'Novia Web Query'!$A:$E,4,FALSE)/100</f>
        <v>8.5000000000000006E-3</v>
      </c>
      <c r="E2287" s="3" t="str">
        <f>VLOOKUP(NoviaFunds[[#This Row],[ISIN]],'Novia Web Query'!$A:$E,5,FALSE)</f>
        <v>31/08/2021</v>
      </c>
      <c r="F2287" t="str">
        <f>VLOOKUP(NoviaFunds[[#This Row],[Sector]],Sectors[],2,FALSE)</f>
        <v>UK Equities</v>
      </c>
    </row>
    <row r="2288" spans="1:6" x14ac:dyDescent="0.2">
      <c r="A2288" t="str">
        <f>'Novia Web Query'!A2284</f>
        <v>GB00B8386G47</v>
      </c>
      <c r="B2288" t="str">
        <f>VLOOKUP(NoviaFunds[[#This Row],[ISIN]],'Novia Web Query'!$A:$E,2,FALSE)</f>
        <v>L&amp;G (N) Tracker Trust I Acc in GB</v>
      </c>
      <c r="C2288" t="str">
        <f>VLOOKUP(NoviaFunds[[#This Row],[ISIN]],'Novia Web Query'!$A:$E,3,FALSE)</f>
        <v>UT UK All Companies</v>
      </c>
      <c r="D2288" s="139">
        <f>VLOOKUP(NoviaFunds[[#This Row],[ISIN]],'Novia Web Query'!$A:$E,4,FALSE)/100</f>
        <v>1E-3</v>
      </c>
      <c r="E2288" s="3" t="str">
        <f>VLOOKUP(NoviaFunds[[#This Row],[ISIN]],'Novia Web Query'!$A:$E,5,FALSE)</f>
        <v>31/08/2021</v>
      </c>
      <c r="F2288" t="str">
        <f>VLOOKUP(NoviaFunds[[#This Row],[Sector]],Sectors[],2,FALSE)</f>
        <v>UK Equities</v>
      </c>
    </row>
    <row r="2289" spans="1:6" x14ac:dyDescent="0.2">
      <c r="A2289" t="str">
        <f>'Novia Web Query'!A2285</f>
        <v>GB00B85JJM22</v>
      </c>
      <c r="B2289" t="str">
        <f>VLOOKUP(NoviaFunds[[#This Row],[ISIN]],'Novia Web Query'!$A:$E,2,FALSE)</f>
        <v>L&amp;G (N) Tracker Trust I Inc TR in GB</v>
      </c>
      <c r="C2289" t="str">
        <f>VLOOKUP(NoviaFunds[[#This Row],[ISIN]],'Novia Web Query'!$A:$E,3,FALSE)</f>
        <v>UT UK All Companies</v>
      </c>
      <c r="D2289" s="139">
        <f>VLOOKUP(NoviaFunds[[#This Row],[ISIN]],'Novia Web Query'!$A:$E,4,FALSE)/100</f>
        <v>1E-3</v>
      </c>
      <c r="E2289" s="3" t="str">
        <f>VLOOKUP(NoviaFunds[[#This Row],[ISIN]],'Novia Web Query'!$A:$E,5,FALSE)</f>
        <v>31/08/2021</v>
      </c>
      <c r="F2289" t="str">
        <f>VLOOKUP(NoviaFunds[[#This Row],[Sector]],Sectors[],2,FALSE)</f>
        <v>UK Equities</v>
      </c>
    </row>
    <row r="2290" spans="1:6" x14ac:dyDescent="0.2">
      <c r="A2290" t="str">
        <f>'Novia Web Query'!A2286</f>
        <v>GB00B0CNHJ41</v>
      </c>
      <c r="B2290" t="str">
        <f>VLOOKUP(NoviaFunds[[#This Row],[ISIN]],'Novia Web Query'!$A:$E,2,FALSE)</f>
        <v>L&amp;G Active Global High Yield Bond I Acc in GB</v>
      </c>
      <c r="C2290" t="str">
        <f>VLOOKUP(NoviaFunds[[#This Row],[ISIN]],'Novia Web Query'!$A:$E,3,FALSE)</f>
        <v>UT Sterling High Yield</v>
      </c>
      <c r="D2290" s="139">
        <f>VLOOKUP(NoviaFunds[[#This Row],[ISIN]],'Novia Web Query'!$A:$E,4,FALSE)/100</f>
        <v>4.0999999999999995E-3</v>
      </c>
      <c r="E2290" s="3" t="str">
        <f>VLOOKUP(NoviaFunds[[#This Row],[ISIN]],'Novia Web Query'!$A:$E,5,FALSE)</f>
        <v>31/08/2021</v>
      </c>
      <c r="F2290" t="str">
        <f>VLOOKUP(NoviaFunds[[#This Row],[Sector]],Sectors[],2,FALSE)</f>
        <v>High Yield</v>
      </c>
    </row>
    <row r="2291" spans="1:6" x14ac:dyDescent="0.2">
      <c r="A2291" t="str">
        <f>'Novia Web Query'!A2287</f>
        <v>GB00B0CNHH27</v>
      </c>
      <c r="B2291" t="str">
        <f>VLOOKUP(NoviaFunds[[#This Row],[ISIN]],'Novia Web Query'!$A:$E,2,FALSE)</f>
        <v>L&amp;G Active Global High Yield Bond I Inc TR in GB</v>
      </c>
      <c r="C2291" t="str">
        <f>VLOOKUP(NoviaFunds[[#This Row],[ISIN]],'Novia Web Query'!$A:$E,3,FALSE)</f>
        <v>UT Sterling High Yield</v>
      </c>
      <c r="D2291" s="139">
        <f>VLOOKUP(NoviaFunds[[#This Row],[ISIN]],'Novia Web Query'!$A:$E,4,FALSE)/100</f>
        <v>4.0999999999999995E-3</v>
      </c>
      <c r="E2291" s="3" t="str">
        <f>VLOOKUP(NoviaFunds[[#This Row],[ISIN]],'Novia Web Query'!$A:$E,5,FALSE)</f>
        <v>31/08/2021</v>
      </c>
      <c r="F2291" t="str">
        <f>VLOOKUP(NoviaFunds[[#This Row],[Sector]],Sectors[],2,FALSE)</f>
        <v>High Yield</v>
      </c>
    </row>
    <row r="2292" spans="1:6" x14ac:dyDescent="0.2">
      <c r="A2292" t="str">
        <f>'Novia Web Query'!A2288</f>
        <v>GB0001956167</v>
      </c>
      <c r="B2292" t="str">
        <f>VLOOKUP(NoviaFunds[[#This Row],[ISIN]],'Novia Web Query'!$A:$E,2,FALSE)</f>
        <v>L&amp;G Active Global High Yield Bond R Acc TR in GB</v>
      </c>
      <c r="C2292" t="str">
        <f>VLOOKUP(NoviaFunds[[#This Row],[ISIN]],'Novia Web Query'!$A:$E,3,FALSE)</f>
        <v>UT Sterling High Yield</v>
      </c>
      <c r="D2292" s="139">
        <f>VLOOKUP(NoviaFunds[[#This Row],[ISIN]],'Novia Web Query'!$A:$E,4,FALSE)/100</f>
        <v>1.15E-2</v>
      </c>
      <c r="E2292" s="3" t="str">
        <f>VLOOKUP(NoviaFunds[[#This Row],[ISIN]],'Novia Web Query'!$A:$E,5,FALSE)</f>
        <v>31/08/2021</v>
      </c>
      <c r="F2292" t="str">
        <f>VLOOKUP(NoviaFunds[[#This Row],[Sector]],Sectors[],2,FALSE)</f>
        <v>High Yield</v>
      </c>
    </row>
    <row r="2293" spans="1:6" x14ac:dyDescent="0.2">
      <c r="A2293" t="str">
        <f>'Novia Web Query'!A2289</f>
        <v>GB0001956050</v>
      </c>
      <c r="B2293" t="str">
        <f>VLOOKUP(NoviaFunds[[#This Row],[ISIN]],'Novia Web Query'!$A:$E,2,FALSE)</f>
        <v>L&amp;G Active Global High Yield Bond R Inc TR in GB</v>
      </c>
      <c r="C2293" t="str">
        <f>VLOOKUP(NoviaFunds[[#This Row],[ISIN]],'Novia Web Query'!$A:$E,3,FALSE)</f>
        <v>UT Sterling High Yield</v>
      </c>
      <c r="D2293" s="139">
        <f>VLOOKUP(NoviaFunds[[#This Row],[ISIN]],'Novia Web Query'!$A:$E,4,FALSE)/100</f>
        <v>1.15E-2</v>
      </c>
      <c r="E2293" s="3" t="str">
        <f>VLOOKUP(NoviaFunds[[#This Row],[ISIN]],'Novia Web Query'!$A:$E,5,FALSE)</f>
        <v>31/08/2021</v>
      </c>
      <c r="F2293" t="str">
        <f>VLOOKUP(NoviaFunds[[#This Row],[Sector]],Sectors[],2,FALSE)</f>
        <v>High Yield</v>
      </c>
    </row>
    <row r="2294" spans="1:6" x14ac:dyDescent="0.2">
      <c r="A2294" t="str">
        <f>'Novia Web Query'!A2290</f>
        <v>GB00BG0QNW27</v>
      </c>
      <c r="B2294" t="str">
        <f>VLOOKUP(NoviaFunds[[#This Row],[ISIN]],'Novia Web Query'!$A:$E,2,FALSE)</f>
        <v>L&amp;G All Stocks Gilt Index Trust C Acc in GB**</v>
      </c>
      <c r="C2294" t="str">
        <f>VLOOKUP(NoviaFunds[[#This Row],[ISIN]],'Novia Web Query'!$A:$E,3,FALSE)</f>
        <v>UT UK Gilts</v>
      </c>
      <c r="D2294" s="139">
        <f>VLOOKUP(NoviaFunds[[#This Row],[ISIN]],'Novia Web Query'!$A:$E,4,FALSE)/100</f>
        <v>1E-3</v>
      </c>
      <c r="E2294" s="3" t="str">
        <f>VLOOKUP(NoviaFunds[[#This Row],[ISIN]],'Novia Web Query'!$A:$E,5,FALSE)</f>
        <v>31/08/2021</v>
      </c>
      <c r="F2294" t="str">
        <f>VLOOKUP(NoviaFunds[[#This Row],[Sector]],Sectors[],2,FALSE)</f>
        <v>Gilts</v>
      </c>
    </row>
    <row r="2295" spans="1:6" x14ac:dyDescent="0.2">
      <c r="A2295" t="str">
        <f>'Novia Web Query'!A2291</f>
        <v>GB00BG0QNV10</v>
      </c>
      <c r="B2295" t="str">
        <f>VLOOKUP(NoviaFunds[[#This Row],[ISIN]],'Novia Web Query'!$A:$E,2,FALSE)</f>
        <v>L&amp;G All Stocks Gilt Index Trust C Inc TR in GB**</v>
      </c>
      <c r="C2295" t="str">
        <f>VLOOKUP(NoviaFunds[[#This Row],[ISIN]],'Novia Web Query'!$A:$E,3,FALSE)</f>
        <v>UT UK Gilts</v>
      </c>
      <c r="D2295" s="139">
        <f>VLOOKUP(NoviaFunds[[#This Row],[ISIN]],'Novia Web Query'!$A:$E,4,FALSE)/100</f>
        <v>1E-3</v>
      </c>
      <c r="E2295" s="3" t="str">
        <f>VLOOKUP(NoviaFunds[[#This Row],[ISIN]],'Novia Web Query'!$A:$E,5,FALSE)</f>
        <v>31/08/2021</v>
      </c>
      <c r="F2295" t="str">
        <f>VLOOKUP(NoviaFunds[[#This Row],[Sector]],Sectors[],2,FALSE)</f>
        <v>Gilts</v>
      </c>
    </row>
    <row r="2296" spans="1:6" x14ac:dyDescent="0.2">
      <c r="A2296" t="str">
        <f>'Novia Web Query'!A2292</f>
        <v>GB00B8344798</v>
      </c>
      <c r="B2296" t="str">
        <f>VLOOKUP(NoviaFunds[[#This Row],[ISIN]],'Novia Web Query'!$A:$E,2,FALSE)</f>
        <v>L&amp;G All Stocks Gilt Index Trust I Acc in GB</v>
      </c>
      <c r="C2296" t="str">
        <f>VLOOKUP(NoviaFunds[[#This Row],[ISIN]],'Novia Web Query'!$A:$E,3,FALSE)</f>
        <v>UT UK Gilts</v>
      </c>
      <c r="D2296" s="139">
        <f>VLOOKUP(NoviaFunds[[#This Row],[ISIN]],'Novia Web Query'!$A:$E,4,FALSE)/100</f>
        <v>1.5E-3</v>
      </c>
      <c r="E2296" s="3" t="str">
        <f>VLOOKUP(NoviaFunds[[#This Row],[ISIN]],'Novia Web Query'!$A:$E,5,FALSE)</f>
        <v>31/08/2021</v>
      </c>
      <c r="F2296" t="str">
        <f>VLOOKUP(NoviaFunds[[#This Row],[Sector]],Sectors[],2,FALSE)</f>
        <v>Gilts</v>
      </c>
    </row>
    <row r="2297" spans="1:6" x14ac:dyDescent="0.2">
      <c r="A2297" t="str">
        <f>'Novia Web Query'!A2293</f>
        <v>GB00B8387G12</v>
      </c>
      <c r="B2297" t="str">
        <f>VLOOKUP(NoviaFunds[[#This Row],[ISIN]],'Novia Web Query'!$A:$E,2,FALSE)</f>
        <v>L&amp;G All Stocks Gilt Index Trust I Inc TR in GB</v>
      </c>
      <c r="C2297" t="str">
        <f>VLOOKUP(NoviaFunds[[#This Row],[ISIN]],'Novia Web Query'!$A:$E,3,FALSE)</f>
        <v>UT UK Gilts</v>
      </c>
      <c r="D2297" s="139">
        <f>VLOOKUP(NoviaFunds[[#This Row],[ISIN]],'Novia Web Query'!$A:$E,4,FALSE)/100</f>
        <v>1.5E-3</v>
      </c>
      <c r="E2297" s="3" t="str">
        <f>VLOOKUP(NoviaFunds[[#This Row],[ISIN]],'Novia Web Query'!$A:$E,5,FALSE)</f>
        <v>31/08/2021</v>
      </c>
      <c r="F2297" t="str">
        <f>VLOOKUP(NoviaFunds[[#This Row],[Sector]],Sectors[],2,FALSE)</f>
        <v>Gilts</v>
      </c>
    </row>
    <row r="2298" spans="1:6" x14ac:dyDescent="0.2">
      <c r="A2298" t="str">
        <f>'Novia Web Query'!A2294</f>
        <v>GB00BG0QNY41</v>
      </c>
      <c r="B2298" t="str">
        <f>VLOOKUP(NoviaFunds[[#This Row],[ISIN]],'Novia Web Query'!$A:$E,2,FALSE)</f>
        <v>L&amp;G All Stocks Index Linked Gilt Index Trust C Acc in GB**</v>
      </c>
      <c r="C2298" t="str">
        <f>VLOOKUP(NoviaFunds[[#This Row],[ISIN]],'Novia Web Query'!$A:$E,3,FALSE)</f>
        <v>UT UK Index Linked Gilts</v>
      </c>
      <c r="D2298" s="139">
        <f>VLOOKUP(NoviaFunds[[#This Row],[ISIN]],'Novia Web Query'!$A:$E,4,FALSE)/100</f>
        <v>1E-3</v>
      </c>
      <c r="E2298" s="3" t="str">
        <f>VLOOKUP(NoviaFunds[[#This Row],[ISIN]],'Novia Web Query'!$A:$E,5,FALSE)</f>
        <v>31/08/2021</v>
      </c>
      <c r="F2298" t="str">
        <f>VLOOKUP(NoviaFunds[[#This Row],[Sector]],Sectors[],2,FALSE)</f>
        <v>UK Index Linked Gilts</v>
      </c>
    </row>
    <row r="2299" spans="1:6" x14ac:dyDescent="0.2">
      <c r="A2299" t="str">
        <f>'Novia Web Query'!A2295</f>
        <v>GB00BG0QNX34</v>
      </c>
      <c r="B2299" t="str">
        <f>VLOOKUP(NoviaFunds[[#This Row],[ISIN]],'Novia Web Query'!$A:$E,2,FALSE)</f>
        <v>L&amp;G All Stocks Index Linked Gilt Index Trust C Inc TR in GB**</v>
      </c>
      <c r="C2299" t="str">
        <f>VLOOKUP(NoviaFunds[[#This Row],[ISIN]],'Novia Web Query'!$A:$E,3,FALSE)</f>
        <v>UT UK Index Linked Gilts</v>
      </c>
      <c r="D2299" s="139">
        <f>VLOOKUP(NoviaFunds[[#This Row],[ISIN]],'Novia Web Query'!$A:$E,4,FALSE)/100</f>
        <v>1E-3</v>
      </c>
      <c r="E2299" s="3" t="str">
        <f>VLOOKUP(NoviaFunds[[#This Row],[ISIN]],'Novia Web Query'!$A:$E,5,FALSE)</f>
        <v>31/08/2021</v>
      </c>
      <c r="F2299" t="str">
        <f>VLOOKUP(NoviaFunds[[#This Row],[Sector]],Sectors[],2,FALSE)</f>
        <v>UK Index Linked Gilts</v>
      </c>
    </row>
    <row r="2300" spans="1:6" x14ac:dyDescent="0.2">
      <c r="A2300" t="str">
        <f>'Novia Web Query'!A2296</f>
        <v>GB00B84QXT94</v>
      </c>
      <c r="B2300" t="str">
        <f>VLOOKUP(NoviaFunds[[#This Row],[ISIN]],'Novia Web Query'!$A:$E,2,FALSE)</f>
        <v>L&amp;G All Stocks Index Linked Gilt Index Trust I Acc in GB</v>
      </c>
      <c r="C2300" t="str">
        <f>VLOOKUP(NoviaFunds[[#This Row],[ISIN]],'Novia Web Query'!$A:$E,3,FALSE)</f>
        <v>UT UK Index Linked Gilts</v>
      </c>
      <c r="D2300" s="139">
        <f>VLOOKUP(NoviaFunds[[#This Row],[ISIN]],'Novia Web Query'!$A:$E,4,FALSE)/100</f>
        <v>1.5E-3</v>
      </c>
      <c r="E2300" s="3" t="str">
        <f>VLOOKUP(NoviaFunds[[#This Row],[ISIN]],'Novia Web Query'!$A:$E,5,FALSE)</f>
        <v>31/08/2021</v>
      </c>
      <c r="F2300" t="str">
        <f>VLOOKUP(NoviaFunds[[#This Row],[Sector]],Sectors[],2,FALSE)</f>
        <v>UK Index Linked Gilts</v>
      </c>
    </row>
    <row r="2301" spans="1:6" x14ac:dyDescent="0.2">
      <c r="A2301" t="str">
        <f>'Novia Web Query'!A2297</f>
        <v>GB00B84VDP04</v>
      </c>
      <c r="B2301" t="str">
        <f>VLOOKUP(NoviaFunds[[#This Row],[ISIN]],'Novia Web Query'!$A:$E,2,FALSE)</f>
        <v>L&amp;G All Stocks Index Linked Gilt Index Trust I Inc TR in GB</v>
      </c>
      <c r="C2301" t="str">
        <f>VLOOKUP(NoviaFunds[[#This Row],[ISIN]],'Novia Web Query'!$A:$E,3,FALSE)</f>
        <v>UT UK Index Linked Gilts</v>
      </c>
      <c r="D2301" s="139">
        <f>VLOOKUP(NoviaFunds[[#This Row],[ISIN]],'Novia Web Query'!$A:$E,4,FALSE)/100</f>
        <v>1.5E-3</v>
      </c>
      <c r="E2301" s="3" t="str">
        <f>VLOOKUP(NoviaFunds[[#This Row],[ISIN]],'Novia Web Query'!$A:$E,5,FALSE)</f>
        <v>31/08/2021</v>
      </c>
      <c r="F2301" t="str">
        <f>VLOOKUP(NoviaFunds[[#This Row],[Sector]],Sectors[],2,FALSE)</f>
        <v>UK Index Linked Gilts</v>
      </c>
    </row>
    <row r="2302" spans="1:6" x14ac:dyDescent="0.2">
      <c r="A2302" t="str">
        <f>'Novia Web Query'!A2298</f>
        <v>GB00B409KQ03</v>
      </c>
      <c r="B2302" t="str">
        <f>VLOOKUP(NoviaFunds[[#This Row],[ISIN]],'Novia Web Query'!$A:$E,2,FALSE)</f>
        <v>L&amp;G Asian Income Trust I Acc in GB</v>
      </c>
      <c r="C2302" t="str">
        <f>VLOOKUP(NoviaFunds[[#This Row],[ISIN]],'Novia Web Query'!$A:$E,3,FALSE)</f>
        <v>UT Asia Pacific Excluding Japan</v>
      </c>
      <c r="D2302" s="139">
        <f>VLOOKUP(NoviaFunds[[#This Row],[ISIN]],'Novia Web Query'!$A:$E,4,FALSE)/100</f>
        <v>8.3000000000000001E-3</v>
      </c>
      <c r="E2302" s="3" t="str">
        <f>VLOOKUP(NoviaFunds[[#This Row],[ISIN]],'Novia Web Query'!$A:$E,5,FALSE)</f>
        <v>31/08/2021</v>
      </c>
      <c r="F2302" t="str">
        <f>VLOOKUP(NoviaFunds[[#This Row],[Sector]],Sectors[],2,FALSE)</f>
        <v>Asia Pacific</v>
      </c>
    </row>
    <row r="2303" spans="1:6" x14ac:dyDescent="0.2">
      <c r="A2303" t="str">
        <f>'Novia Web Query'!A2299</f>
        <v>GB00B7XH5V20</v>
      </c>
      <c r="B2303" t="str">
        <f>VLOOKUP(NoviaFunds[[#This Row],[ISIN]],'Novia Web Query'!$A:$E,2,FALSE)</f>
        <v>L&amp;G Asian Income Trust I Inc TR in GB</v>
      </c>
      <c r="C2303" t="str">
        <f>VLOOKUP(NoviaFunds[[#This Row],[ISIN]],'Novia Web Query'!$A:$E,3,FALSE)</f>
        <v>UT Asia Pacific Excluding Japan</v>
      </c>
      <c r="D2303" s="139">
        <f>VLOOKUP(NoviaFunds[[#This Row],[ISIN]],'Novia Web Query'!$A:$E,4,FALSE)/100</f>
        <v>8.3000000000000001E-3</v>
      </c>
      <c r="E2303" s="3" t="str">
        <f>VLOOKUP(NoviaFunds[[#This Row],[ISIN]],'Novia Web Query'!$A:$E,5,FALSE)</f>
        <v>31/08/2021</v>
      </c>
      <c r="F2303" t="str">
        <f>VLOOKUP(NoviaFunds[[#This Row],[Sector]],Sectors[],2,FALSE)</f>
        <v>Asia Pacific</v>
      </c>
    </row>
    <row r="2304" spans="1:6" x14ac:dyDescent="0.2">
      <c r="A2304" t="str">
        <f>'Novia Web Query'!A2300</f>
        <v>GB00B032BL04</v>
      </c>
      <c r="B2304" t="str">
        <f>VLOOKUP(NoviaFunds[[#This Row],[ISIN]],'Novia Web Query'!$A:$E,2,FALSE)</f>
        <v>L&amp;G Asian Income Trust R Acc in GB</v>
      </c>
      <c r="C2304" t="str">
        <f>VLOOKUP(NoviaFunds[[#This Row],[ISIN]],'Novia Web Query'!$A:$E,3,FALSE)</f>
        <v>UT Asia Pacific Excluding Japan</v>
      </c>
      <c r="D2304" s="139">
        <f>VLOOKUP(NoviaFunds[[#This Row],[ISIN]],'Novia Web Query'!$A:$E,4,FALSE)/100</f>
        <v>1.4800000000000001E-2</v>
      </c>
      <c r="E2304" s="3" t="str">
        <f>VLOOKUP(NoviaFunds[[#This Row],[ISIN]],'Novia Web Query'!$A:$E,5,FALSE)</f>
        <v>31/08/2021</v>
      </c>
      <c r="F2304" t="str">
        <f>VLOOKUP(NoviaFunds[[#This Row],[Sector]],Sectors[],2,FALSE)</f>
        <v>Asia Pacific</v>
      </c>
    </row>
    <row r="2305" spans="1:6" x14ac:dyDescent="0.2">
      <c r="A2305" t="str">
        <f>'Novia Web Query'!A2301</f>
        <v>GB00B032BK96</v>
      </c>
      <c r="B2305" t="str">
        <f>VLOOKUP(NoviaFunds[[#This Row],[ISIN]],'Novia Web Query'!$A:$E,2,FALSE)</f>
        <v>L&amp;G Asian Income Trust R Inc TR in GB</v>
      </c>
      <c r="C2305" t="str">
        <f>VLOOKUP(NoviaFunds[[#This Row],[ISIN]],'Novia Web Query'!$A:$E,3,FALSE)</f>
        <v>UT Asia Pacific Excluding Japan</v>
      </c>
      <c r="D2305" s="139">
        <f>VLOOKUP(NoviaFunds[[#This Row],[ISIN]],'Novia Web Query'!$A:$E,4,FALSE)/100</f>
        <v>1.4800000000000001E-2</v>
      </c>
      <c r="E2305" s="3" t="str">
        <f>VLOOKUP(NoviaFunds[[#This Row],[ISIN]],'Novia Web Query'!$A:$E,5,FALSE)</f>
        <v>31/08/2021</v>
      </c>
      <c r="F2305" t="str">
        <f>VLOOKUP(NoviaFunds[[#This Row],[Sector]],Sectors[],2,FALSE)</f>
        <v>Asia Pacific</v>
      </c>
    </row>
    <row r="2306" spans="1:6" x14ac:dyDescent="0.2">
      <c r="A2306" t="str">
        <f>'Novia Web Query'!A2302</f>
        <v>GB00B0CNHB64</v>
      </c>
      <c r="B2306" t="str">
        <f>VLOOKUP(NoviaFunds[[#This Row],[ISIN]],'Novia Web Query'!$A:$E,2,FALSE)</f>
        <v>L&amp;G Cash Trust I Acc in GB**</v>
      </c>
      <c r="C2306" t="str">
        <f>VLOOKUP(NoviaFunds[[#This Row],[ISIN]],'Novia Web Query'!$A:$E,3,FALSE)</f>
        <v>UT Short Term Money Market</v>
      </c>
      <c r="D2306" s="139">
        <f>VLOOKUP(NoviaFunds[[#This Row],[ISIN]],'Novia Web Query'!$A:$E,4,FALSE)/100</f>
        <v>1.5E-3</v>
      </c>
      <c r="E2306" s="3" t="str">
        <f>VLOOKUP(NoviaFunds[[#This Row],[ISIN]],'Novia Web Query'!$A:$E,5,FALSE)</f>
        <v>31/08/2021</v>
      </c>
      <c r="F2306" t="str">
        <f>VLOOKUP(NoviaFunds[[#This Row],[Sector]],Sectors[],2,FALSE)</f>
        <v>Cash</v>
      </c>
    </row>
    <row r="2307" spans="1:6" x14ac:dyDescent="0.2">
      <c r="A2307" t="str">
        <f>'Novia Web Query'!A2303</f>
        <v>GB00BJKGG240</v>
      </c>
      <c r="B2307" t="str">
        <f>VLOOKUP(NoviaFunds[[#This Row],[ISIN]],'Novia Web Query'!$A:$E,2,FALSE)</f>
        <v>L&amp;G Cash Trust I Inc TR in GB**</v>
      </c>
      <c r="C2307" t="str">
        <f>VLOOKUP(NoviaFunds[[#This Row],[ISIN]],'Novia Web Query'!$A:$E,3,FALSE)</f>
        <v>UT Short Term Money Market</v>
      </c>
      <c r="D2307" s="139">
        <f>VLOOKUP(NoviaFunds[[#This Row],[ISIN]],'Novia Web Query'!$A:$E,4,FALSE)/100</f>
        <v>1.5E-3</v>
      </c>
      <c r="E2307" s="3" t="str">
        <f>VLOOKUP(NoviaFunds[[#This Row],[ISIN]],'Novia Web Query'!$A:$E,5,FALSE)</f>
        <v>31/08/2021</v>
      </c>
      <c r="F2307" t="str">
        <f>VLOOKUP(NoviaFunds[[#This Row],[Sector]],Sectors[],2,FALSE)</f>
        <v>Cash</v>
      </c>
    </row>
    <row r="2308" spans="1:6" x14ac:dyDescent="0.2">
      <c r="A2308" t="str">
        <f>'Novia Web Query'!A2304</f>
        <v>GB0005141584</v>
      </c>
      <c r="B2308" t="str">
        <f>VLOOKUP(NoviaFunds[[#This Row],[ISIN]],'Novia Web Query'!$A:$E,2,FALSE)</f>
        <v>L&amp;G Cash Trust R Acc in GB</v>
      </c>
      <c r="C2308" t="str">
        <f>VLOOKUP(NoviaFunds[[#This Row],[ISIN]],'Novia Web Query'!$A:$E,3,FALSE)</f>
        <v>UT Short Term Money Market</v>
      </c>
      <c r="D2308" s="139">
        <f>VLOOKUP(NoviaFunds[[#This Row],[ISIN]],'Novia Web Query'!$A:$E,4,FALSE)/100</f>
        <v>2.5000000000000001E-3</v>
      </c>
      <c r="E2308" s="3" t="str">
        <f>VLOOKUP(NoviaFunds[[#This Row],[ISIN]],'Novia Web Query'!$A:$E,5,FALSE)</f>
        <v>31/08/2021</v>
      </c>
      <c r="F2308" t="str">
        <f>VLOOKUP(NoviaFunds[[#This Row],[Sector]],Sectors[],2,FALSE)</f>
        <v>Cash</v>
      </c>
    </row>
    <row r="2309" spans="1:6" x14ac:dyDescent="0.2">
      <c r="A2309" t="str">
        <f>'Novia Web Query'!A2305</f>
        <v>GB00B7X7S794</v>
      </c>
      <c r="B2309" t="str">
        <f>VLOOKUP(NoviaFunds[[#This Row],[ISIN]],'Novia Web Query'!$A:$E,2,FALSE)</f>
        <v>L&amp;G Distribution Trust F Acc in GB**</v>
      </c>
      <c r="C2309" t="str">
        <f>VLOOKUP(NoviaFunds[[#This Row],[ISIN]],'Novia Web Query'!$A:$E,3,FALSE)</f>
        <v>UT Mixed Investment 20-60% Shares</v>
      </c>
      <c r="D2309" s="139">
        <f>VLOOKUP(NoviaFunds[[#This Row],[ISIN]],'Novia Web Query'!$A:$E,4,FALSE)/100</f>
        <v>9.1000000000000004E-3</v>
      </c>
      <c r="E2309" s="3" t="str">
        <f>VLOOKUP(NoviaFunds[[#This Row],[ISIN]],'Novia Web Query'!$A:$E,5,FALSE)</f>
        <v>31/08/2021</v>
      </c>
      <c r="F2309" t="str">
        <f>VLOOKUP(NoviaFunds[[#This Row],[Sector]],Sectors[],2,FALSE)</f>
        <v>Mixed 20%-60%</v>
      </c>
    </row>
    <row r="2310" spans="1:6" x14ac:dyDescent="0.2">
      <c r="A2310" t="str">
        <f>'Novia Web Query'!A2306</f>
        <v>GB00B73NZM12</v>
      </c>
      <c r="B2310" t="str">
        <f>VLOOKUP(NoviaFunds[[#This Row],[ISIN]],'Novia Web Query'!$A:$E,2,FALSE)</f>
        <v>L&amp;G Distribution Trust F Inc TR in GB**</v>
      </c>
      <c r="C2310" t="str">
        <f>VLOOKUP(NoviaFunds[[#This Row],[ISIN]],'Novia Web Query'!$A:$E,3,FALSE)</f>
        <v>UT Mixed Investment 20-60% Shares</v>
      </c>
      <c r="D2310" s="139">
        <f>VLOOKUP(NoviaFunds[[#This Row],[ISIN]],'Novia Web Query'!$A:$E,4,FALSE)/100</f>
        <v>9.1000000000000004E-3</v>
      </c>
      <c r="E2310" s="3" t="str">
        <f>VLOOKUP(NoviaFunds[[#This Row],[ISIN]],'Novia Web Query'!$A:$E,5,FALSE)</f>
        <v>31/08/2021</v>
      </c>
      <c r="F2310" t="str">
        <f>VLOOKUP(NoviaFunds[[#This Row],[Sector]],Sectors[],2,FALSE)</f>
        <v>Mixed 20%-60%</v>
      </c>
    </row>
    <row r="2311" spans="1:6" x14ac:dyDescent="0.2">
      <c r="A2311" t="str">
        <f>'Novia Web Query'!A2307</f>
        <v>GB00B7JVMY09</v>
      </c>
      <c r="B2311" t="str">
        <f>VLOOKUP(NoviaFunds[[#This Row],[ISIN]],'Novia Web Query'!$A:$E,2,FALSE)</f>
        <v>L&amp;G Distribution Trust I Acc in GB</v>
      </c>
      <c r="C2311" t="str">
        <f>VLOOKUP(NoviaFunds[[#This Row],[ISIN]],'Novia Web Query'!$A:$E,3,FALSE)</f>
        <v>UT Mixed Investment 20-60% Shares</v>
      </c>
      <c r="D2311" s="139">
        <f>VLOOKUP(NoviaFunds[[#This Row],[ISIN]],'Novia Web Query'!$A:$E,4,FALSE)/100</f>
        <v>6.6E-3</v>
      </c>
      <c r="E2311" s="3" t="str">
        <f>VLOOKUP(NoviaFunds[[#This Row],[ISIN]],'Novia Web Query'!$A:$E,5,FALSE)</f>
        <v>31/08/2021</v>
      </c>
      <c r="F2311" t="str">
        <f>VLOOKUP(NoviaFunds[[#This Row],[Sector]],Sectors[],2,FALSE)</f>
        <v>Mixed 20%-60%</v>
      </c>
    </row>
    <row r="2312" spans="1:6" x14ac:dyDescent="0.2">
      <c r="A2312" t="str">
        <f>'Novia Web Query'!A2308</f>
        <v>GB00B7FPV944</v>
      </c>
      <c r="B2312" t="str">
        <f>VLOOKUP(NoviaFunds[[#This Row],[ISIN]],'Novia Web Query'!$A:$E,2,FALSE)</f>
        <v>L&amp;G Distribution Trust I Inc TR in GB</v>
      </c>
      <c r="C2312" t="str">
        <f>VLOOKUP(NoviaFunds[[#This Row],[ISIN]],'Novia Web Query'!$A:$E,3,FALSE)</f>
        <v>UT Mixed Investment 20-60% Shares</v>
      </c>
      <c r="D2312" s="139">
        <f>VLOOKUP(NoviaFunds[[#This Row],[ISIN]],'Novia Web Query'!$A:$E,4,FALSE)/100</f>
        <v>6.6E-3</v>
      </c>
      <c r="E2312" s="3" t="str">
        <f>VLOOKUP(NoviaFunds[[#This Row],[ISIN]],'Novia Web Query'!$A:$E,5,FALSE)</f>
        <v>31/08/2021</v>
      </c>
      <c r="F2312" t="str">
        <f>VLOOKUP(NoviaFunds[[#This Row],[Sector]],Sectors[],2,FALSE)</f>
        <v>Mixed 20%-60%</v>
      </c>
    </row>
    <row r="2313" spans="1:6" x14ac:dyDescent="0.2">
      <c r="A2313" t="str">
        <f>'Novia Web Query'!A2309</f>
        <v>GB0033860197</v>
      </c>
      <c r="B2313" t="str">
        <f>VLOOKUP(NoviaFunds[[#This Row],[ISIN]],'Novia Web Query'!$A:$E,2,FALSE)</f>
        <v>L&amp;G Distribution Trust R Acc in GB</v>
      </c>
      <c r="C2313" t="str">
        <f>VLOOKUP(NoviaFunds[[#This Row],[ISIN]],'Novia Web Query'!$A:$E,3,FALSE)</f>
        <v>UT Mixed Investment 20-60% Shares</v>
      </c>
      <c r="D2313" s="139">
        <f>VLOOKUP(NoviaFunds[[#This Row],[ISIN]],'Novia Web Query'!$A:$E,4,FALSE)/100</f>
        <v>1.41E-2</v>
      </c>
      <c r="E2313" s="3" t="str">
        <f>VLOOKUP(NoviaFunds[[#This Row],[ISIN]],'Novia Web Query'!$A:$E,5,FALSE)</f>
        <v>31/08/2021</v>
      </c>
      <c r="F2313" t="str">
        <f>VLOOKUP(NoviaFunds[[#This Row],[Sector]],Sectors[],2,FALSE)</f>
        <v>Mixed 20%-60%</v>
      </c>
    </row>
    <row r="2314" spans="1:6" x14ac:dyDescent="0.2">
      <c r="A2314" t="str">
        <f>'Novia Web Query'!A2310</f>
        <v>GB0033860080</v>
      </c>
      <c r="B2314" t="str">
        <f>VLOOKUP(NoviaFunds[[#This Row],[ISIN]],'Novia Web Query'!$A:$E,2,FALSE)</f>
        <v>L&amp;G Distribution Trust R Inc TR in GB</v>
      </c>
      <c r="C2314" t="str">
        <f>VLOOKUP(NoviaFunds[[#This Row],[ISIN]],'Novia Web Query'!$A:$E,3,FALSE)</f>
        <v>UT Mixed Investment 20-60% Shares</v>
      </c>
      <c r="D2314" s="139">
        <f>VLOOKUP(NoviaFunds[[#This Row],[ISIN]],'Novia Web Query'!$A:$E,4,FALSE)/100</f>
        <v>1.41E-2</v>
      </c>
      <c r="E2314" s="3" t="str">
        <f>VLOOKUP(NoviaFunds[[#This Row],[ISIN]],'Novia Web Query'!$A:$E,5,FALSE)</f>
        <v>31/08/2021</v>
      </c>
      <c r="F2314" t="str">
        <f>VLOOKUP(NoviaFunds[[#This Row],[Sector]],Sectors[],2,FALSE)</f>
        <v>Mixed 20%-60%</v>
      </c>
    </row>
    <row r="2315" spans="1:6" x14ac:dyDescent="0.2">
      <c r="A2315" t="str">
        <f>'Novia Web Query'!A2311</f>
        <v>GB00B1TWMW95</v>
      </c>
      <c r="B2315" t="str">
        <f>VLOOKUP(NoviaFunds[[#This Row],[ISIN]],'Novia Web Query'!$A:$E,2,FALSE)</f>
        <v>L&amp;G Dynamic Bond I Acc TR in GB</v>
      </c>
      <c r="C2315" t="str">
        <f>VLOOKUP(NoviaFunds[[#This Row],[ISIN]],'Novia Web Query'!$A:$E,3,FALSE)</f>
        <v>UT Sterling Strategic Bond</v>
      </c>
      <c r="D2315" s="139">
        <f>VLOOKUP(NoviaFunds[[#This Row],[ISIN]],'Novia Web Query'!$A:$E,4,FALSE)/100</f>
        <v>6.3E-3</v>
      </c>
      <c r="E2315" s="3" t="str">
        <f>VLOOKUP(NoviaFunds[[#This Row],[ISIN]],'Novia Web Query'!$A:$E,5,FALSE)</f>
        <v>31/08/2021</v>
      </c>
      <c r="F2315" t="str">
        <f>VLOOKUP(NoviaFunds[[#This Row],[Sector]],Sectors[],2,FALSE)</f>
        <v>Other Bonds</v>
      </c>
    </row>
    <row r="2316" spans="1:6" x14ac:dyDescent="0.2">
      <c r="A2316" t="str">
        <f>'Novia Web Query'!A2312</f>
        <v>GB00B1TWMY10</v>
      </c>
      <c r="B2316" t="str">
        <f>VLOOKUP(NoviaFunds[[#This Row],[ISIN]],'Novia Web Query'!$A:$E,2,FALSE)</f>
        <v>L&amp;G Dynamic Bond I Inc TR in GB</v>
      </c>
      <c r="C2316" t="str">
        <f>VLOOKUP(NoviaFunds[[#This Row],[ISIN]],'Novia Web Query'!$A:$E,3,FALSE)</f>
        <v>UT Sterling Strategic Bond</v>
      </c>
      <c r="D2316" s="139">
        <f>VLOOKUP(NoviaFunds[[#This Row],[ISIN]],'Novia Web Query'!$A:$E,4,FALSE)/100</f>
        <v>6.3E-3</v>
      </c>
      <c r="E2316" s="3" t="str">
        <f>VLOOKUP(NoviaFunds[[#This Row],[ISIN]],'Novia Web Query'!$A:$E,5,FALSE)</f>
        <v>31/08/2021</v>
      </c>
      <c r="F2316" t="str">
        <f>VLOOKUP(NoviaFunds[[#This Row],[Sector]],Sectors[],2,FALSE)</f>
        <v>Other Bonds</v>
      </c>
    </row>
    <row r="2317" spans="1:6" x14ac:dyDescent="0.2">
      <c r="A2317" t="str">
        <f>'Novia Web Query'!A2313</f>
        <v>GB00B1TWMM97</v>
      </c>
      <c r="B2317" t="str">
        <f>VLOOKUP(NoviaFunds[[#This Row],[ISIN]],'Novia Web Query'!$A:$E,2,FALSE)</f>
        <v>L&amp;G Dynamic Bond R Acc in GB</v>
      </c>
      <c r="C2317" t="str">
        <f>VLOOKUP(NoviaFunds[[#This Row],[ISIN]],'Novia Web Query'!$A:$E,3,FALSE)</f>
        <v>UT Sterling Strategic Bond</v>
      </c>
      <c r="D2317" s="139">
        <f>VLOOKUP(NoviaFunds[[#This Row],[ISIN]],'Novia Web Query'!$A:$E,4,FALSE)/100</f>
        <v>1.2199999999999999E-2</v>
      </c>
      <c r="E2317" s="3" t="str">
        <f>VLOOKUP(NoviaFunds[[#This Row],[ISIN]],'Novia Web Query'!$A:$E,5,FALSE)</f>
        <v>31/08/2021</v>
      </c>
      <c r="F2317" t="str">
        <f>VLOOKUP(NoviaFunds[[#This Row],[Sector]],Sectors[],2,FALSE)</f>
        <v>Other Bonds</v>
      </c>
    </row>
    <row r="2318" spans="1:6" x14ac:dyDescent="0.2">
      <c r="A2318" t="str">
        <f>'Novia Web Query'!A2314</f>
        <v>GB00B1TWMJ68</v>
      </c>
      <c r="B2318" t="str">
        <f>VLOOKUP(NoviaFunds[[#This Row],[ISIN]],'Novia Web Query'!$A:$E,2,FALSE)</f>
        <v>L&amp;G Dynamic Bond R Inc TR in GB</v>
      </c>
      <c r="C2318" t="str">
        <f>VLOOKUP(NoviaFunds[[#This Row],[ISIN]],'Novia Web Query'!$A:$E,3,FALSE)</f>
        <v>UT Sterling Strategic Bond</v>
      </c>
      <c r="D2318" s="139">
        <f>VLOOKUP(NoviaFunds[[#This Row],[ISIN]],'Novia Web Query'!$A:$E,4,FALSE)/100</f>
        <v>1.2199999999999999E-2</v>
      </c>
      <c r="E2318" s="3" t="str">
        <f>VLOOKUP(NoviaFunds[[#This Row],[ISIN]],'Novia Web Query'!$A:$E,5,FALSE)</f>
        <v>31/08/2021</v>
      </c>
      <c r="F2318" t="str">
        <f>VLOOKUP(NoviaFunds[[#This Row],[Sector]],Sectors[],2,FALSE)</f>
        <v>Other Bonds</v>
      </c>
    </row>
    <row r="2319" spans="1:6" x14ac:dyDescent="0.2">
      <c r="A2319" t="str">
        <f>'Novia Web Query'!A2315</f>
        <v>GB00BG0QPN75</v>
      </c>
      <c r="B2319" t="str">
        <f>VLOOKUP(NoviaFunds[[#This Row],[ISIN]],'Novia Web Query'!$A:$E,2,FALSE)</f>
        <v>L&amp;G Emerging Markets Government Bond (US$) Index C Acc in GB**</v>
      </c>
      <c r="C2319" t="str">
        <f>VLOOKUP(NoviaFunds[[#This Row],[ISIN]],'Novia Web Query'!$A:$E,3,FALSE)</f>
        <v>UT Global EM Bonds - Hard Currency</v>
      </c>
      <c r="D2319" s="139">
        <f>VLOOKUP(NoviaFunds[[#This Row],[ISIN]],'Novia Web Query'!$A:$E,4,FALSE)/100</f>
        <v>1.9E-3</v>
      </c>
      <c r="E2319" s="3" t="str">
        <f>VLOOKUP(NoviaFunds[[#This Row],[ISIN]],'Novia Web Query'!$A:$E,5,FALSE)</f>
        <v>31/08/2021</v>
      </c>
      <c r="F2319" t="e">
        <f>VLOOKUP(NoviaFunds[[#This Row],[Sector]],Sectors[],2,FALSE)</f>
        <v>#N/A</v>
      </c>
    </row>
    <row r="2320" spans="1:6" x14ac:dyDescent="0.2">
      <c r="A2320" t="str">
        <f>'Novia Web Query'!A2316</f>
        <v>GB00BG0QPM68</v>
      </c>
      <c r="B2320" t="str">
        <f>VLOOKUP(NoviaFunds[[#This Row],[ISIN]],'Novia Web Query'!$A:$E,2,FALSE)</f>
        <v>L&amp;G Emerging Markets Government Bond (US$) Index C Inc TR in GB**</v>
      </c>
      <c r="C2320" t="str">
        <f>VLOOKUP(NoviaFunds[[#This Row],[ISIN]],'Novia Web Query'!$A:$E,3,FALSE)</f>
        <v>UT Global EM Bonds - Hard Currency</v>
      </c>
      <c r="D2320" s="139">
        <f>VLOOKUP(NoviaFunds[[#This Row],[ISIN]],'Novia Web Query'!$A:$E,4,FALSE)/100</f>
        <v>1.9E-3</v>
      </c>
      <c r="E2320" s="3" t="str">
        <f>VLOOKUP(NoviaFunds[[#This Row],[ISIN]],'Novia Web Query'!$A:$E,5,FALSE)</f>
        <v>31/08/2021</v>
      </c>
      <c r="F2320" t="e">
        <f>VLOOKUP(NoviaFunds[[#This Row],[Sector]],Sectors[],2,FALSE)</f>
        <v>#N/A</v>
      </c>
    </row>
    <row r="2321" spans="1:6" x14ac:dyDescent="0.2">
      <c r="A2321" t="str">
        <f>'Novia Web Query'!A2317</f>
        <v>GB00B7MJV331</v>
      </c>
      <c r="B2321" t="str">
        <f>VLOOKUP(NoviaFunds[[#This Row],[ISIN]],'Novia Web Query'!$A:$E,2,FALSE)</f>
        <v>L&amp;G Emerging Markets Government Bond (US$) Index I Acc in GB</v>
      </c>
      <c r="C2321" t="str">
        <f>VLOOKUP(NoviaFunds[[#This Row],[ISIN]],'Novia Web Query'!$A:$E,3,FALSE)</f>
        <v>UT Global EM Bonds - Hard Currency</v>
      </c>
      <c r="D2321" s="139">
        <f>VLOOKUP(NoviaFunds[[#This Row],[ISIN]],'Novia Web Query'!$A:$E,4,FALSE)/100</f>
        <v>2.8999999999999998E-3</v>
      </c>
      <c r="E2321" s="3" t="str">
        <f>VLOOKUP(NoviaFunds[[#This Row],[ISIN]],'Novia Web Query'!$A:$E,5,FALSE)</f>
        <v>31/08/2021</v>
      </c>
      <c r="F2321" t="e">
        <f>VLOOKUP(NoviaFunds[[#This Row],[Sector]],Sectors[],2,FALSE)</f>
        <v>#N/A</v>
      </c>
    </row>
    <row r="2322" spans="1:6" x14ac:dyDescent="0.2">
      <c r="A2322" t="str">
        <f>'Novia Web Query'!A2318</f>
        <v>GB00B7GWV161</v>
      </c>
      <c r="B2322" t="str">
        <f>VLOOKUP(NoviaFunds[[#This Row],[ISIN]],'Novia Web Query'!$A:$E,2,FALSE)</f>
        <v>L&amp;G Emerging Markets Government Bond (US$) Index I Inc TR in GB</v>
      </c>
      <c r="C2322" t="str">
        <f>VLOOKUP(NoviaFunds[[#This Row],[ISIN]],'Novia Web Query'!$A:$E,3,FALSE)</f>
        <v>UT Global EM Bonds - Hard Currency</v>
      </c>
      <c r="D2322" s="139">
        <f>VLOOKUP(NoviaFunds[[#This Row],[ISIN]],'Novia Web Query'!$A:$E,4,FALSE)/100</f>
        <v>2.8999999999999998E-3</v>
      </c>
      <c r="E2322" s="3" t="str">
        <f>VLOOKUP(NoviaFunds[[#This Row],[ISIN]],'Novia Web Query'!$A:$E,5,FALSE)</f>
        <v>31/08/2021</v>
      </c>
      <c r="F2322" t="e">
        <f>VLOOKUP(NoviaFunds[[#This Row],[Sector]],Sectors[],2,FALSE)</f>
        <v>#N/A</v>
      </c>
    </row>
    <row r="2323" spans="1:6" x14ac:dyDescent="0.2">
      <c r="A2323" t="str">
        <f>'Novia Web Query'!A2319</f>
        <v>GB00BD34PV54</v>
      </c>
      <c r="B2323" t="str">
        <f>VLOOKUP(NoviaFunds[[#This Row],[ISIN]],'Novia Web Query'!$A:$E,2,FALSE)</f>
        <v>L&amp;G Emerging Markets Government Bond Local Currency Index C Acc in GB</v>
      </c>
      <c r="C2323" t="str">
        <f>VLOOKUP(NoviaFunds[[#This Row],[ISIN]],'Novia Web Query'!$A:$E,3,FALSE)</f>
        <v>UT Global EM Bonds - Local Currency</v>
      </c>
      <c r="D2323" s="139">
        <f>VLOOKUP(NoviaFunds[[#This Row],[ISIN]],'Novia Web Query'!$A:$E,4,FALSE)/100</f>
        <v>2.5000000000000001E-3</v>
      </c>
      <c r="E2323" s="3" t="str">
        <f>VLOOKUP(NoviaFunds[[#This Row],[ISIN]],'Novia Web Query'!$A:$E,5,FALSE)</f>
        <v>31/08/2021</v>
      </c>
      <c r="F2323" t="e">
        <f>VLOOKUP(NoviaFunds[[#This Row],[Sector]],Sectors[],2,FALSE)</f>
        <v>#N/A</v>
      </c>
    </row>
    <row r="2324" spans="1:6" x14ac:dyDescent="0.2">
      <c r="A2324" t="str">
        <f>'Novia Web Query'!A2320</f>
        <v>GB00BD34PN70</v>
      </c>
      <c r="B2324" t="str">
        <f>VLOOKUP(NoviaFunds[[#This Row],[ISIN]],'Novia Web Query'!$A:$E,2,FALSE)</f>
        <v>L&amp;G Emerging Markets Government Bond Local Currency Index C Inc TR in GB</v>
      </c>
      <c r="C2324" t="str">
        <f>VLOOKUP(NoviaFunds[[#This Row],[ISIN]],'Novia Web Query'!$A:$E,3,FALSE)</f>
        <v>UT Global EM Bonds - Local Currency</v>
      </c>
      <c r="D2324" s="139">
        <f>VLOOKUP(NoviaFunds[[#This Row],[ISIN]],'Novia Web Query'!$A:$E,4,FALSE)/100</f>
        <v>2.5000000000000001E-3</v>
      </c>
      <c r="E2324" s="3" t="str">
        <f>VLOOKUP(NoviaFunds[[#This Row],[ISIN]],'Novia Web Query'!$A:$E,5,FALSE)</f>
        <v>31/08/2021</v>
      </c>
      <c r="F2324" t="e">
        <f>VLOOKUP(NoviaFunds[[#This Row],[Sector]],Sectors[],2,FALSE)</f>
        <v>#N/A</v>
      </c>
    </row>
    <row r="2325" spans="1:6" x14ac:dyDescent="0.2">
      <c r="A2325" t="str">
        <f>'Novia Web Query'!A2321</f>
        <v>GB00B8L19S87</v>
      </c>
      <c r="B2325" t="str">
        <f>VLOOKUP(NoviaFunds[[#This Row],[ISIN]],'Novia Web Query'!$A:$E,2,FALSE)</f>
        <v>L&amp;G Emerging Markets Government Bond Local Currency Index I Acc in GB</v>
      </c>
      <c r="C2325" t="str">
        <f>VLOOKUP(NoviaFunds[[#This Row],[ISIN]],'Novia Web Query'!$A:$E,3,FALSE)</f>
        <v>UT Global EM Bonds - Local Currency</v>
      </c>
      <c r="D2325" s="139">
        <f>VLOOKUP(NoviaFunds[[#This Row],[ISIN]],'Novia Web Query'!$A:$E,4,FALSE)/100</f>
        <v>3.4999999999999996E-3</v>
      </c>
      <c r="E2325" s="3" t="str">
        <f>VLOOKUP(NoviaFunds[[#This Row],[ISIN]],'Novia Web Query'!$A:$E,5,FALSE)</f>
        <v>31/08/2021</v>
      </c>
      <c r="F2325" t="e">
        <f>VLOOKUP(NoviaFunds[[#This Row],[Sector]],Sectors[],2,FALSE)</f>
        <v>#N/A</v>
      </c>
    </row>
    <row r="2326" spans="1:6" x14ac:dyDescent="0.2">
      <c r="A2326" t="str">
        <f>'Novia Web Query'!A2322</f>
        <v>GB00B8FT1G07</v>
      </c>
      <c r="B2326" t="str">
        <f>VLOOKUP(NoviaFunds[[#This Row],[ISIN]],'Novia Web Query'!$A:$E,2,FALSE)</f>
        <v>L&amp;G Emerging Markets Government Bond Local Currency Index I Inc TR in GB</v>
      </c>
      <c r="C2326" t="str">
        <f>VLOOKUP(NoviaFunds[[#This Row],[ISIN]],'Novia Web Query'!$A:$E,3,FALSE)</f>
        <v>UT Global EM Bonds - Local Currency</v>
      </c>
      <c r="D2326" s="139">
        <f>VLOOKUP(NoviaFunds[[#This Row],[ISIN]],'Novia Web Query'!$A:$E,4,FALSE)/100</f>
        <v>3.4999999999999996E-3</v>
      </c>
      <c r="E2326" s="3" t="str">
        <f>VLOOKUP(NoviaFunds[[#This Row],[ISIN]],'Novia Web Query'!$A:$E,5,FALSE)</f>
        <v>31/08/2021</v>
      </c>
      <c r="F2326" t="e">
        <f>VLOOKUP(NoviaFunds[[#This Row],[Sector]],Sectors[],2,FALSE)</f>
        <v>#N/A</v>
      </c>
    </row>
    <row r="2327" spans="1:6" x14ac:dyDescent="0.2">
      <c r="A2327" t="str">
        <f>'Novia Web Query'!A2323</f>
        <v>GB00BG0QP042</v>
      </c>
      <c r="B2327" t="str">
        <f>VLOOKUP(NoviaFunds[[#This Row],[ISIN]],'Novia Web Query'!$A:$E,2,FALSE)</f>
        <v>L&amp;G European Index Trust C Acc in GB**</v>
      </c>
      <c r="C2327" t="str">
        <f>VLOOKUP(NoviaFunds[[#This Row],[ISIN]],'Novia Web Query'!$A:$E,3,FALSE)</f>
        <v>UT Europe Excluding UK</v>
      </c>
      <c r="D2327" s="139">
        <f>VLOOKUP(NoviaFunds[[#This Row],[ISIN]],'Novia Web Query'!$A:$E,4,FALSE)/100</f>
        <v>8.9999999999999998E-4</v>
      </c>
      <c r="E2327" s="3" t="str">
        <f>VLOOKUP(NoviaFunds[[#This Row],[ISIN]],'Novia Web Query'!$A:$E,5,FALSE)</f>
        <v>31/08/2021</v>
      </c>
      <c r="F2327" t="str">
        <f>VLOOKUP(NoviaFunds[[#This Row],[Sector]],Sectors[],2,FALSE)</f>
        <v>European Equities</v>
      </c>
    </row>
    <row r="2328" spans="1:6" x14ac:dyDescent="0.2">
      <c r="A2328" t="str">
        <f>'Novia Web Query'!A2324</f>
        <v>GB00B0CNGR59</v>
      </c>
      <c r="B2328" t="str">
        <f>VLOOKUP(NoviaFunds[[#This Row],[ISIN]],'Novia Web Query'!$A:$E,2,FALSE)</f>
        <v>L&amp;G European Index Trust I Acc in GB</v>
      </c>
      <c r="C2328" t="str">
        <f>VLOOKUP(NoviaFunds[[#This Row],[ISIN]],'Novia Web Query'!$A:$E,3,FALSE)</f>
        <v>UT Europe Excluding UK</v>
      </c>
      <c r="D2328" s="139">
        <f>VLOOKUP(NoviaFunds[[#This Row],[ISIN]],'Novia Web Query'!$A:$E,4,FALSE)/100</f>
        <v>1.1999999999999999E-3</v>
      </c>
      <c r="E2328" s="3" t="str">
        <f>VLOOKUP(NoviaFunds[[#This Row],[ISIN]],'Novia Web Query'!$A:$E,5,FALSE)</f>
        <v>31/08/2021</v>
      </c>
      <c r="F2328" t="str">
        <f>VLOOKUP(NoviaFunds[[#This Row],[Sector]],Sectors[],2,FALSE)</f>
        <v>European Equities</v>
      </c>
    </row>
    <row r="2329" spans="1:6" x14ac:dyDescent="0.2">
      <c r="A2329" t="str">
        <f>'Novia Web Query'!A2325</f>
        <v>GB00B0CNGQ43</v>
      </c>
      <c r="B2329" t="str">
        <f>VLOOKUP(NoviaFunds[[#This Row],[ISIN]],'Novia Web Query'!$A:$E,2,FALSE)</f>
        <v>L&amp;G European Index Trust I Inc TR in GB</v>
      </c>
      <c r="C2329" t="str">
        <f>VLOOKUP(NoviaFunds[[#This Row],[ISIN]],'Novia Web Query'!$A:$E,3,FALSE)</f>
        <v>UT Europe Excluding UK</v>
      </c>
      <c r="D2329" s="139">
        <f>VLOOKUP(NoviaFunds[[#This Row],[ISIN]],'Novia Web Query'!$A:$E,4,FALSE)/100</f>
        <v>1.1999999999999999E-3</v>
      </c>
      <c r="E2329" s="3" t="str">
        <f>VLOOKUP(NoviaFunds[[#This Row],[ISIN]],'Novia Web Query'!$A:$E,5,FALSE)</f>
        <v>31/08/2021</v>
      </c>
      <c r="F2329" t="str">
        <f>VLOOKUP(NoviaFunds[[#This Row],[Sector]],Sectors[],2,FALSE)</f>
        <v>European Equities</v>
      </c>
    </row>
    <row r="2330" spans="1:6" x14ac:dyDescent="0.2">
      <c r="A2330" t="str">
        <f>'Novia Web Query'!A2326</f>
        <v>GB0002041142</v>
      </c>
      <c r="B2330" t="str">
        <f>VLOOKUP(NoviaFunds[[#This Row],[ISIN]],'Novia Web Query'!$A:$E,2,FALSE)</f>
        <v>L&amp;G European Index Trust R Acc in GB</v>
      </c>
      <c r="C2330" t="str">
        <f>VLOOKUP(NoviaFunds[[#This Row],[ISIN]],'Novia Web Query'!$A:$E,3,FALSE)</f>
        <v>UT Europe Excluding UK</v>
      </c>
      <c r="D2330" s="139">
        <f>VLOOKUP(NoviaFunds[[#This Row],[ISIN]],'Novia Web Query'!$A:$E,4,FALSE)/100</f>
        <v>5.0000000000000001E-3</v>
      </c>
      <c r="E2330" s="3" t="str">
        <f>VLOOKUP(NoviaFunds[[#This Row],[ISIN]],'Novia Web Query'!$A:$E,5,FALSE)</f>
        <v>31/08/2021</v>
      </c>
      <c r="F2330" t="str">
        <f>VLOOKUP(NoviaFunds[[#This Row],[Sector]],Sectors[],2,FALSE)</f>
        <v>European Equities</v>
      </c>
    </row>
    <row r="2331" spans="1:6" x14ac:dyDescent="0.2">
      <c r="A2331" t="str">
        <f>'Novia Web Query'!A2327</f>
        <v>GB0005135081</v>
      </c>
      <c r="B2331" t="str">
        <f>VLOOKUP(NoviaFunds[[#This Row],[ISIN]],'Novia Web Query'!$A:$E,2,FALSE)</f>
        <v>L&amp;G European Index Trust R Inc TR in GB</v>
      </c>
      <c r="C2331" t="str">
        <f>VLOOKUP(NoviaFunds[[#This Row],[ISIN]],'Novia Web Query'!$A:$E,3,FALSE)</f>
        <v>UT Europe Excluding UK</v>
      </c>
      <c r="D2331" s="139">
        <f>VLOOKUP(NoviaFunds[[#This Row],[ISIN]],'Novia Web Query'!$A:$E,4,FALSE)/100</f>
        <v>5.0000000000000001E-3</v>
      </c>
      <c r="E2331" s="3" t="str">
        <f>VLOOKUP(NoviaFunds[[#This Row],[ISIN]],'Novia Web Query'!$A:$E,5,FALSE)</f>
        <v>31/08/2021</v>
      </c>
      <c r="F2331" t="str">
        <f>VLOOKUP(NoviaFunds[[#This Row],[Sector]],Sectors[],2,FALSE)</f>
        <v>European Equities</v>
      </c>
    </row>
    <row r="2332" spans="1:6" x14ac:dyDescent="0.2">
      <c r="A2332" t="str">
        <f>'Novia Web Query'!A2328</f>
        <v>GB00B7J5FY33</v>
      </c>
      <c r="B2332" t="str">
        <f>VLOOKUP(NoviaFunds[[#This Row],[ISIN]],'Novia Web Query'!$A:$E,2,FALSE)</f>
        <v>L&amp;G European Trust I Acc in GB</v>
      </c>
      <c r="C2332" t="str">
        <f>VLOOKUP(NoviaFunds[[#This Row],[ISIN]],'Novia Web Query'!$A:$E,3,FALSE)</f>
        <v>UT Europe Excluding UK</v>
      </c>
      <c r="D2332" s="139">
        <f>VLOOKUP(NoviaFunds[[#This Row],[ISIN]],'Novia Web Query'!$A:$E,4,FALSE)/100</f>
        <v>8.1000000000000013E-3</v>
      </c>
      <c r="E2332" s="3" t="str">
        <f>VLOOKUP(NoviaFunds[[#This Row],[ISIN]],'Novia Web Query'!$A:$E,5,FALSE)</f>
        <v>31/08/2021</v>
      </c>
      <c r="F2332" t="str">
        <f>VLOOKUP(NoviaFunds[[#This Row],[Sector]],Sectors[],2,FALSE)</f>
        <v>European Equities</v>
      </c>
    </row>
    <row r="2333" spans="1:6" x14ac:dyDescent="0.2">
      <c r="A2333" t="str">
        <f>'Novia Web Query'!A2329</f>
        <v>GB00B78RV756</v>
      </c>
      <c r="B2333" t="str">
        <f>VLOOKUP(NoviaFunds[[#This Row],[ISIN]],'Novia Web Query'!$A:$E,2,FALSE)</f>
        <v>L&amp;G European Trust I Inc TR in GB</v>
      </c>
      <c r="C2333" t="str">
        <f>VLOOKUP(NoviaFunds[[#This Row],[ISIN]],'Novia Web Query'!$A:$E,3,FALSE)</f>
        <v>UT Europe Excluding UK</v>
      </c>
      <c r="D2333" s="139">
        <f>VLOOKUP(NoviaFunds[[#This Row],[ISIN]],'Novia Web Query'!$A:$E,4,FALSE)/100</f>
        <v>8.1000000000000013E-3</v>
      </c>
      <c r="E2333" s="3" t="str">
        <f>VLOOKUP(NoviaFunds[[#This Row],[ISIN]],'Novia Web Query'!$A:$E,5,FALSE)</f>
        <v>31/08/2021</v>
      </c>
      <c r="F2333" t="str">
        <f>VLOOKUP(NoviaFunds[[#This Row],[Sector]],Sectors[],2,FALSE)</f>
        <v>European Equities</v>
      </c>
    </row>
    <row r="2334" spans="1:6" x14ac:dyDescent="0.2">
      <c r="A2334" t="str">
        <f>'Novia Web Query'!A2330</f>
        <v>GB00B032BJ81</v>
      </c>
      <c r="B2334" t="str">
        <f>VLOOKUP(NoviaFunds[[#This Row],[ISIN]],'Novia Web Query'!$A:$E,2,FALSE)</f>
        <v>L&amp;G European Trust R Acc in GB**</v>
      </c>
      <c r="C2334" t="str">
        <f>VLOOKUP(NoviaFunds[[#This Row],[ISIN]],'Novia Web Query'!$A:$E,3,FALSE)</f>
        <v>UT Europe Excluding UK</v>
      </c>
      <c r="D2334" s="139">
        <f>VLOOKUP(NoviaFunds[[#This Row],[ISIN]],'Novia Web Query'!$A:$E,4,FALSE)/100</f>
        <v>1.46E-2</v>
      </c>
      <c r="E2334" s="3" t="str">
        <f>VLOOKUP(NoviaFunds[[#This Row],[ISIN]],'Novia Web Query'!$A:$E,5,FALSE)</f>
        <v>31/08/2021</v>
      </c>
      <c r="F2334" t="str">
        <f>VLOOKUP(NoviaFunds[[#This Row],[Sector]],Sectors[],2,FALSE)</f>
        <v>European Equities</v>
      </c>
    </row>
    <row r="2335" spans="1:6" x14ac:dyDescent="0.2">
      <c r="A2335" t="str">
        <f>'Novia Web Query'!A2331</f>
        <v>GB00B0CNHD88</v>
      </c>
      <c r="B2335" t="str">
        <f>VLOOKUP(NoviaFunds[[#This Row],[ISIN]],'Novia Web Query'!$A:$E,2,FALSE)</f>
        <v>L&amp;G Fixed Interest Trust I Acc TR in GB**</v>
      </c>
      <c r="C2335" t="str">
        <f>VLOOKUP(NoviaFunds[[#This Row],[ISIN]],'Novia Web Query'!$A:$E,3,FALSE)</f>
        <v>UT Sterling Corporate Bond</v>
      </c>
      <c r="D2335" s="139">
        <f>VLOOKUP(NoviaFunds[[#This Row],[ISIN]],'Novia Web Query'!$A:$E,4,FALSE)/100</f>
        <v>3.3E-3</v>
      </c>
      <c r="E2335" s="3" t="str">
        <f>VLOOKUP(NoviaFunds[[#This Row],[ISIN]],'Novia Web Query'!$A:$E,5,FALSE)</f>
        <v>05/03/2020</v>
      </c>
      <c r="F2335" t="str">
        <f>VLOOKUP(NoviaFunds[[#This Row],[Sector]],Sectors[],2,FALSE)</f>
        <v>Sterling Corporate Bonds</v>
      </c>
    </row>
    <row r="2336" spans="1:6" x14ac:dyDescent="0.2">
      <c r="A2336" t="str">
        <f>'Novia Web Query'!A2332</f>
        <v>GB00B0CNHC71</v>
      </c>
      <c r="B2336" t="str">
        <f>VLOOKUP(NoviaFunds[[#This Row],[ISIN]],'Novia Web Query'!$A:$E,2,FALSE)</f>
        <v>L&amp;G Fixed Interest Trust I Inc TR in GB</v>
      </c>
      <c r="C2336" t="str">
        <f>VLOOKUP(NoviaFunds[[#This Row],[ISIN]],'Novia Web Query'!$A:$E,3,FALSE)</f>
        <v>UT Sterling Corporate Bond</v>
      </c>
      <c r="D2336" s="139">
        <f>VLOOKUP(NoviaFunds[[#This Row],[ISIN]],'Novia Web Query'!$A:$E,4,FALSE)/100</f>
        <v>3.3E-3</v>
      </c>
      <c r="E2336" s="3" t="str">
        <f>VLOOKUP(NoviaFunds[[#This Row],[ISIN]],'Novia Web Query'!$A:$E,5,FALSE)</f>
        <v>05/03/2020</v>
      </c>
      <c r="F2336" t="str">
        <f>VLOOKUP(NoviaFunds[[#This Row],[Sector]],Sectors[],2,FALSE)</f>
        <v>Sterling Corporate Bonds</v>
      </c>
    </row>
    <row r="2337" spans="1:6" x14ac:dyDescent="0.2">
      <c r="A2337" t="str">
        <f>'Novia Web Query'!A2333</f>
        <v>GB0002051513</v>
      </c>
      <c r="B2337" t="str">
        <f>VLOOKUP(NoviaFunds[[#This Row],[ISIN]],'Novia Web Query'!$A:$E,2,FALSE)</f>
        <v>L&amp;G Fixed Interest Trust R Acc TR in GB**</v>
      </c>
      <c r="C2337" t="str">
        <f>VLOOKUP(NoviaFunds[[#This Row],[ISIN]],'Novia Web Query'!$A:$E,3,FALSE)</f>
        <v>UT Sterling Corporate Bond</v>
      </c>
      <c r="D2337" s="139">
        <f>VLOOKUP(NoviaFunds[[#This Row],[ISIN]],'Novia Web Query'!$A:$E,4,FALSE)/100</f>
        <v>9.1999999999999998E-3</v>
      </c>
      <c r="E2337" s="3" t="str">
        <f>VLOOKUP(NoviaFunds[[#This Row],[ISIN]],'Novia Web Query'!$A:$E,5,FALSE)</f>
        <v>31/08/2021</v>
      </c>
      <c r="F2337" t="str">
        <f>VLOOKUP(NoviaFunds[[#This Row],[Sector]],Sectors[],2,FALSE)</f>
        <v>Sterling Corporate Bonds</v>
      </c>
    </row>
    <row r="2338" spans="1:6" x14ac:dyDescent="0.2">
      <c r="A2338" t="str">
        <f>'Novia Web Query'!A2334</f>
        <v>GB0005128516</v>
      </c>
      <c r="B2338" t="str">
        <f>VLOOKUP(NoviaFunds[[#This Row],[ISIN]],'Novia Web Query'!$A:$E,2,FALSE)</f>
        <v>L&amp;G Fixed Interest Trust R Inc TR in GB</v>
      </c>
      <c r="C2338" t="str">
        <f>VLOOKUP(NoviaFunds[[#This Row],[ISIN]],'Novia Web Query'!$A:$E,3,FALSE)</f>
        <v>UT Sterling Corporate Bond</v>
      </c>
      <c r="D2338" s="139">
        <f>VLOOKUP(NoviaFunds[[#This Row],[ISIN]],'Novia Web Query'!$A:$E,4,FALSE)/100</f>
        <v>9.1999999999999998E-3</v>
      </c>
      <c r="E2338" s="3" t="str">
        <f>VLOOKUP(NoviaFunds[[#This Row],[ISIN]],'Novia Web Query'!$A:$E,5,FALSE)</f>
        <v>05/03/2020</v>
      </c>
      <c r="F2338" t="str">
        <f>VLOOKUP(NoviaFunds[[#This Row],[Sector]],Sectors[],2,FALSE)</f>
        <v>Sterling Corporate Bonds</v>
      </c>
    </row>
    <row r="2339" spans="1:6" x14ac:dyDescent="0.2">
      <c r="A2339" t="str">
        <f>'Novia Web Query'!A2335</f>
        <v>GB00BF41Q726</v>
      </c>
      <c r="B2339" t="str">
        <f>VLOOKUP(NoviaFunds[[#This Row],[ISIN]],'Novia Web Query'!$A:$E,2,FALSE)</f>
        <v>L&amp;G Future World Climate Change Equity Factors Index I Acc in GB</v>
      </c>
      <c r="C2339" t="str">
        <f>VLOOKUP(NoviaFunds[[#This Row],[ISIN]],'Novia Web Query'!$A:$E,3,FALSE)</f>
        <v>UT Global</v>
      </c>
      <c r="D2339" s="139">
        <f>VLOOKUP(NoviaFunds[[#This Row],[ISIN]],'Novia Web Query'!$A:$E,4,FALSE)/100</f>
        <v>3.0000000000000001E-3</v>
      </c>
      <c r="E2339" s="3" t="str">
        <f>VLOOKUP(NoviaFunds[[#This Row],[ISIN]],'Novia Web Query'!$A:$E,5,FALSE)</f>
        <v>31/08/2021</v>
      </c>
      <c r="F2339" t="str">
        <f>VLOOKUP(NoviaFunds[[#This Row],[Sector]],Sectors[],2,FALSE)</f>
        <v>Other Equities</v>
      </c>
    </row>
    <row r="2340" spans="1:6" x14ac:dyDescent="0.2">
      <c r="A2340" t="str">
        <f>'Novia Web Query'!A2336</f>
        <v>GB00BYWQWW93</v>
      </c>
      <c r="B2340" t="str">
        <f>VLOOKUP(NoviaFunds[[#This Row],[ISIN]],'Novia Web Query'!$A:$E,2,FALSE)</f>
        <v>L&amp;G Future World ESG Developed Index I Acc in GB</v>
      </c>
      <c r="C2340" t="str">
        <f>VLOOKUP(NoviaFunds[[#This Row],[ISIN]],'Novia Web Query'!$A:$E,3,FALSE)</f>
        <v>UT Global</v>
      </c>
      <c r="D2340" s="139">
        <f>VLOOKUP(NoviaFunds[[#This Row],[ISIN]],'Novia Web Query'!$A:$E,4,FALSE)/100</f>
        <v>2.5000000000000001E-3</v>
      </c>
      <c r="E2340" s="3" t="str">
        <f>VLOOKUP(NoviaFunds[[#This Row],[ISIN]],'Novia Web Query'!$A:$E,5,FALSE)</f>
        <v>31/08/2021</v>
      </c>
      <c r="F2340" t="str">
        <f>VLOOKUP(NoviaFunds[[#This Row],[Sector]],Sectors[],2,FALSE)</f>
        <v>Other Equities</v>
      </c>
    </row>
    <row r="2341" spans="1:6" x14ac:dyDescent="0.2">
      <c r="A2341" t="str">
        <f>'Novia Web Query'!A2337</f>
        <v>GB00BMFXWV25</v>
      </c>
      <c r="B2341" t="str">
        <f>VLOOKUP(NoviaFunds[[#This Row],[ISIN]],'Novia Web Query'!$A:$E,2,FALSE)</f>
        <v>L&amp;G Future World ESG UK Index C Acc in GB**</v>
      </c>
      <c r="C2341" t="str">
        <f>VLOOKUP(NoviaFunds[[#This Row],[ISIN]],'Novia Web Query'!$A:$E,3,FALSE)</f>
        <v>UT UK All Companies</v>
      </c>
      <c r="D2341" s="139">
        <f>VLOOKUP(NoviaFunds[[#This Row],[ISIN]],'Novia Web Query'!$A:$E,4,FALSE)/100</f>
        <v>1.5E-3</v>
      </c>
      <c r="E2341" s="3" t="str">
        <f>VLOOKUP(NoviaFunds[[#This Row],[ISIN]],'Novia Web Query'!$A:$E,5,FALSE)</f>
        <v>31/08/2021</v>
      </c>
      <c r="F2341" t="str">
        <f>VLOOKUP(NoviaFunds[[#This Row],[Sector]],Sectors[],2,FALSE)</f>
        <v>UK Equities</v>
      </c>
    </row>
    <row r="2342" spans="1:6" x14ac:dyDescent="0.2">
      <c r="A2342" t="str">
        <f>'Novia Web Query'!A2338</f>
        <v>GB00BMFXWT03</v>
      </c>
      <c r="B2342" t="str">
        <f>VLOOKUP(NoviaFunds[[#This Row],[ISIN]],'Novia Web Query'!$A:$E,2,FALSE)</f>
        <v>L&amp;G Future World ESG UK Index C Inc TR in GB**</v>
      </c>
      <c r="C2342" t="str">
        <f>VLOOKUP(NoviaFunds[[#This Row],[ISIN]],'Novia Web Query'!$A:$E,3,FALSE)</f>
        <v>UT UK All Companies</v>
      </c>
      <c r="D2342" s="139">
        <f>VLOOKUP(NoviaFunds[[#This Row],[ISIN]],'Novia Web Query'!$A:$E,4,FALSE)/100</f>
        <v>1.5E-3</v>
      </c>
      <c r="E2342" s="3" t="str">
        <f>VLOOKUP(NoviaFunds[[#This Row],[ISIN]],'Novia Web Query'!$A:$E,5,FALSE)</f>
        <v>31/08/2021</v>
      </c>
      <c r="F2342" t="str">
        <f>VLOOKUP(NoviaFunds[[#This Row],[Sector]],Sectors[],2,FALSE)</f>
        <v>UK Equities</v>
      </c>
    </row>
    <row r="2343" spans="1:6" x14ac:dyDescent="0.2">
      <c r="A2343" t="str">
        <f>'Novia Web Query'!A2339</f>
        <v>GB00BJH4XV95</v>
      </c>
      <c r="B2343" t="str">
        <f>VLOOKUP(NoviaFunds[[#This Row],[ISIN]],'Novia Web Query'!$A:$E,2,FALSE)</f>
        <v>L&amp;G Future World ESG UK Index I Acc in GB</v>
      </c>
      <c r="C2343" t="str">
        <f>VLOOKUP(NoviaFunds[[#This Row],[ISIN]],'Novia Web Query'!$A:$E,3,FALSE)</f>
        <v>UT UK All Companies</v>
      </c>
      <c r="D2343" s="139">
        <f>VLOOKUP(NoviaFunds[[#This Row],[ISIN]],'Novia Web Query'!$A:$E,4,FALSE)/100</f>
        <v>2.2000000000000001E-3</v>
      </c>
      <c r="E2343" s="3" t="str">
        <f>VLOOKUP(NoviaFunds[[#This Row],[ISIN]],'Novia Web Query'!$A:$E,5,FALSE)</f>
        <v>31/08/2021</v>
      </c>
      <c r="F2343" t="str">
        <f>VLOOKUP(NoviaFunds[[#This Row],[Sector]],Sectors[],2,FALSE)</f>
        <v>UK Equities</v>
      </c>
    </row>
    <row r="2344" spans="1:6" x14ac:dyDescent="0.2">
      <c r="A2344" t="str">
        <f>'Novia Web Query'!A2340</f>
        <v>GB00BJ0M3982</v>
      </c>
      <c r="B2344" t="str">
        <f>VLOOKUP(NoviaFunds[[#This Row],[ISIN]],'Novia Web Query'!$A:$E,2,FALSE)</f>
        <v>L&amp;G Future World Multi-Index 4 I Inc TR in GB</v>
      </c>
      <c r="C2344" t="str">
        <f>VLOOKUP(NoviaFunds[[#This Row],[ISIN]],'Novia Web Query'!$A:$E,3,FALSE)</f>
        <v>UT Volatility Managed</v>
      </c>
      <c r="D2344" s="139">
        <f>VLOOKUP(NoviaFunds[[#This Row],[ISIN]],'Novia Web Query'!$A:$E,4,FALSE)/100</f>
        <v>3.5999999999999999E-3</v>
      </c>
      <c r="E2344" s="3" t="str">
        <f>VLOOKUP(NoviaFunds[[#This Row],[ISIN]],'Novia Web Query'!$A:$E,5,FALSE)</f>
        <v>31/08/2021</v>
      </c>
      <c r="F2344" t="e">
        <f>VLOOKUP(NoviaFunds[[#This Row],[Sector]],Sectors[],2,FALSE)</f>
        <v>#N/A</v>
      </c>
    </row>
    <row r="2345" spans="1:6" x14ac:dyDescent="0.2">
      <c r="A2345" t="str">
        <f>'Novia Web Query'!A2341</f>
        <v>GB00BFZ60412</v>
      </c>
      <c r="B2345" t="str">
        <f>VLOOKUP(NoviaFunds[[#This Row],[ISIN]],'Novia Web Query'!$A:$E,2,FALSE)</f>
        <v>L&amp;G Future World Sustainable Opportunities I Acc GBP in GB</v>
      </c>
      <c r="C2345" t="str">
        <f>VLOOKUP(NoviaFunds[[#This Row],[ISIN]],'Novia Web Query'!$A:$E,3,FALSE)</f>
        <v>UT Specialist</v>
      </c>
      <c r="D2345" s="139">
        <f>VLOOKUP(NoviaFunds[[#This Row],[ISIN]],'Novia Web Query'!$A:$E,4,FALSE)/100</f>
        <v>7.4999999999999997E-3</v>
      </c>
      <c r="E2345" s="3" t="str">
        <f>VLOOKUP(NoviaFunds[[#This Row],[ISIN]],'Novia Web Query'!$A:$E,5,FALSE)</f>
        <v>31/08/2021</v>
      </c>
      <c r="F2345" t="str">
        <f>VLOOKUP(NoviaFunds[[#This Row],[Sector]],Sectors[],2,FALSE)</f>
        <v>Specialist</v>
      </c>
    </row>
    <row r="2346" spans="1:6" x14ac:dyDescent="0.2">
      <c r="A2346" t="str">
        <f>'Novia Web Query'!A2342</f>
        <v>GB00BG0QP265</v>
      </c>
      <c r="B2346" t="str">
        <f>VLOOKUP(NoviaFunds[[#This Row],[ISIN]],'Novia Web Query'!$A:$E,2,FALSE)</f>
        <v>L&amp;G Global 100 Index Trust C Acc in GB**</v>
      </c>
      <c r="C2346" t="str">
        <f>VLOOKUP(NoviaFunds[[#This Row],[ISIN]],'Novia Web Query'!$A:$E,3,FALSE)</f>
        <v>UT Global</v>
      </c>
      <c r="D2346" s="139">
        <f>VLOOKUP(NoviaFunds[[#This Row],[ISIN]],'Novia Web Query'!$A:$E,4,FALSE)/100</f>
        <v>8.9999999999999998E-4</v>
      </c>
      <c r="E2346" s="3" t="str">
        <f>VLOOKUP(NoviaFunds[[#This Row],[ISIN]],'Novia Web Query'!$A:$E,5,FALSE)</f>
        <v>31/08/2021</v>
      </c>
      <c r="F2346" t="str">
        <f>VLOOKUP(NoviaFunds[[#This Row],[Sector]],Sectors[],2,FALSE)</f>
        <v>Other Equities</v>
      </c>
    </row>
    <row r="2347" spans="1:6" x14ac:dyDescent="0.2">
      <c r="A2347" t="str">
        <f>'Novia Web Query'!A2343</f>
        <v>GB00B0CNH056</v>
      </c>
      <c r="B2347" t="str">
        <f>VLOOKUP(NoviaFunds[[#This Row],[ISIN]],'Novia Web Query'!$A:$E,2,FALSE)</f>
        <v>L&amp;G Global 100 Index Trust I Acc in GB</v>
      </c>
      <c r="C2347" t="str">
        <f>VLOOKUP(NoviaFunds[[#This Row],[ISIN]],'Novia Web Query'!$A:$E,3,FALSE)</f>
        <v>UT Global</v>
      </c>
      <c r="D2347" s="139">
        <f>VLOOKUP(NoviaFunds[[#This Row],[ISIN]],'Novia Web Query'!$A:$E,4,FALSE)/100</f>
        <v>1.4000000000000002E-3</v>
      </c>
      <c r="E2347" s="3" t="str">
        <f>VLOOKUP(NoviaFunds[[#This Row],[ISIN]],'Novia Web Query'!$A:$E,5,FALSE)</f>
        <v>31/08/2021</v>
      </c>
      <c r="F2347" t="str">
        <f>VLOOKUP(NoviaFunds[[#This Row],[Sector]],Sectors[],2,FALSE)</f>
        <v>Other Equities</v>
      </c>
    </row>
    <row r="2348" spans="1:6" x14ac:dyDescent="0.2">
      <c r="A2348" t="str">
        <f>'Novia Web Query'!A2344</f>
        <v>GB00B0CNGZ34</v>
      </c>
      <c r="B2348" t="str">
        <f>VLOOKUP(NoviaFunds[[#This Row],[ISIN]],'Novia Web Query'!$A:$E,2,FALSE)</f>
        <v>L&amp;G Global 100 Index Trust I Inc TR in GB</v>
      </c>
      <c r="C2348" t="str">
        <f>VLOOKUP(NoviaFunds[[#This Row],[ISIN]],'Novia Web Query'!$A:$E,3,FALSE)</f>
        <v>UT Global</v>
      </c>
      <c r="D2348" s="139">
        <f>VLOOKUP(NoviaFunds[[#This Row],[ISIN]],'Novia Web Query'!$A:$E,4,FALSE)/100</f>
        <v>1.4000000000000002E-3</v>
      </c>
      <c r="E2348" s="3" t="str">
        <f>VLOOKUP(NoviaFunds[[#This Row],[ISIN]],'Novia Web Query'!$A:$E,5,FALSE)</f>
        <v>31/08/2021</v>
      </c>
      <c r="F2348" t="str">
        <f>VLOOKUP(NoviaFunds[[#This Row],[Sector]],Sectors[],2,FALSE)</f>
        <v>Other Equities</v>
      </c>
    </row>
    <row r="2349" spans="1:6" x14ac:dyDescent="0.2">
      <c r="A2349" t="str">
        <f>'Novia Web Query'!A2345</f>
        <v>GB0031978918</v>
      </c>
      <c r="B2349" t="str">
        <f>VLOOKUP(NoviaFunds[[#This Row],[ISIN]],'Novia Web Query'!$A:$E,2,FALSE)</f>
        <v>L&amp;G Global 100 Index Trust R Acc in GB</v>
      </c>
      <c r="C2349" t="str">
        <f>VLOOKUP(NoviaFunds[[#This Row],[ISIN]],'Novia Web Query'!$A:$E,3,FALSE)</f>
        <v>UT Global</v>
      </c>
      <c r="D2349" s="139">
        <f>VLOOKUP(NoviaFunds[[#This Row],[ISIN]],'Novia Web Query'!$A:$E,4,FALSE)/100</f>
        <v>5.1999999999999998E-3</v>
      </c>
      <c r="E2349" s="3" t="str">
        <f>VLOOKUP(NoviaFunds[[#This Row],[ISIN]],'Novia Web Query'!$A:$E,5,FALSE)</f>
        <v>31/08/2021</v>
      </c>
      <c r="F2349" t="str">
        <f>VLOOKUP(NoviaFunds[[#This Row],[Sector]],Sectors[],2,FALSE)</f>
        <v>Other Equities</v>
      </c>
    </row>
    <row r="2350" spans="1:6" x14ac:dyDescent="0.2">
      <c r="A2350" t="str">
        <f>'Novia Web Query'!A2346</f>
        <v>GB00BG0QP489</v>
      </c>
      <c r="B2350" t="str">
        <f>VLOOKUP(NoviaFunds[[#This Row],[ISIN]],'Novia Web Query'!$A:$E,2,FALSE)</f>
        <v>L&amp;G Global Emerging Markets Index C Acc in GB**</v>
      </c>
      <c r="C2350" t="str">
        <f>VLOOKUP(NoviaFunds[[#This Row],[ISIN]],'Novia Web Query'!$A:$E,3,FALSE)</f>
        <v>UT Global Emerging Markets</v>
      </c>
      <c r="D2350" s="139">
        <f>VLOOKUP(NoviaFunds[[#This Row],[ISIN]],'Novia Web Query'!$A:$E,4,FALSE)/100</f>
        <v>1.9E-3</v>
      </c>
      <c r="E2350" s="3" t="str">
        <f>VLOOKUP(NoviaFunds[[#This Row],[ISIN]],'Novia Web Query'!$A:$E,5,FALSE)</f>
        <v>31/08/2021</v>
      </c>
      <c r="F2350" t="str">
        <f>VLOOKUP(NoviaFunds[[#This Row],[Sector]],Sectors[],2,FALSE)</f>
        <v>Emerging Markets</v>
      </c>
    </row>
    <row r="2351" spans="1:6" x14ac:dyDescent="0.2">
      <c r="A2351" t="str">
        <f>'Novia Web Query'!A2347</f>
        <v>GB00BG0QP372</v>
      </c>
      <c r="B2351" t="str">
        <f>VLOOKUP(NoviaFunds[[#This Row],[ISIN]],'Novia Web Query'!$A:$E,2,FALSE)</f>
        <v>L&amp;G Global Emerging Markets Index C Inc TR in GB**</v>
      </c>
      <c r="C2351" t="str">
        <f>VLOOKUP(NoviaFunds[[#This Row],[ISIN]],'Novia Web Query'!$A:$E,3,FALSE)</f>
        <v>UT Global Emerging Markets</v>
      </c>
      <c r="D2351" s="139">
        <f>VLOOKUP(NoviaFunds[[#This Row],[ISIN]],'Novia Web Query'!$A:$E,4,FALSE)/100</f>
        <v>1.9E-3</v>
      </c>
      <c r="E2351" s="3" t="str">
        <f>VLOOKUP(NoviaFunds[[#This Row],[ISIN]],'Novia Web Query'!$A:$E,5,FALSE)</f>
        <v>31/08/2021</v>
      </c>
      <c r="F2351" t="str">
        <f>VLOOKUP(NoviaFunds[[#This Row],[Sector]],Sectors[],2,FALSE)</f>
        <v>Emerging Markets</v>
      </c>
    </row>
    <row r="2352" spans="1:6" x14ac:dyDescent="0.2">
      <c r="A2352" t="str">
        <f>'Novia Web Query'!A2348</f>
        <v>GB00B4KBDL25</v>
      </c>
      <c r="B2352" t="str">
        <f>VLOOKUP(NoviaFunds[[#This Row],[ISIN]],'Novia Web Query'!$A:$E,2,FALSE)</f>
        <v>L&amp;G Global Emerging Markets Index I Acc in GB</v>
      </c>
      <c r="C2352" t="str">
        <f>VLOOKUP(NoviaFunds[[#This Row],[ISIN]],'Novia Web Query'!$A:$E,3,FALSE)</f>
        <v>UT Global Emerging Markets</v>
      </c>
      <c r="D2352" s="139">
        <f>VLOOKUP(NoviaFunds[[#This Row],[ISIN]],'Novia Web Query'!$A:$E,4,FALSE)/100</f>
        <v>2.5000000000000001E-3</v>
      </c>
      <c r="E2352" s="3" t="str">
        <f>VLOOKUP(NoviaFunds[[#This Row],[ISIN]],'Novia Web Query'!$A:$E,5,FALSE)</f>
        <v>31/08/2021</v>
      </c>
      <c r="F2352" t="str">
        <f>VLOOKUP(NoviaFunds[[#This Row],[Sector]],Sectors[],2,FALSE)</f>
        <v>Emerging Markets</v>
      </c>
    </row>
    <row r="2353" spans="1:6" x14ac:dyDescent="0.2">
      <c r="A2353" t="str">
        <f>'Novia Web Query'!A2349</f>
        <v>GB00B4QY6B60</v>
      </c>
      <c r="B2353" t="str">
        <f>VLOOKUP(NoviaFunds[[#This Row],[ISIN]],'Novia Web Query'!$A:$E,2,FALSE)</f>
        <v>L&amp;G Global Emerging Markets Index I Inc TR in GB</v>
      </c>
      <c r="C2353" t="str">
        <f>VLOOKUP(NoviaFunds[[#This Row],[ISIN]],'Novia Web Query'!$A:$E,3,FALSE)</f>
        <v>UT Global Emerging Markets</v>
      </c>
      <c r="D2353" s="139">
        <f>VLOOKUP(NoviaFunds[[#This Row],[ISIN]],'Novia Web Query'!$A:$E,4,FALSE)/100</f>
        <v>2.5000000000000001E-3</v>
      </c>
      <c r="E2353" s="3" t="str">
        <f>VLOOKUP(NoviaFunds[[#This Row],[ISIN]],'Novia Web Query'!$A:$E,5,FALSE)</f>
        <v>31/08/2021</v>
      </c>
      <c r="F2353" t="str">
        <f>VLOOKUP(NoviaFunds[[#This Row],[Sector]],Sectors[],2,FALSE)</f>
        <v>Emerging Markets</v>
      </c>
    </row>
    <row r="2354" spans="1:6" x14ac:dyDescent="0.2">
      <c r="A2354" t="str">
        <f>'Novia Web Query'!A2350</f>
        <v>GB00B4MBFN60</v>
      </c>
      <c r="B2354" t="str">
        <f>VLOOKUP(NoviaFunds[[#This Row],[ISIN]],'Novia Web Query'!$A:$E,2,FALSE)</f>
        <v>L&amp;G Global Emerging Markets Index R Acc in GB</v>
      </c>
      <c r="C2354" t="str">
        <f>VLOOKUP(NoviaFunds[[#This Row],[ISIN]],'Novia Web Query'!$A:$E,3,FALSE)</f>
        <v>UT Global Emerging Markets</v>
      </c>
      <c r="D2354" s="139">
        <f>VLOOKUP(NoviaFunds[[#This Row],[ISIN]],'Novia Web Query'!$A:$E,4,FALSE)/100</f>
        <v>6.3E-3</v>
      </c>
      <c r="E2354" s="3" t="str">
        <f>VLOOKUP(NoviaFunds[[#This Row],[ISIN]],'Novia Web Query'!$A:$E,5,FALSE)</f>
        <v>31/08/2021</v>
      </c>
      <c r="F2354" t="str">
        <f>VLOOKUP(NoviaFunds[[#This Row],[Sector]],Sectors[],2,FALSE)</f>
        <v>Emerging Markets</v>
      </c>
    </row>
    <row r="2355" spans="1:6" x14ac:dyDescent="0.2">
      <c r="A2355" t="str">
        <f>'Novia Web Query'!A2351</f>
        <v>GB00B4PM4C84</v>
      </c>
      <c r="B2355" t="str">
        <f>VLOOKUP(NoviaFunds[[#This Row],[ISIN]],'Novia Web Query'!$A:$E,2,FALSE)</f>
        <v>L&amp;G Global Emerging Markets Index R Inc TR in GB</v>
      </c>
      <c r="C2355" t="str">
        <f>VLOOKUP(NoviaFunds[[#This Row],[ISIN]],'Novia Web Query'!$A:$E,3,FALSE)</f>
        <v>UT Global Emerging Markets</v>
      </c>
      <c r="D2355" s="139">
        <f>VLOOKUP(NoviaFunds[[#This Row],[ISIN]],'Novia Web Query'!$A:$E,4,FALSE)/100</f>
        <v>6.3E-3</v>
      </c>
      <c r="E2355" s="3" t="str">
        <f>VLOOKUP(NoviaFunds[[#This Row],[ISIN]],'Novia Web Query'!$A:$E,5,FALSE)</f>
        <v>31/08/2021</v>
      </c>
      <c r="F2355" t="str">
        <f>VLOOKUP(NoviaFunds[[#This Row],[Sector]],Sectors[],2,FALSE)</f>
        <v>Emerging Markets</v>
      </c>
    </row>
    <row r="2356" spans="1:6" x14ac:dyDescent="0.2">
      <c r="A2356" t="str">
        <f>'Novia Web Query'!A2352</f>
        <v>GB00B83LW328</v>
      </c>
      <c r="B2356" t="str">
        <f>VLOOKUP(NoviaFunds[[#This Row],[ISIN]],'Novia Web Query'!$A:$E,2,FALSE)</f>
        <v>L&amp;G Global Equity Index I Acc in GB</v>
      </c>
      <c r="C2356" t="str">
        <f>VLOOKUP(NoviaFunds[[#This Row],[ISIN]],'Novia Web Query'!$A:$E,3,FALSE)</f>
        <v>UT Global</v>
      </c>
      <c r="D2356" s="139">
        <f>VLOOKUP(NoviaFunds[[#This Row],[ISIN]],'Novia Web Query'!$A:$E,4,FALSE)/100</f>
        <v>2.0999999999999999E-3</v>
      </c>
      <c r="E2356" s="3" t="str">
        <f>VLOOKUP(NoviaFunds[[#This Row],[ISIN]],'Novia Web Query'!$A:$E,5,FALSE)</f>
        <v>31/08/2021</v>
      </c>
      <c r="F2356" t="str">
        <f>VLOOKUP(NoviaFunds[[#This Row],[Sector]],Sectors[],2,FALSE)</f>
        <v>Other Equities</v>
      </c>
    </row>
    <row r="2357" spans="1:6" x14ac:dyDescent="0.2">
      <c r="A2357" t="str">
        <f>'Novia Web Query'!A2353</f>
        <v>GB00B84K1975</v>
      </c>
      <c r="B2357" t="str">
        <f>VLOOKUP(NoviaFunds[[#This Row],[ISIN]],'Novia Web Query'!$A:$E,2,FALSE)</f>
        <v>L&amp;G Global Equity Index I Inc TR in GB</v>
      </c>
      <c r="C2357" t="str">
        <f>VLOOKUP(NoviaFunds[[#This Row],[ISIN]],'Novia Web Query'!$A:$E,3,FALSE)</f>
        <v>UT Global</v>
      </c>
      <c r="D2357" s="139">
        <f>VLOOKUP(NoviaFunds[[#This Row],[ISIN]],'Novia Web Query'!$A:$E,4,FALSE)/100</f>
        <v>2.0999999999999999E-3</v>
      </c>
      <c r="E2357" s="3" t="str">
        <f>VLOOKUP(NoviaFunds[[#This Row],[ISIN]],'Novia Web Query'!$A:$E,5,FALSE)</f>
        <v>31/08/2021</v>
      </c>
      <c r="F2357" t="str">
        <f>VLOOKUP(NoviaFunds[[#This Row],[Sector]],Sectors[],2,FALSE)</f>
        <v>Other Equities</v>
      </c>
    </row>
    <row r="2358" spans="1:6" x14ac:dyDescent="0.2">
      <c r="A2358" t="str">
        <f>'Novia Web Query'!A2354</f>
        <v>GB00BJ2JPG83</v>
      </c>
      <c r="B2358" t="str">
        <f>VLOOKUP(NoviaFunds[[#This Row],[ISIN]],'Novia Web Query'!$A:$E,2,FALSE)</f>
        <v>L&amp;G Global Health &amp; Pharmaceuticals Index Trust C Acc in GB**</v>
      </c>
      <c r="C2358" t="str">
        <f>VLOOKUP(NoviaFunds[[#This Row],[ISIN]],'Novia Web Query'!$A:$E,3,FALSE)</f>
        <v>UT Healthcare</v>
      </c>
      <c r="D2358" s="139">
        <f>VLOOKUP(NoviaFunds[[#This Row],[ISIN]],'Novia Web Query'!$A:$E,4,FALSE)/100</f>
        <v>2E-3</v>
      </c>
      <c r="E2358" s="3" t="str">
        <f>VLOOKUP(NoviaFunds[[#This Row],[ISIN]],'Novia Web Query'!$A:$E,5,FALSE)</f>
        <v>31/08/2021</v>
      </c>
      <c r="F2358" t="e">
        <f>VLOOKUP(NoviaFunds[[#This Row],[Sector]],Sectors[],2,FALSE)</f>
        <v>#N/A</v>
      </c>
    </row>
    <row r="2359" spans="1:6" x14ac:dyDescent="0.2">
      <c r="A2359" t="str">
        <f>'Novia Web Query'!A2355</f>
        <v>GB00BJ2JPH90</v>
      </c>
      <c r="B2359" t="str">
        <f>VLOOKUP(NoviaFunds[[#This Row],[ISIN]],'Novia Web Query'!$A:$E,2,FALSE)</f>
        <v>L&amp;G Global Health &amp; Pharmaceuticals Index Trust C Inc TR in GB**</v>
      </c>
      <c r="C2359" t="str">
        <f>VLOOKUP(NoviaFunds[[#This Row],[ISIN]],'Novia Web Query'!$A:$E,3,FALSE)</f>
        <v>UT Healthcare</v>
      </c>
      <c r="D2359" s="139">
        <f>VLOOKUP(NoviaFunds[[#This Row],[ISIN]],'Novia Web Query'!$A:$E,4,FALSE)/100</f>
        <v>2E-3</v>
      </c>
      <c r="E2359" s="3" t="str">
        <f>VLOOKUP(NoviaFunds[[#This Row],[ISIN]],'Novia Web Query'!$A:$E,5,FALSE)</f>
        <v>31/08/2021</v>
      </c>
      <c r="F2359" t="e">
        <f>VLOOKUP(NoviaFunds[[#This Row],[Sector]],Sectors[],2,FALSE)</f>
        <v>#N/A</v>
      </c>
    </row>
    <row r="2360" spans="1:6" x14ac:dyDescent="0.2">
      <c r="A2360" t="str">
        <f>'Novia Web Query'!A2356</f>
        <v>GB00B6XC0829</v>
      </c>
      <c r="B2360" t="str">
        <f>VLOOKUP(NoviaFunds[[#This Row],[ISIN]],'Novia Web Query'!$A:$E,2,FALSE)</f>
        <v>L&amp;G Global Health &amp; Pharmaceuticals Index Trust F Acc in GB**</v>
      </c>
      <c r="C2360" t="str">
        <f>VLOOKUP(NoviaFunds[[#This Row],[ISIN]],'Novia Web Query'!$A:$E,3,FALSE)</f>
        <v>UT Healthcare</v>
      </c>
      <c r="D2360" s="139">
        <f>VLOOKUP(NoviaFunds[[#This Row],[ISIN]],'Novia Web Query'!$A:$E,4,FALSE)/100</f>
        <v>4.5000000000000005E-3</v>
      </c>
      <c r="E2360" s="3" t="str">
        <f>VLOOKUP(NoviaFunds[[#This Row],[ISIN]],'Novia Web Query'!$A:$E,5,FALSE)</f>
        <v>31/08/2021</v>
      </c>
      <c r="F2360" t="e">
        <f>VLOOKUP(NoviaFunds[[#This Row],[Sector]],Sectors[],2,FALSE)</f>
        <v>#N/A</v>
      </c>
    </row>
    <row r="2361" spans="1:6" x14ac:dyDescent="0.2">
      <c r="A2361" t="str">
        <f>'Novia Web Query'!A2357</f>
        <v>GB00B88X4R19</v>
      </c>
      <c r="B2361" t="str">
        <f>VLOOKUP(NoviaFunds[[#This Row],[ISIN]],'Novia Web Query'!$A:$E,2,FALSE)</f>
        <v>L&amp;G Global Health &amp; Pharmaceuticals Index Trust F Inc TR in GB**</v>
      </c>
      <c r="C2361" t="str">
        <f>VLOOKUP(NoviaFunds[[#This Row],[ISIN]],'Novia Web Query'!$A:$E,3,FALSE)</f>
        <v>UT Healthcare</v>
      </c>
      <c r="D2361" s="139">
        <f>VLOOKUP(NoviaFunds[[#This Row],[ISIN]],'Novia Web Query'!$A:$E,4,FALSE)/100</f>
        <v>4.5000000000000005E-3</v>
      </c>
      <c r="E2361" s="3" t="str">
        <f>VLOOKUP(NoviaFunds[[#This Row],[ISIN]],'Novia Web Query'!$A:$E,5,FALSE)</f>
        <v>31/08/2021</v>
      </c>
      <c r="F2361" t="e">
        <f>VLOOKUP(NoviaFunds[[#This Row],[Sector]],Sectors[],2,FALSE)</f>
        <v>#N/A</v>
      </c>
    </row>
    <row r="2362" spans="1:6" x14ac:dyDescent="0.2">
      <c r="A2362" t="str">
        <f>'Novia Web Query'!A2358</f>
        <v>GB00B0CNH387</v>
      </c>
      <c r="B2362" t="str">
        <f>VLOOKUP(NoviaFunds[[#This Row],[ISIN]],'Novia Web Query'!$A:$E,2,FALSE)</f>
        <v>L&amp;G Global Health &amp; Pharmaceuticals Index Trust I Acc in GB</v>
      </c>
      <c r="C2362" t="str">
        <f>VLOOKUP(NoviaFunds[[#This Row],[ISIN]],'Novia Web Query'!$A:$E,3,FALSE)</f>
        <v>UT Healthcare</v>
      </c>
      <c r="D2362" s="139">
        <f>VLOOKUP(NoviaFunds[[#This Row],[ISIN]],'Novia Web Query'!$A:$E,4,FALSE)/100</f>
        <v>3.0999999999999999E-3</v>
      </c>
      <c r="E2362" s="3" t="str">
        <f>VLOOKUP(NoviaFunds[[#This Row],[ISIN]],'Novia Web Query'!$A:$E,5,FALSE)</f>
        <v>31/08/2021</v>
      </c>
      <c r="F2362" t="e">
        <f>VLOOKUP(NoviaFunds[[#This Row],[Sector]],Sectors[],2,FALSE)</f>
        <v>#N/A</v>
      </c>
    </row>
    <row r="2363" spans="1:6" x14ac:dyDescent="0.2">
      <c r="A2363" t="str">
        <f>'Novia Web Query'!A2359</f>
        <v>GB00B0CNH270</v>
      </c>
      <c r="B2363" t="str">
        <f>VLOOKUP(NoviaFunds[[#This Row],[ISIN]],'Novia Web Query'!$A:$E,2,FALSE)</f>
        <v>L&amp;G Global Health &amp; Pharmaceuticals Index Trust I Inc TR in GB</v>
      </c>
      <c r="C2363" t="str">
        <f>VLOOKUP(NoviaFunds[[#This Row],[ISIN]],'Novia Web Query'!$A:$E,3,FALSE)</f>
        <v>UT Healthcare</v>
      </c>
      <c r="D2363" s="139">
        <f>VLOOKUP(NoviaFunds[[#This Row],[ISIN]],'Novia Web Query'!$A:$E,4,FALSE)/100</f>
        <v>3.0999999999999999E-3</v>
      </c>
      <c r="E2363" s="3" t="str">
        <f>VLOOKUP(NoviaFunds[[#This Row],[ISIN]],'Novia Web Query'!$A:$E,5,FALSE)</f>
        <v>31/08/2021</v>
      </c>
      <c r="F2363" t="e">
        <f>VLOOKUP(NoviaFunds[[#This Row],[Sector]],Sectors[],2,FALSE)</f>
        <v>#N/A</v>
      </c>
    </row>
    <row r="2364" spans="1:6" x14ac:dyDescent="0.2">
      <c r="A2364" t="str">
        <f>'Novia Web Query'!A2360</f>
        <v>GB0001955532</v>
      </c>
      <c r="B2364" t="str">
        <f>VLOOKUP(NoviaFunds[[#This Row],[ISIN]],'Novia Web Query'!$A:$E,2,FALSE)</f>
        <v>L&amp;G Global Health &amp; Pharmaceuticals Index Trust R Acc in GB</v>
      </c>
      <c r="C2364" t="str">
        <f>VLOOKUP(NoviaFunds[[#This Row],[ISIN]],'Novia Web Query'!$A:$E,3,FALSE)</f>
        <v>UT Healthcare</v>
      </c>
      <c r="D2364" s="139">
        <f>VLOOKUP(NoviaFunds[[#This Row],[ISIN]],'Novia Web Query'!$A:$E,4,FALSE)/100</f>
        <v>6.8999999999999999E-3</v>
      </c>
      <c r="E2364" s="3" t="str">
        <f>VLOOKUP(NoviaFunds[[#This Row],[ISIN]],'Novia Web Query'!$A:$E,5,FALSE)</f>
        <v>31/08/2021</v>
      </c>
      <c r="F2364" t="e">
        <f>VLOOKUP(NoviaFunds[[#This Row],[Sector]],Sectors[],2,FALSE)</f>
        <v>#N/A</v>
      </c>
    </row>
    <row r="2365" spans="1:6" x14ac:dyDescent="0.2">
      <c r="A2365" t="str">
        <f>'Novia Web Query'!A2361</f>
        <v>GB00BG0QPQ07</v>
      </c>
      <c r="B2365" t="str">
        <f>VLOOKUP(NoviaFunds[[#This Row],[ISIN]],'Novia Web Query'!$A:$E,2,FALSE)</f>
        <v>L&amp;G Global Inflation Linked Bond Index C Acc in GB**</v>
      </c>
      <c r="C2365" t="str">
        <f>VLOOKUP(NoviaFunds[[#This Row],[ISIN]],'Novia Web Query'!$A:$E,3,FALSE)</f>
        <v>UT Global Bonds</v>
      </c>
      <c r="D2365" s="139">
        <f>VLOOKUP(NoviaFunds[[#This Row],[ISIN]],'Novia Web Query'!$A:$E,4,FALSE)/100</f>
        <v>1.2999999999999999E-3</v>
      </c>
      <c r="E2365" s="3" t="str">
        <f>VLOOKUP(NoviaFunds[[#This Row],[ISIN]],'Novia Web Query'!$A:$E,5,FALSE)</f>
        <v>31/08/2021</v>
      </c>
      <c r="F2365" t="str">
        <f>VLOOKUP(NoviaFunds[[#This Row],[Sector]],Sectors[],2,FALSE)</f>
        <v>Global Investment Grade</v>
      </c>
    </row>
    <row r="2366" spans="1:6" x14ac:dyDescent="0.2">
      <c r="A2366" t="str">
        <f>'Novia Web Query'!A2362</f>
        <v>GB00BG0QPP99</v>
      </c>
      <c r="B2366" t="str">
        <f>VLOOKUP(NoviaFunds[[#This Row],[ISIN]],'Novia Web Query'!$A:$E,2,FALSE)</f>
        <v>L&amp;G Global Inflation Linked Bond Index C Inc TR in GB**</v>
      </c>
      <c r="C2366" t="str">
        <f>VLOOKUP(NoviaFunds[[#This Row],[ISIN]],'Novia Web Query'!$A:$E,3,FALSE)</f>
        <v>UT Global Bonds</v>
      </c>
      <c r="D2366" s="139">
        <f>VLOOKUP(NoviaFunds[[#This Row],[ISIN]],'Novia Web Query'!$A:$E,4,FALSE)/100</f>
        <v>1.2999999999999999E-3</v>
      </c>
      <c r="E2366" s="3" t="str">
        <f>VLOOKUP(NoviaFunds[[#This Row],[ISIN]],'Novia Web Query'!$A:$E,5,FALSE)</f>
        <v>31/08/2021</v>
      </c>
      <c r="F2366" t="str">
        <f>VLOOKUP(NoviaFunds[[#This Row],[Sector]],Sectors[],2,FALSE)</f>
        <v>Global Investment Grade</v>
      </c>
    </row>
    <row r="2367" spans="1:6" x14ac:dyDescent="0.2">
      <c r="A2367" t="str">
        <f>'Novia Web Query'!A2363</f>
        <v>GB00BBHXNN27</v>
      </c>
      <c r="B2367" t="str">
        <f>VLOOKUP(NoviaFunds[[#This Row],[ISIN]],'Novia Web Query'!$A:$E,2,FALSE)</f>
        <v>L&amp;G Global Inflation Linked Bond Index I Acc in GB</v>
      </c>
      <c r="C2367" t="str">
        <f>VLOOKUP(NoviaFunds[[#This Row],[ISIN]],'Novia Web Query'!$A:$E,3,FALSE)</f>
        <v>UT Global Bonds</v>
      </c>
      <c r="D2367" s="139">
        <f>VLOOKUP(NoviaFunds[[#This Row],[ISIN]],'Novia Web Query'!$A:$E,4,FALSE)/100</f>
        <v>2.3E-3</v>
      </c>
      <c r="E2367" s="3" t="str">
        <f>VLOOKUP(NoviaFunds[[#This Row],[ISIN]],'Novia Web Query'!$A:$E,5,FALSE)</f>
        <v>31/08/2021</v>
      </c>
      <c r="F2367" t="str">
        <f>VLOOKUP(NoviaFunds[[#This Row],[Sector]],Sectors[],2,FALSE)</f>
        <v>Global Investment Grade</v>
      </c>
    </row>
    <row r="2368" spans="1:6" x14ac:dyDescent="0.2">
      <c r="A2368" t="str">
        <f>'Novia Web Query'!A2364</f>
        <v>GB00BBHXNM10</v>
      </c>
      <c r="B2368" t="str">
        <f>VLOOKUP(NoviaFunds[[#This Row],[ISIN]],'Novia Web Query'!$A:$E,2,FALSE)</f>
        <v>L&amp;G Global Inflation Linked Bond Index I Inc TR in GB</v>
      </c>
      <c r="C2368" t="str">
        <f>VLOOKUP(NoviaFunds[[#This Row],[ISIN]],'Novia Web Query'!$A:$E,3,FALSE)</f>
        <v>UT Global Bonds</v>
      </c>
      <c r="D2368" s="139">
        <f>VLOOKUP(NoviaFunds[[#This Row],[ISIN]],'Novia Web Query'!$A:$E,4,FALSE)/100</f>
        <v>2.3E-3</v>
      </c>
      <c r="E2368" s="3" t="str">
        <f>VLOOKUP(NoviaFunds[[#This Row],[ISIN]],'Novia Web Query'!$A:$E,5,FALSE)</f>
        <v>31/08/2021</v>
      </c>
      <c r="F2368" t="str">
        <f>VLOOKUP(NoviaFunds[[#This Row],[Sector]],Sectors[],2,FALSE)</f>
        <v>Global Investment Grade</v>
      </c>
    </row>
    <row r="2369" spans="1:6" x14ac:dyDescent="0.2">
      <c r="A2369" t="str">
        <f>'Novia Web Query'!A2365</f>
        <v>GB00BF0TZL74</v>
      </c>
      <c r="B2369" t="str">
        <f>VLOOKUP(NoviaFunds[[#This Row],[ISIN]],'Novia Web Query'!$A:$E,2,FALSE)</f>
        <v>L&amp;G Global Infrastructure Index C Acc in GB</v>
      </c>
      <c r="C2369" t="str">
        <f>VLOOKUP(NoviaFunds[[#This Row],[ISIN]],'Novia Web Query'!$A:$E,3,FALSE)</f>
        <v>UT Infrastructure</v>
      </c>
      <c r="D2369" s="139">
        <f>VLOOKUP(NoviaFunds[[#This Row],[ISIN]],'Novia Web Query'!$A:$E,4,FALSE)/100</f>
        <v>2E-3</v>
      </c>
      <c r="E2369" s="3" t="str">
        <f>VLOOKUP(NoviaFunds[[#This Row],[ISIN]],'Novia Web Query'!$A:$E,5,FALSE)</f>
        <v>31/08/2021</v>
      </c>
      <c r="F2369" t="e">
        <f>VLOOKUP(NoviaFunds[[#This Row],[Sector]],Sectors[],2,FALSE)</f>
        <v>#N/A</v>
      </c>
    </row>
    <row r="2370" spans="1:6" x14ac:dyDescent="0.2">
      <c r="A2370" t="str">
        <f>'Novia Web Query'!A2366</f>
        <v>GB00BF0TZM81</v>
      </c>
      <c r="B2370" t="str">
        <f>VLOOKUP(NoviaFunds[[#This Row],[ISIN]],'Novia Web Query'!$A:$E,2,FALSE)</f>
        <v>L&amp;G Global Infrastructure Index C Inc TR in GB</v>
      </c>
      <c r="C2370" t="str">
        <f>VLOOKUP(NoviaFunds[[#This Row],[ISIN]],'Novia Web Query'!$A:$E,3,FALSE)</f>
        <v>UT Infrastructure</v>
      </c>
      <c r="D2370" s="139">
        <f>VLOOKUP(NoviaFunds[[#This Row],[ISIN]],'Novia Web Query'!$A:$E,4,FALSE)/100</f>
        <v>2E-3</v>
      </c>
      <c r="E2370" s="3" t="str">
        <f>VLOOKUP(NoviaFunds[[#This Row],[ISIN]],'Novia Web Query'!$A:$E,5,FALSE)</f>
        <v>31/08/2021</v>
      </c>
      <c r="F2370" t="e">
        <f>VLOOKUP(NoviaFunds[[#This Row],[Sector]],Sectors[],2,FALSE)</f>
        <v>#N/A</v>
      </c>
    </row>
    <row r="2371" spans="1:6" x14ac:dyDescent="0.2">
      <c r="A2371" t="str">
        <f>'Novia Web Query'!A2367</f>
        <v>GB00BF0TZG22</v>
      </c>
      <c r="B2371" t="str">
        <f>VLOOKUP(NoviaFunds[[#This Row],[ISIN]],'Novia Web Query'!$A:$E,2,FALSE)</f>
        <v>L&amp;G Global Infrastructure Index I Acc in GB</v>
      </c>
      <c r="C2371" t="str">
        <f>VLOOKUP(NoviaFunds[[#This Row],[ISIN]],'Novia Web Query'!$A:$E,3,FALSE)</f>
        <v>UT Infrastructure</v>
      </c>
      <c r="D2371" s="139">
        <f>VLOOKUP(NoviaFunds[[#This Row],[ISIN]],'Novia Web Query'!$A:$E,4,FALSE)/100</f>
        <v>3.0000000000000001E-3</v>
      </c>
      <c r="E2371" s="3" t="str">
        <f>VLOOKUP(NoviaFunds[[#This Row],[ISIN]],'Novia Web Query'!$A:$E,5,FALSE)</f>
        <v>31/08/2021</v>
      </c>
      <c r="F2371" t="e">
        <f>VLOOKUP(NoviaFunds[[#This Row],[Sector]],Sectors[],2,FALSE)</f>
        <v>#N/A</v>
      </c>
    </row>
    <row r="2372" spans="1:6" x14ac:dyDescent="0.2">
      <c r="A2372" t="str">
        <f>'Novia Web Query'!A2368</f>
        <v>GB00BF0TZH39</v>
      </c>
      <c r="B2372" t="str">
        <f>VLOOKUP(NoviaFunds[[#This Row],[ISIN]],'Novia Web Query'!$A:$E,2,FALSE)</f>
        <v>L&amp;G Global Infrastructure Index I Inc TR in GB</v>
      </c>
      <c r="C2372" t="str">
        <f>VLOOKUP(NoviaFunds[[#This Row],[ISIN]],'Novia Web Query'!$A:$E,3,FALSE)</f>
        <v>UT Infrastructure</v>
      </c>
      <c r="D2372" s="139">
        <f>VLOOKUP(NoviaFunds[[#This Row],[ISIN]],'Novia Web Query'!$A:$E,4,FALSE)/100</f>
        <v>3.0000000000000001E-3</v>
      </c>
      <c r="E2372" s="3" t="str">
        <f>VLOOKUP(NoviaFunds[[#This Row],[ISIN]],'Novia Web Query'!$A:$E,5,FALSE)</f>
        <v>31/08/2021</v>
      </c>
      <c r="F2372" t="e">
        <f>VLOOKUP(NoviaFunds[[#This Row],[Sector]],Sectors[],2,FALSE)</f>
        <v>#N/A</v>
      </c>
    </row>
    <row r="2373" spans="1:6" x14ac:dyDescent="0.2">
      <c r="A2373" t="str">
        <f>'Novia Web Query'!A2369</f>
        <v>GB00BYW7CL14</v>
      </c>
      <c r="B2373" t="str">
        <f>VLOOKUP(NoviaFunds[[#This Row],[ISIN]],'Novia Web Query'!$A:$E,2,FALSE)</f>
        <v>L&amp;G Global Real Estate Dividend Index C Acc in GB</v>
      </c>
      <c r="C2373" t="str">
        <f>VLOOKUP(NoviaFunds[[#This Row],[ISIN]],'Novia Web Query'!$A:$E,3,FALSE)</f>
        <v>UT Property Other</v>
      </c>
      <c r="D2373" s="139">
        <f>VLOOKUP(NoviaFunds[[#This Row],[ISIN]],'Novia Web Query'!$A:$E,4,FALSE)/100</f>
        <v>1.5E-3</v>
      </c>
      <c r="E2373" s="3" t="str">
        <f>VLOOKUP(NoviaFunds[[#This Row],[ISIN]],'Novia Web Query'!$A:$E,5,FALSE)</f>
        <v>31/08/2021</v>
      </c>
      <c r="F2373" t="e">
        <f>VLOOKUP(NoviaFunds[[#This Row],[Sector]],Sectors[],2,FALSE)</f>
        <v>#N/A</v>
      </c>
    </row>
    <row r="2374" spans="1:6" x14ac:dyDescent="0.2">
      <c r="A2374" t="str">
        <f>'Novia Web Query'!A2370</f>
        <v>GB00BYW7CK07</v>
      </c>
      <c r="B2374" t="str">
        <f>VLOOKUP(NoviaFunds[[#This Row],[ISIN]],'Novia Web Query'!$A:$E,2,FALSE)</f>
        <v>L&amp;G Global Real Estate Dividend Index C Inc TR in GB</v>
      </c>
      <c r="C2374" t="str">
        <f>VLOOKUP(NoviaFunds[[#This Row],[ISIN]],'Novia Web Query'!$A:$E,3,FALSE)</f>
        <v>UT Property Other</v>
      </c>
      <c r="D2374" s="139">
        <f>VLOOKUP(NoviaFunds[[#This Row],[ISIN]],'Novia Web Query'!$A:$E,4,FALSE)/100</f>
        <v>1.5E-3</v>
      </c>
      <c r="E2374" s="3" t="str">
        <f>VLOOKUP(NoviaFunds[[#This Row],[ISIN]],'Novia Web Query'!$A:$E,5,FALSE)</f>
        <v>31/08/2021</v>
      </c>
      <c r="F2374" t="e">
        <f>VLOOKUP(NoviaFunds[[#This Row],[Sector]],Sectors[],2,FALSE)</f>
        <v>#N/A</v>
      </c>
    </row>
    <row r="2375" spans="1:6" x14ac:dyDescent="0.2">
      <c r="A2375" t="str">
        <f>'Novia Web Query'!A2371</f>
        <v>GB00BYW7CN38</v>
      </c>
      <c r="B2375" t="str">
        <f>VLOOKUP(NoviaFunds[[#This Row],[ISIN]],'Novia Web Query'!$A:$E,2,FALSE)</f>
        <v>L&amp;G Global Real Estate Dividend Index I Acc in GB</v>
      </c>
      <c r="C2375" t="str">
        <f>VLOOKUP(NoviaFunds[[#This Row],[ISIN]],'Novia Web Query'!$A:$E,3,FALSE)</f>
        <v>UT Property Other</v>
      </c>
      <c r="D2375" s="139">
        <f>VLOOKUP(NoviaFunds[[#This Row],[ISIN]],'Novia Web Query'!$A:$E,4,FALSE)/100</f>
        <v>2E-3</v>
      </c>
      <c r="E2375" s="3" t="str">
        <f>VLOOKUP(NoviaFunds[[#This Row],[ISIN]],'Novia Web Query'!$A:$E,5,FALSE)</f>
        <v>31/08/2021</v>
      </c>
      <c r="F2375" t="e">
        <f>VLOOKUP(NoviaFunds[[#This Row],[Sector]],Sectors[],2,FALSE)</f>
        <v>#N/A</v>
      </c>
    </row>
    <row r="2376" spans="1:6" x14ac:dyDescent="0.2">
      <c r="A2376" t="str">
        <f>'Novia Web Query'!A2372</f>
        <v>GB00BYW7CM21</v>
      </c>
      <c r="B2376" t="str">
        <f>VLOOKUP(NoviaFunds[[#This Row],[ISIN]],'Novia Web Query'!$A:$E,2,FALSE)</f>
        <v>L&amp;G Global Real Estate Dividend Index I Inc TR in GB</v>
      </c>
      <c r="C2376" t="str">
        <f>VLOOKUP(NoviaFunds[[#This Row],[ISIN]],'Novia Web Query'!$A:$E,3,FALSE)</f>
        <v>UT Property Other</v>
      </c>
      <c r="D2376" s="139">
        <f>VLOOKUP(NoviaFunds[[#This Row],[ISIN]],'Novia Web Query'!$A:$E,4,FALSE)/100</f>
        <v>2E-3</v>
      </c>
      <c r="E2376" s="3" t="str">
        <f>VLOOKUP(NoviaFunds[[#This Row],[ISIN]],'Novia Web Query'!$A:$E,5,FALSE)</f>
        <v>31/08/2021</v>
      </c>
      <c r="F2376" t="e">
        <f>VLOOKUP(NoviaFunds[[#This Row],[Sector]],Sectors[],2,FALSE)</f>
        <v>#N/A</v>
      </c>
    </row>
    <row r="2377" spans="1:6" x14ac:dyDescent="0.2">
      <c r="A2377" t="str">
        <f>'Novia Web Query'!A2373</f>
        <v>GB00BK6L1Y79</v>
      </c>
      <c r="B2377" t="str">
        <f>VLOOKUP(NoviaFunds[[#This Row],[ISIN]],'Novia Web Query'!$A:$E,2,FALSE)</f>
        <v>L&amp;G Global Robotics and Automation Index C Acc in GB</v>
      </c>
      <c r="C2377" t="str">
        <f>VLOOKUP(NoviaFunds[[#This Row],[ISIN]],'Novia Web Query'!$A:$E,3,FALSE)</f>
        <v>UT Global</v>
      </c>
      <c r="D2377" s="139">
        <f>VLOOKUP(NoviaFunds[[#This Row],[ISIN]],'Novia Web Query'!$A:$E,4,FALSE)/100</f>
        <v>4.8999999999999998E-3</v>
      </c>
      <c r="E2377" s="3" t="str">
        <f>VLOOKUP(NoviaFunds[[#This Row],[ISIN]],'Novia Web Query'!$A:$E,5,FALSE)</f>
        <v>31/08/2021</v>
      </c>
      <c r="F2377" t="str">
        <f>VLOOKUP(NoviaFunds[[#This Row],[Sector]],Sectors[],2,FALSE)</f>
        <v>Other Equities</v>
      </c>
    </row>
    <row r="2378" spans="1:6" x14ac:dyDescent="0.2">
      <c r="A2378" t="str">
        <f>'Novia Web Query'!A2374</f>
        <v>GB00BK6L1X62</v>
      </c>
      <c r="B2378" t="str">
        <f>VLOOKUP(NoviaFunds[[#This Row],[ISIN]],'Novia Web Query'!$A:$E,2,FALSE)</f>
        <v>L&amp;G Global Robotics and Automation Index C Inc TR in GB</v>
      </c>
      <c r="C2378" t="str">
        <f>VLOOKUP(NoviaFunds[[#This Row],[ISIN]],'Novia Web Query'!$A:$E,3,FALSE)</f>
        <v>UT Global</v>
      </c>
      <c r="D2378" s="139">
        <f>VLOOKUP(NoviaFunds[[#This Row],[ISIN]],'Novia Web Query'!$A:$E,4,FALSE)/100</f>
        <v>4.8999999999999998E-3</v>
      </c>
      <c r="E2378" s="3" t="str">
        <f>VLOOKUP(NoviaFunds[[#This Row],[ISIN]],'Novia Web Query'!$A:$E,5,FALSE)</f>
        <v>31/08/2021</v>
      </c>
      <c r="F2378" t="str">
        <f>VLOOKUP(NoviaFunds[[#This Row],[Sector]],Sectors[],2,FALSE)</f>
        <v>Other Equities</v>
      </c>
    </row>
    <row r="2379" spans="1:6" x14ac:dyDescent="0.2">
      <c r="A2379" t="str">
        <f>'Novia Web Query'!A2375</f>
        <v>GB00BJLP1W53</v>
      </c>
      <c r="B2379" t="str">
        <f>VLOOKUP(NoviaFunds[[#This Row],[ISIN]],'Novia Web Query'!$A:$E,2,FALSE)</f>
        <v>L&amp;G Global Technology Index Trust C Acc in GB**</v>
      </c>
      <c r="C2379" t="str">
        <f>VLOOKUP(NoviaFunds[[#This Row],[ISIN]],'Novia Web Query'!$A:$E,3,FALSE)</f>
        <v>UT Technology &amp; Telecommunications</v>
      </c>
      <c r="D2379" s="139">
        <f>VLOOKUP(NoviaFunds[[#This Row],[ISIN]],'Novia Web Query'!$A:$E,4,FALSE)/100</f>
        <v>2E-3</v>
      </c>
      <c r="E2379" s="3" t="str">
        <f>VLOOKUP(NoviaFunds[[#This Row],[ISIN]],'Novia Web Query'!$A:$E,5,FALSE)</f>
        <v>31/08/2021</v>
      </c>
      <c r="F2379" t="e">
        <f>VLOOKUP(NoviaFunds[[#This Row],[Sector]],Sectors[],2,FALSE)</f>
        <v>#N/A</v>
      </c>
    </row>
    <row r="2380" spans="1:6" x14ac:dyDescent="0.2">
      <c r="A2380" t="str">
        <f>'Novia Web Query'!A2376</f>
        <v>GB00BJLP6F34</v>
      </c>
      <c r="B2380" t="str">
        <f>VLOOKUP(NoviaFunds[[#This Row],[ISIN]],'Novia Web Query'!$A:$E,2,FALSE)</f>
        <v>L&amp;G Global Technology Index Trust C Inc TR in GB**</v>
      </c>
      <c r="C2380" t="str">
        <f>VLOOKUP(NoviaFunds[[#This Row],[ISIN]],'Novia Web Query'!$A:$E,3,FALSE)</f>
        <v>UT Technology &amp; Telecommunications</v>
      </c>
      <c r="D2380" s="139">
        <f>VLOOKUP(NoviaFunds[[#This Row],[ISIN]],'Novia Web Query'!$A:$E,4,FALSE)/100</f>
        <v>2E-3</v>
      </c>
      <c r="E2380" s="3" t="str">
        <f>VLOOKUP(NoviaFunds[[#This Row],[ISIN]],'Novia Web Query'!$A:$E,5,FALSE)</f>
        <v>31/08/2021</v>
      </c>
      <c r="F2380" t="e">
        <f>VLOOKUP(NoviaFunds[[#This Row],[Sector]],Sectors[],2,FALSE)</f>
        <v>#N/A</v>
      </c>
    </row>
    <row r="2381" spans="1:6" x14ac:dyDescent="0.2">
      <c r="A2381" t="str">
        <f>'Novia Web Query'!A2377</f>
        <v>GB00B0CNH163</v>
      </c>
      <c r="B2381" t="str">
        <f>VLOOKUP(NoviaFunds[[#This Row],[ISIN]],'Novia Web Query'!$A:$E,2,FALSE)</f>
        <v>L&amp;G Global Technology Index Trust I Acc in GB</v>
      </c>
      <c r="C2381" t="str">
        <f>VLOOKUP(NoviaFunds[[#This Row],[ISIN]],'Novia Web Query'!$A:$E,3,FALSE)</f>
        <v>UT Technology &amp; Telecommunications</v>
      </c>
      <c r="D2381" s="139">
        <f>VLOOKUP(NoviaFunds[[#This Row],[ISIN]],'Novia Web Query'!$A:$E,4,FALSE)/100</f>
        <v>3.2000000000000002E-3</v>
      </c>
      <c r="E2381" s="3" t="str">
        <f>VLOOKUP(NoviaFunds[[#This Row],[ISIN]],'Novia Web Query'!$A:$E,5,FALSE)</f>
        <v>31/08/2021</v>
      </c>
      <c r="F2381" t="e">
        <f>VLOOKUP(NoviaFunds[[#This Row],[Sector]],Sectors[],2,FALSE)</f>
        <v>#N/A</v>
      </c>
    </row>
    <row r="2382" spans="1:6" x14ac:dyDescent="0.2">
      <c r="A2382" t="str">
        <f>'Novia Web Query'!A2378</f>
        <v>GB0001955755</v>
      </c>
      <c r="B2382" t="str">
        <f>VLOOKUP(NoviaFunds[[#This Row],[ISIN]],'Novia Web Query'!$A:$E,2,FALSE)</f>
        <v>L&amp;G Global Technology Index Trust R Acc in GB</v>
      </c>
      <c r="C2382" t="str">
        <f>VLOOKUP(NoviaFunds[[#This Row],[ISIN]],'Novia Web Query'!$A:$E,3,FALSE)</f>
        <v>UT Technology &amp; Telecommunications</v>
      </c>
      <c r="D2382" s="139">
        <f>VLOOKUP(NoviaFunds[[#This Row],[ISIN]],'Novia Web Query'!$A:$E,4,FALSE)/100</f>
        <v>6.9999999999999993E-3</v>
      </c>
      <c r="E2382" s="3" t="str">
        <f>VLOOKUP(NoviaFunds[[#This Row],[ISIN]],'Novia Web Query'!$A:$E,5,FALSE)</f>
        <v>31/08/2021</v>
      </c>
      <c r="F2382" t="e">
        <f>VLOOKUP(NoviaFunds[[#This Row],[Sector]],Sectors[],2,FALSE)</f>
        <v>#N/A</v>
      </c>
    </row>
    <row r="2383" spans="1:6" x14ac:dyDescent="0.2">
      <c r="A2383" t="str">
        <f>'Novia Web Query'!A2379</f>
        <v>GB00B28PVN01</v>
      </c>
      <c r="B2383" t="str">
        <f>VLOOKUP(NoviaFunds[[#This Row],[ISIN]],'Novia Web Query'!$A:$E,2,FALSE)</f>
        <v>L&amp;G Growth Trust I Acc in GB**</v>
      </c>
      <c r="C2383" t="str">
        <f>VLOOKUP(NoviaFunds[[#This Row],[ISIN]],'Novia Web Query'!$A:$E,3,FALSE)</f>
        <v>UT UK All Companies</v>
      </c>
      <c r="D2383" s="139">
        <f>VLOOKUP(NoviaFunds[[#This Row],[ISIN]],'Novia Web Query'!$A:$E,4,FALSE)/100</f>
        <v>7.8000000000000005E-3</v>
      </c>
      <c r="E2383" s="3" t="str">
        <f>VLOOKUP(NoviaFunds[[#This Row],[ISIN]],'Novia Web Query'!$A:$E,5,FALSE)</f>
        <v>31/08/2021</v>
      </c>
      <c r="F2383" t="str">
        <f>VLOOKUP(NoviaFunds[[#This Row],[Sector]],Sectors[],2,FALSE)</f>
        <v>UK Equities</v>
      </c>
    </row>
    <row r="2384" spans="1:6" x14ac:dyDescent="0.2">
      <c r="A2384" t="str">
        <f>'Novia Web Query'!A2380</f>
        <v>GB00B28PWL51</v>
      </c>
      <c r="B2384" t="str">
        <f>VLOOKUP(NoviaFunds[[#This Row],[ISIN]],'Novia Web Query'!$A:$E,2,FALSE)</f>
        <v>L&amp;G Growth Trust I Inc TR in GB**</v>
      </c>
      <c r="C2384" t="str">
        <f>VLOOKUP(NoviaFunds[[#This Row],[ISIN]],'Novia Web Query'!$A:$E,3,FALSE)</f>
        <v>UT UK All Companies</v>
      </c>
      <c r="D2384" s="139">
        <f>VLOOKUP(NoviaFunds[[#This Row],[ISIN]],'Novia Web Query'!$A:$E,4,FALSE)/100</f>
        <v>7.8000000000000005E-3</v>
      </c>
      <c r="E2384" s="3" t="str">
        <f>VLOOKUP(NoviaFunds[[#This Row],[ISIN]],'Novia Web Query'!$A:$E,5,FALSE)</f>
        <v>31/08/2021</v>
      </c>
      <c r="F2384" t="str">
        <f>VLOOKUP(NoviaFunds[[#This Row],[Sector]],Sectors[],2,FALSE)</f>
        <v>UK Equities</v>
      </c>
    </row>
    <row r="2385" spans="1:6" x14ac:dyDescent="0.2">
      <c r="A2385" t="str">
        <f>'Novia Web Query'!A2381</f>
        <v>GB00B032BQ58</v>
      </c>
      <c r="B2385" t="str">
        <f>VLOOKUP(NoviaFunds[[#This Row],[ISIN]],'Novia Web Query'!$A:$E,2,FALSE)</f>
        <v>L&amp;G Growth Trust R Acc in GB</v>
      </c>
      <c r="C2385" t="str">
        <f>VLOOKUP(NoviaFunds[[#This Row],[ISIN]],'Novia Web Query'!$A:$E,3,FALSE)</f>
        <v>UT UK All Companies</v>
      </c>
      <c r="D2385" s="139">
        <f>VLOOKUP(NoviaFunds[[#This Row],[ISIN]],'Novia Web Query'!$A:$E,4,FALSE)/100</f>
        <v>1.43E-2</v>
      </c>
      <c r="E2385" s="3" t="str">
        <f>VLOOKUP(NoviaFunds[[#This Row],[ISIN]],'Novia Web Query'!$A:$E,5,FALSE)</f>
        <v>31/08/2021</v>
      </c>
      <c r="F2385" t="str">
        <f>VLOOKUP(NoviaFunds[[#This Row],[Sector]],Sectors[],2,FALSE)</f>
        <v>UK Equities</v>
      </c>
    </row>
    <row r="2386" spans="1:6" x14ac:dyDescent="0.2">
      <c r="A2386" t="str">
        <f>'Novia Web Query'!A2382</f>
        <v>GB00BG0QP604</v>
      </c>
      <c r="B2386" t="str">
        <f>VLOOKUP(NoviaFunds[[#This Row],[ISIN]],'Novia Web Query'!$A:$E,2,FALSE)</f>
        <v>L&amp;G International Index Trust C Acc in GB**</v>
      </c>
      <c r="C2386" t="str">
        <f>VLOOKUP(NoviaFunds[[#This Row],[ISIN]],'Novia Web Query'!$A:$E,3,FALSE)</f>
        <v>UT Global</v>
      </c>
      <c r="D2386" s="139">
        <f>VLOOKUP(NoviaFunds[[#This Row],[ISIN]],'Novia Web Query'!$A:$E,4,FALSE)/100</f>
        <v>8.0000000000000004E-4</v>
      </c>
      <c r="E2386" s="3" t="str">
        <f>VLOOKUP(NoviaFunds[[#This Row],[ISIN]],'Novia Web Query'!$A:$E,5,FALSE)</f>
        <v>31/08/2021</v>
      </c>
      <c r="F2386" t="str">
        <f>VLOOKUP(NoviaFunds[[#This Row],[Sector]],Sectors[],2,FALSE)</f>
        <v>Other Equities</v>
      </c>
    </row>
    <row r="2387" spans="1:6" x14ac:dyDescent="0.2">
      <c r="A2387" t="str">
        <f>'Novia Web Query'!A2383</f>
        <v>GB00B2Q6HW61</v>
      </c>
      <c r="B2387" t="str">
        <f>VLOOKUP(NoviaFunds[[#This Row],[ISIN]],'Novia Web Query'!$A:$E,2,FALSE)</f>
        <v>L&amp;G International Index Trust I Acc in GB</v>
      </c>
      <c r="C2387" t="str">
        <f>VLOOKUP(NoviaFunds[[#This Row],[ISIN]],'Novia Web Query'!$A:$E,3,FALSE)</f>
        <v>UT Global</v>
      </c>
      <c r="D2387" s="139">
        <f>VLOOKUP(NoviaFunds[[#This Row],[ISIN]],'Novia Web Query'!$A:$E,4,FALSE)/100</f>
        <v>1.2999999999999999E-3</v>
      </c>
      <c r="E2387" s="3" t="str">
        <f>VLOOKUP(NoviaFunds[[#This Row],[ISIN]],'Novia Web Query'!$A:$E,5,FALSE)</f>
        <v>31/08/2021</v>
      </c>
      <c r="F2387" t="str">
        <f>VLOOKUP(NoviaFunds[[#This Row],[Sector]],Sectors[],2,FALSE)</f>
        <v>Other Equities</v>
      </c>
    </row>
    <row r="2388" spans="1:6" x14ac:dyDescent="0.2">
      <c r="A2388" t="str">
        <f>'Novia Web Query'!A2384</f>
        <v>GB00B2Q6HX78</v>
      </c>
      <c r="B2388" t="str">
        <f>VLOOKUP(NoviaFunds[[#This Row],[ISIN]],'Novia Web Query'!$A:$E,2,FALSE)</f>
        <v>L&amp;G International Index Trust I Inc TR in GB</v>
      </c>
      <c r="C2388" t="str">
        <f>VLOOKUP(NoviaFunds[[#This Row],[ISIN]],'Novia Web Query'!$A:$E,3,FALSE)</f>
        <v>UT Global</v>
      </c>
      <c r="D2388" s="139">
        <f>VLOOKUP(NoviaFunds[[#This Row],[ISIN]],'Novia Web Query'!$A:$E,4,FALSE)/100</f>
        <v>1.2999999999999999E-3</v>
      </c>
      <c r="E2388" s="3" t="str">
        <f>VLOOKUP(NoviaFunds[[#This Row],[ISIN]],'Novia Web Query'!$A:$E,5,FALSE)</f>
        <v>31/08/2021</v>
      </c>
      <c r="F2388" t="str">
        <f>VLOOKUP(NoviaFunds[[#This Row],[Sector]],Sectors[],2,FALSE)</f>
        <v>Other Equities</v>
      </c>
    </row>
    <row r="2389" spans="1:6" x14ac:dyDescent="0.2">
      <c r="A2389" t="str">
        <f>'Novia Web Query'!A2385</f>
        <v>GB00B2Q6HT33</v>
      </c>
      <c r="B2389" t="str">
        <f>VLOOKUP(NoviaFunds[[#This Row],[ISIN]],'Novia Web Query'!$A:$E,2,FALSE)</f>
        <v>L&amp;G International Index Trust R Acc in GB</v>
      </c>
      <c r="C2389" t="str">
        <f>VLOOKUP(NoviaFunds[[#This Row],[ISIN]],'Novia Web Query'!$A:$E,3,FALSE)</f>
        <v>UT Global</v>
      </c>
      <c r="D2389" s="139">
        <f>VLOOKUP(NoviaFunds[[#This Row],[ISIN]],'Novia Web Query'!$A:$E,4,FALSE)/100</f>
        <v>5.1000000000000004E-3</v>
      </c>
      <c r="E2389" s="3" t="str">
        <f>VLOOKUP(NoviaFunds[[#This Row],[ISIN]],'Novia Web Query'!$A:$E,5,FALSE)</f>
        <v>31/08/2021</v>
      </c>
      <c r="F2389" t="str">
        <f>VLOOKUP(NoviaFunds[[#This Row],[Sector]],Sectors[],2,FALSE)</f>
        <v>Other Equities</v>
      </c>
    </row>
    <row r="2390" spans="1:6" x14ac:dyDescent="0.2">
      <c r="A2390" t="str">
        <f>'Novia Web Query'!A2386</f>
        <v>GB00BG0QP828</v>
      </c>
      <c r="B2390" t="str">
        <f>VLOOKUP(NoviaFunds[[#This Row],[ISIN]],'Novia Web Query'!$A:$E,2,FALSE)</f>
        <v>L&amp;G Japan Index Trust C Acc in GB**</v>
      </c>
      <c r="C2390" t="str">
        <f>VLOOKUP(NoviaFunds[[#This Row],[ISIN]],'Novia Web Query'!$A:$E,3,FALSE)</f>
        <v>UT Japan</v>
      </c>
      <c r="D2390" s="139">
        <f>VLOOKUP(NoviaFunds[[#This Row],[ISIN]],'Novia Web Query'!$A:$E,4,FALSE)/100</f>
        <v>1E-3</v>
      </c>
      <c r="E2390" s="3" t="str">
        <f>VLOOKUP(NoviaFunds[[#This Row],[ISIN]],'Novia Web Query'!$A:$E,5,FALSE)</f>
        <v>31/08/2021</v>
      </c>
      <c r="F2390" t="str">
        <f>VLOOKUP(NoviaFunds[[#This Row],[Sector]],Sectors[],2,FALSE)</f>
        <v>Japanese Equities</v>
      </c>
    </row>
    <row r="2391" spans="1:6" x14ac:dyDescent="0.2">
      <c r="A2391" t="str">
        <f>'Novia Web Query'!A2387</f>
        <v>GB00BG0QP711</v>
      </c>
      <c r="B2391" t="str">
        <f>VLOOKUP(NoviaFunds[[#This Row],[ISIN]],'Novia Web Query'!$A:$E,2,FALSE)</f>
        <v>L&amp;G Japan Index Trust C Inc TR in GB**</v>
      </c>
      <c r="C2391" t="str">
        <f>VLOOKUP(NoviaFunds[[#This Row],[ISIN]],'Novia Web Query'!$A:$E,3,FALSE)</f>
        <v>UT Japan</v>
      </c>
      <c r="D2391" s="139">
        <f>VLOOKUP(NoviaFunds[[#This Row],[ISIN]],'Novia Web Query'!$A:$E,4,FALSE)/100</f>
        <v>1E-3</v>
      </c>
      <c r="E2391" s="3" t="str">
        <f>VLOOKUP(NoviaFunds[[#This Row],[ISIN]],'Novia Web Query'!$A:$E,5,FALSE)</f>
        <v>31/08/2021</v>
      </c>
      <c r="F2391" t="str">
        <f>VLOOKUP(NoviaFunds[[#This Row],[Sector]],Sectors[],2,FALSE)</f>
        <v>Japanese Equities</v>
      </c>
    </row>
    <row r="2392" spans="1:6" x14ac:dyDescent="0.2">
      <c r="A2392" t="str">
        <f>'Novia Web Query'!A2388</f>
        <v>GB00B0CNGW03</v>
      </c>
      <c r="B2392" t="str">
        <f>VLOOKUP(NoviaFunds[[#This Row],[ISIN]],'Novia Web Query'!$A:$E,2,FALSE)</f>
        <v>L&amp;G Japan Index Trust I Acc in GB**</v>
      </c>
      <c r="C2392" t="str">
        <f>VLOOKUP(NoviaFunds[[#This Row],[ISIN]],'Novia Web Query'!$A:$E,3,FALSE)</f>
        <v>UT Japan</v>
      </c>
      <c r="D2392" s="139">
        <f>VLOOKUP(NoviaFunds[[#This Row],[ISIN]],'Novia Web Query'!$A:$E,4,FALSE)/100</f>
        <v>1.5E-3</v>
      </c>
      <c r="E2392" s="3" t="str">
        <f>VLOOKUP(NoviaFunds[[#This Row],[ISIN]],'Novia Web Query'!$A:$E,5,FALSE)</f>
        <v>31/08/2021</v>
      </c>
      <c r="F2392" t="str">
        <f>VLOOKUP(NoviaFunds[[#This Row],[Sector]],Sectors[],2,FALSE)</f>
        <v>Japanese Equities</v>
      </c>
    </row>
    <row r="2393" spans="1:6" x14ac:dyDescent="0.2">
      <c r="A2393" t="str">
        <f>'Novia Web Query'!A2389</f>
        <v>GB00B0CNGV95</v>
      </c>
      <c r="B2393" t="str">
        <f>VLOOKUP(NoviaFunds[[#This Row],[ISIN]],'Novia Web Query'!$A:$E,2,FALSE)</f>
        <v>L&amp;G Japan Index Trust I Inc TR in GB**</v>
      </c>
      <c r="C2393" t="str">
        <f>VLOOKUP(NoviaFunds[[#This Row],[ISIN]],'Novia Web Query'!$A:$E,3,FALSE)</f>
        <v>UT Japan</v>
      </c>
      <c r="D2393" s="139">
        <f>VLOOKUP(NoviaFunds[[#This Row],[ISIN]],'Novia Web Query'!$A:$E,4,FALSE)/100</f>
        <v>1.5E-3</v>
      </c>
      <c r="E2393" s="3" t="str">
        <f>VLOOKUP(NoviaFunds[[#This Row],[ISIN]],'Novia Web Query'!$A:$E,5,FALSE)</f>
        <v>31/08/2021</v>
      </c>
      <c r="F2393" t="str">
        <f>VLOOKUP(NoviaFunds[[#This Row],[Sector]],Sectors[],2,FALSE)</f>
        <v>Japanese Equities</v>
      </c>
    </row>
    <row r="2394" spans="1:6" x14ac:dyDescent="0.2">
      <c r="A2394" t="str">
        <f>'Novia Web Query'!A2390</f>
        <v>GB0002050879</v>
      </c>
      <c r="B2394" t="str">
        <f>VLOOKUP(NoviaFunds[[#This Row],[ISIN]],'Novia Web Query'!$A:$E,2,FALSE)</f>
        <v>L&amp;G Japan Index Trust R Acc in GB</v>
      </c>
      <c r="C2394" t="str">
        <f>VLOOKUP(NoviaFunds[[#This Row],[ISIN]],'Novia Web Query'!$A:$E,3,FALSE)</f>
        <v>UT Japan</v>
      </c>
      <c r="D2394" s="139">
        <f>VLOOKUP(NoviaFunds[[#This Row],[ISIN]],'Novia Web Query'!$A:$E,4,FALSE)/100</f>
        <v>5.3E-3</v>
      </c>
      <c r="E2394" s="3" t="str">
        <f>VLOOKUP(NoviaFunds[[#This Row],[ISIN]],'Novia Web Query'!$A:$E,5,FALSE)</f>
        <v>31/08/2021</v>
      </c>
      <c r="F2394" t="str">
        <f>VLOOKUP(NoviaFunds[[#This Row],[Sector]],Sectors[],2,FALSE)</f>
        <v>Japanese Equities</v>
      </c>
    </row>
    <row r="2395" spans="1:6" x14ac:dyDescent="0.2">
      <c r="A2395" t="str">
        <f>'Novia Web Query'!A2391</f>
        <v>GB0005135420</v>
      </c>
      <c r="B2395" t="str">
        <f>VLOOKUP(NoviaFunds[[#This Row],[ISIN]],'Novia Web Query'!$A:$E,2,FALSE)</f>
        <v>L&amp;G Japan Index Trust R Inc TR in GB**</v>
      </c>
      <c r="C2395" t="str">
        <f>VLOOKUP(NoviaFunds[[#This Row],[ISIN]],'Novia Web Query'!$A:$E,3,FALSE)</f>
        <v>UT Japan</v>
      </c>
      <c r="D2395" s="139">
        <f>VLOOKUP(NoviaFunds[[#This Row],[ISIN]],'Novia Web Query'!$A:$E,4,FALSE)/100</f>
        <v>5.3E-3</v>
      </c>
      <c r="E2395" s="3" t="str">
        <f>VLOOKUP(NoviaFunds[[#This Row],[ISIN]],'Novia Web Query'!$A:$E,5,FALSE)</f>
        <v>31/08/2021</v>
      </c>
      <c r="F2395" t="str">
        <f>VLOOKUP(NoviaFunds[[#This Row],[Sector]],Sectors[],2,FALSE)</f>
        <v>Japanese Equities</v>
      </c>
    </row>
    <row r="2396" spans="1:6" x14ac:dyDescent="0.2">
      <c r="A2396" t="str">
        <f>'Novia Web Query'!A2392</f>
        <v>GB00B0CNHQ18</v>
      </c>
      <c r="B2396" t="str">
        <f>VLOOKUP(NoviaFunds[[#This Row],[ISIN]],'Novia Web Query'!$A:$E,2,FALSE)</f>
        <v>L&amp;G Managed Monthly Income Trust I Acc TR in GB**</v>
      </c>
      <c r="C2396" t="str">
        <f>VLOOKUP(NoviaFunds[[#This Row],[ISIN]],'Novia Web Query'!$A:$E,3,FALSE)</f>
        <v>UT Sterling Corporate Bond</v>
      </c>
      <c r="D2396" s="139">
        <f>VLOOKUP(NoviaFunds[[#This Row],[ISIN]],'Novia Web Query'!$A:$E,4,FALSE)/100</f>
        <v>4.4000000000000003E-3</v>
      </c>
      <c r="E2396" s="3" t="str">
        <f>VLOOKUP(NoviaFunds[[#This Row],[ISIN]],'Novia Web Query'!$A:$E,5,FALSE)</f>
        <v>31/08/2021</v>
      </c>
      <c r="F2396" t="str">
        <f>VLOOKUP(NoviaFunds[[#This Row],[Sector]],Sectors[],2,FALSE)</f>
        <v>Sterling Corporate Bonds</v>
      </c>
    </row>
    <row r="2397" spans="1:6" x14ac:dyDescent="0.2">
      <c r="A2397" t="str">
        <f>'Novia Web Query'!A2393</f>
        <v>GB00B0CNHP01</v>
      </c>
      <c r="B2397" t="str">
        <f>VLOOKUP(NoviaFunds[[#This Row],[ISIN]],'Novia Web Query'!$A:$E,2,FALSE)</f>
        <v>L&amp;G Managed Monthly Income Trust I Inc TR in GB**</v>
      </c>
      <c r="C2397" t="str">
        <f>VLOOKUP(NoviaFunds[[#This Row],[ISIN]],'Novia Web Query'!$A:$E,3,FALSE)</f>
        <v>UT Sterling Corporate Bond</v>
      </c>
      <c r="D2397" s="139">
        <f>VLOOKUP(NoviaFunds[[#This Row],[ISIN]],'Novia Web Query'!$A:$E,4,FALSE)/100</f>
        <v>4.4000000000000003E-3</v>
      </c>
      <c r="E2397" s="3" t="str">
        <f>VLOOKUP(NoviaFunds[[#This Row],[ISIN]],'Novia Web Query'!$A:$E,5,FALSE)</f>
        <v>31/08/2021</v>
      </c>
      <c r="F2397" t="str">
        <f>VLOOKUP(NoviaFunds[[#This Row],[Sector]],Sectors[],2,FALSE)</f>
        <v>Sterling Corporate Bonds</v>
      </c>
    </row>
    <row r="2398" spans="1:6" x14ac:dyDescent="0.2">
      <c r="A2398" t="str">
        <f>'Novia Web Query'!A2394</f>
        <v>GB0030803117</v>
      </c>
      <c r="B2398" t="str">
        <f>VLOOKUP(NoviaFunds[[#This Row],[ISIN]],'Novia Web Query'!$A:$E,2,FALSE)</f>
        <v>L&amp;G Managed Monthly Income Trust R Acc in GB</v>
      </c>
      <c r="C2398" t="str">
        <f>VLOOKUP(NoviaFunds[[#This Row],[ISIN]],'Novia Web Query'!$A:$E,3,FALSE)</f>
        <v>UT Sterling Corporate Bond</v>
      </c>
      <c r="D2398" s="139">
        <f>VLOOKUP(NoviaFunds[[#This Row],[ISIN]],'Novia Web Query'!$A:$E,4,FALSE)/100</f>
        <v>1.03E-2</v>
      </c>
      <c r="E2398" s="3" t="str">
        <f>VLOOKUP(NoviaFunds[[#This Row],[ISIN]],'Novia Web Query'!$A:$E,5,FALSE)</f>
        <v>31/08/2021</v>
      </c>
      <c r="F2398" t="str">
        <f>VLOOKUP(NoviaFunds[[#This Row],[Sector]],Sectors[],2,FALSE)</f>
        <v>Sterling Corporate Bonds</v>
      </c>
    </row>
    <row r="2399" spans="1:6" x14ac:dyDescent="0.2">
      <c r="A2399" t="str">
        <f>'Novia Web Query'!A2395</f>
        <v>GB0001572295</v>
      </c>
      <c r="B2399" t="str">
        <f>VLOOKUP(NoviaFunds[[#This Row],[ISIN]],'Novia Web Query'!$A:$E,2,FALSE)</f>
        <v>L&amp;G Managed Monthly Income Trust R Inc TR in GB</v>
      </c>
      <c r="C2399" t="str">
        <f>VLOOKUP(NoviaFunds[[#This Row],[ISIN]],'Novia Web Query'!$A:$E,3,FALSE)</f>
        <v>UT Sterling Corporate Bond</v>
      </c>
      <c r="D2399" s="139">
        <f>VLOOKUP(NoviaFunds[[#This Row],[ISIN]],'Novia Web Query'!$A:$E,4,FALSE)/100</f>
        <v>1.03E-2</v>
      </c>
      <c r="E2399" s="3" t="str">
        <f>VLOOKUP(NoviaFunds[[#This Row],[ISIN]],'Novia Web Query'!$A:$E,5,FALSE)</f>
        <v>31/08/2021</v>
      </c>
      <c r="F2399" t="str">
        <f>VLOOKUP(NoviaFunds[[#This Row],[Sector]],Sectors[],2,FALSE)</f>
        <v>Sterling Corporate Bonds</v>
      </c>
    </row>
    <row r="2400" spans="1:6" x14ac:dyDescent="0.2">
      <c r="A2400" t="str">
        <f>'Novia Web Query'!A2396</f>
        <v>GB00B8KRCM23</v>
      </c>
      <c r="B2400" t="str">
        <f>VLOOKUP(NoviaFunds[[#This Row],[ISIN]],'Novia Web Query'!$A:$E,2,FALSE)</f>
        <v>L&amp;G Mixed Investment 0-35% I Acc in GB</v>
      </c>
      <c r="C2400" t="str">
        <f>VLOOKUP(NoviaFunds[[#This Row],[ISIN]],'Novia Web Query'!$A:$E,3,FALSE)</f>
        <v>UT Mixed Investment 0-35% Shares</v>
      </c>
      <c r="D2400" s="139">
        <f>VLOOKUP(NoviaFunds[[#This Row],[ISIN]],'Novia Web Query'!$A:$E,4,FALSE)/100</f>
        <v>4.4000000000000003E-3</v>
      </c>
      <c r="E2400" s="3" t="str">
        <f>VLOOKUP(NoviaFunds[[#This Row],[ISIN]],'Novia Web Query'!$A:$E,5,FALSE)</f>
        <v>31/08/2021</v>
      </c>
      <c r="F2400" t="str">
        <f>VLOOKUP(NoviaFunds[[#This Row],[Sector]],Sectors[],2,FALSE)</f>
        <v>Mixed 0%-35%</v>
      </c>
    </row>
    <row r="2401" spans="1:6" x14ac:dyDescent="0.2">
      <c r="A2401" t="str">
        <f>'Novia Web Query'!A2397</f>
        <v>GB00B8B8CK26</v>
      </c>
      <c r="B2401" t="str">
        <f>VLOOKUP(NoviaFunds[[#This Row],[ISIN]],'Novia Web Query'!$A:$E,2,FALSE)</f>
        <v>L&amp;G Mixed Investment 0-35% I Inc TR in GB</v>
      </c>
      <c r="C2401" t="str">
        <f>VLOOKUP(NoviaFunds[[#This Row],[ISIN]],'Novia Web Query'!$A:$E,3,FALSE)</f>
        <v>UT Mixed Investment 0-35% Shares</v>
      </c>
      <c r="D2401" s="139">
        <f>VLOOKUP(NoviaFunds[[#This Row],[ISIN]],'Novia Web Query'!$A:$E,4,FALSE)/100</f>
        <v>4.4000000000000003E-3</v>
      </c>
      <c r="E2401" s="3" t="str">
        <f>VLOOKUP(NoviaFunds[[#This Row],[ISIN]],'Novia Web Query'!$A:$E,5,FALSE)</f>
        <v>31/08/2021</v>
      </c>
      <c r="F2401" t="str">
        <f>VLOOKUP(NoviaFunds[[#This Row],[Sector]],Sectors[],2,FALSE)</f>
        <v>Mixed 0%-35%</v>
      </c>
    </row>
    <row r="2402" spans="1:6" x14ac:dyDescent="0.2">
      <c r="A2402" t="str">
        <f>'Novia Web Query'!A2398</f>
        <v>GB00B3XPLT84</v>
      </c>
      <c r="B2402" t="str">
        <f>VLOOKUP(NoviaFunds[[#This Row],[ISIN]],'Novia Web Query'!$A:$E,2,FALSE)</f>
        <v>L&amp;G Mixed Investment 0-35% R Acc in GB</v>
      </c>
      <c r="C2402" t="str">
        <f>VLOOKUP(NoviaFunds[[#This Row],[ISIN]],'Novia Web Query'!$A:$E,3,FALSE)</f>
        <v>UT Mixed Investment 0-35% Shares</v>
      </c>
      <c r="D2402" s="139">
        <f>VLOOKUP(NoviaFunds[[#This Row],[ISIN]],'Novia Web Query'!$A:$E,4,FALSE)/100</f>
        <v>1.18E-2</v>
      </c>
      <c r="E2402" s="3" t="str">
        <f>VLOOKUP(NoviaFunds[[#This Row],[ISIN]],'Novia Web Query'!$A:$E,5,FALSE)</f>
        <v>31/08/2021</v>
      </c>
      <c r="F2402" t="str">
        <f>VLOOKUP(NoviaFunds[[#This Row],[Sector]],Sectors[],2,FALSE)</f>
        <v>Mixed 0%-35%</v>
      </c>
    </row>
    <row r="2403" spans="1:6" x14ac:dyDescent="0.2">
      <c r="A2403" t="str">
        <f>'Novia Web Query'!A2399</f>
        <v>GB00BMHTPP34</v>
      </c>
      <c r="B2403" t="str">
        <f>VLOOKUP(NoviaFunds[[#This Row],[ISIN]],'Novia Web Query'!$A:$E,2,FALSE)</f>
        <v>L&amp;G Mixed Investment 20-60% I Acc in GB</v>
      </c>
      <c r="C2403" t="str">
        <f>VLOOKUP(NoviaFunds[[#This Row],[ISIN]],'Novia Web Query'!$A:$E,3,FALSE)</f>
        <v>UT Mixed Investment 20-60% Shares</v>
      </c>
      <c r="D2403" s="139">
        <f>VLOOKUP(NoviaFunds[[#This Row],[ISIN]],'Novia Web Query'!$A:$E,4,FALSE)/100</f>
        <v>4.5999999999999999E-3</v>
      </c>
      <c r="E2403" s="3" t="str">
        <f>VLOOKUP(NoviaFunds[[#This Row],[ISIN]],'Novia Web Query'!$A:$E,5,FALSE)</f>
        <v>31/08/2021</v>
      </c>
      <c r="F2403" t="str">
        <f>VLOOKUP(NoviaFunds[[#This Row],[Sector]],Sectors[],2,FALSE)</f>
        <v>Mixed 20%-60%</v>
      </c>
    </row>
    <row r="2404" spans="1:6" x14ac:dyDescent="0.2">
      <c r="A2404" t="str">
        <f>'Novia Web Query'!A2400</f>
        <v>GB00BMHTPN10</v>
      </c>
      <c r="B2404" t="str">
        <f>VLOOKUP(NoviaFunds[[#This Row],[ISIN]],'Novia Web Query'!$A:$E,2,FALSE)</f>
        <v>L&amp;G Mixed Investment 20-60% I Inc TR in GB</v>
      </c>
      <c r="C2404" t="str">
        <f>VLOOKUP(NoviaFunds[[#This Row],[ISIN]],'Novia Web Query'!$A:$E,3,FALSE)</f>
        <v>UT Mixed Investment 20-60% Shares</v>
      </c>
      <c r="D2404" s="139">
        <f>VLOOKUP(NoviaFunds[[#This Row],[ISIN]],'Novia Web Query'!$A:$E,4,FALSE)/100</f>
        <v>4.5999999999999999E-3</v>
      </c>
      <c r="E2404" s="3" t="str">
        <f>VLOOKUP(NoviaFunds[[#This Row],[ISIN]],'Novia Web Query'!$A:$E,5,FALSE)</f>
        <v>31/08/2021</v>
      </c>
      <c r="F2404" t="str">
        <f>VLOOKUP(NoviaFunds[[#This Row],[Sector]],Sectors[],2,FALSE)</f>
        <v>Mixed 20%-60%</v>
      </c>
    </row>
    <row r="2405" spans="1:6" x14ac:dyDescent="0.2">
      <c r="A2405" t="str">
        <f>'Novia Web Query'!A2401</f>
        <v>GB00BMHTPW01</v>
      </c>
      <c r="B2405" t="str">
        <f>VLOOKUP(NoviaFunds[[#This Row],[ISIN]],'Novia Web Query'!$A:$E,2,FALSE)</f>
        <v>L&amp;G Mixed Investment 40-85% I Acc in GB</v>
      </c>
      <c r="C2405" t="str">
        <f>VLOOKUP(NoviaFunds[[#This Row],[ISIN]],'Novia Web Query'!$A:$E,3,FALSE)</f>
        <v>UT Mixed Investment 40-85% Shares</v>
      </c>
      <c r="D2405" s="139">
        <f>VLOOKUP(NoviaFunds[[#This Row],[ISIN]],'Novia Web Query'!$A:$E,4,FALSE)/100</f>
        <v>4.5999999999999999E-3</v>
      </c>
      <c r="E2405" s="3" t="str">
        <f>VLOOKUP(NoviaFunds[[#This Row],[ISIN]],'Novia Web Query'!$A:$E,5,FALSE)</f>
        <v>31/08/2021</v>
      </c>
      <c r="F2405" t="str">
        <f>VLOOKUP(NoviaFunds[[#This Row],[Sector]],Sectors[],2,FALSE)</f>
        <v>Mixed 40%-85%</v>
      </c>
    </row>
    <row r="2406" spans="1:6" x14ac:dyDescent="0.2">
      <c r="A2406" t="str">
        <f>'Novia Web Query'!A2402</f>
        <v>GB00BMHTPV93</v>
      </c>
      <c r="B2406" t="str">
        <f>VLOOKUP(NoviaFunds[[#This Row],[ISIN]],'Novia Web Query'!$A:$E,2,FALSE)</f>
        <v>L&amp;G Mixed Investment 40-85% I Inc TR in GB</v>
      </c>
      <c r="C2406" t="str">
        <f>VLOOKUP(NoviaFunds[[#This Row],[ISIN]],'Novia Web Query'!$A:$E,3,FALSE)</f>
        <v>UT Mixed Investment 40-85% Shares</v>
      </c>
      <c r="D2406" s="139">
        <f>VLOOKUP(NoviaFunds[[#This Row],[ISIN]],'Novia Web Query'!$A:$E,4,FALSE)/100</f>
        <v>4.5999999999999999E-3</v>
      </c>
      <c r="E2406" s="3" t="str">
        <f>VLOOKUP(NoviaFunds[[#This Row],[ISIN]],'Novia Web Query'!$A:$E,5,FALSE)</f>
        <v>31/08/2021</v>
      </c>
      <c r="F2406" t="str">
        <f>VLOOKUP(NoviaFunds[[#This Row],[Sector]],Sectors[],2,FALSE)</f>
        <v>Mixed 40%-85%</v>
      </c>
    </row>
    <row r="2407" spans="1:6" x14ac:dyDescent="0.2">
      <c r="A2407" t="str">
        <f>'Novia Web Query'!A2403</f>
        <v>GB00B3KTR281</v>
      </c>
      <c r="B2407" t="str">
        <f>VLOOKUP(NoviaFunds[[#This Row],[ISIN]],'Novia Web Query'!$A:$E,2,FALSE)</f>
        <v>L&amp;G Mixed Investment 40-85% R Acc in GB**</v>
      </c>
      <c r="C2407" t="str">
        <f>VLOOKUP(NoviaFunds[[#This Row],[ISIN]],'Novia Web Query'!$A:$E,3,FALSE)</f>
        <v>UT Mixed Investment 40-85% Shares</v>
      </c>
      <c r="D2407" s="139">
        <f>VLOOKUP(NoviaFunds[[#This Row],[ISIN]],'Novia Web Query'!$A:$E,4,FALSE)/100</f>
        <v>1.2E-2</v>
      </c>
      <c r="E2407" s="3" t="str">
        <f>VLOOKUP(NoviaFunds[[#This Row],[ISIN]],'Novia Web Query'!$A:$E,5,FALSE)</f>
        <v>31/08/2021</v>
      </c>
      <c r="F2407" t="str">
        <f>VLOOKUP(NoviaFunds[[#This Row],[Sector]],Sectors[],2,FALSE)</f>
        <v>Mixed 40%-85%</v>
      </c>
    </row>
    <row r="2408" spans="1:6" x14ac:dyDescent="0.2">
      <c r="A2408" t="str">
        <f>'Novia Web Query'!A2404</f>
        <v>GB00B0CNH940</v>
      </c>
      <c r="B2408" t="str">
        <f>VLOOKUP(NoviaFunds[[#This Row],[ISIN]],'Novia Web Query'!$A:$E,2,FALSE)</f>
        <v>L&amp;G MSCI World Socially Responsible Investment (SRI) Index I Acc in GB**</v>
      </c>
      <c r="C2408" t="str">
        <f>VLOOKUP(NoviaFunds[[#This Row],[ISIN]],'Novia Web Query'!$A:$E,3,FALSE)</f>
        <v>UT Global</v>
      </c>
      <c r="D2408" s="139">
        <f>VLOOKUP(NoviaFunds[[#This Row],[ISIN]],'Novia Web Query'!$A:$E,4,FALSE)/100</f>
        <v>2.5000000000000001E-3</v>
      </c>
      <c r="E2408" s="3" t="str">
        <f>VLOOKUP(NoviaFunds[[#This Row],[ISIN]],'Novia Web Query'!$A:$E,5,FALSE)</f>
        <v>31/08/2021</v>
      </c>
      <c r="F2408" t="str">
        <f>VLOOKUP(NoviaFunds[[#This Row],[Sector]],Sectors[],2,FALSE)</f>
        <v>Other Equities</v>
      </c>
    </row>
    <row r="2409" spans="1:6" x14ac:dyDescent="0.2">
      <c r="A2409" t="str">
        <f>'Novia Web Query'!A2405</f>
        <v>GB00B0CNH833</v>
      </c>
      <c r="B2409" t="str">
        <f>VLOOKUP(NoviaFunds[[#This Row],[ISIN]],'Novia Web Query'!$A:$E,2,FALSE)</f>
        <v>L&amp;G MSCI World Socially Responsible Investment (SRI) Index I Inc TR in GB</v>
      </c>
      <c r="C2409" t="str">
        <f>VLOOKUP(NoviaFunds[[#This Row],[ISIN]],'Novia Web Query'!$A:$E,3,FALSE)</f>
        <v>UT Global</v>
      </c>
      <c r="D2409" s="139">
        <f>VLOOKUP(NoviaFunds[[#This Row],[ISIN]],'Novia Web Query'!$A:$E,4,FALSE)/100</f>
        <v>2.5000000000000001E-3</v>
      </c>
      <c r="E2409" s="3" t="str">
        <f>VLOOKUP(NoviaFunds[[#This Row],[ISIN]],'Novia Web Query'!$A:$E,5,FALSE)</f>
        <v>31/08/2021</v>
      </c>
      <c r="F2409" t="str">
        <f>VLOOKUP(NoviaFunds[[#This Row],[Sector]],Sectors[],2,FALSE)</f>
        <v>Other Equities</v>
      </c>
    </row>
    <row r="2410" spans="1:6" x14ac:dyDescent="0.2">
      <c r="A2410" t="str">
        <f>'Novia Web Query'!A2406</f>
        <v>GB0009243824</v>
      </c>
      <c r="B2410" t="str">
        <f>VLOOKUP(NoviaFunds[[#This Row],[ISIN]],'Novia Web Query'!$A:$E,2,FALSE)</f>
        <v>L&amp;G MSCI World Socially Responsible Investment (SRI) Index R Acc in GB</v>
      </c>
      <c r="C2410" t="str">
        <f>VLOOKUP(NoviaFunds[[#This Row],[ISIN]],'Novia Web Query'!$A:$E,3,FALSE)</f>
        <v>UT Global</v>
      </c>
      <c r="D2410" s="139">
        <f>VLOOKUP(NoviaFunds[[#This Row],[ISIN]],'Novia Web Query'!$A:$E,4,FALSE)/100</f>
        <v>5.5000000000000005E-3</v>
      </c>
      <c r="E2410" s="3" t="str">
        <f>VLOOKUP(NoviaFunds[[#This Row],[ISIN]],'Novia Web Query'!$A:$E,5,FALSE)</f>
        <v>31/08/2021</v>
      </c>
      <c r="F2410" t="str">
        <f>VLOOKUP(NoviaFunds[[#This Row],[Sector]],Sectors[],2,FALSE)</f>
        <v>Other Equities</v>
      </c>
    </row>
    <row r="2411" spans="1:6" x14ac:dyDescent="0.2">
      <c r="A2411" t="str">
        <f>'Novia Web Query'!A2407</f>
        <v>GB0007642548</v>
      </c>
      <c r="B2411" t="str">
        <f>VLOOKUP(NoviaFunds[[#This Row],[ISIN]],'Novia Web Query'!$A:$E,2,FALSE)</f>
        <v>L&amp;G MSCI World Socially Responsible Investment (SRI) Index R Inc TR in GB</v>
      </c>
      <c r="C2411" t="str">
        <f>VLOOKUP(NoviaFunds[[#This Row],[ISIN]],'Novia Web Query'!$A:$E,3,FALSE)</f>
        <v>UT Global</v>
      </c>
      <c r="D2411" s="139">
        <f>VLOOKUP(NoviaFunds[[#This Row],[ISIN]],'Novia Web Query'!$A:$E,4,FALSE)/100</f>
        <v>5.5000000000000005E-3</v>
      </c>
      <c r="E2411" s="3" t="str">
        <f>VLOOKUP(NoviaFunds[[#This Row],[ISIN]],'Novia Web Query'!$A:$E,5,FALSE)</f>
        <v>31/08/2021</v>
      </c>
      <c r="F2411" t="str">
        <f>VLOOKUP(NoviaFunds[[#This Row],[Sector]],Sectors[],2,FALSE)</f>
        <v>Other Equities</v>
      </c>
    </row>
    <row r="2412" spans="1:6" x14ac:dyDescent="0.2">
      <c r="A2412" t="str">
        <f>'Novia Web Query'!A2408</f>
        <v>GB00B8L25945</v>
      </c>
      <c r="B2412" t="str">
        <f>VLOOKUP(NoviaFunds[[#This Row],[ISIN]],'Novia Web Query'!$A:$E,2,FALSE)</f>
        <v>L&amp;G Multi Manager Balanced Trust I Acc in GB</v>
      </c>
      <c r="C2412" t="str">
        <f>VLOOKUP(NoviaFunds[[#This Row],[ISIN]],'Novia Web Query'!$A:$E,3,FALSE)</f>
        <v>UT Mixed Investment 40-85% Shares</v>
      </c>
      <c r="D2412" s="139">
        <f>VLOOKUP(NoviaFunds[[#This Row],[ISIN]],'Novia Web Query'!$A:$E,4,FALSE)/100</f>
        <v>1.32E-2</v>
      </c>
      <c r="E2412" s="3" t="str">
        <f>VLOOKUP(NoviaFunds[[#This Row],[ISIN]],'Novia Web Query'!$A:$E,5,FALSE)</f>
        <v>31/08/2021</v>
      </c>
      <c r="F2412" t="str">
        <f>VLOOKUP(NoviaFunds[[#This Row],[Sector]],Sectors[],2,FALSE)</f>
        <v>Mixed 40%-85%</v>
      </c>
    </row>
    <row r="2413" spans="1:6" x14ac:dyDescent="0.2">
      <c r="A2413" t="str">
        <f>'Novia Web Query'!A2409</f>
        <v>GB00B8L29M57</v>
      </c>
      <c r="B2413" t="str">
        <f>VLOOKUP(NoviaFunds[[#This Row],[ISIN]],'Novia Web Query'!$A:$E,2,FALSE)</f>
        <v>L&amp;G Multi Manager Balanced Trust I Inc TR in GB</v>
      </c>
      <c r="C2413" t="str">
        <f>VLOOKUP(NoviaFunds[[#This Row],[ISIN]],'Novia Web Query'!$A:$E,3,FALSE)</f>
        <v>UT Mixed Investment 40-85% Shares</v>
      </c>
      <c r="D2413" s="139">
        <f>VLOOKUP(NoviaFunds[[#This Row],[ISIN]],'Novia Web Query'!$A:$E,4,FALSE)/100</f>
        <v>1.32E-2</v>
      </c>
      <c r="E2413" s="3" t="str">
        <f>VLOOKUP(NoviaFunds[[#This Row],[ISIN]],'Novia Web Query'!$A:$E,5,FALSE)</f>
        <v>31/08/2021</v>
      </c>
      <c r="F2413" t="str">
        <f>VLOOKUP(NoviaFunds[[#This Row],[Sector]],Sectors[],2,FALSE)</f>
        <v>Mixed 40%-85%</v>
      </c>
    </row>
    <row r="2414" spans="1:6" x14ac:dyDescent="0.2">
      <c r="A2414" t="str">
        <f>'Novia Web Query'!A2410</f>
        <v>GB00B2Q4RX11</v>
      </c>
      <c r="B2414" t="str">
        <f>VLOOKUP(NoviaFunds[[#This Row],[ISIN]],'Novia Web Query'!$A:$E,2,FALSE)</f>
        <v>L&amp;G Multi Manager Balanced Trust R Acc in GB</v>
      </c>
      <c r="C2414" t="str">
        <f>VLOOKUP(NoviaFunds[[#This Row],[ISIN]],'Novia Web Query'!$A:$E,3,FALSE)</f>
        <v>UT Mixed Investment 40-85% Shares</v>
      </c>
      <c r="D2414" s="139">
        <f>VLOOKUP(NoviaFunds[[#This Row],[ISIN]],'Novia Web Query'!$A:$E,4,FALSE)/100</f>
        <v>1.7100000000000001E-2</v>
      </c>
      <c r="E2414" s="3" t="str">
        <f>VLOOKUP(NoviaFunds[[#This Row],[ISIN]],'Novia Web Query'!$A:$E,5,FALSE)</f>
        <v>31/08/2021</v>
      </c>
      <c r="F2414" t="str">
        <f>VLOOKUP(NoviaFunds[[#This Row],[Sector]],Sectors[],2,FALSE)</f>
        <v>Mixed 40%-85%</v>
      </c>
    </row>
    <row r="2415" spans="1:6" x14ac:dyDescent="0.2">
      <c r="A2415" t="str">
        <f>'Novia Web Query'!A2411</f>
        <v>GB00B2Q4RZ35</v>
      </c>
      <c r="B2415" t="str">
        <f>VLOOKUP(NoviaFunds[[#This Row],[ISIN]],'Novia Web Query'!$A:$E,2,FALSE)</f>
        <v>L&amp;G Multi Manager Balanced Trust R Inc TR in GB</v>
      </c>
      <c r="C2415" t="str">
        <f>VLOOKUP(NoviaFunds[[#This Row],[ISIN]],'Novia Web Query'!$A:$E,3,FALSE)</f>
        <v>UT Mixed Investment 40-85% Shares</v>
      </c>
      <c r="D2415" s="139">
        <f>VLOOKUP(NoviaFunds[[#This Row],[ISIN]],'Novia Web Query'!$A:$E,4,FALSE)/100</f>
        <v>1.7100000000000001E-2</v>
      </c>
      <c r="E2415" s="3" t="str">
        <f>VLOOKUP(NoviaFunds[[#This Row],[ISIN]],'Novia Web Query'!$A:$E,5,FALSE)</f>
        <v>31/08/2021</v>
      </c>
      <c r="F2415" t="str">
        <f>VLOOKUP(NoviaFunds[[#This Row],[Sector]],Sectors[],2,FALSE)</f>
        <v>Mixed 40%-85%</v>
      </c>
    </row>
    <row r="2416" spans="1:6" x14ac:dyDescent="0.2">
      <c r="A2416" t="str">
        <f>'Novia Web Query'!A2412</f>
        <v>GB00B8L2B307</v>
      </c>
      <c r="B2416" t="str">
        <f>VLOOKUP(NoviaFunds[[#This Row],[ISIN]],'Novia Web Query'!$A:$E,2,FALSE)</f>
        <v>L&amp;G Multi Manager Growth Trust I Acc in GB</v>
      </c>
      <c r="C2416" t="str">
        <f>VLOOKUP(NoviaFunds[[#This Row],[ISIN]],'Novia Web Query'!$A:$E,3,FALSE)</f>
        <v>UT Flexible Investment</v>
      </c>
      <c r="D2416" s="139">
        <f>VLOOKUP(NoviaFunds[[#This Row],[ISIN]],'Novia Web Query'!$A:$E,4,FALSE)/100</f>
        <v>1.2699999999999999E-2</v>
      </c>
      <c r="E2416" s="3" t="str">
        <f>VLOOKUP(NoviaFunds[[#This Row],[ISIN]],'Novia Web Query'!$A:$E,5,FALSE)</f>
        <v>31/08/2021</v>
      </c>
      <c r="F2416" t="str">
        <f>VLOOKUP(NoviaFunds[[#This Row],[Sector]],Sectors[],2,FALSE)</f>
        <v>Flexible</v>
      </c>
    </row>
    <row r="2417" spans="1:6" x14ac:dyDescent="0.2">
      <c r="A2417" t="str">
        <f>'Novia Web Query'!A2413</f>
        <v>GB00B8L2FY97</v>
      </c>
      <c r="B2417" t="str">
        <f>VLOOKUP(NoviaFunds[[#This Row],[ISIN]],'Novia Web Query'!$A:$E,2,FALSE)</f>
        <v>L&amp;G Multi Manager Growth Trust I Inc TR in GB</v>
      </c>
      <c r="C2417" t="str">
        <f>VLOOKUP(NoviaFunds[[#This Row],[ISIN]],'Novia Web Query'!$A:$E,3,FALSE)</f>
        <v>UT Flexible Investment</v>
      </c>
      <c r="D2417" s="139">
        <f>VLOOKUP(NoviaFunds[[#This Row],[ISIN]],'Novia Web Query'!$A:$E,4,FALSE)/100</f>
        <v>1.2699999999999999E-2</v>
      </c>
      <c r="E2417" s="3" t="str">
        <f>VLOOKUP(NoviaFunds[[#This Row],[ISIN]],'Novia Web Query'!$A:$E,5,FALSE)</f>
        <v>31/08/2021</v>
      </c>
      <c r="F2417" t="str">
        <f>VLOOKUP(NoviaFunds[[#This Row],[Sector]],Sectors[],2,FALSE)</f>
        <v>Flexible</v>
      </c>
    </row>
    <row r="2418" spans="1:6" x14ac:dyDescent="0.2">
      <c r="A2418" t="str">
        <f>'Novia Web Query'!A2414</f>
        <v>GB00B2Q4RQ44</v>
      </c>
      <c r="B2418" t="str">
        <f>VLOOKUP(NoviaFunds[[#This Row],[ISIN]],'Novia Web Query'!$A:$E,2,FALSE)</f>
        <v>L&amp;G Multi Manager Growth Trust R Acc in GB</v>
      </c>
      <c r="C2418" t="str">
        <f>VLOOKUP(NoviaFunds[[#This Row],[ISIN]],'Novia Web Query'!$A:$E,3,FALSE)</f>
        <v>UT Flexible Investment</v>
      </c>
      <c r="D2418" s="139">
        <f>VLOOKUP(NoviaFunds[[#This Row],[ISIN]],'Novia Web Query'!$A:$E,4,FALSE)/100</f>
        <v>1.66E-2</v>
      </c>
      <c r="E2418" s="3" t="str">
        <f>VLOOKUP(NoviaFunds[[#This Row],[ISIN]],'Novia Web Query'!$A:$E,5,FALSE)</f>
        <v>31/08/2021</v>
      </c>
      <c r="F2418" t="str">
        <f>VLOOKUP(NoviaFunds[[#This Row],[Sector]],Sectors[],2,FALSE)</f>
        <v>Flexible</v>
      </c>
    </row>
    <row r="2419" spans="1:6" x14ac:dyDescent="0.2">
      <c r="A2419" t="str">
        <f>'Novia Web Query'!A2415</f>
        <v>GB00B2Q4RS67</v>
      </c>
      <c r="B2419" t="str">
        <f>VLOOKUP(NoviaFunds[[#This Row],[ISIN]],'Novia Web Query'!$A:$E,2,FALSE)</f>
        <v>L&amp;G Multi Manager Growth Trust R Inc TR in GB</v>
      </c>
      <c r="C2419" t="str">
        <f>VLOOKUP(NoviaFunds[[#This Row],[ISIN]],'Novia Web Query'!$A:$E,3,FALSE)</f>
        <v>UT Flexible Investment</v>
      </c>
      <c r="D2419" s="139">
        <f>VLOOKUP(NoviaFunds[[#This Row],[ISIN]],'Novia Web Query'!$A:$E,4,FALSE)/100</f>
        <v>1.66E-2</v>
      </c>
      <c r="E2419" s="3" t="str">
        <f>VLOOKUP(NoviaFunds[[#This Row],[ISIN]],'Novia Web Query'!$A:$E,5,FALSE)</f>
        <v>31/08/2021</v>
      </c>
      <c r="F2419" t="str">
        <f>VLOOKUP(NoviaFunds[[#This Row],[Sector]],Sectors[],2,FALSE)</f>
        <v>Flexible</v>
      </c>
    </row>
    <row r="2420" spans="1:6" x14ac:dyDescent="0.2">
      <c r="A2420" t="str">
        <f>'Novia Web Query'!A2416</f>
        <v>GB00B8L2GH97</v>
      </c>
      <c r="B2420" t="str">
        <f>VLOOKUP(NoviaFunds[[#This Row],[ISIN]],'Novia Web Query'!$A:$E,2,FALSE)</f>
        <v>L&amp;G Multi Manager Income Trust I Acc in GB</v>
      </c>
      <c r="C2420" t="str">
        <f>VLOOKUP(NoviaFunds[[#This Row],[ISIN]],'Novia Web Query'!$A:$E,3,FALSE)</f>
        <v>UT Mixed Investment 20-60% Shares</v>
      </c>
      <c r="D2420" s="139">
        <f>VLOOKUP(NoviaFunds[[#This Row],[ISIN]],'Novia Web Query'!$A:$E,4,FALSE)/100</f>
        <v>1.1699999999999999E-2</v>
      </c>
      <c r="E2420" s="3" t="str">
        <f>VLOOKUP(NoviaFunds[[#This Row],[ISIN]],'Novia Web Query'!$A:$E,5,FALSE)</f>
        <v>31/08/2021</v>
      </c>
      <c r="F2420" t="str">
        <f>VLOOKUP(NoviaFunds[[#This Row],[Sector]],Sectors[],2,FALSE)</f>
        <v>Mixed 20%-60%</v>
      </c>
    </row>
    <row r="2421" spans="1:6" x14ac:dyDescent="0.2">
      <c r="A2421" t="str">
        <f>'Novia Web Query'!A2417</f>
        <v>GB00B8L2GX55</v>
      </c>
      <c r="B2421" t="str">
        <f>VLOOKUP(NoviaFunds[[#This Row],[ISIN]],'Novia Web Query'!$A:$E,2,FALSE)</f>
        <v>L&amp;G Multi Manager Income Trust I Inc TR in GB</v>
      </c>
      <c r="C2421" t="str">
        <f>VLOOKUP(NoviaFunds[[#This Row],[ISIN]],'Novia Web Query'!$A:$E,3,FALSE)</f>
        <v>UT Mixed Investment 20-60% Shares</v>
      </c>
      <c r="D2421" s="139">
        <f>VLOOKUP(NoviaFunds[[#This Row],[ISIN]],'Novia Web Query'!$A:$E,4,FALSE)/100</f>
        <v>1.1699999999999999E-2</v>
      </c>
      <c r="E2421" s="3" t="str">
        <f>VLOOKUP(NoviaFunds[[#This Row],[ISIN]],'Novia Web Query'!$A:$E,5,FALSE)</f>
        <v>31/08/2021</v>
      </c>
      <c r="F2421" t="str">
        <f>VLOOKUP(NoviaFunds[[#This Row],[Sector]],Sectors[],2,FALSE)</f>
        <v>Mixed 20%-60%</v>
      </c>
    </row>
    <row r="2422" spans="1:6" x14ac:dyDescent="0.2">
      <c r="A2422" t="str">
        <f>'Novia Web Query'!A2418</f>
        <v>GB00B2Q4RV96</v>
      </c>
      <c r="B2422" t="str">
        <f>VLOOKUP(NoviaFunds[[#This Row],[ISIN]],'Novia Web Query'!$A:$E,2,FALSE)</f>
        <v>L&amp;G Multi Manager Income Trust R Acc in GB</v>
      </c>
      <c r="C2422" t="str">
        <f>VLOOKUP(NoviaFunds[[#This Row],[ISIN]],'Novia Web Query'!$A:$E,3,FALSE)</f>
        <v>UT Mixed Investment 20-60% Shares</v>
      </c>
      <c r="D2422" s="139">
        <f>VLOOKUP(NoviaFunds[[#This Row],[ISIN]],'Novia Web Query'!$A:$E,4,FALSE)/100</f>
        <v>1.5600000000000001E-2</v>
      </c>
      <c r="E2422" s="3" t="str">
        <f>VLOOKUP(NoviaFunds[[#This Row],[ISIN]],'Novia Web Query'!$A:$E,5,FALSE)</f>
        <v>31/08/2021</v>
      </c>
      <c r="F2422" t="str">
        <f>VLOOKUP(NoviaFunds[[#This Row],[Sector]],Sectors[],2,FALSE)</f>
        <v>Mixed 20%-60%</v>
      </c>
    </row>
    <row r="2423" spans="1:6" x14ac:dyDescent="0.2">
      <c r="A2423" t="str">
        <f>'Novia Web Query'!A2419</f>
        <v>GB00B2Q4RW04</v>
      </c>
      <c r="B2423" t="str">
        <f>VLOOKUP(NoviaFunds[[#This Row],[ISIN]],'Novia Web Query'!$A:$E,2,FALSE)</f>
        <v>L&amp;G Multi Manager Income Trust R Inc TR in GB</v>
      </c>
      <c r="C2423" t="str">
        <f>VLOOKUP(NoviaFunds[[#This Row],[ISIN]],'Novia Web Query'!$A:$E,3,FALSE)</f>
        <v>UT Mixed Investment 20-60% Shares</v>
      </c>
      <c r="D2423" s="139">
        <f>VLOOKUP(NoviaFunds[[#This Row],[ISIN]],'Novia Web Query'!$A:$E,4,FALSE)/100</f>
        <v>1.5600000000000001E-2</v>
      </c>
      <c r="E2423" s="3" t="str">
        <f>VLOOKUP(NoviaFunds[[#This Row],[ISIN]],'Novia Web Query'!$A:$E,5,FALSE)</f>
        <v>31/08/2021</v>
      </c>
      <c r="F2423" t="str">
        <f>VLOOKUP(NoviaFunds[[#This Row],[Sector]],Sectors[],2,FALSE)</f>
        <v>Mixed 20%-60%</v>
      </c>
    </row>
    <row r="2424" spans="1:6" x14ac:dyDescent="0.2">
      <c r="A2424" t="str">
        <f>'Novia Web Query'!A2420</f>
        <v>GB00BD97XY71</v>
      </c>
      <c r="B2424" t="str">
        <f>VLOOKUP(NoviaFunds[[#This Row],[ISIN]],'Novia Web Query'!$A:$E,2,FALSE)</f>
        <v>L&amp;G Multi-Asset Target Return I Acc in GB</v>
      </c>
      <c r="C2424" t="str">
        <f>VLOOKUP(NoviaFunds[[#This Row],[ISIN]],'Novia Web Query'!$A:$E,3,FALSE)</f>
        <v>UT Targeted Absolute Return</v>
      </c>
      <c r="D2424" s="139">
        <f>VLOOKUP(NoviaFunds[[#This Row],[ISIN]],'Novia Web Query'!$A:$E,4,FALSE)/100</f>
        <v>6.5000000000000006E-3</v>
      </c>
      <c r="E2424" s="3" t="str">
        <f>VLOOKUP(NoviaFunds[[#This Row],[ISIN]],'Novia Web Query'!$A:$E,5,FALSE)</f>
        <v>31/08/2021</v>
      </c>
      <c r="F2424" t="str">
        <f>VLOOKUP(NoviaFunds[[#This Row],[Sector]],Sectors[],2,FALSE)</f>
        <v>Absolute Return</v>
      </c>
    </row>
    <row r="2425" spans="1:6" x14ac:dyDescent="0.2">
      <c r="A2425" t="str">
        <f>'Novia Web Query'!A2421</f>
        <v>GB00B9751744</v>
      </c>
      <c r="B2425" t="str">
        <f>VLOOKUP(NoviaFunds[[#This Row],[ISIN]],'Novia Web Query'!$A:$E,2,FALSE)</f>
        <v>L&amp;G Multi-Index 3 I Acc in GB</v>
      </c>
      <c r="C2425" t="str">
        <f>VLOOKUP(NoviaFunds[[#This Row],[ISIN]],'Novia Web Query'!$A:$E,3,FALSE)</f>
        <v>UT Volatility Managed</v>
      </c>
      <c r="D2425" s="139">
        <f>VLOOKUP(NoviaFunds[[#This Row],[ISIN]],'Novia Web Query'!$A:$E,4,FALSE)/100</f>
        <v>3.0999999999999999E-3</v>
      </c>
      <c r="E2425" s="3" t="str">
        <f>VLOOKUP(NoviaFunds[[#This Row],[ISIN]],'Novia Web Query'!$A:$E,5,FALSE)</f>
        <v>31/08/2021</v>
      </c>
      <c r="F2425" t="e">
        <f>VLOOKUP(NoviaFunds[[#This Row],[Sector]],Sectors[],2,FALSE)</f>
        <v>#N/A</v>
      </c>
    </row>
    <row r="2426" spans="1:6" x14ac:dyDescent="0.2">
      <c r="A2426" t="str">
        <f>'Novia Web Query'!A2422</f>
        <v>GB00B6VR4B04</v>
      </c>
      <c r="B2426" t="str">
        <f>VLOOKUP(NoviaFunds[[#This Row],[ISIN]],'Novia Web Query'!$A:$E,2,FALSE)</f>
        <v>L&amp;G Multi-Index 3 I Inc TR in GB</v>
      </c>
      <c r="C2426" t="str">
        <f>VLOOKUP(NoviaFunds[[#This Row],[ISIN]],'Novia Web Query'!$A:$E,3,FALSE)</f>
        <v>UT Volatility Managed</v>
      </c>
      <c r="D2426" s="139">
        <f>VLOOKUP(NoviaFunds[[#This Row],[ISIN]],'Novia Web Query'!$A:$E,4,FALSE)/100</f>
        <v>3.0999999999999999E-3</v>
      </c>
      <c r="E2426" s="3" t="str">
        <f>VLOOKUP(NoviaFunds[[#This Row],[ISIN]],'Novia Web Query'!$A:$E,5,FALSE)</f>
        <v>31/08/2021</v>
      </c>
      <c r="F2426" t="e">
        <f>VLOOKUP(NoviaFunds[[#This Row],[Sector]],Sectors[],2,FALSE)</f>
        <v>#N/A</v>
      </c>
    </row>
    <row r="2427" spans="1:6" x14ac:dyDescent="0.2">
      <c r="A2427" t="str">
        <f>'Novia Web Query'!A2423</f>
        <v>GB00B88Y0217</v>
      </c>
      <c r="B2427" t="str">
        <f>VLOOKUP(NoviaFunds[[#This Row],[ISIN]],'Novia Web Query'!$A:$E,2,FALSE)</f>
        <v>L&amp;G Multi-Index 4 I Acc in GB</v>
      </c>
      <c r="C2427" t="str">
        <f>VLOOKUP(NoviaFunds[[#This Row],[ISIN]],'Novia Web Query'!$A:$E,3,FALSE)</f>
        <v>UT Volatility Managed</v>
      </c>
      <c r="D2427" s="139">
        <f>VLOOKUP(NoviaFunds[[#This Row],[ISIN]],'Novia Web Query'!$A:$E,4,FALSE)/100</f>
        <v>3.0999999999999999E-3</v>
      </c>
      <c r="E2427" s="3" t="str">
        <f>VLOOKUP(NoviaFunds[[#This Row],[ISIN]],'Novia Web Query'!$A:$E,5,FALSE)</f>
        <v>31/08/2021</v>
      </c>
      <c r="F2427" t="e">
        <f>VLOOKUP(NoviaFunds[[#This Row],[Sector]],Sectors[],2,FALSE)</f>
        <v>#N/A</v>
      </c>
    </row>
    <row r="2428" spans="1:6" x14ac:dyDescent="0.2">
      <c r="A2428" t="str">
        <f>'Novia Web Query'!A2424</f>
        <v>GB00B8VZBR34</v>
      </c>
      <c r="B2428" t="str">
        <f>VLOOKUP(NoviaFunds[[#This Row],[ISIN]],'Novia Web Query'!$A:$E,2,FALSE)</f>
        <v>L&amp;G Multi-Index 4 I Inc TR in GB</v>
      </c>
      <c r="C2428" t="str">
        <f>VLOOKUP(NoviaFunds[[#This Row],[ISIN]],'Novia Web Query'!$A:$E,3,FALSE)</f>
        <v>UT Volatility Managed</v>
      </c>
      <c r="D2428" s="139">
        <f>VLOOKUP(NoviaFunds[[#This Row],[ISIN]],'Novia Web Query'!$A:$E,4,FALSE)/100</f>
        <v>3.0999999999999999E-3</v>
      </c>
      <c r="E2428" s="3" t="str">
        <f>VLOOKUP(NoviaFunds[[#This Row],[ISIN]],'Novia Web Query'!$A:$E,5,FALSE)</f>
        <v>31/08/2021</v>
      </c>
      <c r="F2428" t="e">
        <f>VLOOKUP(NoviaFunds[[#This Row],[Sector]],Sectors[],2,FALSE)</f>
        <v>#N/A</v>
      </c>
    </row>
    <row r="2429" spans="1:6" x14ac:dyDescent="0.2">
      <c r="A2429" t="str">
        <f>'Novia Web Query'!A2425</f>
        <v>GB00B8VZ3F59</v>
      </c>
      <c r="B2429" t="str">
        <f>VLOOKUP(NoviaFunds[[#This Row],[ISIN]],'Novia Web Query'!$A:$E,2,FALSE)</f>
        <v>L&amp;G Multi-Index 5 I Acc in GB</v>
      </c>
      <c r="C2429" t="str">
        <f>VLOOKUP(NoviaFunds[[#This Row],[ISIN]],'Novia Web Query'!$A:$E,3,FALSE)</f>
        <v>UT Volatility Managed</v>
      </c>
      <c r="D2429" s="139">
        <f>VLOOKUP(NoviaFunds[[#This Row],[ISIN]],'Novia Web Query'!$A:$E,4,FALSE)/100</f>
        <v>3.0999999999999999E-3</v>
      </c>
      <c r="E2429" s="3" t="str">
        <f>VLOOKUP(NoviaFunds[[#This Row],[ISIN]],'Novia Web Query'!$A:$E,5,FALSE)</f>
        <v>31/08/2021</v>
      </c>
      <c r="F2429" t="e">
        <f>VLOOKUP(NoviaFunds[[#This Row],[Sector]],Sectors[],2,FALSE)</f>
        <v>#N/A</v>
      </c>
    </row>
    <row r="2430" spans="1:6" x14ac:dyDescent="0.2">
      <c r="A2430" t="str">
        <f>'Novia Web Query'!A2426</f>
        <v>GB00B95ND856</v>
      </c>
      <c r="B2430" t="str">
        <f>VLOOKUP(NoviaFunds[[#This Row],[ISIN]],'Novia Web Query'!$A:$E,2,FALSE)</f>
        <v>L&amp;G Multi-Index 5 I Inc TR in GB</v>
      </c>
      <c r="C2430" t="str">
        <f>VLOOKUP(NoviaFunds[[#This Row],[ISIN]],'Novia Web Query'!$A:$E,3,FALSE)</f>
        <v>UT Volatility Managed</v>
      </c>
      <c r="D2430" s="139">
        <f>VLOOKUP(NoviaFunds[[#This Row],[ISIN]],'Novia Web Query'!$A:$E,4,FALSE)/100</f>
        <v>3.0999999999999999E-3</v>
      </c>
      <c r="E2430" s="3" t="str">
        <f>VLOOKUP(NoviaFunds[[#This Row],[ISIN]],'Novia Web Query'!$A:$E,5,FALSE)</f>
        <v>31/08/2021</v>
      </c>
      <c r="F2430" t="e">
        <f>VLOOKUP(NoviaFunds[[#This Row],[Sector]],Sectors[],2,FALSE)</f>
        <v>#N/A</v>
      </c>
    </row>
    <row r="2431" spans="1:6" x14ac:dyDescent="0.2">
      <c r="A2431" t="str">
        <f>'Novia Web Query'!A2427</f>
        <v>GB00B95KML23</v>
      </c>
      <c r="B2431" t="str">
        <f>VLOOKUP(NoviaFunds[[#This Row],[ISIN]],'Novia Web Query'!$A:$E,2,FALSE)</f>
        <v>L&amp;G Multi-Index 6 I Acc in GB</v>
      </c>
      <c r="C2431" t="str">
        <f>VLOOKUP(NoviaFunds[[#This Row],[ISIN]],'Novia Web Query'!$A:$E,3,FALSE)</f>
        <v>UT Volatility Managed</v>
      </c>
      <c r="D2431" s="139">
        <f>VLOOKUP(NoviaFunds[[#This Row],[ISIN]],'Novia Web Query'!$A:$E,4,FALSE)/100</f>
        <v>3.0999999999999999E-3</v>
      </c>
      <c r="E2431" s="3" t="str">
        <f>VLOOKUP(NoviaFunds[[#This Row],[ISIN]],'Novia Web Query'!$A:$E,5,FALSE)</f>
        <v>31/08/2021</v>
      </c>
      <c r="F2431" t="e">
        <f>VLOOKUP(NoviaFunds[[#This Row],[Sector]],Sectors[],2,FALSE)</f>
        <v>#N/A</v>
      </c>
    </row>
    <row r="2432" spans="1:6" x14ac:dyDescent="0.2">
      <c r="A2432" t="str">
        <f>'Novia Web Query'!A2428</f>
        <v>GB00B947LD97</v>
      </c>
      <c r="B2432" t="str">
        <f>VLOOKUP(NoviaFunds[[#This Row],[ISIN]],'Novia Web Query'!$A:$E,2,FALSE)</f>
        <v>L&amp;G Multi-Index 6 I Inc TR in GB</v>
      </c>
      <c r="C2432" t="str">
        <f>VLOOKUP(NoviaFunds[[#This Row],[ISIN]],'Novia Web Query'!$A:$E,3,FALSE)</f>
        <v>UT Volatility Managed</v>
      </c>
      <c r="D2432" s="139">
        <f>VLOOKUP(NoviaFunds[[#This Row],[ISIN]],'Novia Web Query'!$A:$E,4,FALSE)/100</f>
        <v>3.0999999999999999E-3</v>
      </c>
      <c r="E2432" s="3" t="str">
        <f>VLOOKUP(NoviaFunds[[#This Row],[ISIN]],'Novia Web Query'!$A:$E,5,FALSE)</f>
        <v>31/08/2021</v>
      </c>
      <c r="F2432" t="e">
        <f>VLOOKUP(NoviaFunds[[#This Row],[Sector]],Sectors[],2,FALSE)</f>
        <v>#N/A</v>
      </c>
    </row>
    <row r="2433" spans="1:6" x14ac:dyDescent="0.2">
      <c r="A2433" t="str">
        <f>'Novia Web Query'!A2429</f>
        <v>GB00B9LF0M88</v>
      </c>
      <c r="B2433" t="str">
        <f>VLOOKUP(NoviaFunds[[#This Row],[ISIN]],'Novia Web Query'!$A:$E,2,FALSE)</f>
        <v>L&amp;G Multi-Index 7 I Acc in GB</v>
      </c>
      <c r="C2433" t="str">
        <f>VLOOKUP(NoviaFunds[[#This Row],[ISIN]],'Novia Web Query'!$A:$E,3,FALSE)</f>
        <v>UT Volatility Managed</v>
      </c>
      <c r="D2433" s="139">
        <f>VLOOKUP(NoviaFunds[[#This Row],[ISIN]],'Novia Web Query'!$A:$E,4,FALSE)/100</f>
        <v>3.0999999999999999E-3</v>
      </c>
      <c r="E2433" s="3" t="str">
        <f>VLOOKUP(NoviaFunds[[#This Row],[ISIN]],'Novia Web Query'!$A:$E,5,FALSE)</f>
        <v>31/08/2021</v>
      </c>
      <c r="F2433" t="e">
        <f>VLOOKUP(NoviaFunds[[#This Row],[Sector]],Sectors[],2,FALSE)</f>
        <v>#N/A</v>
      </c>
    </row>
    <row r="2434" spans="1:6" x14ac:dyDescent="0.2">
      <c r="A2434" t="str">
        <f>'Novia Web Query'!A2430</f>
        <v>GB00B9LF0629</v>
      </c>
      <c r="B2434" t="str">
        <f>VLOOKUP(NoviaFunds[[#This Row],[ISIN]],'Novia Web Query'!$A:$E,2,FALSE)</f>
        <v>L&amp;G Multi-Index 7 I Inc TR in GB</v>
      </c>
      <c r="C2434" t="str">
        <f>VLOOKUP(NoviaFunds[[#This Row],[ISIN]],'Novia Web Query'!$A:$E,3,FALSE)</f>
        <v>UT Volatility Managed</v>
      </c>
      <c r="D2434" s="139">
        <f>VLOOKUP(NoviaFunds[[#This Row],[ISIN]],'Novia Web Query'!$A:$E,4,FALSE)/100</f>
        <v>3.0999999999999999E-3</v>
      </c>
      <c r="E2434" s="3" t="str">
        <f>VLOOKUP(NoviaFunds[[#This Row],[ISIN]],'Novia Web Query'!$A:$E,5,FALSE)</f>
        <v>31/08/2021</v>
      </c>
      <c r="F2434" t="e">
        <f>VLOOKUP(NoviaFunds[[#This Row],[Sector]],Sectors[],2,FALSE)</f>
        <v>#N/A</v>
      </c>
    </row>
    <row r="2435" spans="1:6" x14ac:dyDescent="0.2">
      <c r="A2435" t="str">
        <f>'Novia Web Query'!A2431</f>
        <v>GB00BZ0RRN72</v>
      </c>
      <c r="B2435" t="str">
        <f>VLOOKUP(NoviaFunds[[#This Row],[ISIN]],'Novia Web Query'!$A:$E,2,FALSE)</f>
        <v>L&amp;G Multi-Index Income 4 I Acc in GB</v>
      </c>
      <c r="C2435" t="str">
        <f>VLOOKUP(NoviaFunds[[#This Row],[ISIN]],'Novia Web Query'!$A:$E,3,FALSE)</f>
        <v>UT Volatility Managed</v>
      </c>
      <c r="D2435" s="139">
        <f>VLOOKUP(NoviaFunds[[#This Row],[ISIN]],'Novia Web Query'!$A:$E,4,FALSE)/100</f>
        <v>3.4999999999999996E-3</v>
      </c>
      <c r="E2435" s="3" t="str">
        <f>VLOOKUP(NoviaFunds[[#This Row],[ISIN]],'Novia Web Query'!$A:$E,5,FALSE)</f>
        <v>31/08/2021</v>
      </c>
      <c r="F2435" t="e">
        <f>VLOOKUP(NoviaFunds[[#This Row],[Sector]],Sectors[],2,FALSE)</f>
        <v>#N/A</v>
      </c>
    </row>
    <row r="2436" spans="1:6" x14ac:dyDescent="0.2">
      <c r="A2436" t="str">
        <f>'Novia Web Query'!A2432</f>
        <v>GB00BZ0RRM65</v>
      </c>
      <c r="B2436" t="str">
        <f>VLOOKUP(NoviaFunds[[#This Row],[ISIN]],'Novia Web Query'!$A:$E,2,FALSE)</f>
        <v>L&amp;G Multi-Index Income 4 I Inc TR in GB</v>
      </c>
      <c r="C2436" t="str">
        <f>VLOOKUP(NoviaFunds[[#This Row],[ISIN]],'Novia Web Query'!$A:$E,3,FALSE)</f>
        <v>UT Volatility Managed</v>
      </c>
      <c r="D2436" s="139">
        <f>VLOOKUP(NoviaFunds[[#This Row],[ISIN]],'Novia Web Query'!$A:$E,4,FALSE)/100</f>
        <v>3.4999999999999996E-3</v>
      </c>
      <c r="E2436" s="3" t="str">
        <f>VLOOKUP(NoviaFunds[[#This Row],[ISIN]],'Novia Web Query'!$A:$E,5,FALSE)</f>
        <v>31/08/2021</v>
      </c>
      <c r="F2436" t="e">
        <f>VLOOKUP(NoviaFunds[[#This Row],[Sector]],Sectors[],2,FALSE)</f>
        <v>#N/A</v>
      </c>
    </row>
    <row r="2437" spans="1:6" x14ac:dyDescent="0.2">
      <c r="A2437" t="str">
        <f>'Novia Web Query'!A2433</f>
        <v>GB00BZ0RRW63</v>
      </c>
      <c r="B2437" t="str">
        <f>VLOOKUP(NoviaFunds[[#This Row],[ISIN]],'Novia Web Query'!$A:$E,2,FALSE)</f>
        <v>L&amp;G Multi-Index Income 5 I Acc in GB</v>
      </c>
      <c r="C2437" t="str">
        <f>VLOOKUP(NoviaFunds[[#This Row],[ISIN]],'Novia Web Query'!$A:$E,3,FALSE)</f>
        <v>UT Volatility Managed</v>
      </c>
      <c r="D2437" s="139">
        <f>VLOOKUP(NoviaFunds[[#This Row],[ISIN]],'Novia Web Query'!$A:$E,4,FALSE)/100</f>
        <v>3.7000000000000002E-3</v>
      </c>
      <c r="E2437" s="3" t="str">
        <f>VLOOKUP(NoviaFunds[[#This Row],[ISIN]],'Novia Web Query'!$A:$E,5,FALSE)</f>
        <v>31/08/2021</v>
      </c>
      <c r="F2437" t="e">
        <f>VLOOKUP(NoviaFunds[[#This Row],[Sector]],Sectors[],2,FALSE)</f>
        <v>#N/A</v>
      </c>
    </row>
    <row r="2438" spans="1:6" x14ac:dyDescent="0.2">
      <c r="A2438" t="str">
        <f>'Novia Web Query'!A2434</f>
        <v>GB00BZ0RRV56</v>
      </c>
      <c r="B2438" t="str">
        <f>VLOOKUP(NoviaFunds[[#This Row],[ISIN]],'Novia Web Query'!$A:$E,2,FALSE)</f>
        <v>L&amp;G Multi-Index Income 5 I Inc TR in GB</v>
      </c>
      <c r="C2438" t="str">
        <f>VLOOKUP(NoviaFunds[[#This Row],[ISIN]],'Novia Web Query'!$A:$E,3,FALSE)</f>
        <v>UT Volatility Managed</v>
      </c>
      <c r="D2438" s="139">
        <f>VLOOKUP(NoviaFunds[[#This Row],[ISIN]],'Novia Web Query'!$A:$E,4,FALSE)/100</f>
        <v>3.7000000000000002E-3</v>
      </c>
      <c r="E2438" s="3" t="str">
        <f>VLOOKUP(NoviaFunds[[#This Row],[ISIN]],'Novia Web Query'!$A:$E,5,FALSE)</f>
        <v>31/08/2021</v>
      </c>
      <c r="F2438" t="e">
        <f>VLOOKUP(NoviaFunds[[#This Row],[Sector]],Sectors[],2,FALSE)</f>
        <v>#N/A</v>
      </c>
    </row>
    <row r="2439" spans="1:6" x14ac:dyDescent="0.2">
      <c r="A2439" t="str">
        <f>'Novia Web Query'!A2435</f>
        <v>GB00BZ0RS348</v>
      </c>
      <c r="B2439" t="str">
        <f>VLOOKUP(NoviaFunds[[#This Row],[ISIN]],'Novia Web Query'!$A:$E,2,FALSE)</f>
        <v>L&amp;G Multi-Index Income 6 I Acc in GB</v>
      </c>
      <c r="C2439" t="str">
        <f>VLOOKUP(NoviaFunds[[#This Row],[ISIN]],'Novia Web Query'!$A:$E,3,FALSE)</f>
        <v>UT Volatility Managed</v>
      </c>
      <c r="D2439" s="139">
        <f>VLOOKUP(NoviaFunds[[#This Row],[ISIN]],'Novia Web Query'!$A:$E,4,FALSE)/100</f>
        <v>3.9000000000000003E-3</v>
      </c>
      <c r="E2439" s="3" t="str">
        <f>VLOOKUP(NoviaFunds[[#This Row],[ISIN]],'Novia Web Query'!$A:$E,5,FALSE)</f>
        <v>31/08/2021</v>
      </c>
      <c r="F2439" t="e">
        <f>VLOOKUP(NoviaFunds[[#This Row],[Sector]],Sectors[],2,FALSE)</f>
        <v>#N/A</v>
      </c>
    </row>
    <row r="2440" spans="1:6" x14ac:dyDescent="0.2">
      <c r="A2440" t="str">
        <f>'Novia Web Query'!A2436</f>
        <v>GB00BZ0RS231</v>
      </c>
      <c r="B2440" t="str">
        <f>VLOOKUP(NoviaFunds[[#This Row],[ISIN]],'Novia Web Query'!$A:$E,2,FALSE)</f>
        <v>L&amp;G Multi-Index Income 6 I Inc TR in GB</v>
      </c>
      <c r="C2440" t="str">
        <f>VLOOKUP(NoviaFunds[[#This Row],[ISIN]],'Novia Web Query'!$A:$E,3,FALSE)</f>
        <v>UT Volatility Managed</v>
      </c>
      <c r="D2440" s="139">
        <f>VLOOKUP(NoviaFunds[[#This Row],[ISIN]],'Novia Web Query'!$A:$E,4,FALSE)/100</f>
        <v>3.9000000000000003E-3</v>
      </c>
      <c r="E2440" s="3" t="str">
        <f>VLOOKUP(NoviaFunds[[#This Row],[ISIN]],'Novia Web Query'!$A:$E,5,FALSE)</f>
        <v>31/08/2021</v>
      </c>
      <c r="F2440" t="e">
        <f>VLOOKUP(NoviaFunds[[#This Row],[Sector]],Sectors[],2,FALSE)</f>
        <v>#N/A</v>
      </c>
    </row>
    <row r="2441" spans="1:6" x14ac:dyDescent="0.2">
      <c r="A2441" t="str">
        <f>'Novia Web Query'!A2437</f>
        <v>GB00BG0QPB53</v>
      </c>
      <c r="B2441" t="str">
        <f>VLOOKUP(NoviaFunds[[#This Row],[ISIN]],'Novia Web Query'!$A:$E,2,FALSE)</f>
        <v>L&amp;G Pacific Index Trust C Acc in GB**</v>
      </c>
      <c r="C2441" t="str">
        <f>VLOOKUP(NoviaFunds[[#This Row],[ISIN]],'Novia Web Query'!$A:$E,3,FALSE)</f>
        <v>UT Asia Pacific Excluding Japan</v>
      </c>
      <c r="D2441" s="139">
        <f>VLOOKUP(NoviaFunds[[#This Row],[ISIN]],'Novia Web Query'!$A:$E,4,FALSE)/100</f>
        <v>1.4000000000000002E-3</v>
      </c>
      <c r="E2441" s="3" t="str">
        <f>VLOOKUP(NoviaFunds[[#This Row],[ISIN]],'Novia Web Query'!$A:$E,5,FALSE)</f>
        <v>31/08/2021</v>
      </c>
      <c r="F2441" t="str">
        <f>VLOOKUP(NoviaFunds[[#This Row],[Sector]],Sectors[],2,FALSE)</f>
        <v>Asia Pacific</v>
      </c>
    </row>
    <row r="2442" spans="1:6" x14ac:dyDescent="0.2">
      <c r="A2442" t="str">
        <f>'Novia Web Query'!A2438</f>
        <v>GB00BG0QP935</v>
      </c>
      <c r="B2442" t="str">
        <f>VLOOKUP(NoviaFunds[[#This Row],[ISIN]],'Novia Web Query'!$A:$E,2,FALSE)</f>
        <v>L&amp;G Pacific Index Trust C Inc TR in GB**</v>
      </c>
      <c r="C2442" t="str">
        <f>VLOOKUP(NoviaFunds[[#This Row],[ISIN]],'Novia Web Query'!$A:$E,3,FALSE)</f>
        <v>UT Asia Pacific Excluding Japan</v>
      </c>
      <c r="D2442" s="139">
        <f>VLOOKUP(NoviaFunds[[#This Row],[ISIN]],'Novia Web Query'!$A:$E,4,FALSE)/100</f>
        <v>1.4000000000000002E-3</v>
      </c>
      <c r="E2442" s="3" t="str">
        <f>VLOOKUP(NoviaFunds[[#This Row],[ISIN]],'Novia Web Query'!$A:$E,5,FALSE)</f>
        <v>31/08/2021</v>
      </c>
      <c r="F2442" t="str">
        <f>VLOOKUP(NoviaFunds[[#This Row],[Sector]],Sectors[],2,FALSE)</f>
        <v>Asia Pacific</v>
      </c>
    </row>
    <row r="2443" spans="1:6" x14ac:dyDescent="0.2">
      <c r="A2443" t="str">
        <f>'Novia Web Query'!A2439</f>
        <v>GB00B0CNGY27</v>
      </c>
      <c r="B2443" t="str">
        <f>VLOOKUP(NoviaFunds[[#This Row],[ISIN]],'Novia Web Query'!$A:$E,2,FALSE)</f>
        <v>L&amp;G Pacific Index Trust I Acc TR in GB**</v>
      </c>
      <c r="C2443" t="str">
        <f>VLOOKUP(NoviaFunds[[#This Row],[ISIN]],'Novia Web Query'!$A:$E,3,FALSE)</f>
        <v>UT Asia Pacific Excluding Japan</v>
      </c>
      <c r="D2443" s="139">
        <f>VLOOKUP(NoviaFunds[[#This Row],[ISIN]],'Novia Web Query'!$A:$E,4,FALSE)/100</f>
        <v>1.9E-3</v>
      </c>
      <c r="E2443" s="3" t="str">
        <f>VLOOKUP(NoviaFunds[[#This Row],[ISIN]],'Novia Web Query'!$A:$E,5,FALSE)</f>
        <v>31/08/2021</v>
      </c>
      <c r="F2443" t="str">
        <f>VLOOKUP(NoviaFunds[[#This Row],[Sector]],Sectors[],2,FALSE)</f>
        <v>Asia Pacific</v>
      </c>
    </row>
    <row r="2444" spans="1:6" x14ac:dyDescent="0.2">
      <c r="A2444" t="str">
        <f>'Novia Web Query'!A2440</f>
        <v>GB00B0CNGX10</v>
      </c>
      <c r="B2444" t="str">
        <f>VLOOKUP(NoviaFunds[[#This Row],[ISIN]],'Novia Web Query'!$A:$E,2,FALSE)</f>
        <v>L&amp;G Pacific Index Trust I Inc TR in GB**</v>
      </c>
      <c r="C2444" t="str">
        <f>VLOOKUP(NoviaFunds[[#This Row],[ISIN]],'Novia Web Query'!$A:$E,3,FALSE)</f>
        <v>UT Asia Pacific Excluding Japan</v>
      </c>
      <c r="D2444" s="139">
        <f>VLOOKUP(NoviaFunds[[#This Row],[ISIN]],'Novia Web Query'!$A:$E,4,FALSE)/100</f>
        <v>1.9E-3</v>
      </c>
      <c r="E2444" s="3" t="str">
        <f>VLOOKUP(NoviaFunds[[#This Row],[ISIN]],'Novia Web Query'!$A:$E,5,FALSE)</f>
        <v>31/08/2021</v>
      </c>
      <c r="F2444" t="str">
        <f>VLOOKUP(NoviaFunds[[#This Row],[Sector]],Sectors[],2,FALSE)</f>
        <v>Asia Pacific</v>
      </c>
    </row>
    <row r="2445" spans="1:6" x14ac:dyDescent="0.2">
      <c r="A2445" t="str">
        <f>'Novia Web Query'!A2441</f>
        <v>GB0002050218</v>
      </c>
      <c r="B2445" t="str">
        <f>VLOOKUP(NoviaFunds[[#This Row],[ISIN]],'Novia Web Query'!$A:$E,2,FALSE)</f>
        <v>L&amp;G Pacific Index Trust R Acc TR in GB**</v>
      </c>
      <c r="C2445" t="str">
        <f>VLOOKUP(NoviaFunds[[#This Row],[ISIN]],'Novia Web Query'!$A:$E,3,FALSE)</f>
        <v>UT Asia Pacific Excluding Japan</v>
      </c>
      <c r="D2445" s="139">
        <f>VLOOKUP(NoviaFunds[[#This Row],[ISIN]],'Novia Web Query'!$A:$E,4,FALSE)/100</f>
        <v>5.6999999999999993E-3</v>
      </c>
      <c r="E2445" s="3" t="str">
        <f>VLOOKUP(NoviaFunds[[#This Row],[ISIN]],'Novia Web Query'!$A:$E,5,FALSE)</f>
        <v>31/08/2021</v>
      </c>
      <c r="F2445" t="str">
        <f>VLOOKUP(NoviaFunds[[#This Row],[Sector]],Sectors[],2,FALSE)</f>
        <v>Asia Pacific</v>
      </c>
    </row>
    <row r="2446" spans="1:6" x14ac:dyDescent="0.2">
      <c r="A2446" t="str">
        <f>'Novia Web Query'!A2442</f>
        <v>GB0005200703</v>
      </c>
      <c r="B2446" t="str">
        <f>VLOOKUP(NoviaFunds[[#This Row],[ISIN]],'Novia Web Query'!$A:$E,2,FALSE)</f>
        <v>L&amp;G Pacific Index Trust R Inc TR in GB</v>
      </c>
      <c r="C2446" t="str">
        <f>VLOOKUP(NoviaFunds[[#This Row],[ISIN]],'Novia Web Query'!$A:$E,3,FALSE)</f>
        <v>UT Asia Pacific Excluding Japan</v>
      </c>
      <c r="D2446" s="139">
        <f>VLOOKUP(NoviaFunds[[#This Row],[ISIN]],'Novia Web Query'!$A:$E,4,FALSE)/100</f>
        <v>5.6999999999999993E-3</v>
      </c>
      <c r="E2446" s="3" t="str">
        <f>VLOOKUP(NoviaFunds[[#This Row],[ISIN]],'Novia Web Query'!$A:$E,5,FALSE)</f>
        <v>31/08/2021</v>
      </c>
      <c r="F2446" t="str">
        <f>VLOOKUP(NoviaFunds[[#This Row],[Sector]],Sectors[],2,FALSE)</f>
        <v>Asia Pacific</v>
      </c>
    </row>
    <row r="2447" spans="1:6" x14ac:dyDescent="0.2">
      <c r="A2447" t="str">
        <f>'Novia Web Query'!A2443</f>
        <v>GB00BKGR3F07</v>
      </c>
      <c r="B2447" t="str">
        <f>VLOOKUP(NoviaFunds[[#This Row],[ISIN]],'Novia Web Query'!$A:$E,2,FALSE)</f>
        <v>L&amp;G Short Dated Sterling Corporate Bond Index C Acc in GB</v>
      </c>
      <c r="C2447" t="str">
        <f>VLOOKUP(NoviaFunds[[#This Row],[ISIN]],'Novia Web Query'!$A:$E,3,FALSE)</f>
        <v>UT Sterling Corporate Bond</v>
      </c>
      <c r="D2447" s="139">
        <f>VLOOKUP(NoviaFunds[[#This Row],[ISIN]],'Novia Web Query'!$A:$E,4,FALSE)/100</f>
        <v>8.9999999999999998E-4</v>
      </c>
      <c r="E2447" s="3" t="str">
        <f>VLOOKUP(NoviaFunds[[#This Row],[ISIN]],'Novia Web Query'!$A:$E,5,FALSE)</f>
        <v>31/08/2021</v>
      </c>
      <c r="F2447" t="str">
        <f>VLOOKUP(NoviaFunds[[#This Row],[Sector]],Sectors[],2,FALSE)</f>
        <v>Sterling Corporate Bonds</v>
      </c>
    </row>
    <row r="2448" spans="1:6" x14ac:dyDescent="0.2">
      <c r="A2448" t="str">
        <f>'Novia Web Query'!A2444</f>
        <v>GB00BKGR3D82</v>
      </c>
      <c r="B2448" t="str">
        <f>VLOOKUP(NoviaFunds[[#This Row],[ISIN]],'Novia Web Query'!$A:$E,2,FALSE)</f>
        <v>L&amp;G Short Dated Sterling Corporate Bond Index C Inc TR in GB</v>
      </c>
      <c r="C2448" t="str">
        <f>VLOOKUP(NoviaFunds[[#This Row],[ISIN]],'Novia Web Query'!$A:$E,3,FALSE)</f>
        <v>UT Sterling Corporate Bond</v>
      </c>
      <c r="D2448" s="139">
        <f>VLOOKUP(NoviaFunds[[#This Row],[ISIN]],'Novia Web Query'!$A:$E,4,FALSE)/100</f>
        <v>8.9999999999999998E-4</v>
      </c>
      <c r="E2448" s="3" t="str">
        <f>VLOOKUP(NoviaFunds[[#This Row],[ISIN]],'Novia Web Query'!$A:$E,5,FALSE)</f>
        <v>31/08/2021</v>
      </c>
      <c r="F2448" t="str">
        <f>VLOOKUP(NoviaFunds[[#This Row],[Sector]],Sectors[],2,FALSE)</f>
        <v>Sterling Corporate Bonds</v>
      </c>
    </row>
    <row r="2449" spans="1:6" x14ac:dyDescent="0.2">
      <c r="A2449" t="str">
        <f>'Novia Web Query'!A2445</f>
        <v>GB00BKGR3H21</v>
      </c>
      <c r="B2449" t="str">
        <f>VLOOKUP(NoviaFunds[[#This Row],[ISIN]],'Novia Web Query'!$A:$E,2,FALSE)</f>
        <v>L&amp;G Short Dated Sterling Corporate Bond Index I Acc in GB</v>
      </c>
      <c r="C2449" t="str">
        <f>VLOOKUP(NoviaFunds[[#This Row],[ISIN]],'Novia Web Query'!$A:$E,3,FALSE)</f>
        <v>UT Sterling Corporate Bond</v>
      </c>
      <c r="D2449" s="139">
        <f>VLOOKUP(NoviaFunds[[#This Row],[ISIN]],'Novia Web Query'!$A:$E,4,FALSE)/100</f>
        <v>1.4000000000000002E-3</v>
      </c>
      <c r="E2449" s="3" t="str">
        <f>VLOOKUP(NoviaFunds[[#This Row],[ISIN]],'Novia Web Query'!$A:$E,5,FALSE)</f>
        <v>31/08/2021</v>
      </c>
      <c r="F2449" t="str">
        <f>VLOOKUP(NoviaFunds[[#This Row],[Sector]],Sectors[],2,FALSE)</f>
        <v>Sterling Corporate Bonds</v>
      </c>
    </row>
    <row r="2450" spans="1:6" x14ac:dyDescent="0.2">
      <c r="A2450" t="str">
        <f>'Novia Web Query'!A2446</f>
        <v>GB00BKGR3G14</v>
      </c>
      <c r="B2450" t="str">
        <f>VLOOKUP(NoviaFunds[[#This Row],[ISIN]],'Novia Web Query'!$A:$E,2,FALSE)</f>
        <v>L&amp;G Short Dated Sterling Corporate Bond Index I Inc TR in GB</v>
      </c>
      <c r="C2450" t="str">
        <f>VLOOKUP(NoviaFunds[[#This Row],[ISIN]],'Novia Web Query'!$A:$E,3,FALSE)</f>
        <v>UT Sterling Corporate Bond</v>
      </c>
      <c r="D2450" s="139">
        <f>VLOOKUP(NoviaFunds[[#This Row],[ISIN]],'Novia Web Query'!$A:$E,4,FALSE)/100</f>
        <v>1.4000000000000002E-3</v>
      </c>
      <c r="E2450" s="3" t="str">
        <f>VLOOKUP(NoviaFunds[[#This Row],[ISIN]],'Novia Web Query'!$A:$E,5,FALSE)</f>
        <v>31/08/2021</v>
      </c>
      <c r="F2450" t="str">
        <f>VLOOKUP(NoviaFunds[[#This Row],[Sector]],Sectors[],2,FALSE)</f>
        <v>Sterling Corporate Bonds</v>
      </c>
    </row>
    <row r="2451" spans="1:6" x14ac:dyDescent="0.2">
      <c r="A2451" t="str">
        <f>'Novia Web Query'!A2447</f>
        <v>GB00BG0QPD77</v>
      </c>
      <c r="B2451" t="str">
        <f>VLOOKUP(NoviaFunds[[#This Row],[ISIN]],'Novia Web Query'!$A:$E,2,FALSE)</f>
        <v>L&amp;G Sterling Corporate Bond Index C Acc in GB**</v>
      </c>
      <c r="C2451" t="str">
        <f>VLOOKUP(NoviaFunds[[#This Row],[ISIN]],'Novia Web Query'!$A:$E,3,FALSE)</f>
        <v>UT Sterling Corporate Bond</v>
      </c>
      <c r="D2451" s="139">
        <f>VLOOKUP(NoviaFunds[[#This Row],[ISIN]],'Novia Web Query'!$A:$E,4,FALSE)/100</f>
        <v>8.9999999999999998E-4</v>
      </c>
      <c r="E2451" s="3" t="str">
        <f>VLOOKUP(NoviaFunds[[#This Row],[ISIN]],'Novia Web Query'!$A:$E,5,FALSE)</f>
        <v>31/08/2021</v>
      </c>
      <c r="F2451" t="str">
        <f>VLOOKUP(NoviaFunds[[#This Row],[Sector]],Sectors[],2,FALSE)</f>
        <v>Sterling Corporate Bonds</v>
      </c>
    </row>
    <row r="2452" spans="1:6" x14ac:dyDescent="0.2">
      <c r="A2452" t="str">
        <f>'Novia Web Query'!A2448</f>
        <v>GB00BG0QPC60</v>
      </c>
      <c r="B2452" t="str">
        <f>VLOOKUP(NoviaFunds[[#This Row],[ISIN]],'Novia Web Query'!$A:$E,2,FALSE)</f>
        <v>L&amp;G Sterling Corporate Bond Index C Inc TR in GB**</v>
      </c>
      <c r="C2452" t="str">
        <f>VLOOKUP(NoviaFunds[[#This Row],[ISIN]],'Novia Web Query'!$A:$E,3,FALSE)</f>
        <v>UT Sterling Corporate Bond</v>
      </c>
      <c r="D2452" s="139">
        <f>VLOOKUP(NoviaFunds[[#This Row],[ISIN]],'Novia Web Query'!$A:$E,4,FALSE)/100</f>
        <v>8.9999999999999998E-4</v>
      </c>
      <c r="E2452" s="3" t="str">
        <f>VLOOKUP(NoviaFunds[[#This Row],[ISIN]],'Novia Web Query'!$A:$E,5,FALSE)</f>
        <v>31/08/2021</v>
      </c>
      <c r="F2452" t="str">
        <f>VLOOKUP(NoviaFunds[[#This Row],[Sector]],Sectors[],2,FALSE)</f>
        <v>Sterling Corporate Bonds</v>
      </c>
    </row>
    <row r="2453" spans="1:6" x14ac:dyDescent="0.2">
      <c r="A2453" t="str">
        <f>'Novia Web Query'!A2449</f>
        <v>GB00B4M01C47</v>
      </c>
      <c r="B2453" t="str">
        <f>VLOOKUP(NoviaFunds[[#This Row],[ISIN]],'Novia Web Query'!$A:$E,2,FALSE)</f>
        <v>L&amp;G Sterling Corporate Bond Index I Acc in GB</v>
      </c>
      <c r="C2453" t="str">
        <f>VLOOKUP(NoviaFunds[[#This Row],[ISIN]],'Novia Web Query'!$A:$E,3,FALSE)</f>
        <v>UT Sterling Corporate Bond</v>
      </c>
      <c r="D2453" s="139">
        <f>VLOOKUP(NoviaFunds[[#This Row],[ISIN]],'Novia Web Query'!$A:$E,4,FALSE)/100</f>
        <v>1.4000000000000002E-3</v>
      </c>
      <c r="E2453" s="3" t="str">
        <f>VLOOKUP(NoviaFunds[[#This Row],[ISIN]],'Novia Web Query'!$A:$E,5,FALSE)</f>
        <v>31/08/2021</v>
      </c>
      <c r="F2453" t="str">
        <f>VLOOKUP(NoviaFunds[[#This Row],[Sector]],Sectors[],2,FALSE)</f>
        <v>Sterling Corporate Bonds</v>
      </c>
    </row>
    <row r="2454" spans="1:6" x14ac:dyDescent="0.2">
      <c r="A2454" t="str">
        <f>'Novia Web Query'!A2450</f>
        <v>GB00B72V3J91</v>
      </c>
      <c r="B2454" t="str">
        <f>VLOOKUP(NoviaFunds[[#This Row],[ISIN]],'Novia Web Query'!$A:$E,2,FALSE)</f>
        <v>L&amp;G Sterling Corporate Bond Index I Inc TR in GB</v>
      </c>
      <c r="C2454" t="str">
        <f>VLOOKUP(NoviaFunds[[#This Row],[ISIN]],'Novia Web Query'!$A:$E,3,FALSE)</f>
        <v>UT Sterling Corporate Bond</v>
      </c>
      <c r="D2454" s="139">
        <f>VLOOKUP(NoviaFunds[[#This Row],[ISIN]],'Novia Web Query'!$A:$E,4,FALSE)/100</f>
        <v>1.4000000000000002E-3</v>
      </c>
      <c r="E2454" s="3" t="str">
        <f>VLOOKUP(NoviaFunds[[#This Row],[ISIN]],'Novia Web Query'!$A:$E,5,FALSE)</f>
        <v>31/08/2021</v>
      </c>
      <c r="F2454" t="str">
        <f>VLOOKUP(NoviaFunds[[#This Row],[Sector]],Sectors[],2,FALSE)</f>
        <v>Sterling Corporate Bonds</v>
      </c>
    </row>
    <row r="2455" spans="1:6" x14ac:dyDescent="0.2">
      <c r="A2455" t="str">
        <f>'Novia Web Query'!A2451</f>
        <v>GB00B89QL129</v>
      </c>
      <c r="B2455" t="str">
        <f>VLOOKUP(NoviaFunds[[#This Row],[ISIN]],'Novia Web Query'!$A:$E,2,FALSE)</f>
        <v>L&amp;G Sterling Income I Acc in GB</v>
      </c>
      <c r="C2455" t="str">
        <f>VLOOKUP(NoviaFunds[[#This Row],[ISIN]],'Novia Web Query'!$A:$E,3,FALSE)</f>
        <v>UT Sterling Corporate Bond</v>
      </c>
      <c r="D2455" s="139">
        <f>VLOOKUP(NoviaFunds[[#This Row],[ISIN]],'Novia Web Query'!$A:$E,4,FALSE)/100</f>
        <v>4.1999999999999997E-3</v>
      </c>
      <c r="E2455" s="3" t="str">
        <f>VLOOKUP(NoviaFunds[[#This Row],[ISIN]],'Novia Web Query'!$A:$E,5,FALSE)</f>
        <v>31/08/2021</v>
      </c>
      <c r="F2455" t="str">
        <f>VLOOKUP(NoviaFunds[[#This Row],[Sector]],Sectors[],2,FALSE)</f>
        <v>Sterling Corporate Bonds</v>
      </c>
    </row>
    <row r="2456" spans="1:6" x14ac:dyDescent="0.2">
      <c r="A2456" t="str">
        <f>'Novia Web Query'!A2452</f>
        <v>GB00B7JDJQ71</v>
      </c>
      <c r="B2456" t="str">
        <f>VLOOKUP(NoviaFunds[[#This Row],[ISIN]],'Novia Web Query'!$A:$E,2,FALSE)</f>
        <v>L&amp;G Sterling Income I Inc TR in GB</v>
      </c>
      <c r="C2456" t="str">
        <f>VLOOKUP(NoviaFunds[[#This Row],[ISIN]],'Novia Web Query'!$A:$E,3,FALSE)</f>
        <v>UT Sterling Corporate Bond</v>
      </c>
      <c r="D2456" s="139">
        <f>VLOOKUP(NoviaFunds[[#This Row],[ISIN]],'Novia Web Query'!$A:$E,4,FALSE)/100</f>
        <v>4.1999999999999997E-3</v>
      </c>
      <c r="E2456" s="3" t="str">
        <f>VLOOKUP(NoviaFunds[[#This Row],[ISIN]],'Novia Web Query'!$A:$E,5,FALSE)</f>
        <v>31/08/2021</v>
      </c>
      <c r="F2456" t="str">
        <f>VLOOKUP(NoviaFunds[[#This Row],[Sector]],Sectors[],2,FALSE)</f>
        <v>Sterling Corporate Bonds</v>
      </c>
    </row>
    <row r="2457" spans="1:6" x14ac:dyDescent="0.2">
      <c r="A2457" t="str">
        <f>'Novia Web Query'!A2453</f>
        <v>GB00B3KTR067</v>
      </c>
      <c r="B2457" t="str">
        <f>VLOOKUP(NoviaFunds[[#This Row],[ISIN]],'Novia Web Query'!$A:$E,2,FALSE)</f>
        <v>L&amp;G Sterling Income R Acc in GB</v>
      </c>
      <c r="C2457" t="str">
        <f>VLOOKUP(NoviaFunds[[#This Row],[ISIN]],'Novia Web Query'!$A:$E,3,FALSE)</f>
        <v>UT Sterling Corporate Bond</v>
      </c>
      <c r="D2457" s="139">
        <f>VLOOKUP(NoviaFunds[[#This Row],[ISIN]],'Novia Web Query'!$A:$E,4,FALSE)/100</f>
        <v>1.1599999999999999E-2</v>
      </c>
      <c r="E2457" s="3" t="str">
        <f>VLOOKUP(NoviaFunds[[#This Row],[ISIN]],'Novia Web Query'!$A:$E,5,FALSE)</f>
        <v>31/08/2021</v>
      </c>
      <c r="F2457" t="str">
        <f>VLOOKUP(NoviaFunds[[#This Row],[Sector]],Sectors[],2,FALSE)</f>
        <v>Sterling Corporate Bonds</v>
      </c>
    </row>
    <row r="2458" spans="1:6" x14ac:dyDescent="0.2">
      <c r="A2458" t="str">
        <f>'Novia Web Query'!A2454</f>
        <v>GB00B3KTQZ41</v>
      </c>
      <c r="B2458" t="str">
        <f>VLOOKUP(NoviaFunds[[#This Row],[ISIN]],'Novia Web Query'!$A:$E,2,FALSE)</f>
        <v>L&amp;G Sterling Income R Inc TR in GB</v>
      </c>
      <c r="C2458" t="str">
        <f>VLOOKUP(NoviaFunds[[#This Row],[ISIN]],'Novia Web Query'!$A:$E,3,FALSE)</f>
        <v>UT Sterling Corporate Bond</v>
      </c>
      <c r="D2458" s="139">
        <f>VLOOKUP(NoviaFunds[[#This Row],[ISIN]],'Novia Web Query'!$A:$E,4,FALSE)/100</f>
        <v>1.1599999999999999E-2</v>
      </c>
      <c r="E2458" s="3" t="str">
        <f>VLOOKUP(NoviaFunds[[#This Row],[ISIN]],'Novia Web Query'!$A:$E,5,FALSE)</f>
        <v>31/08/2021</v>
      </c>
      <c r="F2458" t="str">
        <f>VLOOKUP(NoviaFunds[[#This Row],[Sector]],Sectors[],2,FALSE)</f>
        <v>Sterling Corporate Bonds</v>
      </c>
    </row>
    <row r="2459" spans="1:6" x14ac:dyDescent="0.2">
      <c r="A2459" t="str">
        <f>'Novia Web Query'!A2455</f>
        <v>GB00BG0QPG09</v>
      </c>
      <c r="B2459" t="str">
        <f>VLOOKUP(NoviaFunds[[#This Row],[ISIN]],'Novia Web Query'!$A:$E,2,FALSE)</f>
        <v>L&amp;G UK 100 Index Trust C Acc in GB**</v>
      </c>
      <c r="C2459" t="str">
        <f>VLOOKUP(NoviaFunds[[#This Row],[ISIN]],'Novia Web Query'!$A:$E,3,FALSE)</f>
        <v>UT UK All Companies</v>
      </c>
      <c r="D2459" s="139">
        <f>VLOOKUP(NoviaFunds[[#This Row],[ISIN]],'Novia Web Query'!$A:$E,4,FALSE)/100</f>
        <v>5.9999999999999995E-4</v>
      </c>
      <c r="E2459" s="3" t="str">
        <f>VLOOKUP(NoviaFunds[[#This Row],[ISIN]],'Novia Web Query'!$A:$E,5,FALSE)</f>
        <v>31/08/2021</v>
      </c>
      <c r="F2459" t="str">
        <f>VLOOKUP(NoviaFunds[[#This Row],[Sector]],Sectors[],2,FALSE)</f>
        <v>UK Equities</v>
      </c>
    </row>
    <row r="2460" spans="1:6" x14ac:dyDescent="0.2">
      <c r="A2460" t="str">
        <f>'Novia Web Query'!A2456</f>
        <v>GB00BG0QPF91</v>
      </c>
      <c r="B2460" t="str">
        <f>VLOOKUP(NoviaFunds[[#This Row],[ISIN]],'Novia Web Query'!$A:$E,2,FALSE)</f>
        <v>L&amp;G UK 100 Index Trust C Inc TR in GB**</v>
      </c>
      <c r="C2460" t="str">
        <f>VLOOKUP(NoviaFunds[[#This Row],[ISIN]],'Novia Web Query'!$A:$E,3,FALSE)</f>
        <v>UT UK All Companies</v>
      </c>
      <c r="D2460" s="139">
        <f>VLOOKUP(NoviaFunds[[#This Row],[ISIN]],'Novia Web Query'!$A:$E,4,FALSE)/100</f>
        <v>5.9999999999999995E-4</v>
      </c>
      <c r="E2460" s="3" t="str">
        <f>VLOOKUP(NoviaFunds[[#This Row],[ISIN]],'Novia Web Query'!$A:$E,5,FALSE)</f>
        <v>31/08/2021</v>
      </c>
      <c r="F2460" t="str">
        <f>VLOOKUP(NoviaFunds[[#This Row],[Sector]],Sectors[],2,FALSE)</f>
        <v>UK Equities</v>
      </c>
    </row>
    <row r="2461" spans="1:6" x14ac:dyDescent="0.2">
      <c r="A2461" t="str">
        <f>'Novia Web Query'!A2457</f>
        <v>GB00B0CNH502</v>
      </c>
      <c r="B2461" t="str">
        <f>VLOOKUP(NoviaFunds[[#This Row],[ISIN]],'Novia Web Query'!$A:$E,2,FALSE)</f>
        <v>L&amp;G UK 100 Index Trust I Acc in GB</v>
      </c>
      <c r="C2461" t="str">
        <f>VLOOKUP(NoviaFunds[[#This Row],[ISIN]],'Novia Web Query'!$A:$E,3,FALSE)</f>
        <v>UT UK All Companies</v>
      </c>
      <c r="D2461" s="139">
        <f>VLOOKUP(NoviaFunds[[#This Row],[ISIN]],'Novia Web Query'!$A:$E,4,FALSE)/100</f>
        <v>1E-3</v>
      </c>
      <c r="E2461" s="3" t="str">
        <f>VLOOKUP(NoviaFunds[[#This Row],[ISIN]],'Novia Web Query'!$A:$E,5,FALSE)</f>
        <v>31/08/2021</v>
      </c>
      <c r="F2461" t="str">
        <f>VLOOKUP(NoviaFunds[[#This Row],[Sector]],Sectors[],2,FALSE)</f>
        <v>UK Equities</v>
      </c>
    </row>
    <row r="2462" spans="1:6" x14ac:dyDescent="0.2">
      <c r="A2462" t="str">
        <f>'Novia Web Query'!A2458</f>
        <v>GB00B0CNH494</v>
      </c>
      <c r="B2462" t="str">
        <f>VLOOKUP(NoviaFunds[[#This Row],[ISIN]],'Novia Web Query'!$A:$E,2,FALSE)</f>
        <v>L&amp;G UK 100 Index Trust I Inc TR in GB</v>
      </c>
      <c r="C2462" t="str">
        <f>VLOOKUP(NoviaFunds[[#This Row],[ISIN]],'Novia Web Query'!$A:$E,3,FALSE)</f>
        <v>UT UK All Companies</v>
      </c>
      <c r="D2462" s="139">
        <f>VLOOKUP(NoviaFunds[[#This Row],[ISIN]],'Novia Web Query'!$A:$E,4,FALSE)/100</f>
        <v>1E-3</v>
      </c>
      <c r="E2462" s="3" t="str">
        <f>VLOOKUP(NoviaFunds[[#This Row],[ISIN]],'Novia Web Query'!$A:$E,5,FALSE)</f>
        <v>31/08/2021</v>
      </c>
      <c r="F2462" t="str">
        <f>VLOOKUP(NoviaFunds[[#This Row],[Sector]],Sectors[],2,FALSE)</f>
        <v>UK Equities</v>
      </c>
    </row>
    <row r="2463" spans="1:6" x14ac:dyDescent="0.2">
      <c r="A2463" t="str">
        <f>'Novia Web Query'!A2459</f>
        <v>GB00B0CNH619</v>
      </c>
      <c r="B2463" t="str">
        <f>VLOOKUP(NoviaFunds[[#This Row],[ISIN]],'Novia Web Query'!$A:$E,2,FALSE)</f>
        <v>L&amp;G UK 100 Index Trust R Inc TR in GB</v>
      </c>
      <c r="C2463" t="str">
        <f>VLOOKUP(NoviaFunds[[#This Row],[ISIN]],'Novia Web Query'!$A:$E,3,FALSE)</f>
        <v>UT UK All Companies</v>
      </c>
      <c r="D2463" s="139">
        <f>VLOOKUP(NoviaFunds[[#This Row],[ISIN]],'Novia Web Query'!$A:$E,4,FALSE)/100</f>
        <v>4.7999999999999996E-3</v>
      </c>
      <c r="E2463" s="3" t="str">
        <f>VLOOKUP(NoviaFunds[[#This Row],[ISIN]],'Novia Web Query'!$A:$E,5,FALSE)</f>
        <v>31/08/2021</v>
      </c>
      <c r="F2463" t="str">
        <f>VLOOKUP(NoviaFunds[[#This Row],[Sector]],Sectors[],2,FALSE)</f>
        <v>UK Equities</v>
      </c>
    </row>
    <row r="2464" spans="1:6" x14ac:dyDescent="0.2">
      <c r="A2464" t="str">
        <f>'Novia Web Query'!A2460</f>
        <v>GB0000179696</v>
      </c>
      <c r="B2464" t="str">
        <f>VLOOKUP(NoviaFunds[[#This Row],[ISIN]],'Novia Web Query'!$A:$E,2,FALSE)</f>
        <v>L&amp;G UK 350 Index A Acc in GB</v>
      </c>
      <c r="C2464" t="str">
        <f>VLOOKUP(NoviaFunds[[#This Row],[ISIN]],'Novia Web Query'!$A:$E,3,FALSE)</f>
        <v>UT UK All Companies</v>
      </c>
      <c r="D2464" s="139">
        <f>VLOOKUP(NoviaFunds[[#This Row],[ISIN]],'Novia Web Query'!$A:$E,4,FALSE)/100</f>
        <v>5.1999999999999998E-3</v>
      </c>
      <c r="E2464" s="3" t="str">
        <f>VLOOKUP(NoviaFunds[[#This Row],[ISIN]],'Novia Web Query'!$A:$E,5,FALSE)</f>
        <v>31/08/2021</v>
      </c>
      <c r="F2464" t="str">
        <f>VLOOKUP(NoviaFunds[[#This Row],[Sector]],Sectors[],2,FALSE)</f>
        <v>UK Equities</v>
      </c>
    </row>
    <row r="2465" spans="1:6" x14ac:dyDescent="0.2">
      <c r="A2465" t="str">
        <f>'Novia Web Query'!A2461</f>
        <v>GB00B6HBD759</v>
      </c>
      <c r="B2465" t="str">
        <f>VLOOKUP(NoviaFunds[[#This Row],[ISIN]],'Novia Web Query'!$A:$E,2,FALSE)</f>
        <v>L&amp;G UK Equity Income I Acc in GB</v>
      </c>
      <c r="C2465" t="str">
        <f>VLOOKUP(NoviaFunds[[#This Row],[ISIN]],'Novia Web Query'!$A:$E,3,FALSE)</f>
        <v>UT UK Equity Income</v>
      </c>
      <c r="D2465" s="139">
        <f>VLOOKUP(NoviaFunds[[#This Row],[ISIN]],'Novia Web Query'!$A:$E,4,FALSE)/100</f>
        <v>7.8000000000000005E-3</v>
      </c>
      <c r="E2465" s="3" t="str">
        <f>VLOOKUP(NoviaFunds[[#This Row],[ISIN]],'Novia Web Query'!$A:$E,5,FALSE)</f>
        <v>31/08/2021</v>
      </c>
      <c r="F2465" t="str">
        <f>VLOOKUP(NoviaFunds[[#This Row],[Sector]],Sectors[],2,FALSE)</f>
        <v>UK Equities</v>
      </c>
    </row>
    <row r="2466" spans="1:6" x14ac:dyDescent="0.2">
      <c r="A2466" t="str">
        <f>'Novia Web Query'!A2462</f>
        <v>GB00B56B1J72</v>
      </c>
      <c r="B2466" t="str">
        <f>VLOOKUP(NoviaFunds[[#This Row],[ISIN]],'Novia Web Query'!$A:$E,2,FALSE)</f>
        <v>L&amp;G UK Equity Income I Inc TR in GB</v>
      </c>
      <c r="C2466" t="str">
        <f>VLOOKUP(NoviaFunds[[#This Row],[ISIN]],'Novia Web Query'!$A:$E,3,FALSE)</f>
        <v>UT UK Equity Income</v>
      </c>
      <c r="D2466" s="139">
        <f>VLOOKUP(NoviaFunds[[#This Row],[ISIN]],'Novia Web Query'!$A:$E,4,FALSE)/100</f>
        <v>7.8000000000000005E-3</v>
      </c>
      <c r="E2466" s="3" t="str">
        <f>VLOOKUP(NoviaFunds[[#This Row],[ISIN]],'Novia Web Query'!$A:$E,5,FALSE)</f>
        <v>31/08/2021</v>
      </c>
      <c r="F2466" t="str">
        <f>VLOOKUP(NoviaFunds[[#This Row],[Sector]],Sectors[],2,FALSE)</f>
        <v>UK Equities</v>
      </c>
    </row>
    <row r="2467" spans="1:6" x14ac:dyDescent="0.2">
      <c r="A2467" t="str">
        <f>'Novia Web Query'!A2463</f>
        <v>GB00BG0QPJ30</v>
      </c>
      <c r="B2467" t="str">
        <f>VLOOKUP(NoviaFunds[[#This Row],[ISIN]],'Novia Web Query'!$A:$E,2,FALSE)</f>
        <v>L&amp;G UK Index Trust C Acc in GB**</v>
      </c>
      <c r="C2467" t="str">
        <f>VLOOKUP(NoviaFunds[[#This Row],[ISIN]],'Novia Web Query'!$A:$E,3,FALSE)</f>
        <v>UT UK All Companies</v>
      </c>
      <c r="D2467" s="139">
        <f>VLOOKUP(NoviaFunds[[#This Row],[ISIN]],'Novia Web Query'!$A:$E,4,FALSE)/100</f>
        <v>5.9999999999999995E-4</v>
      </c>
      <c r="E2467" s="3" t="str">
        <f>VLOOKUP(NoviaFunds[[#This Row],[ISIN]],'Novia Web Query'!$A:$E,5,FALSE)</f>
        <v>31/08/2021</v>
      </c>
      <c r="F2467" t="str">
        <f>VLOOKUP(NoviaFunds[[#This Row],[Sector]],Sectors[],2,FALSE)</f>
        <v>UK Equities</v>
      </c>
    </row>
    <row r="2468" spans="1:6" x14ac:dyDescent="0.2">
      <c r="A2468" t="str">
        <f>'Novia Web Query'!A2464</f>
        <v>GB00BG0QPH16</v>
      </c>
      <c r="B2468" t="str">
        <f>VLOOKUP(NoviaFunds[[#This Row],[ISIN]],'Novia Web Query'!$A:$E,2,FALSE)</f>
        <v>L&amp;G UK Index Trust C Inc TR in GB**</v>
      </c>
      <c r="C2468" t="str">
        <f>VLOOKUP(NoviaFunds[[#This Row],[ISIN]],'Novia Web Query'!$A:$E,3,FALSE)</f>
        <v>UT UK All Companies</v>
      </c>
      <c r="D2468" s="139">
        <f>VLOOKUP(NoviaFunds[[#This Row],[ISIN]],'Novia Web Query'!$A:$E,4,FALSE)/100</f>
        <v>5.9999999999999995E-4</v>
      </c>
      <c r="E2468" s="3" t="str">
        <f>VLOOKUP(NoviaFunds[[#This Row],[ISIN]],'Novia Web Query'!$A:$E,5,FALSE)</f>
        <v>31/08/2021</v>
      </c>
      <c r="F2468" t="str">
        <f>VLOOKUP(NoviaFunds[[#This Row],[Sector]],Sectors[],2,FALSE)</f>
        <v>UK Equities</v>
      </c>
    </row>
    <row r="2469" spans="1:6" x14ac:dyDescent="0.2">
      <c r="A2469" t="str">
        <f>'Novia Web Query'!A2465</f>
        <v>GB00B0CNGN12</v>
      </c>
      <c r="B2469" t="str">
        <f>VLOOKUP(NoviaFunds[[#This Row],[ISIN]],'Novia Web Query'!$A:$E,2,FALSE)</f>
        <v>L&amp;G UK Index Trust I Acc in GB**</v>
      </c>
      <c r="C2469" t="str">
        <f>VLOOKUP(NoviaFunds[[#This Row],[ISIN]],'Novia Web Query'!$A:$E,3,FALSE)</f>
        <v>UT UK All Companies</v>
      </c>
      <c r="D2469" s="139">
        <f>VLOOKUP(NoviaFunds[[#This Row],[ISIN]],'Novia Web Query'!$A:$E,4,FALSE)/100</f>
        <v>1E-3</v>
      </c>
      <c r="E2469" s="3" t="str">
        <f>VLOOKUP(NoviaFunds[[#This Row],[ISIN]],'Novia Web Query'!$A:$E,5,FALSE)</f>
        <v>31/08/2021</v>
      </c>
      <c r="F2469" t="str">
        <f>VLOOKUP(NoviaFunds[[#This Row],[Sector]],Sectors[],2,FALSE)</f>
        <v>UK Equities</v>
      </c>
    </row>
    <row r="2470" spans="1:6" x14ac:dyDescent="0.2">
      <c r="A2470" t="str">
        <f>'Novia Web Query'!A2466</f>
        <v>GB00B0CNGM05</v>
      </c>
      <c r="B2470" t="str">
        <f>VLOOKUP(NoviaFunds[[#This Row],[ISIN]],'Novia Web Query'!$A:$E,2,FALSE)</f>
        <v>L&amp;G UK Index Trust I Inc TR in GB**</v>
      </c>
      <c r="C2470" t="str">
        <f>VLOOKUP(NoviaFunds[[#This Row],[ISIN]],'Novia Web Query'!$A:$E,3,FALSE)</f>
        <v>UT UK All Companies</v>
      </c>
      <c r="D2470" s="139">
        <f>VLOOKUP(NoviaFunds[[#This Row],[ISIN]],'Novia Web Query'!$A:$E,4,FALSE)/100</f>
        <v>1E-3</v>
      </c>
      <c r="E2470" s="3" t="str">
        <f>VLOOKUP(NoviaFunds[[#This Row],[ISIN]],'Novia Web Query'!$A:$E,5,FALSE)</f>
        <v>31/08/2021</v>
      </c>
      <c r="F2470" t="str">
        <f>VLOOKUP(NoviaFunds[[#This Row],[Sector]],Sectors[],2,FALSE)</f>
        <v>UK Equities</v>
      </c>
    </row>
    <row r="2471" spans="1:6" x14ac:dyDescent="0.2">
      <c r="A2471" t="str">
        <f>'Novia Web Query'!A2467</f>
        <v>GB0001036531</v>
      </c>
      <c r="B2471" t="str">
        <f>VLOOKUP(NoviaFunds[[#This Row],[ISIN]],'Novia Web Query'!$A:$E,2,FALSE)</f>
        <v>L&amp;G UK Index Trust R Acc in GB</v>
      </c>
      <c r="C2471" t="str">
        <f>VLOOKUP(NoviaFunds[[#This Row],[ISIN]],'Novia Web Query'!$A:$E,3,FALSE)</f>
        <v>UT UK All Companies</v>
      </c>
      <c r="D2471" s="139">
        <f>VLOOKUP(NoviaFunds[[#This Row],[ISIN]],'Novia Web Query'!$A:$E,4,FALSE)/100</f>
        <v>4.7999999999999996E-3</v>
      </c>
      <c r="E2471" s="3" t="str">
        <f>VLOOKUP(NoviaFunds[[#This Row],[ISIN]],'Novia Web Query'!$A:$E,5,FALSE)</f>
        <v>31/08/2021</v>
      </c>
      <c r="F2471" t="str">
        <f>VLOOKUP(NoviaFunds[[#This Row],[Sector]],Sectors[],2,FALSE)</f>
        <v>UK Equities</v>
      </c>
    </row>
    <row r="2472" spans="1:6" x14ac:dyDescent="0.2">
      <c r="A2472" t="str">
        <f>'Novia Web Query'!A2468</f>
        <v>GB0005141709</v>
      </c>
      <c r="B2472" t="str">
        <f>VLOOKUP(NoviaFunds[[#This Row],[ISIN]],'Novia Web Query'!$A:$E,2,FALSE)</f>
        <v>L&amp;G UK Index Trust R Inc TR in GB</v>
      </c>
      <c r="C2472" t="str">
        <f>VLOOKUP(NoviaFunds[[#This Row],[ISIN]],'Novia Web Query'!$A:$E,3,FALSE)</f>
        <v>UT UK All Companies</v>
      </c>
      <c r="D2472" s="139">
        <f>VLOOKUP(NoviaFunds[[#This Row],[ISIN]],'Novia Web Query'!$A:$E,4,FALSE)/100</f>
        <v>4.7999999999999996E-3</v>
      </c>
      <c r="E2472" s="3" t="str">
        <f>VLOOKUP(NoviaFunds[[#This Row],[ISIN]],'Novia Web Query'!$A:$E,5,FALSE)</f>
        <v>31/08/2021</v>
      </c>
      <c r="F2472" t="str">
        <f>VLOOKUP(NoviaFunds[[#This Row],[Sector]],Sectors[],2,FALSE)</f>
        <v>UK Equities</v>
      </c>
    </row>
    <row r="2473" spans="1:6" x14ac:dyDescent="0.2">
      <c r="A2473" t="str">
        <f>'Novia Web Query'!A2469</f>
        <v>GB00BQ1JYV63</v>
      </c>
      <c r="B2473" t="str">
        <f>VLOOKUP(NoviaFunds[[#This Row],[ISIN]],'Novia Web Query'!$A:$E,2,FALSE)</f>
        <v>L&amp;G UK Mid Cap Index C Acc in GB</v>
      </c>
      <c r="C2473" t="str">
        <f>VLOOKUP(NoviaFunds[[#This Row],[ISIN]],'Novia Web Query'!$A:$E,3,FALSE)</f>
        <v>UT UK All Companies</v>
      </c>
      <c r="D2473" s="139">
        <f>VLOOKUP(NoviaFunds[[#This Row],[ISIN]],'Novia Web Query'!$A:$E,4,FALSE)/100</f>
        <v>8.0000000000000004E-4</v>
      </c>
      <c r="E2473" s="3" t="str">
        <f>VLOOKUP(NoviaFunds[[#This Row],[ISIN]],'Novia Web Query'!$A:$E,5,FALSE)</f>
        <v>31/08/2021</v>
      </c>
      <c r="F2473" t="str">
        <f>VLOOKUP(NoviaFunds[[#This Row],[Sector]],Sectors[],2,FALSE)</f>
        <v>UK Equities</v>
      </c>
    </row>
    <row r="2474" spans="1:6" x14ac:dyDescent="0.2">
      <c r="A2474" t="str">
        <f>'Novia Web Query'!A2470</f>
        <v>GB00BQ1JYT42</v>
      </c>
      <c r="B2474" t="str">
        <f>VLOOKUP(NoviaFunds[[#This Row],[ISIN]],'Novia Web Query'!$A:$E,2,FALSE)</f>
        <v>L&amp;G UK Mid Cap Index C Inc TR in GB</v>
      </c>
      <c r="C2474" t="str">
        <f>VLOOKUP(NoviaFunds[[#This Row],[ISIN]],'Novia Web Query'!$A:$E,3,FALSE)</f>
        <v>UT UK All Companies</v>
      </c>
      <c r="D2474" s="139">
        <f>VLOOKUP(NoviaFunds[[#This Row],[ISIN]],'Novia Web Query'!$A:$E,4,FALSE)/100</f>
        <v>8.0000000000000004E-4</v>
      </c>
      <c r="E2474" s="3" t="str">
        <f>VLOOKUP(NoviaFunds[[#This Row],[ISIN]],'Novia Web Query'!$A:$E,5,FALSE)</f>
        <v>31/08/2021</v>
      </c>
      <c r="F2474" t="str">
        <f>VLOOKUP(NoviaFunds[[#This Row],[Sector]],Sectors[],2,FALSE)</f>
        <v>UK Equities</v>
      </c>
    </row>
    <row r="2475" spans="1:6" x14ac:dyDescent="0.2">
      <c r="A2475" t="str">
        <f>'Novia Web Query'!A2471</f>
        <v>GB00BQ1JYX87</v>
      </c>
      <c r="B2475" t="str">
        <f>VLOOKUP(NoviaFunds[[#This Row],[ISIN]],'Novia Web Query'!$A:$E,2,FALSE)</f>
        <v>L&amp;G UK Mid Cap Index I Acc in GB</v>
      </c>
      <c r="C2475" t="str">
        <f>VLOOKUP(NoviaFunds[[#This Row],[ISIN]],'Novia Web Query'!$A:$E,3,FALSE)</f>
        <v>UT UK All Companies</v>
      </c>
      <c r="D2475" s="139">
        <f>VLOOKUP(NoviaFunds[[#This Row],[ISIN]],'Novia Web Query'!$A:$E,4,FALSE)/100</f>
        <v>1.4000000000000002E-3</v>
      </c>
      <c r="E2475" s="3" t="str">
        <f>VLOOKUP(NoviaFunds[[#This Row],[ISIN]],'Novia Web Query'!$A:$E,5,FALSE)</f>
        <v>31/08/2021</v>
      </c>
      <c r="F2475" t="str">
        <f>VLOOKUP(NoviaFunds[[#This Row],[Sector]],Sectors[],2,FALSE)</f>
        <v>UK Equities</v>
      </c>
    </row>
    <row r="2476" spans="1:6" x14ac:dyDescent="0.2">
      <c r="A2476" t="str">
        <f>'Novia Web Query'!A2472</f>
        <v>GB00BQ1JYW70</v>
      </c>
      <c r="B2476" t="str">
        <f>VLOOKUP(NoviaFunds[[#This Row],[ISIN]],'Novia Web Query'!$A:$E,2,FALSE)</f>
        <v>L&amp;G UK Mid Cap Index I Inc TR in GB</v>
      </c>
      <c r="C2476" t="str">
        <f>VLOOKUP(NoviaFunds[[#This Row],[ISIN]],'Novia Web Query'!$A:$E,3,FALSE)</f>
        <v>UT UK All Companies</v>
      </c>
      <c r="D2476" s="139">
        <f>VLOOKUP(NoviaFunds[[#This Row],[ISIN]],'Novia Web Query'!$A:$E,4,FALSE)/100</f>
        <v>1.4000000000000002E-3</v>
      </c>
      <c r="E2476" s="3" t="str">
        <f>VLOOKUP(NoviaFunds[[#This Row],[ISIN]],'Novia Web Query'!$A:$E,5,FALSE)</f>
        <v>31/08/2021</v>
      </c>
      <c r="F2476" t="str">
        <f>VLOOKUP(NoviaFunds[[#This Row],[Sector]],Sectors[],2,FALSE)</f>
        <v>UK Equities</v>
      </c>
    </row>
    <row r="2477" spans="1:6" x14ac:dyDescent="0.2">
      <c r="A2477" t="str">
        <f>'Novia Web Query'!A2473</f>
        <v>GB00BK35F408</v>
      </c>
      <c r="B2477" t="str">
        <f>VLOOKUP(NoviaFunds[[#This Row],[ISIN]],'Novia Web Query'!$A:$E,2,FALSE)</f>
        <v>L&amp;G UK Property Feeder I Acc in GB</v>
      </c>
      <c r="C2477" t="str">
        <f>VLOOKUP(NoviaFunds[[#This Row],[ISIN]],'Novia Web Query'!$A:$E,3,FALSE)</f>
        <v>UT UK Direct Property</v>
      </c>
      <c r="D2477" s="139">
        <f>VLOOKUP(NoviaFunds[[#This Row],[ISIN]],'Novia Web Query'!$A:$E,4,FALSE)/100</f>
        <v>7.4999999999999997E-3</v>
      </c>
      <c r="E2477" s="3" t="str">
        <f>VLOOKUP(NoviaFunds[[#This Row],[ISIN]],'Novia Web Query'!$A:$E,5,FALSE)</f>
        <v>31/08/2021</v>
      </c>
      <c r="F2477" t="e">
        <f>VLOOKUP(NoviaFunds[[#This Row],[Sector]],Sectors[],2,FALSE)</f>
        <v>#N/A</v>
      </c>
    </row>
    <row r="2478" spans="1:6" x14ac:dyDescent="0.2">
      <c r="A2478" t="str">
        <f>'Novia Web Query'!A2474</f>
        <v>GB00BK35F390</v>
      </c>
      <c r="B2478" t="str">
        <f>VLOOKUP(NoviaFunds[[#This Row],[ISIN]],'Novia Web Query'!$A:$E,2,FALSE)</f>
        <v>L&amp;G UK Property Feeder I Inc TR in GB</v>
      </c>
      <c r="C2478" t="str">
        <f>VLOOKUP(NoviaFunds[[#This Row],[ISIN]],'Novia Web Query'!$A:$E,3,FALSE)</f>
        <v>UT UK Direct Property</v>
      </c>
      <c r="D2478" s="139">
        <f>VLOOKUP(NoviaFunds[[#This Row],[ISIN]],'Novia Web Query'!$A:$E,4,FALSE)/100</f>
        <v>7.4999999999999997E-3</v>
      </c>
      <c r="E2478" s="3" t="str">
        <f>VLOOKUP(NoviaFunds[[#This Row],[ISIN]],'Novia Web Query'!$A:$E,5,FALSE)</f>
        <v>31/08/2021</v>
      </c>
      <c r="F2478" t="e">
        <f>VLOOKUP(NoviaFunds[[#This Row],[Sector]],Sectors[],2,FALSE)</f>
        <v>#N/A</v>
      </c>
    </row>
    <row r="2479" spans="1:6" x14ac:dyDescent="0.2">
      <c r="A2479" t="str">
        <f>'Novia Web Query'!A2475</f>
        <v>GB00BK35F283</v>
      </c>
      <c r="B2479" t="str">
        <f>VLOOKUP(NoviaFunds[[#This Row],[ISIN]],'Novia Web Query'!$A:$E,2,FALSE)</f>
        <v>L&amp;G UK Property Feeder R Acc in GB</v>
      </c>
      <c r="C2479" t="str">
        <f>VLOOKUP(NoviaFunds[[#This Row],[ISIN]],'Novia Web Query'!$A:$E,3,FALSE)</f>
        <v>UT UK Direct Property</v>
      </c>
      <c r="D2479" s="139">
        <f>VLOOKUP(NoviaFunds[[#This Row],[ISIN]],'Novia Web Query'!$A:$E,4,FALSE)/100</f>
        <v>1.4999999999999999E-2</v>
      </c>
      <c r="E2479" s="3" t="str">
        <f>VLOOKUP(NoviaFunds[[#This Row],[ISIN]],'Novia Web Query'!$A:$E,5,FALSE)</f>
        <v>31/08/2021</v>
      </c>
      <c r="F2479" t="e">
        <f>VLOOKUP(NoviaFunds[[#This Row],[Sector]],Sectors[],2,FALSE)</f>
        <v>#N/A</v>
      </c>
    </row>
    <row r="2480" spans="1:6" x14ac:dyDescent="0.2">
      <c r="A2480" t="str">
        <f>'Novia Web Query'!A2476</f>
        <v>GB00BK35F176</v>
      </c>
      <c r="B2480" t="str">
        <f>VLOOKUP(NoviaFunds[[#This Row],[ISIN]],'Novia Web Query'!$A:$E,2,FALSE)</f>
        <v>L&amp;G UK Property Feeder R Inc TR in GB</v>
      </c>
      <c r="C2480" t="str">
        <f>VLOOKUP(NoviaFunds[[#This Row],[ISIN]],'Novia Web Query'!$A:$E,3,FALSE)</f>
        <v>UT UK Direct Property</v>
      </c>
      <c r="D2480" s="139">
        <f>VLOOKUP(NoviaFunds[[#This Row],[ISIN]],'Novia Web Query'!$A:$E,4,FALSE)/100</f>
        <v>1.4999999999999999E-2</v>
      </c>
      <c r="E2480" s="3" t="str">
        <f>VLOOKUP(NoviaFunds[[#This Row],[ISIN]],'Novia Web Query'!$A:$E,5,FALSE)</f>
        <v>31/08/2021</v>
      </c>
      <c r="F2480" t="e">
        <f>VLOOKUP(NoviaFunds[[#This Row],[Sector]],Sectors[],2,FALSE)</f>
        <v>#N/A</v>
      </c>
    </row>
    <row r="2481" spans="1:6" x14ac:dyDescent="0.2">
      <c r="A2481" t="str">
        <f>'Novia Web Query'!A2477</f>
        <v>GB0006245749</v>
      </c>
      <c r="B2481" t="str">
        <f>VLOOKUP(NoviaFunds[[#This Row],[ISIN]],'Novia Web Query'!$A:$E,2,FALSE)</f>
        <v>L&amp;G UK Select Equity A Acc in GB</v>
      </c>
      <c r="C2481" t="str">
        <f>VLOOKUP(NoviaFunds[[#This Row],[ISIN]],'Novia Web Query'!$A:$E,3,FALSE)</f>
        <v>UT UK All Companies</v>
      </c>
      <c r="D2481" s="139">
        <f>VLOOKUP(NoviaFunds[[#This Row],[ISIN]],'Novia Web Query'!$A:$E,4,FALSE)/100</f>
        <v>1.37E-2</v>
      </c>
      <c r="E2481" s="3" t="str">
        <f>VLOOKUP(NoviaFunds[[#This Row],[ISIN]],'Novia Web Query'!$A:$E,5,FALSE)</f>
        <v>31/08/2021</v>
      </c>
      <c r="F2481" t="str">
        <f>VLOOKUP(NoviaFunds[[#This Row],[Sector]],Sectors[],2,FALSE)</f>
        <v>UK Equities</v>
      </c>
    </row>
    <row r="2482" spans="1:6" x14ac:dyDescent="0.2">
      <c r="A2482" t="str">
        <f>'Novia Web Query'!A2478</f>
        <v>GB00B8F72V68</v>
      </c>
      <c r="B2482" t="str">
        <f>VLOOKUP(NoviaFunds[[#This Row],[ISIN]],'Novia Web Query'!$A:$E,2,FALSE)</f>
        <v>L&amp;G UK Select Equity I Acc in GB</v>
      </c>
      <c r="C2482" t="str">
        <f>VLOOKUP(NoviaFunds[[#This Row],[ISIN]],'Novia Web Query'!$A:$E,3,FALSE)</f>
        <v>UT UK All Companies</v>
      </c>
      <c r="D2482" s="139">
        <f>VLOOKUP(NoviaFunds[[#This Row],[ISIN]],'Novia Web Query'!$A:$E,4,FALSE)/100</f>
        <v>7.8000000000000005E-3</v>
      </c>
      <c r="E2482" s="3" t="str">
        <f>VLOOKUP(NoviaFunds[[#This Row],[ISIN]],'Novia Web Query'!$A:$E,5,FALSE)</f>
        <v>31/08/2021</v>
      </c>
      <c r="F2482" t="str">
        <f>VLOOKUP(NoviaFunds[[#This Row],[Sector]],Sectors[],2,FALSE)</f>
        <v>UK Equities</v>
      </c>
    </row>
    <row r="2483" spans="1:6" x14ac:dyDescent="0.2">
      <c r="A2483" t="str">
        <f>'Novia Web Query'!A2479</f>
        <v>GB00B887M570</v>
      </c>
      <c r="B2483" t="str">
        <f>VLOOKUP(NoviaFunds[[#This Row],[ISIN]],'Novia Web Query'!$A:$E,2,FALSE)</f>
        <v>L&amp;G UK Select Equity I Inc TR in GB</v>
      </c>
      <c r="C2483" t="str">
        <f>VLOOKUP(NoviaFunds[[#This Row],[ISIN]],'Novia Web Query'!$A:$E,3,FALSE)</f>
        <v>UT UK All Companies</v>
      </c>
      <c r="D2483" s="139">
        <f>VLOOKUP(NoviaFunds[[#This Row],[ISIN]],'Novia Web Query'!$A:$E,4,FALSE)/100</f>
        <v>7.8000000000000005E-3</v>
      </c>
      <c r="E2483" s="3" t="str">
        <f>VLOOKUP(NoviaFunds[[#This Row],[ISIN]],'Novia Web Query'!$A:$E,5,FALSE)</f>
        <v>31/08/2021</v>
      </c>
      <c r="F2483" t="str">
        <f>VLOOKUP(NoviaFunds[[#This Row],[Sector]],Sectors[],2,FALSE)</f>
        <v>UK Equities</v>
      </c>
    </row>
    <row r="2484" spans="1:6" x14ac:dyDescent="0.2">
      <c r="A2484" t="str">
        <f>'Novia Web Query'!A2480</f>
        <v>GB00B7LFF300</v>
      </c>
      <c r="B2484" t="str">
        <f>VLOOKUP(NoviaFunds[[#This Row],[ISIN]],'Novia Web Query'!$A:$E,2,FALSE)</f>
        <v>L&amp;G UK Smaller Companies Trust I Acc in GB</v>
      </c>
      <c r="C2484" t="str">
        <f>VLOOKUP(NoviaFunds[[#This Row],[ISIN]],'Novia Web Query'!$A:$E,3,FALSE)</f>
        <v>UT UK Smaller Companies</v>
      </c>
      <c r="D2484" s="139">
        <f>VLOOKUP(NoviaFunds[[#This Row],[ISIN]],'Novia Web Query'!$A:$E,4,FALSE)/100</f>
        <v>7.8000000000000005E-3</v>
      </c>
      <c r="E2484" s="3" t="str">
        <f>VLOOKUP(NoviaFunds[[#This Row],[ISIN]],'Novia Web Query'!$A:$E,5,FALSE)</f>
        <v>31/08/2021</v>
      </c>
      <c r="F2484" t="str">
        <f>VLOOKUP(NoviaFunds[[#This Row],[Sector]],Sectors[],2,FALSE)</f>
        <v>UK Equities</v>
      </c>
    </row>
    <row r="2485" spans="1:6" x14ac:dyDescent="0.2">
      <c r="A2485" t="str">
        <f>'Novia Web Query'!A2481</f>
        <v>GB00B89NFZ54</v>
      </c>
      <c r="B2485" t="str">
        <f>VLOOKUP(NoviaFunds[[#This Row],[ISIN]],'Novia Web Query'!$A:$E,2,FALSE)</f>
        <v>L&amp;G UK Smaller Companies Trust I Inc TR in GB</v>
      </c>
      <c r="C2485" t="str">
        <f>VLOOKUP(NoviaFunds[[#This Row],[ISIN]],'Novia Web Query'!$A:$E,3,FALSE)</f>
        <v>UT UK Smaller Companies</v>
      </c>
      <c r="D2485" s="139">
        <f>VLOOKUP(NoviaFunds[[#This Row],[ISIN]],'Novia Web Query'!$A:$E,4,FALSE)/100</f>
        <v>7.8000000000000005E-3</v>
      </c>
      <c r="E2485" s="3" t="str">
        <f>VLOOKUP(NoviaFunds[[#This Row],[ISIN]],'Novia Web Query'!$A:$E,5,FALSE)</f>
        <v>31/08/2021</v>
      </c>
      <c r="F2485" t="str">
        <f>VLOOKUP(NoviaFunds[[#This Row],[Sector]],Sectors[],2,FALSE)</f>
        <v>UK Equities</v>
      </c>
    </row>
    <row r="2486" spans="1:6" x14ac:dyDescent="0.2">
      <c r="A2486" t="str">
        <f>'Novia Web Query'!A2482</f>
        <v>GB00B032C178</v>
      </c>
      <c r="B2486" t="str">
        <f>VLOOKUP(NoviaFunds[[#This Row],[ISIN]],'Novia Web Query'!$A:$E,2,FALSE)</f>
        <v>L&amp;G UK Smaller Companies Trust R Acc in GB</v>
      </c>
      <c r="C2486" t="str">
        <f>VLOOKUP(NoviaFunds[[#This Row],[ISIN]],'Novia Web Query'!$A:$E,3,FALSE)</f>
        <v>UT UK Smaller Companies</v>
      </c>
      <c r="D2486" s="139">
        <f>VLOOKUP(NoviaFunds[[#This Row],[ISIN]],'Novia Web Query'!$A:$E,4,FALSE)/100</f>
        <v>1.43E-2</v>
      </c>
      <c r="E2486" s="3" t="str">
        <f>VLOOKUP(NoviaFunds[[#This Row],[ISIN]],'Novia Web Query'!$A:$E,5,FALSE)</f>
        <v>31/08/2021</v>
      </c>
      <c r="F2486" t="str">
        <f>VLOOKUP(NoviaFunds[[#This Row],[Sector]],Sectors[],2,FALSE)</f>
        <v>UK Equities</v>
      </c>
    </row>
    <row r="2487" spans="1:6" x14ac:dyDescent="0.2">
      <c r="A2487" t="str">
        <f>'Novia Web Query'!A2483</f>
        <v>GB00B032C061</v>
      </c>
      <c r="B2487" t="str">
        <f>VLOOKUP(NoviaFunds[[#This Row],[ISIN]],'Novia Web Query'!$A:$E,2,FALSE)</f>
        <v>L&amp;G UK Smaller Companies Trust R Inc TR in GB</v>
      </c>
      <c r="C2487" t="str">
        <f>VLOOKUP(NoviaFunds[[#This Row],[ISIN]],'Novia Web Query'!$A:$E,3,FALSE)</f>
        <v>UT UK Smaller Companies</v>
      </c>
      <c r="D2487" s="139">
        <f>VLOOKUP(NoviaFunds[[#This Row],[ISIN]],'Novia Web Query'!$A:$E,4,FALSE)/100</f>
        <v>1.43E-2</v>
      </c>
      <c r="E2487" s="3" t="str">
        <f>VLOOKUP(NoviaFunds[[#This Row],[ISIN]],'Novia Web Query'!$A:$E,5,FALSE)</f>
        <v>31/08/2021</v>
      </c>
      <c r="F2487" t="str">
        <f>VLOOKUP(NoviaFunds[[#This Row],[Sector]],Sectors[],2,FALSE)</f>
        <v>UK Equities</v>
      </c>
    </row>
    <row r="2488" spans="1:6" x14ac:dyDescent="0.2">
      <c r="A2488" t="str">
        <f>'Novia Web Query'!A2484</f>
        <v>GB00B3DMY345</v>
      </c>
      <c r="B2488" t="str">
        <f>VLOOKUP(NoviaFunds[[#This Row],[ISIN]],'Novia Web Query'!$A:$E,2,FALSE)</f>
        <v>L&amp;G UK Special Situations Trust I Acc in GB</v>
      </c>
      <c r="C2488" t="str">
        <f>VLOOKUP(NoviaFunds[[#This Row],[ISIN]],'Novia Web Query'!$A:$E,3,FALSE)</f>
        <v>UT UK All Companies</v>
      </c>
      <c r="D2488" s="139">
        <f>VLOOKUP(NoviaFunds[[#This Row],[ISIN]],'Novia Web Query'!$A:$E,4,FALSE)/100</f>
        <v>7.9000000000000008E-3</v>
      </c>
      <c r="E2488" s="3" t="str">
        <f>VLOOKUP(NoviaFunds[[#This Row],[ISIN]],'Novia Web Query'!$A:$E,5,FALSE)</f>
        <v>31/08/2021</v>
      </c>
      <c r="F2488" t="str">
        <f>VLOOKUP(NoviaFunds[[#This Row],[Sector]],Sectors[],2,FALSE)</f>
        <v>UK Equities</v>
      </c>
    </row>
    <row r="2489" spans="1:6" x14ac:dyDescent="0.2">
      <c r="A2489" t="str">
        <f>'Novia Web Query'!A2485</f>
        <v>GB00B3DMY121</v>
      </c>
      <c r="B2489" t="str">
        <f>VLOOKUP(NoviaFunds[[#This Row],[ISIN]],'Novia Web Query'!$A:$E,2,FALSE)</f>
        <v>L&amp;G UK Special Situations Trust I Inc TR in GB</v>
      </c>
      <c r="C2489" t="str">
        <f>VLOOKUP(NoviaFunds[[#This Row],[ISIN]],'Novia Web Query'!$A:$E,3,FALSE)</f>
        <v>UT UK All Companies</v>
      </c>
      <c r="D2489" s="139">
        <f>VLOOKUP(NoviaFunds[[#This Row],[ISIN]],'Novia Web Query'!$A:$E,4,FALSE)/100</f>
        <v>7.9000000000000008E-3</v>
      </c>
      <c r="E2489" s="3" t="str">
        <f>VLOOKUP(NoviaFunds[[#This Row],[ISIN]],'Novia Web Query'!$A:$E,5,FALSE)</f>
        <v>31/08/2021</v>
      </c>
      <c r="F2489" t="str">
        <f>VLOOKUP(NoviaFunds[[#This Row],[Sector]],Sectors[],2,FALSE)</f>
        <v>UK Equities</v>
      </c>
    </row>
    <row r="2490" spans="1:6" x14ac:dyDescent="0.2">
      <c r="A2490" t="str">
        <f>'Novia Web Query'!A2486</f>
        <v>GB00BG0QPL51</v>
      </c>
      <c r="B2490" t="str">
        <f>VLOOKUP(NoviaFunds[[#This Row],[ISIN]],'Novia Web Query'!$A:$E,2,FALSE)</f>
        <v>L&amp;G US Index Trust C Acc in GB**</v>
      </c>
      <c r="C2490" t="str">
        <f>VLOOKUP(NoviaFunds[[#This Row],[ISIN]],'Novia Web Query'!$A:$E,3,FALSE)</f>
        <v>UT North America</v>
      </c>
      <c r="D2490" s="139">
        <f>VLOOKUP(NoviaFunds[[#This Row],[ISIN]],'Novia Web Query'!$A:$E,4,FALSE)/100</f>
        <v>5.9999999999999995E-4</v>
      </c>
      <c r="E2490" s="3" t="str">
        <f>VLOOKUP(NoviaFunds[[#This Row],[ISIN]],'Novia Web Query'!$A:$E,5,FALSE)</f>
        <v>31/08/2021</v>
      </c>
      <c r="F2490" t="str">
        <f>VLOOKUP(NoviaFunds[[#This Row],[Sector]],Sectors[],2,FALSE)</f>
        <v>USA Equities</v>
      </c>
    </row>
    <row r="2491" spans="1:6" x14ac:dyDescent="0.2">
      <c r="A2491" t="str">
        <f>'Novia Web Query'!A2487</f>
        <v>GB00BG0QPK45</v>
      </c>
      <c r="B2491" t="str">
        <f>VLOOKUP(NoviaFunds[[#This Row],[ISIN]],'Novia Web Query'!$A:$E,2,FALSE)</f>
        <v>L&amp;G US Index Trust C Inc TR in GB**</v>
      </c>
      <c r="C2491" t="str">
        <f>VLOOKUP(NoviaFunds[[#This Row],[ISIN]],'Novia Web Query'!$A:$E,3,FALSE)</f>
        <v>UT North America</v>
      </c>
      <c r="D2491" s="139">
        <f>VLOOKUP(NoviaFunds[[#This Row],[ISIN]],'Novia Web Query'!$A:$E,4,FALSE)/100</f>
        <v>5.9999999999999995E-4</v>
      </c>
      <c r="E2491" s="3" t="str">
        <f>VLOOKUP(NoviaFunds[[#This Row],[ISIN]],'Novia Web Query'!$A:$E,5,FALSE)</f>
        <v>31/08/2021</v>
      </c>
      <c r="F2491" t="str">
        <f>VLOOKUP(NoviaFunds[[#This Row],[Sector]],Sectors[],2,FALSE)</f>
        <v>USA Equities</v>
      </c>
    </row>
    <row r="2492" spans="1:6" x14ac:dyDescent="0.2">
      <c r="A2492" t="str">
        <f>'Novia Web Query'!A2488</f>
        <v>GB00B0CNGT73</v>
      </c>
      <c r="B2492" t="str">
        <f>VLOOKUP(NoviaFunds[[#This Row],[ISIN]],'Novia Web Query'!$A:$E,2,FALSE)</f>
        <v>L&amp;G US Index Trust I Acc in GB**</v>
      </c>
      <c r="C2492" t="str">
        <f>VLOOKUP(NoviaFunds[[#This Row],[ISIN]],'Novia Web Query'!$A:$E,3,FALSE)</f>
        <v>UT North America</v>
      </c>
      <c r="D2492" s="139">
        <f>VLOOKUP(NoviaFunds[[#This Row],[ISIN]],'Novia Web Query'!$A:$E,4,FALSE)/100</f>
        <v>1E-3</v>
      </c>
      <c r="E2492" s="3" t="str">
        <f>VLOOKUP(NoviaFunds[[#This Row],[ISIN]],'Novia Web Query'!$A:$E,5,FALSE)</f>
        <v>31/08/2021</v>
      </c>
      <c r="F2492" t="str">
        <f>VLOOKUP(NoviaFunds[[#This Row],[Sector]],Sectors[],2,FALSE)</f>
        <v>USA Equities</v>
      </c>
    </row>
    <row r="2493" spans="1:6" x14ac:dyDescent="0.2">
      <c r="A2493" t="str">
        <f>'Novia Web Query'!A2489</f>
        <v>GB00B0CNGS66</v>
      </c>
      <c r="B2493" t="str">
        <f>VLOOKUP(NoviaFunds[[#This Row],[ISIN]],'Novia Web Query'!$A:$E,2,FALSE)</f>
        <v>L&amp;G US Index Trust I Inc TR in GB**</v>
      </c>
      <c r="C2493" t="str">
        <f>VLOOKUP(NoviaFunds[[#This Row],[ISIN]],'Novia Web Query'!$A:$E,3,FALSE)</f>
        <v>UT North America</v>
      </c>
      <c r="D2493" s="139">
        <f>VLOOKUP(NoviaFunds[[#This Row],[ISIN]],'Novia Web Query'!$A:$E,4,FALSE)/100</f>
        <v>1E-3</v>
      </c>
      <c r="E2493" s="3" t="str">
        <f>VLOOKUP(NoviaFunds[[#This Row],[ISIN]],'Novia Web Query'!$A:$E,5,FALSE)</f>
        <v>31/08/2021</v>
      </c>
      <c r="F2493" t="str">
        <f>VLOOKUP(NoviaFunds[[#This Row],[Sector]],Sectors[],2,FALSE)</f>
        <v>USA Equities</v>
      </c>
    </row>
    <row r="2494" spans="1:6" x14ac:dyDescent="0.2">
      <c r="A2494" t="str">
        <f>'Novia Web Query'!A2490</f>
        <v>GB0001981215</v>
      </c>
      <c r="B2494" t="str">
        <f>VLOOKUP(NoviaFunds[[#This Row],[ISIN]],'Novia Web Query'!$A:$E,2,FALSE)</f>
        <v>L&amp;G US Index Trust R Acc in GB</v>
      </c>
      <c r="C2494" t="str">
        <f>VLOOKUP(NoviaFunds[[#This Row],[ISIN]],'Novia Web Query'!$A:$E,3,FALSE)</f>
        <v>UT North America</v>
      </c>
      <c r="D2494" s="139">
        <f>VLOOKUP(NoviaFunds[[#This Row],[ISIN]],'Novia Web Query'!$A:$E,4,FALSE)/100</f>
        <v>4.7999999999999996E-3</v>
      </c>
      <c r="E2494" s="3" t="str">
        <f>VLOOKUP(NoviaFunds[[#This Row],[ISIN]],'Novia Web Query'!$A:$E,5,FALSE)</f>
        <v>31/08/2021</v>
      </c>
      <c r="F2494" t="str">
        <f>VLOOKUP(NoviaFunds[[#This Row],[Sector]],Sectors[],2,FALSE)</f>
        <v>USA Equities</v>
      </c>
    </row>
    <row r="2495" spans="1:6" x14ac:dyDescent="0.2">
      <c r="A2495" t="str">
        <f>'Novia Web Query'!A2491</f>
        <v>GB0005141923</v>
      </c>
      <c r="B2495" t="str">
        <f>VLOOKUP(NoviaFunds[[#This Row],[ISIN]],'Novia Web Query'!$A:$E,2,FALSE)</f>
        <v>L&amp;G US Index Trust R Inc TR in GB</v>
      </c>
      <c r="C2495" t="str">
        <f>VLOOKUP(NoviaFunds[[#This Row],[ISIN]],'Novia Web Query'!$A:$E,3,FALSE)</f>
        <v>UT North America</v>
      </c>
      <c r="D2495" s="139">
        <f>VLOOKUP(NoviaFunds[[#This Row],[ISIN]],'Novia Web Query'!$A:$E,4,FALSE)/100</f>
        <v>4.7999999999999996E-3</v>
      </c>
      <c r="E2495" s="3" t="str">
        <f>VLOOKUP(NoviaFunds[[#This Row],[ISIN]],'Novia Web Query'!$A:$E,5,FALSE)</f>
        <v>31/08/2021</v>
      </c>
      <c r="F2495" t="str">
        <f>VLOOKUP(NoviaFunds[[#This Row],[Sector]],Sectors[],2,FALSE)</f>
        <v>USA Equities</v>
      </c>
    </row>
    <row r="2496" spans="1:6" x14ac:dyDescent="0.2">
      <c r="A2496" t="str">
        <f>'Novia Web Query'!A2492</f>
        <v>GB00B788KH13</v>
      </c>
      <c r="B2496" t="str">
        <f>VLOOKUP(NoviaFunds[[#This Row],[ISIN]],'Novia Web Query'!$A:$E,2,FALSE)</f>
        <v>L&amp;G Worldwide Trust I Acc in GB</v>
      </c>
      <c r="C2496" t="str">
        <f>VLOOKUP(NoviaFunds[[#This Row],[ISIN]],'Novia Web Query'!$A:$E,3,FALSE)</f>
        <v>UT Flexible Investment</v>
      </c>
      <c r="D2496" s="139">
        <f>VLOOKUP(NoviaFunds[[#This Row],[ISIN]],'Novia Web Query'!$A:$E,4,FALSE)/100</f>
        <v>8.199999999999999E-3</v>
      </c>
      <c r="E2496" s="3" t="str">
        <f>VLOOKUP(NoviaFunds[[#This Row],[ISIN]],'Novia Web Query'!$A:$E,5,FALSE)</f>
        <v>31/08/2021</v>
      </c>
      <c r="F2496" t="str">
        <f>VLOOKUP(NoviaFunds[[#This Row],[Sector]],Sectors[],2,FALSE)</f>
        <v>Flexible</v>
      </c>
    </row>
    <row r="2497" spans="1:6" x14ac:dyDescent="0.2">
      <c r="A2497" t="str">
        <f>'Novia Web Query'!A2493</f>
        <v>GB00B7RL8L15</v>
      </c>
      <c r="B2497" t="str">
        <f>VLOOKUP(NoviaFunds[[#This Row],[ISIN]],'Novia Web Query'!$A:$E,2,FALSE)</f>
        <v>L&amp;G Worldwide Trust I Inc TR in GB</v>
      </c>
      <c r="C2497" t="str">
        <f>VLOOKUP(NoviaFunds[[#This Row],[ISIN]],'Novia Web Query'!$A:$E,3,FALSE)</f>
        <v>UT Flexible Investment</v>
      </c>
      <c r="D2497" s="139">
        <f>VLOOKUP(NoviaFunds[[#This Row],[ISIN]],'Novia Web Query'!$A:$E,4,FALSE)/100</f>
        <v>8.199999999999999E-3</v>
      </c>
      <c r="E2497" s="3" t="str">
        <f>VLOOKUP(NoviaFunds[[#This Row],[ISIN]],'Novia Web Query'!$A:$E,5,FALSE)</f>
        <v>31/08/2021</v>
      </c>
      <c r="F2497" t="str">
        <f>VLOOKUP(NoviaFunds[[#This Row],[Sector]],Sectors[],2,FALSE)</f>
        <v>Flexible</v>
      </c>
    </row>
    <row r="2498" spans="1:6" x14ac:dyDescent="0.2">
      <c r="A2498" t="str">
        <f>'Novia Web Query'!A2494</f>
        <v>GB00B84D0885</v>
      </c>
      <c r="B2498" t="str">
        <f>VLOOKUP(NoviaFunds[[#This Row],[ISIN]],'Novia Web Query'!$A:$E,2,FALSE)</f>
        <v>Lazard Developing Markets C Acc TR in GB</v>
      </c>
      <c r="C2498" t="str">
        <f>VLOOKUP(NoviaFunds[[#This Row],[ISIN]],'Novia Web Query'!$A:$E,3,FALSE)</f>
        <v>UT Global Emerging Markets</v>
      </c>
      <c r="D2498" s="139">
        <f>VLOOKUP(NoviaFunds[[#This Row],[ISIN]],'Novia Web Query'!$A:$E,4,FALSE)/100</f>
        <v>1.1200000000000002E-2</v>
      </c>
      <c r="E2498" s="3" t="str">
        <f>VLOOKUP(NoviaFunds[[#This Row],[ISIN]],'Novia Web Query'!$A:$E,5,FALSE)</f>
        <v>17/02/2021</v>
      </c>
      <c r="F2498" t="str">
        <f>VLOOKUP(NoviaFunds[[#This Row],[Sector]],Sectors[],2,FALSE)</f>
        <v>Emerging Markets</v>
      </c>
    </row>
    <row r="2499" spans="1:6" x14ac:dyDescent="0.2">
      <c r="A2499" t="str">
        <f>'Novia Web Query'!A2495</f>
        <v>GB00B8HCWS66</v>
      </c>
      <c r="B2499" t="str">
        <f>VLOOKUP(NoviaFunds[[#This Row],[ISIN]],'Novia Web Query'!$A:$E,2,FALSE)</f>
        <v>Lazard Developing Markets C Inc TR in GB**</v>
      </c>
      <c r="C2499" t="str">
        <f>VLOOKUP(NoviaFunds[[#This Row],[ISIN]],'Novia Web Query'!$A:$E,3,FALSE)</f>
        <v>UT Global Emerging Markets</v>
      </c>
      <c r="D2499" s="139">
        <f>VLOOKUP(NoviaFunds[[#This Row],[ISIN]],'Novia Web Query'!$A:$E,4,FALSE)/100</f>
        <v>1.1299999999999999E-2</v>
      </c>
      <c r="E2499" s="3" t="str">
        <f>VLOOKUP(NoviaFunds[[#This Row],[ISIN]],'Novia Web Query'!$A:$E,5,FALSE)</f>
        <v>17/02/2021</v>
      </c>
      <c r="F2499" t="str">
        <f>VLOOKUP(NoviaFunds[[#This Row],[Sector]],Sectors[],2,FALSE)</f>
        <v>Emerging Markets</v>
      </c>
    </row>
    <row r="2500" spans="1:6" x14ac:dyDescent="0.2">
      <c r="A2500" t="str">
        <f>'Novia Web Query'!A2496</f>
        <v>GB00B24F1G74</v>
      </c>
      <c r="B2500" t="str">
        <f>VLOOKUP(NoviaFunds[[#This Row],[ISIN]],'Novia Web Query'!$A:$E,2,FALSE)</f>
        <v>Lazard Emerging Markets A Acc TR in GB</v>
      </c>
      <c r="C2500" t="str">
        <f>VLOOKUP(NoviaFunds[[#This Row],[ISIN]],'Novia Web Query'!$A:$E,3,FALSE)</f>
        <v>UT Global Emerging Markets</v>
      </c>
      <c r="D2500" s="139">
        <f>VLOOKUP(NoviaFunds[[#This Row],[ISIN]],'Novia Web Query'!$A:$E,4,FALSE)/100</f>
        <v>1.1200000000000002E-2</v>
      </c>
      <c r="E2500" s="3" t="str">
        <f>VLOOKUP(NoviaFunds[[#This Row],[ISIN]],'Novia Web Query'!$A:$E,5,FALSE)</f>
        <v>17/02/2021</v>
      </c>
      <c r="F2500" t="str">
        <f>VLOOKUP(NoviaFunds[[#This Row],[Sector]],Sectors[],2,FALSE)</f>
        <v>Emerging Markets</v>
      </c>
    </row>
    <row r="2501" spans="1:6" x14ac:dyDescent="0.2">
      <c r="A2501" t="str">
        <f>'Novia Web Query'!A2497</f>
        <v>GB0008467101</v>
      </c>
      <c r="B2501" t="str">
        <f>VLOOKUP(NoviaFunds[[#This Row],[ISIN]],'Novia Web Query'!$A:$E,2,FALSE)</f>
        <v>Lazard Emerging Markets A Inc TR in GB</v>
      </c>
      <c r="C2501" t="str">
        <f>VLOOKUP(NoviaFunds[[#This Row],[ISIN]],'Novia Web Query'!$A:$E,3,FALSE)</f>
        <v>UT Global Emerging Markets</v>
      </c>
      <c r="D2501" s="139">
        <f>VLOOKUP(NoviaFunds[[#This Row],[ISIN]],'Novia Web Query'!$A:$E,4,FALSE)/100</f>
        <v>1.1200000000000002E-2</v>
      </c>
      <c r="E2501" s="3" t="str">
        <f>VLOOKUP(NoviaFunds[[#This Row],[ISIN]],'Novia Web Query'!$A:$E,5,FALSE)</f>
        <v>17/02/2021</v>
      </c>
      <c r="F2501" t="str">
        <f>VLOOKUP(NoviaFunds[[#This Row],[Sector]],Sectors[],2,FALSE)</f>
        <v>Emerging Markets</v>
      </c>
    </row>
    <row r="2502" spans="1:6" x14ac:dyDescent="0.2">
      <c r="A2502" t="str">
        <f>'Novia Web Query'!A2498</f>
        <v>GB00B24F1P65</v>
      </c>
      <c r="B2502" t="str">
        <f>VLOOKUP(NoviaFunds[[#This Row],[ISIN]],'Novia Web Query'!$A:$E,2,FALSE)</f>
        <v>Lazard Emerging Markets B Acc in GB</v>
      </c>
      <c r="C2502" t="str">
        <f>VLOOKUP(NoviaFunds[[#This Row],[ISIN]],'Novia Web Query'!$A:$E,3,FALSE)</f>
        <v>UT Global Emerging Markets</v>
      </c>
      <c r="D2502" s="139">
        <f>VLOOKUP(NoviaFunds[[#This Row],[ISIN]],'Novia Web Query'!$A:$E,4,FALSE)/100</f>
        <v>1.6200000000000003E-2</v>
      </c>
      <c r="E2502" s="3" t="str">
        <f>VLOOKUP(NoviaFunds[[#This Row],[ISIN]],'Novia Web Query'!$A:$E,5,FALSE)</f>
        <v>17/02/2021</v>
      </c>
      <c r="F2502" t="str">
        <f>VLOOKUP(NoviaFunds[[#This Row],[Sector]],Sectors[],2,FALSE)</f>
        <v>Emerging Markets</v>
      </c>
    </row>
    <row r="2503" spans="1:6" x14ac:dyDescent="0.2">
      <c r="A2503" t="str">
        <f>'Novia Web Query'!A2499</f>
        <v>GB0008469586</v>
      </c>
      <c r="B2503" t="str">
        <f>VLOOKUP(NoviaFunds[[#This Row],[ISIN]],'Novia Web Query'!$A:$E,2,FALSE)</f>
        <v>Lazard Emerging Markets B Inc TR in GB</v>
      </c>
      <c r="C2503" t="str">
        <f>VLOOKUP(NoviaFunds[[#This Row],[ISIN]],'Novia Web Query'!$A:$E,3,FALSE)</f>
        <v>UT Global Emerging Markets</v>
      </c>
      <c r="D2503" s="139">
        <f>VLOOKUP(NoviaFunds[[#This Row],[ISIN]],'Novia Web Query'!$A:$E,4,FALSE)/100</f>
        <v>1.6200000000000003E-2</v>
      </c>
      <c r="E2503" s="3" t="str">
        <f>VLOOKUP(NoviaFunds[[#This Row],[ISIN]],'Novia Web Query'!$A:$E,5,FALSE)</f>
        <v>17/02/2021</v>
      </c>
      <c r="F2503" t="str">
        <f>VLOOKUP(NoviaFunds[[#This Row],[Sector]],Sectors[],2,FALSE)</f>
        <v>Emerging Markets</v>
      </c>
    </row>
    <row r="2504" spans="1:6" x14ac:dyDescent="0.2">
      <c r="A2504" t="str">
        <f>'Novia Web Query'!A2500</f>
        <v>GB0008468844</v>
      </c>
      <c r="B2504" t="str">
        <f>VLOOKUP(NoviaFunds[[#This Row],[ISIN]],'Novia Web Query'!$A:$E,2,FALSE)</f>
        <v>Lazard European Alpha B Inc TR in GB</v>
      </c>
      <c r="C2504" t="str">
        <f>VLOOKUP(NoviaFunds[[#This Row],[ISIN]],'Novia Web Query'!$A:$E,3,FALSE)</f>
        <v>UT Europe Excluding UK</v>
      </c>
      <c r="D2504" s="139">
        <f>VLOOKUP(NoviaFunds[[#This Row],[ISIN]],'Novia Web Query'!$A:$E,4,FALSE)/100</f>
        <v>1.5800000000000002E-2</v>
      </c>
      <c r="E2504" s="3" t="str">
        <f>VLOOKUP(NoviaFunds[[#This Row],[ISIN]],'Novia Web Query'!$A:$E,5,FALSE)</f>
        <v>17/02/2021</v>
      </c>
      <c r="F2504" t="str">
        <f>VLOOKUP(NoviaFunds[[#This Row],[Sector]],Sectors[],2,FALSE)</f>
        <v>European Equities</v>
      </c>
    </row>
    <row r="2505" spans="1:6" x14ac:dyDescent="0.2">
      <c r="A2505" t="str">
        <f>'Novia Web Query'!A2501</f>
        <v>GB00B7WP6581</v>
      </c>
      <c r="B2505" t="str">
        <f>VLOOKUP(NoviaFunds[[#This Row],[ISIN]],'Novia Web Query'!$A:$E,2,FALSE)</f>
        <v>Lazard European Alpha C Acc TR in GB</v>
      </c>
      <c r="C2505" t="str">
        <f>VLOOKUP(NoviaFunds[[#This Row],[ISIN]],'Novia Web Query'!$A:$E,3,FALSE)</f>
        <v>UT Europe Excluding UK</v>
      </c>
      <c r="D2505" s="139">
        <f>VLOOKUP(NoviaFunds[[#This Row],[ISIN]],'Novia Web Query'!$A:$E,4,FALSE)/100</f>
        <v>8.3000000000000001E-3</v>
      </c>
      <c r="E2505" s="3" t="str">
        <f>VLOOKUP(NoviaFunds[[#This Row],[ISIN]],'Novia Web Query'!$A:$E,5,FALSE)</f>
        <v>17/02/2021</v>
      </c>
      <c r="F2505" t="str">
        <f>VLOOKUP(NoviaFunds[[#This Row],[Sector]],Sectors[],2,FALSE)</f>
        <v>European Equities</v>
      </c>
    </row>
    <row r="2506" spans="1:6" x14ac:dyDescent="0.2">
      <c r="A2506" t="str">
        <f>'Novia Web Query'!A2502</f>
        <v>GB00B6S1MZ55</v>
      </c>
      <c r="B2506" t="str">
        <f>VLOOKUP(NoviaFunds[[#This Row],[ISIN]],'Novia Web Query'!$A:$E,2,FALSE)</f>
        <v>Lazard European Alpha C Inc TR in GB**</v>
      </c>
      <c r="C2506" t="str">
        <f>VLOOKUP(NoviaFunds[[#This Row],[ISIN]],'Novia Web Query'!$A:$E,3,FALSE)</f>
        <v>UT Europe Excluding UK</v>
      </c>
      <c r="D2506" s="139">
        <f>VLOOKUP(NoviaFunds[[#This Row],[ISIN]],'Novia Web Query'!$A:$E,4,FALSE)/100</f>
        <v>8.3000000000000001E-3</v>
      </c>
      <c r="E2506" s="3" t="str">
        <f>VLOOKUP(NoviaFunds[[#This Row],[ISIN]],'Novia Web Query'!$A:$E,5,FALSE)</f>
        <v>17/02/2021</v>
      </c>
      <c r="F2506" t="str">
        <f>VLOOKUP(NoviaFunds[[#This Row],[Sector]],Sectors[],2,FALSE)</f>
        <v>European Equities</v>
      </c>
    </row>
    <row r="2507" spans="1:6" x14ac:dyDescent="0.2">
      <c r="A2507" t="str">
        <f>'Novia Web Query'!A2503</f>
        <v>GB00B24F0K46</v>
      </c>
      <c r="B2507" t="str">
        <f>VLOOKUP(NoviaFunds[[#This Row],[ISIN]],'Novia Web Query'!$A:$E,2,FALSE)</f>
        <v>Lazard European Smaller Companies B Acc in GB</v>
      </c>
      <c r="C2507" t="str">
        <f>VLOOKUP(NoviaFunds[[#This Row],[ISIN]],'Novia Web Query'!$A:$E,3,FALSE)</f>
        <v>UT European Smaller Companies</v>
      </c>
      <c r="D2507" s="139">
        <f>VLOOKUP(NoviaFunds[[#This Row],[ISIN]],'Novia Web Query'!$A:$E,4,FALSE)/100</f>
        <v>1.5700000000000002E-2</v>
      </c>
      <c r="E2507" s="3" t="str">
        <f>VLOOKUP(NoviaFunds[[#This Row],[ISIN]],'Novia Web Query'!$A:$E,5,FALSE)</f>
        <v>17/02/2021</v>
      </c>
      <c r="F2507" t="str">
        <f>VLOOKUP(NoviaFunds[[#This Row],[Sector]],Sectors[],2,FALSE)</f>
        <v>European Equities</v>
      </c>
    </row>
    <row r="2508" spans="1:6" x14ac:dyDescent="0.2">
      <c r="A2508" t="str">
        <f>'Novia Web Query'!A2504</f>
        <v>GB00B88ZX473</v>
      </c>
      <c r="B2508" t="str">
        <f>VLOOKUP(NoviaFunds[[#This Row],[ISIN]],'Novia Web Query'!$A:$E,2,FALSE)</f>
        <v>Lazard European Smaller Companies C Acc in GB</v>
      </c>
      <c r="C2508" t="str">
        <f>VLOOKUP(NoviaFunds[[#This Row],[ISIN]],'Novia Web Query'!$A:$E,3,FALSE)</f>
        <v>UT European Smaller Companies</v>
      </c>
      <c r="D2508" s="139">
        <f>VLOOKUP(NoviaFunds[[#This Row],[ISIN]],'Novia Web Query'!$A:$E,4,FALSE)/100</f>
        <v>8.199999999999999E-3</v>
      </c>
      <c r="E2508" s="3" t="str">
        <f>VLOOKUP(NoviaFunds[[#This Row],[ISIN]],'Novia Web Query'!$A:$E,5,FALSE)</f>
        <v>17/02/2021</v>
      </c>
      <c r="F2508" t="str">
        <f>VLOOKUP(NoviaFunds[[#This Row],[Sector]],Sectors[],2,FALSE)</f>
        <v>European Equities</v>
      </c>
    </row>
    <row r="2509" spans="1:6" x14ac:dyDescent="0.2">
      <c r="A2509" t="str">
        <f>'Novia Web Query'!A2505</f>
        <v>GB00B24DPS10</v>
      </c>
      <c r="B2509" t="str">
        <f>VLOOKUP(NoviaFunds[[#This Row],[ISIN]],'Novia Web Query'!$A:$E,2,FALSE)</f>
        <v>Lazard Global Equity Income A Inc TR in GB</v>
      </c>
      <c r="C2509" t="str">
        <f>VLOOKUP(NoviaFunds[[#This Row],[ISIN]],'Novia Web Query'!$A:$E,3,FALSE)</f>
        <v>UT Global Equity Income</v>
      </c>
      <c r="D2509" s="139">
        <f>VLOOKUP(NoviaFunds[[#This Row],[ISIN]],'Novia Web Query'!$A:$E,4,FALSE)/100</f>
        <v>1.1599999999999999E-2</v>
      </c>
      <c r="E2509" s="3" t="str">
        <f>VLOOKUP(NoviaFunds[[#This Row],[ISIN]],'Novia Web Query'!$A:$E,5,FALSE)</f>
        <v>17/02/2021</v>
      </c>
      <c r="F2509" t="str">
        <f>VLOOKUP(NoviaFunds[[#This Row],[Sector]],Sectors[],2,FALSE)</f>
        <v>Other Equities</v>
      </c>
    </row>
    <row r="2510" spans="1:6" x14ac:dyDescent="0.2">
      <c r="A2510" t="str">
        <f>'Novia Web Query'!A2506</f>
        <v>GB00B24DPX62</v>
      </c>
      <c r="B2510" t="str">
        <f>VLOOKUP(NoviaFunds[[#This Row],[ISIN]],'Novia Web Query'!$A:$E,2,FALSE)</f>
        <v>Lazard Global Equity Income B Acc in GB</v>
      </c>
      <c r="C2510" t="str">
        <f>VLOOKUP(NoviaFunds[[#This Row],[ISIN]],'Novia Web Query'!$A:$E,3,FALSE)</f>
        <v>UT Global Equity Income</v>
      </c>
      <c r="D2510" s="139">
        <f>VLOOKUP(NoviaFunds[[#This Row],[ISIN]],'Novia Web Query'!$A:$E,4,FALSE)/100</f>
        <v>1.6500000000000001E-2</v>
      </c>
      <c r="E2510" s="3" t="str">
        <f>VLOOKUP(NoviaFunds[[#This Row],[ISIN]],'Novia Web Query'!$A:$E,5,FALSE)</f>
        <v>17/02/2021</v>
      </c>
      <c r="F2510" t="str">
        <f>VLOOKUP(NoviaFunds[[#This Row],[Sector]],Sectors[],2,FALSE)</f>
        <v>Other Equities</v>
      </c>
    </row>
    <row r="2511" spans="1:6" x14ac:dyDescent="0.2">
      <c r="A2511" t="str">
        <f>'Novia Web Query'!A2507</f>
        <v>GB00B24DPY79</v>
      </c>
      <c r="B2511" t="str">
        <f>VLOOKUP(NoviaFunds[[#This Row],[ISIN]],'Novia Web Query'!$A:$E,2,FALSE)</f>
        <v>Lazard Global Equity Income B Inc TR in GB</v>
      </c>
      <c r="C2511" t="str">
        <f>VLOOKUP(NoviaFunds[[#This Row],[ISIN]],'Novia Web Query'!$A:$E,3,FALSE)</f>
        <v>UT Global Equity Income</v>
      </c>
      <c r="D2511" s="139">
        <f>VLOOKUP(NoviaFunds[[#This Row],[ISIN]],'Novia Web Query'!$A:$E,4,FALSE)/100</f>
        <v>1.66E-2</v>
      </c>
      <c r="E2511" s="3" t="str">
        <f>VLOOKUP(NoviaFunds[[#This Row],[ISIN]],'Novia Web Query'!$A:$E,5,FALSE)</f>
        <v>17/02/2021</v>
      </c>
      <c r="F2511" t="str">
        <f>VLOOKUP(NoviaFunds[[#This Row],[Sector]],Sectors[],2,FALSE)</f>
        <v>Other Equities</v>
      </c>
    </row>
    <row r="2512" spans="1:6" x14ac:dyDescent="0.2">
      <c r="A2512" t="str">
        <f>'Novia Web Query'!A2508</f>
        <v>GB00B7VB8X97</v>
      </c>
      <c r="B2512" t="str">
        <f>VLOOKUP(NoviaFunds[[#This Row],[ISIN]],'Novia Web Query'!$A:$E,2,FALSE)</f>
        <v>Lazard Global Equity Income C Acc TR in GB</v>
      </c>
      <c r="C2512" t="str">
        <f>VLOOKUP(NoviaFunds[[#This Row],[ISIN]],'Novia Web Query'!$A:$E,3,FALSE)</f>
        <v>UT Global Equity Income</v>
      </c>
      <c r="D2512" s="139">
        <f>VLOOKUP(NoviaFunds[[#This Row],[ISIN]],'Novia Web Query'!$A:$E,4,FALSE)/100</f>
        <v>9.1000000000000004E-3</v>
      </c>
      <c r="E2512" s="3" t="str">
        <f>VLOOKUP(NoviaFunds[[#This Row],[ISIN]],'Novia Web Query'!$A:$E,5,FALSE)</f>
        <v>17/02/2021</v>
      </c>
      <c r="F2512" t="str">
        <f>VLOOKUP(NoviaFunds[[#This Row],[Sector]],Sectors[],2,FALSE)</f>
        <v>Other Equities</v>
      </c>
    </row>
    <row r="2513" spans="1:6" x14ac:dyDescent="0.2">
      <c r="A2513" t="str">
        <f>'Novia Web Query'!A2509</f>
        <v>GB00B7YWW378</v>
      </c>
      <c r="B2513" t="str">
        <f>VLOOKUP(NoviaFunds[[#This Row],[ISIN]],'Novia Web Query'!$A:$E,2,FALSE)</f>
        <v>Lazard Global Equity Income C Inc TR in GB**</v>
      </c>
      <c r="C2513" t="str">
        <f>VLOOKUP(NoviaFunds[[#This Row],[ISIN]],'Novia Web Query'!$A:$E,3,FALSE)</f>
        <v>UT Global Equity Income</v>
      </c>
      <c r="D2513" s="139">
        <f>VLOOKUP(NoviaFunds[[#This Row],[ISIN]],'Novia Web Query'!$A:$E,4,FALSE)/100</f>
        <v>9.0000000000000011E-3</v>
      </c>
      <c r="E2513" s="3" t="str">
        <f>VLOOKUP(NoviaFunds[[#This Row],[ISIN]],'Novia Web Query'!$A:$E,5,FALSE)</f>
        <v>17/02/2021</v>
      </c>
      <c r="F2513" t="str">
        <f>VLOOKUP(NoviaFunds[[#This Row],[Sector]],Sectors[],2,FALSE)</f>
        <v>Other Equities</v>
      </c>
    </row>
    <row r="2514" spans="1:6" x14ac:dyDescent="0.2">
      <c r="A2514" t="str">
        <f>'Novia Web Query'!A2510</f>
        <v>GB0008470253</v>
      </c>
      <c r="B2514" t="str">
        <f>VLOOKUP(NoviaFunds[[#This Row],[ISIN]],'Novia Web Query'!$A:$E,2,FALSE)</f>
        <v>Lazard Multicap UK Income A Inc TR in GB</v>
      </c>
      <c r="C2514" t="str">
        <f>VLOOKUP(NoviaFunds[[#This Row],[ISIN]],'Novia Web Query'!$A:$E,3,FALSE)</f>
        <v>UT UK Equity Income</v>
      </c>
      <c r="D2514" s="139">
        <f>VLOOKUP(NoviaFunds[[#This Row],[ISIN]],'Novia Web Query'!$A:$E,4,FALSE)/100</f>
        <v>8.5000000000000006E-3</v>
      </c>
      <c r="E2514" s="3" t="str">
        <f>VLOOKUP(NoviaFunds[[#This Row],[ISIN]],'Novia Web Query'!$A:$E,5,FALSE)</f>
        <v>17/02/2021</v>
      </c>
      <c r="F2514" t="str">
        <f>VLOOKUP(NoviaFunds[[#This Row],[Sector]],Sectors[],2,FALSE)</f>
        <v>UK Equities</v>
      </c>
    </row>
    <row r="2515" spans="1:6" x14ac:dyDescent="0.2">
      <c r="A2515" t="str">
        <f>'Novia Web Query'!A2511</f>
        <v>GB0008469818</v>
      </c>
      <c r="B2515" t="str">
        <f>VLOOKUP(NoviaFunds[[#This Row],[ISIN]],'Novia Web Query'!$A:$E,2,FALSE)</f>
        <v>Lazard Multicap UK Income B Inc TR in GB</v>
      </c>
      <c r="C2515" t="str">
        <f>VLOOKUP(NoviaFunds[[#This Row],[ISIN]],'Novia Web Query'!$A:$E,3,FALSE)</f>
        <v>UT UK Equity Income</v>
      </c>
      <c r="D2515" s="139">
        <f>VLOOKUP(NoviaFunds[[#This Row],[ISIN]],'Novia Web Query'!$A:$E,4,FALSE)/100</f>
        <v>1.3500000000000002E-2</v>
      </c>
      <c r="E2515" s="3" t="str">
        <f>VLOOKUP(NoviaFunds[[#This Row],[ISIN]],'Novia Web Query'!$A:$E,5,FALSE)</f>
        <v>17/02/2021</v>
      </c>
      <c r="F2515" t="str">
        <f>VLOOKUP(NoviaFunds[[#This Row],[Sector]],Sectors[],2,FALSE)</f>
        <v>UK Equities</v>
      </c>
    </row>
    <row r="2516" spans="1:6" x14ac:dyDescent="0.2">
      <c r="A2516" t="str">
        <f>'Novia Web Query'!A2512</f>
        <v>GB00B24DZV47</v>
      </c>
      <c r="B2516" t="str">
        <f>VLOOKUP(NoviaFunds[[#This Row],[ISIN]],'Novia Web Query'!$A:$E,2,FALSE)</f>
        <v>Lazard UK Omega B Acc in GB</v>
      </c>
      <c r="C2516" t="str">
        <f>VLOOKUP(NoviaFunds[[#This Row],[ISIN]],'Novia Web Query'!$A:$E,3,FALSE)</f>
        <v>UT UK All Companies</v>
      </c>
      <c r="D2516" s="139">
        <f>VLOOKUP(NoviaFunds[[#This Row],[ISIN]],'Novia Web Query'!$A:$E,4,FALSE)/100</f>
        <v>1.55E-2</v>
      </c>
      <c r="E2516" s="3" t="str">
        <f>VLOOKUP(NoviaFunds[[#This Row],[ISIN]],'Novia Web Query'!$A:$E,5,FALSE)</f>
        <v>17/02/2021</v>
      </c>
      <c r="F2516" t="str">
        <f>VLOOKUP(NoviaFunds[[#This Row],[Sector]],Sectors[],2,FALSE)</f>
        <v>UK Equities</v>
      </c>
    </row>
    <row r="2517" spans="1:6" x14ac:dyDescent="0.2">
      <c r="A2517" t="str">
        <f>'Novia Web Query'!A2513</f>
        <v>GB00B05N2H42</v>
      </c>
      <c r="B2517" t="str">
        <f>VLOOKUP(NoviaFunds[[#This Row],[ISIN]],'Novia Web Query'!$A:$E,2,FALSE)</f>
        <v>Lazard UK Omega B Inc TR in GB</v>
      </c>
      <c r="C2517" t="str">
        <f>VLOOKUP(NoviaFunds[[#This Row],[ISIN]],'Novia Web Query'!$A:$E,3,FALSE)</f>
        <v>UT UK All Companies</v>
      </c>
      <c r="D2517" s="139">
        <f>VLOOKUP(NoviaFunds[[#This Row],[ISIN]],'Novia Web Query'!$A:$E,4,FALSE)/100</f>
        <v>1.55E-2</v>
      </c>
      <c r="E2517" s="3" t="str">
        <f>VLOOKUP(NoviaFunds[[#This Row],[ISIN]],'Novia Web Query'!$A:$E,5,FALSE)</f>
        <v>17/02/2021</v>
      </c>
      <c r="F2517" t="str">
        <f>VLOOKUP(NoviaFunds[[#This Row],[Sector]],Sectors[],2,FALSE)</f>
        <v>UK Equities</v>
      </c>
    </row>
    <row r="2518" spans="1:6" x14ac:dyDescent="0.2">
      <c r="A2518" t="str">
        <f>'Novia Web Query'!A2514</f>
        <v>GB00B8HKDX21</v>
      </c>
      <c r="B2518" t="str">
        <f>VLOOKUP(NoviaFunds[[#This Row],[ISIN]],'Novia Web Query'!$A:$E,2,FALSE)</f>
        <v>Lazard UK Omega C Acc TR in GB</v>
      </c>
      <c r="C2518" t="str">
        <f>VLOOKUP(NoviaFunds[[#This Row],[ISIN]],'Novia Web Query'!$A:$E,3,FALSE)</f>
        <v>UT UK All Companies</v>
      </c>
      <c r="D2518" s="139">
        <f>VLOOKUP(NoviaFunds[[#This Row],[ISIN]],'Novia Web Query'!$A:$E,4,FALSE)/100</f>
        <v>8.0000000000000002E-3</v>
      </c>
      <c r="E2518" s="3" t="str">
        <f>VLOOKUP(NoviaFunds[[#This Row],[ISIN]],'Novia Web Query'!$A:$E,5,FALSE)</f>
        <v>17/02/2021</v>
      </c>
      <c r="F2518" t="str">
        <f>VLOOKUP(NoviaFunds[[#This Row],[Sector]],Sectors[],2,FALSE)</f>
        <v>UK Equities</v>
      </c>
    </row>
    <row r="2519" spans="1:6" x14ac:dyDescent="0.2">
      <c r="A2519" t="str">
        <f>'Novia Web Query'!A2515</f>
        <v>GB00B87ZL660</v>
      </c>
      <c r="B2519" t="str">
        <f>VLOOKUP(NoviaFunds[[#This Row],[ISIN]],'Novia Web Query'!$A:$E,2,FALSE)</f>
        <v>Lazard UK Omega C Inc TR in GB**</v>
      </c>
      <c r="C2519" t="str">
        <f>VLOOKUP(NoviaFunds[[#This Row],[ISIN]],'Novia Web Query'!$A:$E,3,FALSE)</f>
        <v>UT UK All Companies</v>
      </c>
      <c r="D2519" s="139">
        <f>VLOOKUP(NoviaFunds[[#This Row],[ISIN]],'Novia Web Query'!$A:$E,4,FALSE)/100</f>
        <v>8.0000000000000002E-3</v>
      </c>
      <c r="E2519" s="3" t="str">
        <f>VLOOKUP(NoviaFunds[[#This Row],[ISIN]],'Novia Web Query'!$A:$E,5,FALSE)</f>
        <v>17/02/2021</v>
      </c>
      <c r="F2519" t="str">
        <f>VLOOKUP(NoviaFunds[[#This Row],[Sector]],Sectors[],2,FALSE)</f>
        <v>UK Equities</v>
      </c>
    </row>
    <row r="2520" spans="1:6" x14ac:dyDescent="0.2">
      <c r="A2520" t="str">
        <f>'Novia Web Query'!A2516</f>
        <v>GB00BZ0XWM94</v>
      </c>
      <c r="B2520" t="str">
        <f>VLOOKUP(NoviaFunds[[#This Row],[ISIN]],'Novia Web Query'!$A:$E,2,FALSE)</f>
        <v>Lazard UK Omega EA Acc in GB</v>
      </c>
      <c r="C2520" t="str">
        <f>VLOOKUP(NoviaFunds[[#This Row],[ISIN]],'Novia Web Query'!$A:$E,3,FALSE)</f>
        <v>UT UK All Companies</v>
      </c>
      <c r="D2520" s="139">
        <f>VLOOKUP(NoviaFunds[[#This Row],[ISIN]],'Novia Web Query'!$A:$E,4,FALSE)/100</f>
        <v>5.5000000000000005E-3</v>
      </c>
      <c r="E2520" s="3" t="str">
        <f>VLOOKUP(NoviaFunds[[#This Row],[ISIN]],'Novia Web Query'!$A:$E,5,FALSE)</f>
        <v>17/02/2021</v>
      </c>
      <c r="F2520" t="str">
        <f>VLOOKUP(NoviaFunds[[#This Row],[Sector]],Sectors[],2,FALSE)</f>
        <v>UK Equities</v>
      </c>
    </row>
    <row r="2521" spans="1:6" x14ac:dyDescent="0.2">
      <c r="A2521" t="str">
        <f>'Novia Web Query'!A2517</f>
        <v>GB00BZ0XWL87</v>
      </c>
      <c r="B2521" t="str">
        <f>VLOOKUP(NoviaFunds[[#This Row],[ISIN]],'Novia Web Query'!$A:$E,2,FALSE)</f>
        <v>Lazard UK Omega EA Inc TR in GB</v>
      </c>
      <c r="C2521" t="str">
        <f>VLOOKUP(NoviaFunds[[#This Row],[ISIN]],'Novia Web Query'!$A:$E,3,FALSE)</f>
        <v>UT UK All Companies</v>
      </c>
      <c r="D2521" s="139">
        <f>VLOOKUP(NoviaFunds[[#This Row],[ISIN]],'Novia Web Query'!$A:$E,4,FALSE)/100</f>
        <v>5.5000000000000005E-3</v>
      </c>
      <c r="E2521" s="3" t="str">
        <f>VLOOKUP(NoviaFunds[[#This Row],[ISIN]],'Novia Web Query'!$A:$E,5,FALSE)</f>
        <v>17/02/2021</v>
      </c>
      <c r="F2521" t="str">
        <f>VLOOKUP(NoviaFunds[[#This Row],[Sector]],Sectors[],2,FALSE)</f>
        <v>UK Equities</v>
      </c>
    </row>
    <row r="2522" spans="1:6" x14ac:dyDescent="0.2">
      <c r="A2522" t="str">
        <f>'Novia Web Query'!A2518</f>
        <v>GB0008470477</v>
      </c>
      <c r="B2522" t="str">
        <f>VLOOKUP(NoviaFunds[[#This Row],[ISIN]],'Novia Web Query'!$A:$E,2,FALSE)</f>
        <v>Lazard UK Smaller Companies B Inc TR in GB</v>
      </c>
      <c r="C2522" t="str">
        <f>VLOOKUP(NoviaFunds[[#This Row],[ISIN]],'Novia Web Query'!$A:$E,3,FALSE)</f>
        <v>UT UK Smaller Companies</v>
      </c>
      <c r="D2522" s="139">
        <f>VLOOKUP(NoviaFunds[[#This Row],[ISIN]],'Novia Web Query'!$A:$E,4,FALSE)/100</f>
        <v>1.8600000000000002E-2</v>
      </c>
      <c r="E2522" s="3" t="str">
        <f>VLOOKUP(NoviaFunds[[#This Row],[ISIN]],'Novia Web Query'!$A:$E,5,FALSE)</f>
        <v>17/02/2021</v>
      </c>
      <c r="F2522" t="str">
        <f>VLOOKUP(NoviaFunds[[#This Row],[Sector]],Sectors[],2,FALSE)</f>
        <v>UK Equities</v>
      </c>
    </row>
    <row r="2523" spans="1:6" x14ac:dyDescent="0.2">
      <c r="A2523" t="str">
        <f>'Novia Web Query'!A2519</f>
        <v>GB00B7J7S065</v>
      </c>
      <c r="B2523" t="str">
        <f>VLOOKUP(NoviaFunds[[#This Row],[ISIN]],'Novia Web Query'!$A:$E,2,FALSE)</f>
        <v>Lazard UK Smaller Companies C Inc TR in GB</v>
      </c>
      <c r="C2523" t="str">
        <f>VLOOKUP(NoviaFunds[[#This Row],[ISIN]],'Novia Web Query'!$A:$E,3,FALSE)</f>
        <v>UT UK Smaller Companies</v>
      </c>
      <c r="D2523" s="139">
        <f>VLOOKUP(NoviaFunds[[#This Row],[ISIN]],'Novia Web Query'!$A:$E,4,FALSE)/100</f>
        <v>1.11E-2</v>
      </c>
      <c r="E2523" s="3" t="str">
        <f>VLOOKUP(NoviaFunds[[#This Row],[ISIN]],'Novia Web Query'!$A:$E,5,FALSE)</f>
        <v>17/02/2021</v>
      </c>
      <c r="F2523" t="str">
        <f>VLOOKUP(NoviaFunds[[#This Row],[Sector]],Sectors[],2,FALSE)</f>
        <v>UK Equities</v>
      </c>
    </row>
    <row r="2524" spans="1:6" x14ac:dyDescent="0.2">
      <c r="A2524" t="str">
        <f>'Novia Web Query'!A2520</f>
        <v>GB00BD6PG563</v>
      </c>
      <c r="B2524" t="str">
        <f>VLOOKUP(NoviaFunds[[#This Row],[ISIN]],'Novia Web Query'!$A:$E,2,FALSE)</f>
        <v>LF Blue Whale Growth I Acc GBP in GB</v>
      </c>
      <c r="C2524" t="str">
        <f>VLOOKUP(NoviaFunds[[#This Row],[ISIN]],'Novia Web Query'!$A:$E,3,FALSE)</f>
        <v>UT Global</v>
      </c>
      <c r="D2524" s="139">
        <f>VLOOKUP(NoviaFunds[[#This Row],[ISIN]],'Novia Web Query'!$A:$E,4,FALSE)/100</f>
        <v>8.6999999999999994E-3</v>
      </c>
      <c r="E2524" s="3" t="str">
        <f>VLOOKUP(NoviaFunds[[#This Row],[ISIN]],'Novia Web Query'!$A:$E,5,FALSE)</f>
        <v>28/05/2021</v>
      </c>
      <c r="F2524" t="str">
        <f>VLOOKUP(NoviaFunds[[#This Row],[Sector]],Sectors[],2,FALSE)</f>
        <v>Other Equities</v>
      </c>
    </row>
    <row r="2525" spans="1:6" x14ac:dyDescent="0.2">
      <c r="A2525" t="str">
        <f>'Novia Web Query'!A2521</f>
        <v>GB00BD6PG670</v>
      </c>
      <c r="B2525" t="str">
        <f>VLOOKUP(NoviaFunds[[#This Row],[ISIN]],'Novia Web Query'!$A:$E,2,FALSE)</f>
        <v>LF Blue Whale Growth I Inc GBP in GB</v>
      </c>
      <c r="C2525" t="str">
        <f>VLOOKUP(NoviaFunds[[#This Row],[ISIN]],'Novia Web Query'!$A:$E,3,FALSE)</f>
        <v>UT Global</v>
      </c>
      <c r="D2525" s="139">
        <f>VLOOKUP(NoviaFunds[[#This Row],[ISIN]],'Novia Web Query'!$A:$E,4,FALSE)/100</f>
        <v>8.6999999999999994E-3</v>
      </c>
      <c r="E2525" s="3" t="str">
        <f>VLOOKUP(NoviaFunds[[#This Row],[ISIN]],'Novia Web Query'!$A:$E,5,FALSE)</f>
        <v>28/05/2021</v>
      </c>
      <c r="F2525" t="str">
        <f>VLOOKUP(NoviaFunds[[#This Row],[Sector]],Sectors[],2,FALSE)</f>
        <v>Other Equities</v>
      </c>
    </row>
    <row r="2526" spans="1:6" x14ac:dyDescent="0.2">
      <c r="A2526" t="str">
        <f>'Novia Web Query'!A2522</f>
        <v>GB00BD6PG787</v>
      </c>
      <c r="B2526" t="str">
        <f>VLOOKUP(NoviaFunds[[#This Row],[ISIN]],'Novia Web Query'!$A:$E,2,FALSE)</f>
        <v>LF Blue Whale Growth R Acc in GB</v>
      </c>
      <c r="C2526" t="str">
        <f>VLOOKUP(NoviaFunds[[#This Row],[ISIN]],'Novia Web Query'!$A:$E,3,FALSE)</f>
        <v>UT Global</v>
      </c>
      <c r="D2526" s="139">
        <f>VLOOKUP(NoviaFunds[[#This Row],[ISIN]],'Novia Web Query'!$A:$E,4,FALSE)/100</f>
        <v>1.1200000000000002E-2</v>
      </c>
      <c r="E2526" s="3" t="str">
        <f>VLOOKUP(NoviaFunds[[#This Row],[ISIN]],'Novia Web Query'!$A:$E,5,FALSE)</f>
        <v>28/05/2021</v>
      </c>
      <c r="F2526" t="str">
        <f>VLOOKUP(NoviaFunds[[#This Row],[Sector]],Sectors[],2,FALSE)</f>
        <v>Other Equities</v>
      </c>
    </row>
    <row r="2527" spans="1:6" x14ac:dyDescent="0.2">
      <c r="A2527" t="str">
        <f>'Novia Web Query'!A2523</f>
        <v>GB00BD6PG894</v>
      </c>
      <c r="B2527" t="str">
        <f>VLOOKUP(NoviaFunds[[#This Row],[ISIN]],'Novia Web Query'!$A:$E,2,FALSE)</f>
        <v>LF Blue Whale Growth R Inc TR in GB</v>
      </c>
      <c r="C2527" t="str">
        <f>VLOOKUP(NoviaFunds[[#This Row],[ISIN]],'Novia Web Query'!$A:$E,3,FALSE)</f>
        <v>UT Global</v>
      </c>
      <c r="D2527" s="139">
        <f>VLOOKUP(NoviaFunds[[#This Row],[ISIN]],'Novia Web Query'!$A:$E,4,FALSE)/100</f>
        <v>1.1200000000000002E-2</v>
      </c>
      <c r="E2527" s="3" t="str">
        <f>VLOOKUP(NoviaFunds[[#This Row],[ISIN]],'Novia Web Query'!$A:$E,5,FALSE)</f>
        <v>28/05/2021</v>
      </c>
      <c r="F2527" t="str">
        <f>VLOOKUP(NoviaFunds[[#This Row],[Sector]],Sectors[],2,FALSE)</f>
        <v>Other Equities</v>
      </c>
    </row>
    <row r="2528" spans="1:6" x14ac:dyDescent="0.2">
      <c r="A2528" t="str">
        <f>'Novia Web Query'!A2524</f>
        <v>GB00BLRZQ737</v>
      </c>
      <c r="B2528" t="str">
        <f>VLOOKUP(NoviaFunds[[#This Row],[ISIN]],'Novia Web Query'!$A:$E,2,FALSE)</f>
        <v>LF Equity Income C Acc GBP TR in GB</v>
      </c>
      <c r="C2528" t="str">
        <f>VLOOKUP(NoviaFunds[[#This Row],[ISIN]],'Novia Web Query'!$A:$E,3,FALSE)</f>
        <v>UT UK Equity Income</v>
      </c>
      <c r="D2528" s="139">
        <f>VLOOKUP(NoviaFunds[[#This Row],[ISIN]],'Novia Web Query'!$A:$E,4,FALSE)/100</f>
        <v>7.4999999999999997E-3</v>
      </c>
      <c r="E2528" s="3" t="str">
        <f>VLOOKUP(NoviaFunds[[#This Row],[ISIN]],'Novia Web Query'!$A:$E,5,FALSE)</f>
        <v>30/06/2019</v>
      </c>
      <c r="F2528" t="str">
        <f>VLOOKUP(NoviaFunds[[#This Row],[Sector]],Sectors[],2,FALSE)</f>
        <v>UK Equities</v>
      </c>
    </row>
    <row r="2529" spans="1:6" x14ac:dyDescent="0.2">
      <c r="A2529" t="str">
        <f>'Novia Web Query'!A2525</f>
        <v>GB00BLRZQ620</v>
      </c>
      <c r="B2529" t="str">
        <f>VLOOKUP(NoviaFunds[[#This Row],[ISIN]],'Novia Web Query'!$A:$E,2,FALSE)</f>
        <v>LF Equity Income C Inc GBP TR in GB</v>
      </c>
      <c r="C2529" t="str">
        <f>VLOOKUP(NoviaFunds[[#This Row],[ISIN]],'Novia Web Query'!$A:$E,3,FALSE)</f>
        <v>UT UK Equity Income</v>
      </c>
      <c r="D2529" s="139">
        <f>VLOOKUP(NoviaFunds[[#This Row],[ISIN]],'Novia Web Query'!$A:$E,4,FALSE)/100</f>
        <v>7.4999999999999997E-3</v>
      </c>
      <c r="E2529" s="3" t="str">
        <f>VLOOKUP(NoviaFunds[[#This Row],[ISIN]],'Novia Web Query'!$A:$E,5,FALSE)</f>
        <v>30/06/2019</v>
      </c>
      <c r="F2529" t="str">
        <f>VLOOKUP(NoviaFunds[[#This Row],[Sector]],Sectors[],2,FALSE)</f>
        <v>UK Equities</v>
      </c>
    </row>
    <row r="2530" spans="1:6" x14ac:dyDescent="0.2">
      <c r="A2530" t="str">
        <f>'Novia Web Query'!A2526</f>
        <v>GB00BLRZQ950</v>
      </c>
      <c r="B2530" t="str">
        <f>VLOOKUP(NoviaFunds[[#This Row],[ISIN]],'Novia Web Query'!$A:$E,2,FALSE)</f>
        <v>LF Equity Income X Acc GBP TR in GB</v>
      </c>
      <c r="C2530" t="str">
        <f>VLOOKUP(NoviaFunds[[#This Row],[ISIN]],'Novia Web Query'!$A:$E,3,FALSE)</f>
        <v>UT UK Equity Income</v>
      </c>
      <c r="D2530" s="139">
        <f>VLOOKUP(NoviaFunds[[#This Row],[ISIN]],'Novia Web Query'!$A:$E,4,FALSE)/100</f>
        <v>1.4999999999999999E-2</v>
      </c>
      <c r="E2530" s="3" t="str">
        <f>VLOOKUP(NoviaFunds[[#This Row],[ISIN]],'Novia Web Query'!$A:$E,5,FALSE)</f>
        <v>30/06/2019</v>
      </c>
      <c r="F2530" t="str">
        <f>VLOOKUP(NoviaFunds[[#This Row],[Sector]],Sectors[],2,FALSE)</f>
        <v>UK Equities</v>
      </c>
    </row>
    <row r="2531" spans="1:6" x14ac:dyDescent="0.2">
      <c r="A2531" t="str">
        <f>'Novia Web Query'!A2527</f>
        <v>GB00BLRZQ844</v>
      </c>
      <c r="B2531" t="str">
        <f>VLOOKUP(NoviaFunds[[#This Row],[ISIN]],'Novia Web Query'!$A:$E,2,FALSE)</f>
        <v>LF Equity Income X Inc GBP TR in GB</v>
      </c>
      <c r="C2531" t="str">
        <f>VLOOKUP(NoviaFunds[[#This Row],[ISIN]],'Novia Web Query'!$A:$E,3,FALSE)</f>
        <v>UT UK Equity Income</v>
      </c>
      <c r="D2531" s="139">
        <f>VLOOKUP(NoviaFunds[[#This Row],[ISIN]],'Novia Web Query'!$A:$E,4,FALSE)/100</f>
        <v>1.4999999999999999E-2</v>
      </c>
      <c r="E2531" s="3" t="str">
        <f>VLOOKUP(NoviaFunds[[#This Row],[ISIN]],'Novia Web Query'!$A:$E,5,FALSE)</f>
        <v>30/06/2019</v>
      </c>
      <c r="F2531" t="str">
        <f>VLOOKUP(NoviaFunds[[#This Row],[Sector]],Sectors[],2,FALSE)</f>
        <v>UK Equities</v>
      </c>
    </row>
    <row r="2532" spans="1:6" x14ac:dyDescent="0.2">
      <c r="A2532" t="str">
        <f>'Novia Web Query'!A2528</f>
        <v>GB00BLRZQB71</v>
      </c>
      <c r="B2532" t="str">
        <f>VLOOKUP(NoviaFunds[[#This Row],[ISIN]],'Novia Web Query'!$A:$E,2,FALSE)</f>
        <v>LF Equity Income Z Inc GBP TR in GB</v>
      </c>
      <c r="C2532" t="str">
        <f>VLOOKUP(NoviaFunds[[#This Row],[ISIN]],'Novia Web Query'!$A:$E,3,FALSE)</f>
        <v>UT UK Equity Income</v>
      </c>
      <c r="D2532" s="139">
        <f>VLOOKUP(NoviaFunds[[#This Row],[ISIN]],'Novia Web Query'!$A:$E,4,FALSE)/100</f>
        <v>6.5000000000000006E-3</v>
      </c>
      <c r="E2532" s="3" t="str">
        <f>VLOOKUP(NoviaFunds[[#This Row],[ISIN]],'Novia Web Query'!$A:$E,5,FALSE)</f>
        <v>30/06/2019</v>
      </c>
      <c r="F2532" t="str">
        <f>VLOOKUP(NoviaFunds[[#This Row],[Sector]],Sectors[],2,FALSE)</f>
        <v>UK Equities</v>
      </c>
    </row>
    <row r="2533" spans="1:6" x14ac:dyDescent="0.2">
      <c r="A2533" t="str">
        <f>'Novia Web Query'!A2529</f>
        <v>GB00BV9FYS80</v>
      </c>
      <c r="B2533" t="str">
        <f>VLOOKUP(NoviaFunds[[#This Row],[ISIN]],'Novia Web Query'!$A:$E,2,FALSE)</f>
        <v>LF Gresham House UK Micro Cap C Acc in GB</v>
      </c>
      <c r="C2533" t="str">
        <f>VLOOKUP(NoviaFunds[[#This Row],[ISIN]],'Novia Web Query'!$A:$E,3,FALSE)</f>
        <v>UT UK Smaller Companies</v>
      </c>
      <c r="D2533" s="139">
        <f>VLOOKUP(NoviaFunds[[#This Row],[ISIN]],'Novia Web Query'!$A:$E,4,FALSE)/100</f>
        <v>9.7999999999999997E-3</v>
      </c>
      <c r="E2533" s="3" t="str">
        <f>VLOOKUP(NoviaFunds[[#This Row],[ISIN]],'Novia Web Query'!$A:$E,5,FALSE)</f>
        <v>10/02/2021</v>
      </c>
      <c r="F2533" t="str">
        <f>VLOOKUP(NoviaFunds[[#This Row],[Sector]],Sectors[],2,FALSE)</f>
        <v>UK Equities</v>
      </c>
    </row>
    <row r="2534" spans="1:6" x14ac:dyDescent="0.2">
      <c r="A2534" t="str">
        <f>'Novia Web Query'!A2530</f>
        <v>GB00BV9FYT97</v>
      </c>
      <c r="B2534" t="str">
        <f>VLOOKUP(NoviaFunds[[#This Row],[ISIN]],'Novia Web Query'!$A:$E,2,FALSE)</f>
        <v>LF Gresham House UK Micro Cap C Inc TR in GB**</v>
      </c>
      <c r="C2534" t="str">
        <f>VLOOKUP(NoviaFunds[[#This Row],[ISIN]],'Novia Web Query'!$A:$E,3,FALSE)</f>
        <v>UT UK Smaller Companies</v>
      </c>
      <c r="D2534" s="139">
        <f>VLOOKUP(NoviaFunds[[#This Row],[ISIN]],'Novia Web Query'!$A:$E,4,FALSE)/100</f>
        <v>9.7999999999999997E-3</v>
      </c>
      <c r="E2534" s="3" t="str">
        <f>VLOOKUP(NoviaFunds[[#This Row],[ISIN]],'Novia Web Query'!$A:$E,5,FALSE)</f>
        <v>10/02/2021</v>
      </c>
      <c r="F2534" t="str">
        <f>VLOOKUP(NoviaFunds[[#This Row],[Sector]],Sectors[],2,FALSE)</f>
        <v>UK Equities</v>
      </c>
    </row>
    <row r="2535" spans="1:6" x14ac:dyDescent="0.2">
      <c r="A2535" t="str">
        <f>'Novia Web Query'!A2531</f>
        <v>GB00BYXVGS75</v>
      </c>
      <c r="B2535" t="str">
        <f>VLOOKUP(NoviaFunds[[#This Row],[ISIN]],'Novia Web Query'!$A:$E,2,FALSE)</f>
        <v>LF Gresham House UK Multi Cap Income C Acc in GB</v>
      </c>
      <c r="C2535" t="str">
        <f>VLOOKUP(NoviaFunds[[#This Row],[ISIN]],'Novia Web Query'!$A:$E,3,FALSE)</f>
        <v>UT UK Equity Income</v>
      </c>
      <c r="D2535" s="139">
        <f>VLOOKUP(NoviaFunds[[#This Row],[ISIN]],'Novia Web Query'!$A:$E,4,FALSE)/100</f>
        <v>8.6E-3</v>
      </c>
      <c r="E2535" s="3" t="str">
        <f>VLOOKUP(NoviaFunds[[#This Row],[ISIN]],'Novia Web Query'!$A:$E,5,FALSE)</f>
        <v>10/02/2021</v>
      </c>
      <c r="F2535" t="str">
        <f>VLOOKUP(NoviaFunds[[#This Row],[Sector]],Sectors[],2,FALSE)</f>
        <v>UK Equities</v>
      </c>
    </row>
    <row r="2536" spans="1:6" x14ac:dyDescent="0.2">
      <c r="A2536" t="str">
        <f>'Novia Web Query'!A2532</f>
        <v>GB00BYXVGT82</v>
      </c>
      <c r="B2536" t="str">
        <f>VLOOKUP(NoviaFunds[[#This Row],[ISIN]],'Novia Web Query'!$A:$E,2,FALSE)</f>
        <v>LF Gresham House UK Multi Cap Income C Inc TR in GB</v>
      </c>
      <c r="C2536" t="str">
        <f>VLOOKUP(NoviaFunds[[#This Row],[ISIN]],'Novia Web Query'!$A:$E,3,FALSE)</f>
        <v>UT UK Equity Income</v>
      </c>
      <c r="D2536" s="139">
        <f>VLOOKUP(NoviaFunds[[#This Row],[ISIN]],'Novia Web Query'!$A:$E,4,FALSE)/100</f>
        <v>8.6E-3</v>
      </c>
      <c r="E2536" s="3" t="str">
        <f>VLOOKUP(NoviaFunds[[#This Row],[ISIN]],'Novia Web Query'!$A:$E,5,FALSE)</f>
        <v>10/02/2021</v>
      </c>
      <c r="F2536" t="str">
        <f>VLOOKUP(NoviaFunds[[#This Row],[Sector]],Sectors[],2,FALSE)</f>
        <v>UK Equities</v>
      </c>
    </row>
    <row r="2537" spans="1:6" x14ac:dyDescent="0.2">
      <c r="A2537" t="str">
        <f>'Novia Web Query'!A2533</f>
        <v>GB00B3QWV961</v>
      </c>
      <c r="B2537" t="str">
        <f>VLOOKUP(NoviaFunds[[#This Row],[ISIN]],'Novia Web Query'!$A:$E,2,FALSE)</f>
        <v>LF IM UK Equity &amp; Bond Income A Inc TR in GB</v>
      </c>
      <c r="C2537" t="str">
        <f>VLOOKUP(NoviaFunds[[#This Row],[ISIN]],'Novia Web Query'!$A:$E,3,FALSE)</f>
        <v>UT Flexible Investment</v>
      </c>
      <c r="D2537" s="139">
        <f>VLOOKUP(NoviaFunds[[#This Row],[ISIN]],'Novia Web Query'!$A:$E,4,FALSE)/100</f>
        <v>9.300000000000001E-3</v>
      </c>
      <c r="E2537" s="3" t="str">
        <f>VLOOKUP(NoviaFunds[[#This Row],[ISIN]],'Novia Web Query'!$A:$E,5,FALSE)</f>
        <v>08/02/2021</v>
      </c>
      <c r="F2537" t="str">
        <f>VLOOKUP(NoviaFunds[[#This Row],[Sector]],Sectors[],2,FALSE)</f>
        <v>Flexible</v>
      </c>
    </row>
    <row r="2538" spans="1:6" x14ac:dyDescent="0.2">
      <c r="A2538" t="str">
        <f>'Novia Web Query'!A2534</f>
        <v>GB00BGPFJM62</v>
      </c>
      <c r="B2538" t="str">
        <f>VLOOKUP(NoviaFunds[[#This Row],[ISIN]],'Novia Web Query'!$A:$E,2,FALSE)</f>
        <v>LF Lightman European I Acc in GB</v>
      </c>
      <c r="C2538" t="str">
        <f>VLOOKUP(NoviaFunds[[#This Row],[ISIN]],'Novia Web Query'!$A:$E,3,FALSE)</f>
        <v>UT Europe Excluding UK</v>
      </c>
      <c r="D2538" s="139">
        <f>VLOOKUP(NoviaFunds[[#This Row],[ISIN]],'Novia Web Query'!$A:$E,4,FALSE)/100</f>
        <v>6.0000000000000001E-3</v>
      </c>
      <c r="E2538" s="3" t="str">
        <f>VLOOKUP(NoviaFunds[[#This Row],[ISIN]],'Novia Web Query'!$A:$E,5,FALSE)</f>
        <v>05/02/2021</v>
      </c>
      <c r="F2538" t="str">
        <f>VLOOKUP(NoviaFunds[[#This Row],[Sector]],Sectors[],2,FALSE)</f>
        <v>European Equities</v>
      </c>
    </row>
    <row r="2539" spans="1:6" x14ac:dyDescent="0.2">
      <c r="A2539" t="str">
        <f>'Novia Web Query'!A2535</f>
        <v>GB00BGPFJN79</v>
      </c>
      <c r="B2539" t="str">
        <f>VLOOKUP(NoviaFunds[[#This Row],[ISIN]],'Novia Web Query'!$A:$E,2,FALSE)</f>
        <v>LF Lightman European R Acc in GB</v>
      </c>
      <c r="C2539" t="str">
        <f>VLOOKUP(NoviaFunds[[#This Row],[ISIN]],'Novia Web Query'!$A:$E,3,FALSE)</f>
        <v>UT Europe Excluding UK</v>
      </c>
      <c r="D2539" s="139">
        <f>VLOOKUP(NoviaFunds[[#This Row],[ISIN]],'Novia Web Query'!$A:$E,4,FALSE)/100</f>
        <v>8.0000000000000002E-3</v>
      </c>
      <c r="E2539" s="3" t="str">
        <f>VLOOKUP(NoviaFunds[[#This Row],[ISIN]],'Novia Web Query'!$A:$E,5,FALSE)</f>
        <v>05/02/2021</v>
      </c>
      <c r="F2539" t="str">
        <f>VLOOKUP(NoviaFunds[[#This Row],[Sector]],Sectors[],2,FALSE)</f>
        <v>European Equities</v>
      </c>
    </row>
    <row r="2540" spans="1:6" x14ac:dyDescent="0.2">
      <c r="A2540" t="str">
        <f>'Novia Web Query'!A2536</f>
        <v>GB00B2R83B20</v>
      </c>
      <c r="B2540" t="str">
        <f>VLOOKUP(NoviaFunds[[#This Row],[ISIN]],'Novia Web Query'!$A:$E,2,FALSE)</f>
        <v>LF Morant Wright Nippon Yield B TR in GB</v>
      </c>
      <c r="C2540" t="str">
        <f>VLOOKUP(NoviaFunds[[#This Row],[ISIN]],'Novia Web Query'!$A:$E,3,FALSE)</f>
        <v>UT Japan</v>
      </c>
      <c r="D2540" s="139">
        <f>VLOOKUP(NoviaFunds[[#This Row],[ISIN]],'Novia Web Query'!$A:$E,4,FALSE)/100</f>
        <v>1.18E-2</v>
      </c>
      <c r="E2540" s="3" t="str">
        <f>VLOOKUP(NoviaFunds[[#This Row],[ISIN]],'Novia Web Query'!$A:$E,5,FALSE)</f>
        <v>01/02/2021</v>
      </c>
      <c r="F2540" t="str">
        <f>VLOOKUP(NoviaFunds[[#This Row],[Sector]],Sectors[],2,FALSE)</f>
        <v>Japanese Equities</v>
      </c>
    </row>
    <row r="2541" spans="1:6" x14ac:dyDescent="0.2">
      <c r="A2541" t="str">
        <f>'Novia Web Query'!A2537</f>
        <v>GB00B5460Q40</v>
      </c>
      <c r="B2541" t="str">
        <f>VLOOKUP(NoviaFunds[[#This Row],[ISIN]],'Novia Web Query'!$A:$E,2,FALSE)</f>
        <v>LF Prudential Risk Managed Active 1 A Acc in GB</v>
      </c>
      <c r="C2541" t="str">
        <f>VLOOKUP(NoviaFunds[[#This Row],[ISIN]],'Novia Web Query'!$A:$E,3,FALSE)</f>
        <v>UT Volatility Managed</v>
      </c>
      <c r="D2541" s="139">
        <f>VLOOKUP(NoviaFunds[[#This Row],[ISIN]],'Novia Web Query'!$A:$E,4,FALSE)/100</f>
        <v>8.0000000000000002E-3</v>
      </c>
      <c r="E2541" s="3" t="str">
        <f>VLOOKUP(NoviaFunds[[#This Row],[ISIN]],'Novia Web Query'!$A:$E,5,FALSE)</f>
        <v>21/01/2019</v>
      </c>
      <c r="F2541" t="e">
        <f>VLOOKUP(NoviaFunds[[#This Row],[Sector]],Sectors[],2,FALSE)</f>
        <v>#N/A</v>
      </c>
    </row>
    <row r="2542" spans="1:6" x14ac:dyDescent="0.2">
      <c r="A2542" t="str">
        <f>'Novia Web Query'!A2538</f>
        <v>GB00B51M5M63</v>
      </c>
      <c r="B2542" t="str">
        <f>VLOOKUP(NoviaFunds[[#This Row],[ISIN]],'Novia Web Query'!$A:$E,2,FALSE)</f>
        <v>LF Prudential Risk Managed Active 1 A Inc TR in GB</v>
      </c>
      <c r="C2542" t="str">
        <f>VLOOKUP(NoviaFunds[[#This Row],[ISIN]],'Novia Web Query'!$A:$E,3,FALSE)</f>
        <v>UT Volatility Managed</v>
      </c>
      <c r="D2542" s="139">
        <f>VLOOKUP(NoviaFunds[[#This Row],[ISIN]],'Novia Web Query'!$A:$E,4,FALSE)/100</f>
        <v>8.0000000000000002E-3</v>
      </c>
      <c r="E2542" s="3" t="str">
        <f>VLOOKUP(NoviaFunds[[#This Row],[ISIN]],'Novia Web Query'!$A:$E,5,FALSE)</f>
        <v>21/01/2019</v>
      </c>
      <c r="F2542" t="e">
        <f>VLOOKUP(NoviaFunds[[#This Row],[Sector]],Sectors[],2,FALSE)</f>
        <v>#N/A</v>
      </c>
    </row>
    <row r="2543" spans="1:6" x14ac:dyDescent="0.2">
      <c r="A2543" t="str">
        <f>'Novia Web Query'!A2539</f>
        <v>GB00BF232388</v>
      </c>
      <c r="B2543" t="str">
        <f>VLOOKUP(NoviaFunds[[#This Row],[ISIN]],'Novia Web Query'!$A:$E,2,FALSE)</f>
        <v>LF Prudential Risk Managed Active 1 P Acc in GB</v>
      </c>
      <c r="C2543" t="str">
        <f>VLOOKUP(NoviaFunds[[#This Row],[ISIN]],'Novia Web Query'!$A:$E,3,FALSE)</f>
        <v>UT Volatility Managed</v>
      </c>
      <c r="D2543" s="139">
        <f>VLOOKUP(NoviaFunds[[#This Row],[ISIN]],'Novia Web Query'!$A:$E,4,FALSE)/100</f>
        <v>5.5000000000000005E-3</v>
      </c>
      <c r="E2543" s="3" t="str">
        <f>VLOOKUP(NoviaFunds[[#This Row],[ISIN]],'Novia Web Query'!$A:$E,5,FALSE)</f>
        <v>21/01/2019</v>
      </c>
      <c r="F2543" t="e">
        <f>VLOOKUP(NoviaFunds[[#This Row],[Sector]],Sectors[],2,FALSE)</f>
        <v>#N/A</v>
      </c>
    </row>
    <row r="2544" spans="1:6" x14ac:dyDescent="0.2">
      <c r="A2544" t="str">
        <f>'Novia Web Query'!A2540</f>
        <v>GB00BF232495</v>
      </c>
      <c r="B2544" t="str">
        <f>VLOOKUP(NoviaFunds[[#This Row],[ISIN]],'Novia Web Query'!$A:$E,2,FALSE)</f>
        <v>LF Prudential Risk Managed Active 1 P Inc TR in GB**</v>
      </c>
      <c r="C2544" t="str">
        <f>VLOOKUP(NoviaFunds[[#This Row],[ISIN]],'Novia Web Query'!$A:$E,3,FALSE)</f>
        <v>UT Volatility Managed</v>
      </c>
      <c r="D2544" s="139">
        <f>VLOOKUP(NoviaFunds[[#This Row],[ISIN]],'Novia Web Query'!$A:$E,4,FALSE)/100</f>
        <v>5.5000000000000005E-3</v>
      </c>
      <c r="E2544" s="3" t="str">
        <f>VLOOKUP(NoviaFunds[[#This Row],[ISIN]],'Novia Web Query'!$A:$E,5,FALSE)</f>
        <v>21/01/2019</v>
      </c>
      <c r="F2544" t="e">
        <f>VLOOKUP(NoviaFunds[[#This Row],[Sector]],Sectors[],2,FALSE)</f>
        <v>#N/A</v>
      </c>
    </row>
    <row r="2545" spans="1:6" x14ac:dyDescent="0.2">
      <c r="A2545" t="str">
        <f>'Novia Web Query'!A2541</f>
        <v>GB00B51NJN82</v>
      </c>
      <c r="B2545" t="str">
        <f>VLOOKUP(NoviaFunds[[#This Row],[ISIN]],'Novia Web Query'!$A:$E,2,FALSE)</f>
        <v>LF Prudential Risk Managed Active 2 A Acc in GB</v>
      </c>
      <c r="C2545" t="str">
        <f>VLOOKUP(NoviaFunds[[#This Row],[ISIN]],'Novia Web Query'!$A:$E,3,FALSE)</f>
        <v>UT Volatility Managed</v>
      </c>
      <c r="D2545" s="139">
        <f>VLOOKUP(NoviaFunds[[#This Row],[ISIN]],'Novia Web Query'!$A:$E,4,FALSE)/100</f>
        <v>8.1000000000000013E-3</v>
      </c>
      <c r="E2545" s="3" t="str">
        <f>VLOOKUP(NoviaFunds[[#This Row],[ISIN]],'Novia Web Query'!$A:$E,5,FALSE)</f>
        <v>21/01/2019</v>
      </c>
      <c r="F2545" t="e">
        <f>VLOOKUP(NoviaFunds[[#This Row],[Sector]],Sectors[],2,FALSE)</f>
        <v>#N/A</v>
      </c>
    </row>
    <row r="2546" spans="1:6" x14ac:dyDescent="0.2">
      <c r="A2546" t="str">
        <f>'Novia Web Query'!A2542</f>
        <v>GB00B545FC27</v>
      </c>
      <c r="B2546" t="str">
        <f>VLOOKUP(NoviaFunds[[#This Row],[ISIN]],'Novia Web Query'!$A:$E,2,FALSE)</f>
        <v>LF Prudential Risk Managed Active 2 A Inc TR in GB</v>
      </c>
      <c r="C2546" t="str">
        <f>VLOOKUP(NoviaFunds[[#This Row],[ISIN]],'Novia Web Query'!$A:$E,3,FALSE)</f>
        <v>UT Volatility Managed</v>
      </c>
      <c r="D2546" s="139">
        <f>VLOOKUP(NoviaFunds[[#This Row],[ISIN]],'Novia Web Query'!$A:$E,4,FALSE)/100</f>
        <v>8.1000000000000013E-3</v>
      </c>
      <c r="E2546" s="3" t="str">
        <f>VLOOKUP(NoviaFunds[[#This Row],[ISIN]],'Novia Web Query'!$A:$E,5,FALSE)</f>
        <v>21/01/2019</v>
      </c>
      <c r="F2546" t="e">
        <f>VLOOKUP(NoviaFunds[[#This Row],[Sector]],Sectors[],2,FALSE)</f>
        <v>#N/A</v>
      </c>
    </row>
    <row r="2547" spans="1:6" x14ac:dyDescent="0.2">
      <c r="A2547" t="str">
        <f>'Novia Web Query'!A2543</f>
        <v>GB00BF232503</v>
      </c>
      <c r="B2547" t="str">
        <f>VLOOKUP(NoviaFunds[[#This Row],[ISIN]],'Novia Web Query'!$A:$E,2,FALSE)</f>
        <v>LF Prudential Risk Managed Active 2 P Acc in GB</v>
      </c>
      <c r="C2547" t="str">
        <f>VLOOKUP(NoviaFunds[[#This Row],[ISIN]],'Novia Web Query'!$A:$E,3,FALSE)</f>
        <v>UT Volatility Managed</v>
      </c>
      <c r="D2547" s="139">
        <f>VLOOKUP(NoviaFunds[[#This Row],[ISIN]],'Novia Web Query'!$A:$E,4,FALSE)/100</f>
        <v>5.6000000000000008E-3</v>
      </c>
      <c r="E2547" s="3" t="str">
        <f>VLOOKUP(NoviaFunds[[#This Row],[ISIN]],'Novia Web Query'!$A:$E,5,FALSE)</f>
        <v>21/01/2019</v>
      </c>
      <c r="F2547" t="e">
        <f>VLOOKUP(NoviaFunds[[#This Row],[Sector]],Sectors[],2,FALSE)</f>
        <v>#N/A</v>
      </c>
    </row>
    <row r="2548" spans="1:6" x14ac:dyDescent="0.2">
      <c r="A2548" t="str">
        <f>'Novia Web Query'!A2544</f>
        <v>GB00BF232610</v>
      </c>
      <c r="B2548" t="str">
        <f>VLOOKUP(NoviaFunds[[#This Row],[ISIN]],'Novia Web Query'!$A:$E,2,FALSE)</f>
        <v>LF Prudential Risk Managed Active 2 P Inc TR in GB**</v>
      </c>
      <c r="C2548" t="str">
        <f>VLOOKUP(NoviaFunds[[#This Row],[ISIN]],'Novia Web Query'!$A:$E,3,FALSE)</f>
        <v>UT Volatility Managed</v>
      </c>
      <c r="D2548" s="139">
        <f>VLOOKUP(NoviaFunds[[#This Row],[ISIN]],'Novia Web Query'!$A:$E,4,FALSE)/100</f>
        <v>5.6000000000000008E-3</v>
      </c>
      <c r="E2548" s="3" t="str">
        <f>VLOOKUP(NoviaFunds[[#This Row],[ISIN]],'Novia Web Query'!$A:$E,5,FALSE)</f>
        <v>21/01/2019</v>
      </c>
      <c r="F2548" t="e">
        <f>VLOOKUP(NoviaFunds[[#This Row],[Sector]],Sectors[],2,FALSE)</f>
        <v>#N/A</v>
      </c>
    </row>
    <row r="2549" spans="1:6" x14ac:dyDescent="0.2">
      <c r="A2549" t="str">
        <f>'Novia Web Query'!A2545</f>
        <v>GB00B55GVW64</v>
      </c>
      <c r="B2549" t="str">
        <f>VLOOKUP(NoviaFunds[[#This Row],[ISIN]],'Novia Web Query'!$A:$E,2,FALSE)</f>
        <v>LF Prudential Risk Managed Active 3 A Acc in GB</v>
      </c>
      <c r="C2549" t="str">
        <f>VLOOKUP(NoviaFunds[[#This Row],[ISIN]],'Novia Web Query'!$A:$E,3,FALSE)</f>
        <v>UT Volatility Managed</v>
      </c>
      <c r="D2549" s="139">
        <f>VLOOKUP(NoviaFunds[[#This Row],[ISIN]],'Novia Web Query'!$A:$E,4,FALSE)/100</f>
        <v>8.1000000000000013E-3</v>
      </c>
      <c r="E2549" s="3" t="str">
        <f>VLOOKUP(NoviaFunds[[#This Row],[ISIN]],'Novia Web Query'!$A:$E,5,FALSE)</f>
        <v>21/01/2019</v>
      </c>
      <c r="F2549" t="e">
        <f>VLOOKUP(NoviaFunds[[#This Row],[Sector]],Sectors[],2,FALSE)</f>
        <v>#N/A</v>
      </c>
    </row>
    <row r="2550" spans="1:6" x14ac:dyDescent="0.2">
      <c r="A2550" t="str">
        <f>'Novia Web Query'!A2546</f>
        <v>GB00B5595D43</v>
      </c>
      <c r="B2550" t="str">
        <f>VLOOKUP(NoviaFunds[[#This Row],[ISIN]],'Novia Web Query'!$A:$E,2,FALSE)</f>
        <v>LF Prudential Risk Managed Active 3 A Inc TR in GB</v>
      </c>
      <c r="C2550" t="str">
        <f>VLOOKUP(NoviaFunds[[#This Row],[ISIN]],'Novia Web Query'!$A:$E,3,FALSE)</f>
        <v>UT Volatility Managed</v>
      </c>
      <c r="D2550" s="139">
        <f>VLOOKUP(NoviaFunds[[#This Row],[ISIN]],'Novia Web Query'!$A:$E,4,FALSE)/100</f>
        <v>8.1000000000000013E-3</v>
      </c>
      <c r="E2550" s="3" t="str">
        <f>VLOOKUP(NoviaFunds[[#This Row],[ISIN]],'Novia Web Query'!$A:$E,5,FALSE)</f>
        <v>21/01/2019</v>
      </c>
      <c r="F2550" t="e">
        <f>VLOOKUP(NoviaFunds[[#This Row],[Sector]],Sectors[],2,FALSE)</f>
        <v>#N/A</v>
      </c>
    </row>
    <row r="2551" spans="1:6" x14ac:dyDescent="0.2">
      <c r="A2551" t="str">
        <f>'Novia Web Query'!A2547</f>
        <v>GB00BF232727</v>
      </c>
      <c r="B2551" t="str">
        <f>VLOOKUP(NoviaFunds[[#This Row],[ISIN]],'Novia Web Query'!$A:$E,2,FALSE)</f>
        <v>LF Prudential Risk Managed Active 3 P Acc in GB</v>
      </c>
      <c r="C2551" t="str">
        <f>VLOOKUP(NoviaFunds[[#This Row],[ISIN]],'Novia Web Query'!$A:$E,3,FALSE)</f>
        <v>UT Volatility Managed</v>
      </c>
      <c r="D2551" s="139">
        <f>VLOOKUP(NoviaFunds[[#This Row],[ISIN]],'Novia Web Query'!$A:$E,4,FALSE)/100</f>
        <v>5.6000000000000008E-3</v>
      </c>
      <c r="E2551" s="3" t="str">
        <f>VLOOKUP(NoviaFunds[[#This Row],[ISIN]],'Novia Web Query'!$A:$E,5,FALSE)</f>
        <v>21/01/2019</v>
      </c>
      <c r="F2551" t="e">
        <f>VLOOKUP(NoviaFunds[[#This Row],[Sector]],Sectors[],2,FALSE)</f>
        <v>#N/A</v>
      </c>
    </row>
    <row r="2552" spans="1:6" x14ac:dyDescent="0.2">
      <c r="A2552" t="str">
        <f>'Novia Web Query'!A2548</f>
        <v>GB00BF232834</v>
      </c>
      <c r="B2552" t="str">
        <f>VLOOKUP(NoviaFunds[[#This Row],[ISIN]],'Novia Web Query'!$A:$E,2,FALSE)</f>
        <v>LF Prudential Risk Managed Active 3 P Inc TR in GB**</v>
      </c>
      <c r="C2552" t="str">
        <f>VLOOKUP(NoviaFunds[[#This Row],[ISIN]],'Novia Web Query'!$A:$E,3,FALSE)</f>
        <v>UT Volatility Managed</v>
      </c>
      <c r="D2552" s="139">
        <f>VLOOKUP(NoviaFunds[[#This Row],[ISIN]],'Novia Web Query'!$A:$E,4,FALSE)/100</f>
        <v>5.6000000000000008E-3</v>
      </c>
      <c r="E2552" s="3" t="str">
        <f>VLOOKUP(NoviaFunds[[#This Row],[ISIN]],'Novia Web Query'!$A:$E,5,FALSE)</f>
        <v>21/01/2019</v>
      </c>
      <c r="F2552" t="e">
        <f>VLOOKUP(NoviaFunds[[#This Row],[Sector]],Sectors[],2,FALSE)</f>
        <v>#N/A</v>
      </c>
    </row>
    <row r="2553" spans="1:6" x14ac:dyDescent="0.2">
      <c r="A2553" t="str">
        <f>'Novia Web Query'!A2549</f>
        <v>GB00B549YV68</v>
      </c>
      <c r="B2553" t="str">
        <f>VLOOKUP(NoviaFunds[[#This Row],[ISIN]],'Novia Web Query'!$A:$E,2,FALSE)</f>
        <v>LF Prudential Risk Managed Active 4 A Acc in GB</v>
      </c>
      <c r="C2553" t="str">
        <f>VLOOKUP(NoviaFunds[[#This Row],[ISIN]],'Novia Web Query'!$A:$E,3,FALSE)</f>
        <v>UT Volatility Managed</v>
      </c>
      <c r="D2553" s="139">
        <f>VLOOKUP(NoviaFunds[[#This Row],[ISIN]],'Novia Web Query'!$A:$E,4,FALSE)/100</f>
        <v>8.1000000000000013E-3</v>
      </c>
      <c r="E2553" s="3" t="str">
        <f>VLOOKUP(NoviaFunds[[#This Row],[ISIN]],'Novia Web Query'!$A:$E,5,FALSE)</f>
        <v>21/01/2019</v>
      </c>
      <c r="F2553" t="e">
        <f>VLOOKUP(NoviaFunds[[#This Row],[Sector]],Sectors[],2,FALSE)</f>
        <v>#N/A</v>
      </c>
    </row>
    <row r="2554" spans="1:6" x14ac:dyDescent="0.2">
      <c r="A2554" t="str">
        <f>'Novia Web Query'!A2550</f>
        <v>GB00B5272G32</v>
      </c>
      <c r="B2554" t="str">
        <f>VLOOKUP(NoviaFunds[[#This Row],[ISIN]],'Novia Web Query'!$A:$E,2,FALSE)</f>
        <v>LF Prudential Risk Managed Active 4 A Inc TR in GB</v>
      </c>
      <c r="C2554" t="str">
        <f>VLOOKUP(NoviaFunds[[#This Row],[ISIN]],'Novia Web Query'!$A:$E,3,FALSE)</f>
        <v>UT Volatility Managed</v>
      </c>
      <c r="D2554" s="139">
        <f>VLOOKUP(NoviaFunds[[#This Row],[ISIN]],'Novia Web Query'!$A:$E,4,FALSE)/100</f>
        <v>8.1000000000000013E-3</v>
      </c>
      <c r="E2554" s="3" t="str">
        <f>VLOOKUP(NoviaFunds[[#This Row],[ISIN]],'Novia Web Query'!$A:$E,5,FALSE)</f>
        <v>21/01/2019</v>
      </c>
      <c r="F2554" t="e">
        <f>VLOOKUP(NoviaFunds[[#This Row],[Sector]],Sectors[],2,FALSE)</f>
        <v>#N/A</v>
      </c>
    </row>
    <row r="2555" spans="1:6" x14ac:dyDescent="0.2">
      <c r="A2555" t="str">
        <f>'Novia Web Query'!A2551</f>
        <v>GB00BF232941</v>
      </c>
      <c r="B2555" t="str">
        <f>VLOOKUP(NoviaFunds[[#This Row],[ISIN]],'Novia Web Query'!$A:$E,2,FALSE)</f>
        <v>LF Prudential Risk Managed Active 4 P Acc in GB</v>
      </c>
      <c r="C2555" t="str">
        <f>VLOOKUP(NoviaFunds[[#This Row],[ISIN]],'Novia Web Query'!$A:$E,3,FALSE)</f>
        <v>UT Volatility Managed</v>
      </c>
      <c r="D2555" s="139">
        <f>VLOOKUP(NoviaFunds[[#This Row],[ISIN]],'Novia Web Query'!$A:$E,4,FALSE)/100</f>
        <v>5.6000000000000008E-3</v>
      </c>
      <c r="E2555" s="3" t="str">
        <f>VLOOKUP(NoviaFunds[[#This Row],[ISIN]],'Novia Web Query'!$A:$E,5,FALSE)</f>
        <v>21/01/2019</v>
      </c>
      <c r="F2555" t="e">
        <f>VLOOKUP(NoviaFunds[[#This Row],[Sector]],Sectors[],2,FALSE)</f>
        <v>#N/A</v>
      </c>
    </row>
    <row r="2556" spans="1:6" x14ac:dyDescent="0.2">
      <c r="A2556" t="str">
        <f>'Novia Web Query'!A2552</f>
        <v>GB00BF232B62</v>
      </c>
      <c r="B2556" t="str">
        <f>VLOOKUP(NoviaFunds[[#This Row],[ISIN]],'Novia Web Query'!$A:$E,2,FALSE)</f>
        <v>LF Prudential Risk Managed Active 4 P Inc TR in GB**</v>
      </c>
      <c r="C2556" t="str">
        <f>VLOOKUP(NoviaFunds[[#This Row],[ISIN]],'Novia Web Query'!$A:$E,3,FALSE)</f>
        <v>UT Volatility Managed</v>
      </c>
      <c r="D2556" s="139">
        <f>VLOOKUP(NoviaFunds[[#This Row],[ISIN]],'Novia Web Query'!$A:$E,4,FALSE)/100</f>
        <v>5.6000000000000008E-3</v>
      </c>
      <c r="E2556" s="3" t="str">
        <f>VLOOKUP(NoviaFunds[[#This Row],[ISIN]],'Novia Web Query'!$A:$E,5,FALSE)</f>
        <v>21/01/2019</v>
      </c>
      <c r="F2556" t="e">
        <f>VLOOKUP(NoviaFunds[[#This Row],[Sector]],Sectors[],2,FALSE)</f>
        <v>#N/A</v>
      </c>
    </row>
    <row r="2557" spans="1:6" x14ac:dyDescent="0.2">
      <c r="A2557" t="str">
        <f>'Novia Web Query'!A2553</f>
        <v>GB00B6Y23P99</v>
      </c>
      <c r="B2557" t="str">
        <f>VLOOKUP(NoviaFunds[[#This Row],[ISIN]],'Novia Web Query'!$A:$E,2,FALSE)</f>
        <v>LF Prudential Risk Managed Active 4 R Acc GBP in GB**</v>
      </c>
      <c r="C2557" t="str">
        <f>VLOOKUP(NoviaFunds[[#This Row],[ISIN]],'Novia Web Query'!$A:$E,3,FALSE)</f>
        <v>UT Volatility Managed</v>
      </c>
      <c r="D2557" s="139">
        <f>VLOOKUP(NoviaFunds[[#This Row],[ISIN]],'Novia Web Query'!$A:$E,4,FALSE)/100</f>
        <v>8.1000000000000013E-3</v>
      </c>
      <c r="E2557" s="3" t="str">
        <f>VLOOKUP(NoviaFunds[[#This Row],[ISIN]],'Novia Web Query'!$A:$E,5,FALSE)</f>
        <v>21/01/2019</v>
      </c>
      <c r="F2557" t="e">
        <f>VLOOKUP(NoviaFunds[[#This Row],[Sector]],Sectors[],2,FALSE)</f>
        <v>#N/A</v>
      </c>
    </row>
    <row r="2558" spans="1:6" x14ac:dyDescent="0.2">
      <c r="A2558" t="str">
        <f>'Novia Web Query'!A2554</f>
        <v>GB00B5107K29</v>
      </c>
      <c r="B2558" t="str">
        <f>VLOOKUP(NoviaFunds[[#This Row],[ISIN]],'Novia Web Query'!$A:$E,2,FALSE)</f>
        <v>LF Prudential Risk Managed Active 5 A Acc in GB</v>
      </c>
      <c r="C2558" t="str">
        <f>VLOOKUP(NoviaFunds[[#This Row],[ISIN]],'Novia Web Query'!$A:$E,3,FALSE)</f>
        <v>UT Volatility Managed</v>
      </c>
      <c r="D2558" s="139">
        <f>VLOOKUP(NoviaFunds[[#This Row],[ISIN]],'Novia Web Query'!$A:$E,4,FALSE)/100</f>
        <v>8.199999999999999E-3</v>
      </c>
      <c r="E2558" s="3" t="str">
        <f>VLOOKUP(NoviaFunds[[#This Row],[ISIN]],'Novia Web Query'!$A:$E,5,FALSE)</f>
        <v>21/01/2019</v>
      </c>
      <c r="F2558" t="e">
        <f>VLOOKUP(NoviaFunds[[#This Row],[Sector]],Sectors[],2,FALSE)</f>
        <v>#N/A</v>
      </c>
    </row>
    <row r="2559" spans="1:6" x14ac:dyDescent="0.2">
      <c r="A2559" t="str">
        <f>'Novia Web Query'!A2555</f>
        <v>GB00B55HVM99</v>
      </c>
      <c r="B2559" t="str">
        <f>VLOOKUP(NoviaFunds[[#This Row],[ISIN]],'Novia Web Query'!$A:$E,2,FALSE)</f>
        <v>LF Prudential Risk Managed Active 5 A Inc TR in GB</v>
      </c>
      <c r="C2559" t="str">
        <f>VLOOKUP(NoviaFunds[[#This Row],[ISIN]],'Novia Web Query'!$A:$E,3,FALSE)</f>
        <v>UT Volatility Managed</v>
      </c>
      <c r="D2559" s="139">
        <f>VLOOKUP(NoviaFunds[[#This Row],[ISIN]],'Novia Web Query'!$A:$E,4,FALSE)/100</f>
        <v>8.199999999999999E-3</v>
      </c>
      <c r="E2559" s="3" t="str">
        <f>VLOOKUP(NoviaFunds[[#This Row],[ISIN]],'Novia Web Query'!$A:$E,5,FALSE)</f>
        <v>21/01/2019</v>
      </c>
      <c r="F2559" t="e">
        <f>VLOOKUP(NoviaFunds[[#This Row],[Sector]],Sectors[],2,FALSE)</f>
        <v>#N/A</v>
      </c>
    </row>
    <row r="2560" spans="1:6" x14ac:dyDescent="0.2">
      <c r="A2560" t="str">
        <f>'Novia Web Query'!A2556</f>
        <v>GB00BF232C79</v>
      </c>
      <c r="B2560" t="str">
        <f>VLOOKUP(NoviaFunds[[#This Row],[ISIN]],'Novia Web Query'!$A:$E,2,FALSE)</f>
        <v>LF Prudential Risk Managed Active 5 P Acc in GB</v>
      </c>
      <c r="C2560" t="str">
        <f>VLOOKUP(NoviaFunds[[#This Row],[ISIN]],'Novia Web Query'!$A:$E,3,FALSE)</f>
        <v>UT Volatility Managed</v>
      </c>
      <c r="D2560" s="139">
        <f>VLOOKUP(NoviaFunds[[#This Row],[ISIN]],'Novia Web Query'!$A:$E,4,FALSE)/100</f>
        <v>5.6999999999999993E-3</v>
      </c>
      <c r="E2560" s="3" t="str">
        <f>VLOOKUP(NoviaFunds[[#This Row],[ISIN]],'Novia Web Query'!$A:$E,5,FALSE)</f>
        <v>21/01/2019</v>
      </c>
      <c r="F2560" t="e">
        <f>VLOOKUP(NoviaFunds[[#This Row],[Sector]],Sectors[],2,FALSE)</f>
        <v>#N/A</v>
      </c>
    </row>
    <row r="2561" spans="1:6" x14ac:dyDescent="0.2">
      <c r="A2561" t="str">
        <f>'Novia Web Query'!A2557</f>
        <v>GB00BF232D86</v>
      </c>
      <c r="B2561" t="str">
        <f>VLOOKUP(NoviaFunds[[#This Row],[ISIN]],'Novia Web Query'!$A:$E,2,FALSE)</f>
        <v>LF Prudential Risk Managed Active 5 P Inc TR in GB**</v>
      </c>
      <c r="C2561" t="str">
        <f>VLOOKUP(NoviaFunds[[#This Row],[ISIN]],'Novia Web Query'!$A:$E,3,FALSE)</f>
        <v>UT Volatility Managed</v>
      </c>
      <c r="D2561" s="139">
        <f>VLOOKUP(NoviaFunds[[#This Row],[ISIN]],'Novia Web Query'!$A:$E,4,FALSE)/100</f>
        <v>5.6999999999999993E-3</v>
      </c>
      <c r="E2561" s="3" t="str">
        <f>VLOOKUP(NoviaFunds[[#This Row],[ISIN]],'Novia Web Query'!$A:$E,5,FALSE)</f>
        <v>21/01/2019</v>
      </c>
      <c r="F2561" t="e">
        <f>VLOOKUP(NoviaFunds[[#This Row],[Sector]],Sectors[],2,FALSE)</f>
        <v>#N/A</v>
      </c>
    </row>
    <row r="2562" spans="1:6" x14ac:dyDescent="0.2">
      <c r="A2562" t="str">
        <f>'Novia Web Query'!A2558</f>
        <v>GB00B1P9ZN61</v>
      </c>
      <c r="B2562" t="str">
        <f>VLOOKUP(NoviaFunds[[#This Row],[ISIN]],'Novia Web Query'!$A:$E,2,FALSE)</f>
        <v>LF Prudential Risk Managed Passive 1 A Acc in GB</v>
      </c>
      <c r="C2562" t="str">
        <f>VLOOKUP(NoviaFunds[[#This Row],[ISIN]],'Novia Web Query'!$A:$E,3,FALSE)</f>
        <v>UT Volatility Managed</v>
      </c>
      <c r="D2562" s="139">
        <f>VLOOKUP(NoviaFunds[[#This Row],[ISIN]],'Novia Web Query'!$A:$E,4,FALSE)/100</f>
        <v>5.1000000000000004E-3</v>
      </c>
      <c r="E2562" s="3" t="str">
        <f>VLOOKUP(NoviaFunds[[#This Row],[ISIN]],'Novia Web Query'!$A:$E,5,FALSE)</f>
        <v>21/01/2019</v>
      </c>
      <c r="F2562" t="e">
        <f>VLOOKUP(NoviaFunds[[#This Row],[Sector]],Sectors[],2,FALSE)</f>
        <v>#N/A</v>
      </c>
    </row>
    <row r="2563" spans="1:6" x14ac:dyDescent="0.2">
      <c r="A2563" t="str">
        <f>'Novia Web Query'!A2559</f>
        <v>GB00B1P9ZP85</v>
      </c>
      <c r="B2563" t="str">
        <f>VLOOKUP(NoviaFunds[[#This Row],[ISIN]],'Novia Web Query'!$A:$E,2,FALSE)</f>
        <v>LF Prudential Risk Managed Passive 1 A Inc TR in GB</v>
      </c>
      <c r="C2563" t="str">
        <f>VLOOKUP(NoviaFunds[[#This Row],[ISIN]],'Novia Web Query'!$A:$E,3,FALSE)</f>
        <v>UT Volatility Managed</v>
      </c>
      <c r="D2563" s="139">
        <f>VLOOKUP(NoviaFunds[[#This Row],[ISIN]],'Novia Web Query'!$A:$E,4,FALSE)/100</f>
        <v>5.1000000000000004E-3</v>
      </c>
      <c r="E2563" s="3" t="str">
        <f>VLOOKUP(NoviaFunds[[#This Row],[ISIN]],'Novia Web Query'!$A:$E,5,FALSE)</f>
        <v>21/01/2019</v>
      </c>
      <c r="F2563" t="e">
        <f>VLOOKUP(NoviaFunds[[#This Row],[Sector]],Sectors[],2,FALSE)</f>
        <v>#N/A</v>
      </c>
    </row>
    <row r="2564" spans="1:6" x14ac:dyDescent="0.2">
      <c r="A2564" t="str">
        <f>'Novia Web Query'!A2560</f>
        <v>GB00BF232F01</v>
      </c>
      <c r="B2564" t="str">
        <f>VLOOKUP(NoviaFunds[[#This Row],[ISIN]],'Novia Web Query'!$A:$E,2,FALSE)</f>
        <v>LF Prudential Risk Managed Passive 1 P Acc in GB</v>
      </c>
      <c r="C2564" t="str">
        <f>VLOOKUP(NoviaFunds[[#This Row],[ISIN]],'Novia Web Query'!$A:$E,3,FALSE)</f>
        <v>UT Volatility Managed</v>
      </c>
      <c r="D2564" s="139">
        <f>VLOOKUP(NoviaFunds[[#This Row],[ISIN]],'Novia Web Query'!$A:$E,4,FALSE)/100</f>
        <v>2.5999999999999999E-3</v>
      </c>
      <c r="E2564" s="3" t="str">
        <f>VLOOKUP(NoviaFunds[[#This Row],[ISIN]],'Novia Web Query'!$A:$E,5,FALSE)</f>
        <v>21/01/2019</v>
      </c>
      <c r="F2564" t="e">
        <f>VLOOKUP(NoviaFunds[[#This Row],[Sector]],Sectors[],2,FALSE)</f>
        <v>#N/A</v>
      </c>
    </row>
    <row r="2565" spans="1:6" x14ac:dyDescent="0.2">
      <c r="A2565" t="str">
        <f>'Novia Web Query'!A2561</f>
        <v>GB00BF232G18</v>
      </c>
      <c r="B2565" t="str">
        <f>VLOOKUP(NoviaFunds[[#This Row],[ISIN]],'Novia Web Query'!$A:$E,2,FALSE)</f>
        <v>LF Prudential Risk Managed Passive 1 P Inc TR in GB**</v>
      </c>
      <c r="C2565" t="str">
        <f>VLOOKUP(NoviaFunds[[#This Row],[ISIN]],'Novia Web Query'!$A:$E,3,FALSE)</f>
        <v>UT Volatility Managed</v>
      </c>
      <c r="D2565" s="139">
        <f>VLOOKUP(NoviaFunds[[#This Row],[ISIN]],'Novia Web Query'!$A:$E,4,FALSE)/100</f>
        <v>2.5999999999999999E-3</v>
      </c>
      <c r="E2565" s="3" t="str">
        <f>VLOOKUP(NoviaFunds[[#This Row],[ISIN]],'Novia Web Query'!$A:$E,5,FALSE)</f>
        <v>21/01/2019</v>
      </c>
      <c r="F2565" t="e">
        <f>VLOOKUP(NoviaFunds[[#This Row],[Sector]],Sectors[],2,FALSE)</f>
        <v>#N/A</v>
      </c>
    </row>
    <row r="2566" spans="1:6" x14ac:dyDescent="0.2">
      <c r="A2566" t="str">
        <f>'Novia Web Query'!A2562</f>
        <v>GB00B5BNX690</v>
      </c>
      <c r="B2566" t="str">
        <f>VLOOKUP(NoviaFunds[[#This Row],[ISIN]],'Novia Web Query'!$A:$E,2,FALSE)</f>
        <v>LF Prudential Risk Managed Passive 1 R Acc GBP in GB**</v>
      </c>
      <c r="C2566" t="str">
        <f>VLOOKUP(NoviaFunds[[#This Row],[ISIN]],'Novia Web Query'!$A:$E,3,FALSE)</f>
        <v>UT Volatility Managed</v>
      </c>
      <c r="D2566" s="139">
        <f>VLOOKUP(NoviaFunds[[#This Row],[ISIN]],'Novia Web Query'!$A:$E,4,FALSE)/100</f>
        <v>5.1000000000000004E-3</v>
      </c>
      <c r="E2566" s="3" t="str">
        <f>VLOOKUP(NoviaFunds[[#This Row],[ISIN]],'Novia Web Query'!$A:$E,5,FALSE)</f>
        <v>21/01/2019</v>
      </c>
      <c r="F2566" t="e">
        <f>VLOOKUP(NoviaFunds[[#This Row],[Sector]],Sectors[],2,FALSE)</f>
        <v>#N/A</v>
      </c>
    </row>
    <row r="2567" spans="1:6" x14ac:dyDescent="0.2">
      <c r="A2567" t="str">
        <f>'Novia Web Query'!A2563</f>
        <v>GB00BVYTZX71</v>
      </c>
      <c r="B2567" t="str">
        <f>VLOOKUP(NoviaFunds[[#This Row],[ISIN]],'Novia Web Query'!$A:$E,2,FALSE)</f>
        <v>LF Prudential Risk Managed Passive 2 P Acc in GB</v>
      </c>
      <c r="C2567" t="str">
        <f>VLOOKUP(NoviaFunds[[#This Row],[ISIN]],'Novia Web Query'!$A:$E,3,FALSE)</f>
        <v>UT Volatility Managed</v>
      </c>
      <c r="D2567" s="139">
        <f>VLOOKUP(NoviaFunds[[#This Row],[ISIN]],'Novia Web Query'!$A:$E,4,FALSE)/100</f>
        <v>2.5999999999999999E-3</v>
      </c>
      <c r="E2567" s="3" t="str">
        <f>VLOOKUP(NoviaFunds[[#This Row],[ISIN]],'Novia Web Query'!$A:$E,5,FALSE)</f>
        <v>21/01/2019</v>
      </c>
      <c r="F2567" t="e">
        <f>VLOOKUP(NoviaFunds[[#This Row],[Sector]],Sectors[],2,FALSE)</f>
        <v>#N/A</v>
      </c>
    </row>
    <row r="2568" spans="1:6" x14ac:dyDescent="0.2">
      <c r="A2568" t="str">
        <f>'Novia Web Query'!A2564</f>
        <v>GB00BVYTZY88</v>
      </c>
      <c r="B2568" t="str">
        <f>VLOOKUP(NoviaFunds[[#This Row],[ISIN]],'Novia Web Query'!$A:$E,2,FALSE)</f>
        <v>LF Prudential Risk Managed Passive 2 P Inc TR in GB</v>
      </c>
      <c r="C2568" t="str">
        <f>VLOOKUP(NoviaFunds[[#This Row],[ISIN]],'Novia Web Query'!$A:$E,3,FALSE)</f>
        <v>UT Volatility Managed</v>
      </c>
      <c r="D2568" s="139">
        <f>VLOOKUP(NoviaFunds[[#This Row],[ISIN]],'Novia Web Query'!$A:$E,4,FALSE)/100</f>
        <v>2.5999999999999999E-3</v>
      </c>
      <c r="E2568" s="3" t="str">
        <f>VLOOKUP(NoviaFunds[[#This Row],[ISIN]],'Novia Web Query'!$A:$E,5,FALSE)</f>
        <v>21/01/2019</v>
      </c>
      <c r="F2568" t="e">
        <f>VLOOKUP(NoviaFunds[[#This Row],[Sector]],Sectors[],2,FALSE)</f>
        <v>#N/A</v>
      </c>
    </row>
    <row r="2569" spans="1:6" x14ac:dyDescent="0.2">
      <c r="A2569" t="str">
        <f>'Novia Web Query'!A2565</f>
        <v>GB00B1P9ZR00</v>
      </c>
      <c r="B2569" t="str">
        <f>VLOOKUP(NoviaFunds[[#This Row],[ISIN]],'Novia Web Query'!$A:$E,2,FALSE)</f>
        <v>LF Prudential Risk Managed Passive 3 A Acc in GB</v>
      </c>
      <c r="C2569" t="str">
        <f>VLOOKUP(NoviaFunds[[#This Row],[ISIN]],'Novia Web Query'!$A:$E,3,FALSE)</f>
        <v>UT Volatility Managed</v>
      </c>
      <c r="D2569" s="139">
        <f>VLOOKUP(NoviaFunds[[#This Row],[ISIN]],'Novia Web Query'!$A:$E,4,FALSE)/100</f>
        <v>5.0000000000000001E-3</v>
      </c>
      <c r="E2569" s="3" t="str">
        <f>VLOOKUP(NoviaFunds[[#This Row],[ISIN]],'Novia Web Query'!$A:$E,5,FALSE)</f>
        <v>21/01/2019</v>
      </c>
      <c r="F2569" t="e">
        <f>VLOOKUP(NoviaFunds[[#This Row],[Sector]],Sectors[],2,FALSE)</f>
        <v>#N/A</v>
      </c>
    </row>
    <row r="2570" spans="1:6" x14ac:dyDescent="0.2">
      <c r="A2570" t="str">
        <f>'Novia Web Query'!A2566</f>
        <v>GB00B1P9ZS17</v>
      </c>
      <c r="B2570" t="str">
        <f>VLOOKUP(NoviaFunds[[#This Row],[ISIN]],'Novia Web Query'!$A:$E,2,FALSE)</f>
        <v>LF Prudential Risk Managed Passive 3 A Inc TR in GB</v>
      </c>
      <c r="C2570" t="str">
        <f>VLOOKUP(NoviaFunds[[#This Row],[ISIN]],'Novia Web Query'!$A:$E,3,FALSE)</f>
        <v>UT Volatility Managed</v>
      </c>
      <c r="D2570" s="139">
        <f>VLOOKUP(NoviaFunds[[#This Row],[ISIN]],'Novia Web Query'!$A:$E,4,FALSE)/100</f>
        <v>5.0000000000000001E-3</v>
      </c>
      <c r="E2570" s="3" t="str">
        <f>VLOOKUP(NoviaFunds[[#This Row],[ISIN]],'Novia Web Query'!$A:$E,5,FALSE)</f>
        <v>21/01/2019</v>
      </c>
      <c r="F2570" t="e">
        <f>VLOOKUP(NoviaFunds[[#This Row],[Sector]],Sectors[],2,FALSE)</f>
        <v>#N/A</v>
      </c>
    </row>
    <row r="2571" spans="1:6" x14ac:dyDescent="0.2">
      <c r="A2571" t="str">
        <f>'Novia Web Query'!A2567</f>
        <v>GB00BF232H25</v>
      </c>
      <c r="B2571" t="str">
        <f>VLOOKUP(NoviaFunds[[#This Row],[ISIN]],'Novia Web Query'!$A:$E,2,FALSE)</f>
        <v>LF Prudential Risk Managed Passive 3 P Acc in GB</v>
      </c>
      <c r="C2571" t="str">
        <f>VLOOKUP(NoviaFunds[[#This Row],[ISIN]],'Novia Web Query'!$A:$E,3,FALSE)</f>
        <v>UT Volatility Managed</v>
      </c>
      <c r="D2571" s="139">
        <f>VLOOKUP(NoviaFunds[[#This Row],[ISIN]],'Novia Web Query'!$A:$E,4,FALSE)/100</f>
        <v>2.5000000000000001E-3</v>
      </c>
      <c r="E2571" s="3" t="str">
        <f>VLOOKUP(NoviaFunds[[#This Row],[ISIN]],'Novia Web Query'!$A:$E,5,FALSE)</f>
        <v>21/01/2019</v>
      </c>
      <c r="F2571" t="e">
        <f>VLOOKUP(NoviaFunds[[#This Row],[Sector]],Sectors[],2,FALSE)</f>
        <v>#N/A</v>
      </c>
    </row>
    <row r="2572" spans="1:6" x14ac:dyDescent="0.2">
      <c r="A2572" t="str">
        <f>'Novia Web Query'!A2568</f>
        <v>GB00BF232J49</v>
      </c>
      <c r="B2572" t="str">
        <f>VLOOKUP(NoviaFunds[[#This Row],[ISIN]],'Novia Web Query'!$A:$E,2,FALSE)</f>
        <v>LF Prudential Risk Managed Passive 3 P Inc TR in GB**</v>
      </c>
      <c r="C2572" t="str">
        <f>VLOOKUP(NoviaFunds[[#This Row],[ISIN]],'Novia Web Query'!$A:$E,3,FALSE)</f>
        <v>UT Volatility Managed</v>
      </c>
      <c r="D2572" s="139">
        <f>VLOOKUP(NoviaFunds[[#This Row],[ISIN]],'Novia Web Query'!$A:$E,4,FALSE)/100</f>
        <v>2.5000000000000001E-3</v>
      </c>
      <c r="E2572" s="3" t="str">
        <f>VLOOKUP(NoviaFunds[[#This Row],[ISIN]],'Novia Web Query'!$A:$E,5,FALSE)</f>
        <v>21/01/2019</v>
      </c>
      <c r="F2572" t="e">
        <f>VLOOKUP(NoviaFunds[[#This Row],[Sector]],Sectors[],2,FALSE)</f>
        <v>#N/A</v>
      </c>
    </row>
    <row r="2573" spans="1:6" x14ac:dyDescent="0.2">
      <c r="A2573" t="str">
        <f>'Novia Web Query'!A2569</f>
        <v>GB00BVYV0275</v>
      </c>
      <c r="B2573" t="str">
        <f>VLOOKUP(NoviaFunds[[#This Row],[ISIN]],'Novia Web Query'!$A:$E,2,FALSE)</f>
        <v>LF Prudential Risk Managed Passive 4 P Acc in GB</v>
      </c>
      <c r="C2573" t="str">
        <f>VLOOKUP(NoviaFunds[[#This Row],[ISIN]],'Novia Web Query'!$A:$E,3,FALSE)</f>
        <v>UT Volatility Managed</v>
      </c>
      <c r="D2573" s="139">
        <f>VLOOKUP(NoviaFunds[[#This Row],[ISIN]],'Novia Web Query'!$A:$E,4,FALSE)/100</f>
        <v>2.5999999999999999E-3</v>
      </c>
      <c r="E2573" s="3" t="str">
        <f>VLOOKUP(NoviaFunds[[#This Row],[ISIN]],'Novia Web Query'!$A:$E,5,FALSE)</f>
        <v>21/01/2019</v>
      </c>
      <c r="F2573" t="e">
        <f>VLOOKUP(NoviaFunds[[#This Row],[Sector]],Sectors[],2,FALSE)</f>
        <v>#N/A</v>
      </c>
    </row>
    <row r="2574" spans="1:6" x14ac:dyDescent="0.2">
      <c r="A2574" t="str">
        <f>'Novia Web Query'!A2570</f>
        <v>GB00BVYV0382</v>
      </c>
      <c r="B2574" t="str">
        <f>VLOOKUP(NoviaFunds[[#This Row],[ISIN]],'Novia Web Query'!$A:$E,2,FALSE)</f>
        <v>LF Prudential Risk Managed Passive 4 P Inc TR in GB</v>
      </c>
      <c r="C2574" t="str">
        <f>VLOOKUP(NoviaFunds[[#This Row],[ISIN]],'Novia Web Query'!$A:$E,3,FALSE)</f>
        <v>UT Volatility Managed</v>
      </c>
      <c r="D2574" s="139">
        <f>VLOOKUP(NoviaFunds[[#This Row],[ISIN]],'Novia Web Query'!$A:$E,4,FALSE)/100</f>
        <v>2.5999999999999999E-3</v>
      </c>
      <c r="E2574" s="3" t="str">
        <f>VLOOKUP(NoviaFunds[[#This Row],[ISIN]],'Novia Web Query'!$A:$E,5,FALSE)</f>
        <v>21/01/2019</v>
      </c>
      <c r="F2574" t="e">
        <f>VLOOKUP(NoviaFunds[[#This Row],[Sector]],Sectors[],2,FALSE)</f>
        <v>#N/A</v>
      </c>
    </row>
    <row r="2575" spans="1:6" x14ac:dyDescent="0.2">
      <c r="A2575" t="str">
        <f>'Novia Web Query'!A2571</f>
        <v>GB00BVYV0721</v>
      </c>
      <c r="B2575" t="str">
        <f>VLOOKUP(NoviaFunds[[#This Row],[ISIN]],'Novia Web Query'!$A:$E,2,FALSE)</f>
        <v>LF Prudential Risk Managed Passive 5 P Acc in GB</v>
      </c>
      <c r="C2575" t="str">
        <f>VLOOKUP(NoviaFunds[[#This Row],[ISIN]],'Novia Web Query'!$A:$E,3,FALSE)</f>
        <v>UT Volatility Managed</v>
      </c>
      <c r="D2575" s="139">
        <f>VLOOKUP(NoviaFunds[[#This Row],[ISIN]],'Novia Web Query'!$A:$E,4,FALSE)/100</f>
        <v>2.5000000000000001E-3</v>
      </c>
      <c r="E2575" s="3" t="str">
        <f>VLOOKUP(NoviaFunds[[#This Row],[ISIN]],'Novia Web Query'!$A:$E,5,FALSE)</f>
        <v>21/01/2019</v>
      </c>
      <c r="F2575" t="e">
        <f>VLOOKUP(NoviaFunds[[#This Row],[Sector]],Sectors[],2,FALSE)</f>
        <v>#N/A</v>
      </c>
    </row>
    <row r="2576" spans="1:6" x14ac:dyDescent="0.2">
      <c r="A2576" t="str">
        <f>'Novia Web Query'!A2572</f>
        <v>GB00BVYV0838</v>
      </c>
      <c r="B2576" t="str">
        <f>VLOOKUP(NoviaFunds[[#This Row],[ISIN]],'Novia Web Query'!$A:$E,2,FALSE)</f>
        <v>LF Prudential Risk Managed Passive 5 P Inc TR in GB</v>
      </c>
      <c r="C2576" t="str">
        <f>VLOOKUP(NoviaFunds[[#This Row],[ISIN]],'Novia Web Query'!$A:$E,3,FALSE)</f>
        <v>UT Volatility Managed</v>
      </c>
      <c r="D2576" s="139">
        <f>VLOOKUP(NoviaFunds[[#This Row],[ISIN]],'Novia Web Query'!$A:$E,4,FALSE)/100</f>
        <v>2.5000000000000001E-3</v>
      </c>
      <c r="E2576" s="3" t="str">
        <f>VLOOKUP(NoviaFunds[[#This Row],[ISIN]],'Novia Web Query'!$A:$E,5,FALSE)</f>
        <v>21/01/2019</v>
      </c>
      <c r="F2576" t="e">
        <f>VLOOKUP(NoviaFunds[[#This Row],[Sector]],Sectors[],2,FALSE)</f>
        <v>#N/A</v>
      </c>
    </row>
    <row r="2577" spans="1:6" x14ac:dyDescent="0.2">
      <c r="A2577" t="str">
        <f>'Novia Web Query'!A2573</f>
        <v>GB00B55NGS86</v>
      </c>
      <c r="B2577" t="str">
        <f>VLOOKUP(NoviaFunds[[#This Row],[ISIN]],'Novia Web Query'!$A:$E,2,FALSE)</f>
        <v>LF Brook Absolute Return Inst Acc GBP in GB</v>
      </c>
      <c r="C2577" t="str">
        <f>VLOOKUP(NoviaFunds[[#This Row],[ISIN]],'Novia Web Query'!$A:$E,3,FALSE)</f>
        <v>UT Targeted Absolute Return</v>
      </c>
      <c r="D2577" s="139">
        <f>VLOOKUP(NoviaFunds[[#This Row],[ISIN]],'Novia Web Query'!$A:$E,4,FALSE)/100</f>
        <v>1.06E-2</v>
      </c>
      <c r="E2577" s="3" t="str">
        <f>VLOOKUP(NoviaFunds[[#This Row],[ISIN]],'Novia Web Query'!$A:$E,5,FALSE)</f>
        <v>31/12/2019</v>
      </c>
      <c r="F2577" t="str">
        <f>VLOOKUP(NoviaFunds[[#This Row],[Sector]],Sectors[],2,FALSE)</f>
        <v>Absolute Return</v>
      </c>
    </row>
    <row r="2578" spans="1:6" x14ac:dyDescent="0.2">
      <c r="A2578" t="str">
        <f>'Novia Web Query'!A2574</f>
        <v>GB00B55NGR79</v>
      </c>
      <c r="B2578" t="str">
        <f>VLOOKUP(NoviaFunds[[#This Row],[ISIN]],'Novia Web Query'!$A:$E,2,FALSE)</f>
        <v>LF Brook Absolute Return Ret Acc GBP in GB</v>
      </c>
      <c r="C2578" t="str">
        <f>VLOOKUP(NoviaFunds[[#This Row],[ISIN]],'Novia Web Query'!$A:$E,3,FALSE)</f>
        <v>UT Targeted Absolute Return</v>
      </c>
      <c r="D2578" s="139">
        <f>VLOOKUP(NoviaFunds[[#This Row],[ISIN]],'Novia Web Query'!$A:$E,4,FALSE)/100</f>
        <v>1.5600000000000001E-2</v>
      </c>
      <c r="E2578" s="3" t="str">
        <f>VLOOKUP(NoviaFunds[[#This Row],[ISIN]],'Novia Web Query'!$A:$E,5,FALSE)</f>
        <v>31/12/2019</v>
      </c>
      <c r="F2578" t="str">
        <f>VLOOKUP(NoviaFunds[[#This Row],[Sector]],Sectors[],2,FALSE)</f>
        <v>Absolute Return</v>
      </c>
    </row>
    <row r="2579" spans="1:6" x14ac:dyDescent="0.2">
      <c r="A2579" t="str">
        <f>'Novia Web Query'!A2575</f>
        <v>GB00B4Z7BS85</v>
      </c>
      <c r="B2579" t="str">
        <f>VLOOKUP(NoviaFunds[[#This Row],[ISIN]],'Novia Web Query'!$A:$E,2,FALSE)</f>
        <v>LF Brook Continental European Inst Acc in GB**</v>
      </c>
      <c r="C2579" t="str">
        <f>VLOOKUP(NoviaFunds[[#This Row],[ISIN]],'Novia Web Query'!$A:$E,3,FALSE)</f>
        <v>UT Flexible Investment</v>
      </c>
      <c r="D2579" s="139">
        <f>VLOOKUP(NoviaFunds[[#This Row],[ISIN]],'Novia Web Query'!$A:$E,4,FALSE)/100</f>
        <v>1.2699999999999999E-2</v>
      </c>
      <c r="E2579" s="3" t="str">
        <f>VLOOKUP(NoviaFunds[[#This Row],[ISIN]],'Novia Web Query'!$A:$E,5,FALSE)</f>
        <v>31/12/2019</v>
      </c>
      <c r="F2579" t="str">
        <f>VLOOKUP(NoviaFunds[[#This Row],[Sector]],Sectors[],2,FALSE)</f>
        <v>Flexible</v>
      </c>
    </row>
    <row r="2580" spans="1:6" x14ac:dyDescent="0.2">
      <c r="A2580" t="str">
        <f>'Novia Web Query'!A2576</f>
        <v>GB00B3Q2J367</v>
      </c>
      <c r="B2580" t="str">
        <f>VLOOKUP(NoviaFunds[[#This Row],[ISIN]],'Novia Web Query'!$A:$E,2,FALSE)</f>
        <v>LF Brook Continental European Inst Inc TR in GB**</v>
      </c>
      <c r="C2580" t="str">
        <f>VLOOKUP(NoviaFunds[[#This Row],[ISIN]],'Novia Web Query'!$A:$E,3,FALSE)</f>
        <v>UT Flexible Investment</v>
      </c>
      <c r="D2580" s="139">
        <f>VLOOKUP(NoviaFunds[[#This Row],[ISIN]],'Novia Web Query'!$A:$E,4,FALSE)/100</f>
        <v>1.2699999999999999E-2</v>
      </c>
      <c r="E2580" s="3" t="str">
        <f>VLOOKUP(NoviaFunds[[#This Row],[ISIN]],'Novia Web Query'!$A:$E,5,FALSE)</f>
        <v>31/12/2019</v>
      </c>
      <c r="F2580" t="str">
        <f>VLOOKUP(NoviaFunds[[#This Row],[Sector]],Sectors[],2,FALSE)</f>
        <v>Flexible</v>
      </c>
    </row>
    <row r="2581" spans="1:6" x14ac:dyDescent="0.2">
      <c r="A2581" t="str">
        <f>'Novia Web Query'!A2577</f>
        <v>GB00BYX3YX40</v>
      </c>
      <c r="B2581" t="str">
        <f>VLOOKUP(NoviaFunds[[#This Row],[ISIN]],'Novia Web Query'!$A:$E,2,FALSE)</f>
        <v>LF Brook Continental European P Inst Acc in GB**</v>
      </c>
      <c r="C2581" t="str">
        <f>VLOOKUP(NoviaFunds[[#This Row],[ISIN]],'Novia Web Query'!$A:$E,3,FALSE)</f>
        <v>UT Flexible Investment</v>
      </c>
      <c r="D2581" s="139">
        <f>VLOOKUP(NoviaFunds[[#This Row],[ISIN]],'Novia Web Query'!$A:$E,4,FALSE)/100</f>
        <v>1.0800000000000001E-2</v>
      </c>
      <c r="E2581" s="3" t="str">
        <f>VLOOKUP(NoviaFunds[[#This Row],[ISIN]],'Novia Web Query'!$A:$E,5,FALSE)</f>
        <v>31/12/2019</v>
      </c>
      <c r="F2581" t="str">
        <f>VLOOKUP(NoviaFunds[[#This Row],[Sector]],Sectors[],2,FALSE)</f>
        <v>Flexible</v>
      </c>
    </row>
    <row r="2582" spans="1:6" x14ac:dyDescent="0.2">
      <c r="A2582" t="str">
        <f>'Novia Web Query'!A2578</f>
        <v>GB0031831570</v>
      </c>
      <c r="B2582" t="str">
        <f>VLOOKUP(NoviaFunds[[#This Row],[ISIN]],'Novia Web Query'!$A:$E,2,FALSE)</f>
        <v>LF Brook Continental European Ret Acc in GB</v>
      </c>
      <c r="C2582" t="str">
        <f>VLOOKUP(NoviaFunds[[#This Row],[ISIN]],'Novia Web Query'!$A:$E,3,FALSE)</f>
        <v>UT Flexible Investment</v>
      </c>
      <c r="D2582" s="139">
        <f>VLOOKUP(NoviaFunds[[#This Row],[ISIN]],'Novia Web Query'!$A:$E,4,FALSE)/100</f>
        <v>1.77E-2</v>
      </c>
      <c r="E2582" s="3" t="str">
        <f>VLOOKUP(NoviaFunds[[#This Row],[ISIN]],'Novia Web Query'!$A:$E,5,FALSE)</f>
        <v>31/12/2019</v>
      </c>
      <c r="F2582" t="str">
        <f>VLOOKUP(NoviaFunds[[#This Row],[Sector]],Sectors[],2,FALSE)</f>
        <v>Flexible</v>
      </c>
    </row>
    <row r="2583" spans="1:6" x14ac:dyDescent="0.2">
      <c r="A2583" t="str">
        <f>'Novia Web Query'!A2579</f>
        <v>GB00BK5BDK84</v>
      </c>
      <c r="B2583" t="str">
        <f>VLOOKUP(NoviaFunds[[#This Row],[ISIN]],'Novia Web Query'!$A:$E,2,FALSE)</f>
        <v>LF Canlife Diversified Monthly Income C Acc in GB</v>
      </c>
      <c r="C2583" t="str">
        <f>VLOOKUP(NoviaFunds[[#This Row],[ISIN]],'Novia Web Query'!$A:$E,3,FALSE)</f>
        <v>UT Mixed Investment 20-60% Shares</v>
      </c>
      <c r="D2583" s="139">
        <f>VLOOKUP(NoviaFunds[[#This Row],[ISIN]],'Novia Web Query'!$A:$E,4,FALSE)/100</f>
        <v>6.6E-3</v>
      </c>
      <c r="E2583" s="3" t="str">
        <f>VLOOKUP(NoviaFunds[[#This Row],[ISIN]],'Novia Web Query'!$A:$E,5,FALSE)</f>
        <v>23/06/2021</v>
      </c>
      <c r="F2583" t="str">
        <f>VLOOKUP(NoviaFunds[[#This Row],[Sector]],Sectors[],2,FALSE)</f>
        <v>Mixed 20%-60%</v>
      </c>
    </row>
    <row r="2584" spans="1:6" x14ac:dyDescent="0.2">
      <c r="A2584" t="str">
        <f>'Novia Web Query'!A2580</f>
        <v>GB00B8BSTB27</v>
      </c>
      <c r="B2584" t="str">
        <f>VLOOKUP(NoviaFunds[[#This Row],[ISIN]],'Novia Web Query'!$A:$E,2,FALSE)</f>
        <v>LF Canlife Global Infrastructure C in GB</v>
      </c>
      <c r="C2584" t="str">
        <f>VLOOKUP(NoviaFunds[[#This Row],[ISIN]],'Novia Web Query'!$A:$E,3,FALSE)</f>
        <v>UT Infrastructure</v>
      </c>
      <c r="D2584" s="139">
        <f>VLOOKUP(NoviaFunds[[#This Row],[ISIN]],'Novia Web Query'!$A:$E,4,FALSE)/100</f>
        <v>9.7999999999999997E-3</v>
      </c>
      <c r="E2584" s="3" t="str">
        <f>VLOOKUP(NoviaFunds[[#This Row],[ISIN]],'Novia Web Query'!$A:$E,5,FALSE)</f>
        <v>07/05/2021</v>
      </c>
      <c r="F2584" t="e">
        <f>VLOOKUP(NoviaFunds[[#This Row],[Sector]],Sectors[],2,FALSE)</f>
        <v>#N/A</v>
      </c>
    </row>
    <row r="2585" spans="1:6" x14ac:dyDescent="0.2">
      <c r="A2585" t="str">
        <f>'Novia Web Query'!A2581</f>
        <v>GB00BZ005541</v>
      </c>
      <c r="B2585" t="str">
        <f>VLOOKUP(NoviaFunds[[#This Row],[ISIN]],'Novia Web Query'!$A:$E,2,FALSE)</f>
        <v>LF Canlife Managed 0%-35% C Acc GBP in GB</v>
      </c>
      <c r="C2585" t="str">
        <f>VLOOKUP(NoviaFunds[[#This Row],[ISIN]],'Novia Web Query'!$A:$E,3,FALSE)</f>
        <v>UT Mixed Investment 0-35% Shares</v>
      </c>
      <c r="D2585" s="139">
        <f>VLOOKUP(NoviaFunds[[#This Row],[ISIN]],'Novia Web Query'!$A:$E,4,FALSE)/100</f>
        <v>1.09E-2</v>
      </c>
      <c r="E2585" s="3" t="str">
        <f>VLOOKUP(NoviaFunds[[#This Row],[ISIN]],'Novia Web Query'!$A:$E,5,FALSE)</f>
        <v>23/06/2021</v>
      </c>
      <c r="F2585" t="str">
        <f>VLOOKUP(NoviaFunds[[#This Row],[Sector]],Sectors[],2,FALSE)</f>
        <v>Mixed 0%-35%</v>
      </c>
    </row>
    <row r="2586" spans="1:6" x14ac:dyDescent="0.2">
      <c r="A2586" t="str">
        <f>'Novia Web Query'!A2582</f>
        <v>GB00BJP0X429</v>
      </c>
      <c r="B2586" t="str">
        <f>VLOOKUP(NoviaFunds[[#This Row],[ISIN]],'Novia Web Query'!$A:$E,2,FALSE)</f>
        <v>LF Canlife Managed 20%-60% C Acc in GB</v>
      </c>
      <c r="C2586" t="str">
        <f>VLOOKUP(NoviaFunds[[#This Row],[ISIN]],'Novia Web Query'!$A:$E,3,FALSE)</f>
        <v>UT Mixed Investment 20-60% Shares</v>
      </c>
      <c r="D2586" s="139">
        <f>VLOOKUP(NoviaFunds[[#This Row],[ISIN]],'Novia Web Query'!$A:$E,4,FALSE)/100</f>
        <v>9.3999999999999986E-3</v>
      </c>
      <c r="E2586" s="3" t="str">
        <f>VLOOKUP(NoviaFunds[[#This Row],[ISIN]],'Novia Web Query'!$A:$E,5,FALSE)</f>
        <v>23/06/2021</v>
      </c>
      <c r="F2586" t="str">
        <f>VLOOKUP(NoviaFunds[[#This Row],[Sector]],Sectors[],2,FALSE)</f>
        <v>Mixed 20%-60%</v>
      </c>
    </row>
    <row r="2587" spans="1:6" x14ac:dyDescent="0.2">
      <c r="A2587" t="str">
        <f>'Novia Web Query'!A2583</f>
        <v>GB00B96T7P76</v>
      </c>
      <c r="B2587" t="str">
        <f>VLOOKUP(NoviaFunds[[#This Row],[ISIN]],'Novia Web Query'!$A:$E,2,FALSE)</f>
        <v>LF Canlife Portfolio III C Acc in GB</v>
      </c>
      <c r="C2587" t="str">
        <f>VLOOKUP(NoviaFunds[[#This Row],[ISIN]],'Novia Web Query'!$A:$E,3,FALSE)</f>
        <v>UT Mixed Investment 0-35% Shares</v>
      </c>
      <c r="D2587" s="139">
        <f>VLOOKUP(NoviaFunds[[#This Row],[ISIN]],'Novia Web Query'!$A:$E,4,FALSE)/100</f>
        <v>7.8000000000000005E-3</v>
      </c>
      <c r="E2587" s="3" t="str">
        <f>VLOOKUP(NoviaFunds[[#This Row],[ISIN]],'Novia Web Query'!$A:$E,5,FALSE)</f>
        <v>23/06/2021</v>
      </c>
      <c r="F2587" t="str">
        <f>VLOOKUP(NoviaFunds[[#This Row],[Sector]],Sectors[],2,FALSE)</f>
        <v>Mixed 0%-35%</v>
      </c>
    </row>
    <row r="2588" spans="1:6" x14ac:dyDescent="0.2">
      <c r="A2588" t="str">
        <f>'Novia Web Query'!A2584</f>
        <v>GB00B976VR77</v>
      </c>
      <c r="B2588" t="str">
        <f>VLOOKUP(NoviaFunds[[#This Row],[ISIN]],'Novia Web Query'!$A:$E,2,FALSE)</f>
        <v>LF Canlife Portfolio IV C Acc in GB</v>
      </c>
      <c r="C2588" t="str">
        <f>VLOOKUP(NoviaFunds[[#This Row],[ISIN]],'Novia Web Query'!$A:$E,3,FALSE)</f>
        <v>UT Mixed Investment 20-60% Shares</v>
      </c>
      <c r="D2588" s="139">
        <f>VLOOKUP(NoviaFunds[[#This Row],[ISIN]],'Novia Web Query'!$A:$E,4,FALSE)/100</f>
        <v>7.6E-3</v>
      </c>
      <c r="E2588" s="3" t="str">
        <f>VLOOKUP(NoviaFunds[[#This Row],[ISIN]],'Novia Web Query'!$A:$E,5,FALSE)</f>
        <v>23/06/2021</v>
      </c>
      <c r="F2588" t="str">
        <f>VLOOKUP(NoviaFunds[[#This Row],[Sector]],Sectors[],2,FALSE)</f>
        <v>Mixed 20%-60%</v>
      </c>
    </row>
    <row r="2589" spans="1:6" x14ac:dyDescent="0.2">
      <c r="A2589" t="str">
        <f>'Novia Web Query'!A2585</f>
        <v>GB00B9BQJ249</v>
      </c>
      <c r="B2589" t="str">
        <f>VLOOKUP(NoviaFunds[[#This Row],[ISIN]],'Novia Web Query'!$A:$E,2,FALSE)</f>
        <v>LF Canlife Portfolio V C Acc in GB</v>
      </c>
      <c r="C2589" t="str">
        <f>VLOOKUP(NoviaFunds[[#This Row],[ISIN]],'Novia Web Query'!$A:$E,3,FALSE)</f>
        <v>UT Mixed Investment 40-85% Shares</v>
      </c>
      <c r="D2589" s="139">
        <f>VLOOKUP(NoviaFunds[[#This Row],[ISIN]],'Novia Web Query'!$A:$E,4,FALSE)/100</f>
        <v>7.7000000000000002E-3</v>
      </c>
      <c r="E2589" s="3" t="str">
        <f>VLOOKUP(NoviaFunds[[#This Row],[ISIN]],'Novia Web Query'!$A:$E,5,FALSE)</f>
        <v>23/06/2021</v>
      </c>
      <c r="F2589" t="str">
        <f>VLOOKUP(NoviaFunds[[#This Row],[Sector]],Sectors[],2,FALSE)</f>
        <v>Mixed 40%-85%</v>
      </c>
    </row>
    <row r="2590" spans="1:6" x14ac:dyDescent="0.2">
      <c r="A2590" t="str">
        <f>'Novia Web Query'!A2586</f>
        <v>GB00B9BQBN99</v>
      </c>
      <c r="B2590" t="str">
        <f>VLOOKUP(NoviaFunds[[#This Row],[ISIN]],'Novia Web Query'!$A:$E,2,FALSE)</f>
        <v>LF Canlife Portfolio VI C Acc in GB</v>
      </c>
      <c r="C2590" t="str">
        <f>VLOOKUP(NoviaFunds[[#This Row],[ISIN]],'Novia Web Query'!$A:$E,3,FALSE)</f>
        <v>UT Mixed Investment 40-85% Shares</v>
      </c>
      <c r="D2590" s="139">
        <f>VLOOKUP(NoviaFunds[[#This Row],[ISIN]],'Novia Web Query'!$A:$E,4,FALSE)/100</f>
        <v>8.0000000000000002E-3</v>
      </c>
      <c r="E2590" s="3" t="str">
        <f>VLOOKUP(NoviaFunds[[#This Row],[ISIN]],'Novia Web Query'!$A:$E,5,FALSE)</f>
        <v>23/06/2021</v>
      </c>
      <c r="F2590" t="str">
        <f>VLOOKUP(NoviaFunds[[#This Row],[Sector]],Sectors[],2,FALSE)</f>
        <v>Mixed 40%-85%</v>
      </c>
    </row>
    <row r="2591" spans="1:6" x14ac:dyDescent="0.2">
      <c r="A2591" t="str">
        <f>'Novia Web Query'!A2587</f>
        <v>GB00B76WGJ99</v>
      </c>
      <c r="B2591" t="str">
        <f>VLOOKUP(NoviaFunds[[#This Row],[ISIN]],'Novia Web Query'!$A:$E,2,FALSE)</f>
        <v>LF Canlife Portfolio VII C Acc in GB</v>
      </c>
      <c r="C2591" t="str">
        <f>VLOOKUP(NoviaFunds[[#This Row],[ISIN]],'Novia Web Query'!$A:$E,3,FALSE)</f>
        <v>UT Flexible Investment</v>
      </c>
      <c r="D2591" s="139">
        <f>VLOOKUP(NoviaFunds[[#This Row],[ISIN]],'Novia Web Query'!$A:$E,4,FALSE)/100</f>
        <v>8.6E-3</v>
      </c>
      <c r="E2591" s="3" t="str">
        <f>VLOOKUP(NoviaFunds[[#This Row],[ISIN]],'Novia Web Query'!$A:$E,5,FALSE)</f>
        <v>23/06/2021</v>
      </c>
      <c r="F2591" t="str">
        <f>VLOOKUP(NoviaFunds[[#This Row],[Sector]],Sectors[],2,FALSE)</f>
        <v>Flexible</v>
      </c>
    </row>
    <row r="2592" spans="1:6" x14ac:dyDescent="0.2">
      <c r="A2592" t="str">
        <f>'Novia Web Query'!A2588</f>
        <v>GB00BYW8XV16</v>
      </c>
      <c r="B2592" t="str">
        <f>VLOOKUP(NoviaFunds[[#This Row],[ISIN]],'Novia Web Query'!$A:$E,2,FALSE)</f>
        <v>LF Canlife Sterling Liquidity I Acc in GB</v>
      </c>
      <c r="C2592" t="str">
        <f>VLOOKUP(NoviaFunds[[#This Row],[ISIN]],'Novia Web Query'!$A:$E,3,FALSE)</f>
        <v>UT Standard Money Market</v>
      </c>
      <c r="D2592" s="139">
        <f>VLOOKUP(NoviaFunds[[#This Row],[ISIN]],'Novia Web Query'!$A:$E,4,FALSE)/100</f>
        <v>1.5E-3</v>
      </c>
      <c r="E2592" s="3" t="str">
        <f>VLOOKUP(NoviaFunds[[#This Row],[ISIN]],'Novia Web Query'!$A:$E,5,FALSE)</f>
        <v>07/05/2021</v>
      </c>
      <c r="F2592" t="e">
        <f>VLOOKUP(NoviaFunds[[#This Row],[Sector]],Sectors[],2,FALSE)</f>
        <v>#N/A</v>
      </c>
    </row>
    <row r="2593" spans="1:6" x14ac:dyDescent="0.2">
      <c r="A2593" t="str">
        <f>'Novia Web Query'!A2589</f>
        <v>GB00BYW8XW23</v>
      </c>
      <c r="B2593" t="str">
        <f>VLOOKUP(NoviaFunds[[#This Row],[ISIN]],'Novia Web Query'!$A:$E,2,FALSE)</f>
        <v>LF Canlife Sterling Liquidity I Inc TR in GB</v>
      </c>
      <c r="C2593" t="str">
        <f>VLOOKUP(NoviaFunds[[#This Row],[ISIN]],'Novia Web Query'!$A:$E,3,FALSE)</f>
        <v>UT Standard Money Market</v>
      </c>
      <c r="D2593" s="139">
        <f>VLOOKUP(NoviaFunds[[#This Row],[ISIN]],'Novia Web Query'!$A:$E,4,FALSE)/100</f>
        <v>1.5E-3</v>
      </c>
      <c r="E2593" s="3" t="str">
        <f>VLOOKUP(NoviaFunds[[#This Row],[ISIN]],'Novia Web Query'!$A:$E,5,FALSE)</f>
        <v>07/05/2021</v>
      </c>
      <c r="F2593" t="e">
        <f>VLOOKUP(NoviaFunds[[#This Row],[Sector]],Sectors[],2,FALSE)</f>
        <v>#N/A</v>
      </c>
    </row>
    <row r="2594" spans="1:6" x14ac:dyDescent="0.2">
      <c r="A2594" t="str">
        <f>'Novia Web Query'!A2590</f>
        <v>GB00BFM7DN78</v>
      </c>
      <c r="B2594" t="str">
        <f>VLOOKUP(NoviaFunds[[#This Row],[ISIN]],'Novia Web Query'!$A:$E,2,FALSE)</f>
        <v>LF Havelock Global Select A Acc in GB</v>
      </c>
      <c r="C2594" t="str">
        <f>VLOOKUP(NoviaFunds[[#This Row],[ISIN]],'Novia Web Query'!$A:$E,3,FALSE)</f>
        <v>UT Flexible Investment</v>
      </c>
      <c r="D2594" s="139">
        <f>VLOOKUP(NoviaFunds[[#This Row],[ISIN]],'Novia Web Query'!$A:$E,4,FALSE)/100</f>
        <v>9.8999999999999991E-3</v>
      </c>
      <c r="E2594" s="3" t="str">
        <f>VLOOKUP(NoviaFunds[[#This Row],[ISIN]],'Novia Web Query'!$A:$E,5,FALSE)</f>
        <v>08/02/2021</v>
      </c>
      <c r="F2594" t="str">
        <f>VLOOKUP(NoviaFunds[[#This Row],[Sector]],Sectors[],2,FALSE)</f>
        <v>Flexible</v>
      </c>
    </row>
    <row r="2595" spans="1:6" x14ac:dyDescent="0.2">
      <c r="A2595" t="str">
        <f>'Novia Web Query'!A2591</f>
        <v>GB00BN31TC54</v>
      </c>
      <c r="B2595" t="str">
        <f>VLOOKUP(NoviaFunds[[#This Row],[ISIN]],'Novia Web Query'!$A:$E,2,FALSE)</f>
        <v>LF Majedie Global Equity X Acc GBP in GB</v>
      </c>
      <c r="C2595" t="str">
        <f>VLOOKUP(NoviaFunds[[#This Row],[ISIN]],'Novia Web Query'!$A:$E,3,FALSE)</f>
        <v>UT Global</v>
      </c>
      <c r="D2595" s="139">
        <f>VLOOKUP(NoviaFunds[[#This Row],[ISIN]],'Novia Web Query'!$A:$E,4,FALSE)/100</f>
        <v>6.5000000000000006E-3</v>
      </c>
      <c r="E2595" s="3" t="str">
        <f>VLOOKUP(NoviaFunds[[#This Row],[ISIN]],'Novia Web Query'!$A:$E,5,FALSE)</f>
        <v>31/12/2020</v>
      </c>
      <c r="F2595" t="str">
        <f>VLOOKUP(NoviaFunds[[#This Row],[Sector]],Sectors[],2,FALSE)</f>
        <v>Other Equities</v>
      </c>
    </row>
    <row r="2596" spans="1:6" x14ac:dyDescent="0.2">
      <c r="A2596" t="str">
        <f>'Novia Web Query'!A2592</f>
        <v>GB00BN31TK39</v>
      </c>
      <c r="B2596" t="str">
        <f>VLOOKUP(NoviaFunds[[#This Row],[ISIN]],'Novia Web Query'!$A:$E,2,FALSE)</f>
        <v>LF Majedie Global Focus X Acc GBP in GB</v>
      </c>
      <c r="C2596" t="str">
        <f>VLOOKUP(NoviaFunds[[#This Row],[ISIN]],'Novia Web Query'!$A:$E,3,FALSE)</f>
        <v>UT Global</v>
      </c>
      <c r="D2596" s="139">
        <f>VLOOKUP(NoviaFunds[[#This Row],[ISIN]],'Novia Web Query'!$A:$E,4,FALSE)/100</f>
        <v>8.5000000000000006E-3</v>
      </c>
      <c r="E2596" s="3" t="str">
        <f>VLOOKUP(NoviaFunds[[#This Row],[ISIN]],'Novia Web Query'!$A:$E,5,FALSE)</f>
        <v>31/12/2020</v>
      </c>
      <c r="F2596" t="str">
        <f>VLOOKUP(NoviaFunds[[#This Row],[Sector]],Sectors[],2,FALSE)</f>
        <v>Other Equities</v>
      </c>
    </row>
    <row r="2597" spans="1:6" x14ac:dyDescent="0.2">
      <c r="A2597" t="str">
        <f>'Novia Web Query'!A2593</f>
        <v>GB00B88NK732</v>
      </c>
      <c r="B2597" t="str">
        <f>VLOOKUP(NoviaFunds[[#This Row],[ISIN]],'Novia Web Query'!$A:$E,2,FALSE)</f>
        <v>LF Majedie UK Equity X Acc GBP in GB</v>
      </c>
      <c r="C2597" t="str">
        <f>VLOOKUP(NoviaFunds[[#This Row],[ISIN]],'Novia Web Query'!$A:$E,3,FALSE)</f>
        <v>UT UK All Companies</v>
      </c>
      <c r="D2597" s="139">
        <f>VLOOKUP(NoviaFunds[[#This Row],[ISIN]],'Novia Web Query'!$A:$E,4,FALSE)/100</f>
        <v>6.5000000000000006E-3</v>
      </c>
      <c r="E2597" s="3" t="str">
        <f>VLOOKUP(NoviaFunds[[#This Row],[ISIN]],'Novia Web Query'!$A:$E,5,FALSE)</f>
        <v>31/12/2020</v>
      </c>
      <c r="F2597" t="str">
        <f>VLOOKUP(NoviaFunds[[#This Row],[Sector]],Sectors[],2,FALSE)</f>
        <v>UK Equities</v>
      </c>
    </row>
    <row r="2598" spans="1:6" x14ac:dyDescent="0.2">
      <c r="A2598" t="str">
        <f>'Novia Web Query'!A2594</f>
        <v>GB00B8BH0R25</v>
      </c>
      <c r="B2598" t="str">
        <f>VLOOKUP(NoviaFunds[[#This Row],[ISIN]],'Novia Web Query'!$A:$E,2,FALSE)</f>
        <v>LF Majedie UK Equity X Inc GBP TR in GB</v>
      </c>
      <c r="C2598" t="str">
        <f>VLOOKUP(NoviaFunds[[#This Row],[ISIN]],'Novia Web Query'!$A:$E,3,FALSE)</f>
        <v>UT UK All Companies</v>
      </c>
      <c r="D2598" s="139">
        <f>VLOOKUP(NoviaFunds[[#This Row],[ISIN]],'Novia Web Query'!$A:$E,4,FALSE)/100</f>
        <v>6.5000000000000006E-3</v>
      </c>
      <c r="E2598" s="3" t="str">
        <f>VLOOKUP(NoviaFunds[[#This Row],[ISIN]],'Novia Web Query'!$A:$E,5,FALSE)</f>
        <v>31/12/2020</v>
      </c>
      <c r="F2598" t="str">
        <f>VLOOKUP(NoviaFunds[[#This Row],[Sector]],Sectors[],2,FALSE)</f>
        <v>UK Equities</v>
      </c>
    </row>
    <row r="2599" spans="1:6" x14ac:dyDescent="0.2">
      <c r="A2599" t="str">
        <f>'Novia Web Query'!A2595</f>
        <v>GB00B7S3QT06</v>
      </c>
      <c r="B2599" t="str">
        <f>VLOOKUP(NoviaFunds[[#This Row],[ISIN]],'Novia Web Query'!$A:$E,2,FALSE)</f>
        <v>LF Majedie UK Focus X Acc GBP in GB</v>
      </c>
      <c r="C2599" t="str">
        <f>VLOOKUP(NoviaFunds[[#This Row],[ISIN]],'Novia Web Query'!$A:$E,3,FALSE)</f>
        <v>UT UK All Companies</v>
      </c>
      <c r="D2599" s="139">
        <f>VLOOKUP(NoviaFunds[[#This Row],[ISIN]],'Novia Web Query'!$A:$E,4,FALSE)/100</f>
        <v>8.5000000000000006E-3</v>
      </c>
      <c r="E2599" s="3" t="str">
        <f>VLOOKUP(NoviaFunds[[#This Row],[ISIN]],'Novia Web Query'!$A:$E,5,FALSE)</f>
        <v>31/12/2020</v>
      </c>
      <c r="F2599" t="str">
        <f>VLOOKUP(NoviaFunds[[#This Row],[Sector]],Sectors[],2,FALSE)</f>
        <v>UK Equities</v>
      </c>
    </row>
    <row r="2600" spans="1:6" x14ac:dyDescent="0.2">
      <c r="A2600" t="str">
        <f>'Novia Web Query'!A2596</f>
        <v>GB00B8450512</v>
      </c>
      <c r="B2600" t="str">
        <f>VLOOKUP(NoviaFunds[[#This Row],[ISIN]],'Novia Web Query'!$A:$E,2,FALSE)</f>
        <v>LF Majedie UK Focus X Inc GBP TR in GB</v>
      </c>
      <c r="C2600" t="str">
        <f>VLOOKUP(NoviaFunds[[#This Row],[ISIN]],'Novia Web Query'!$A:$E,3,FALSE)</f>
        <v>UT UK All Companies</v>
      </c>
      <c r="D2600" s="139">
        <f>VLOOKUP(NoviaFunds[[#This Row],[ISIN]],'Novia Web Query'!$A:$E,4,FALSE)/100</f>
        <v>8.5000000000000006E-3</v>
      </c>
      <c r="E2600" s="3" t="str">
        <f>VLOOKUP(NoviaFunds[[#This Row],[ISIN]],'Novia Web Query'!$A:$E,5,FALSE)</f>
        <v>31/12/2020</v>
      </c>
      <c r="F2600" t="str">
        <f>VLOOKUP(NoviaFunds[[#This Row],[Sector]],Sectors[],2,FALSE)</f>
        <v>UK Equities</v>
      </c>
    </row>
    <row r="2601" spans="1:6" x14ac:dyDescent="0.2">
      <c r="A2601" t="str">
        <f>'Novia Web Query'!A2597</f>
        <v>GB00B83QP495</v>
      </c>
      <c r="B2601" t="str">
        <f>VLOOKUP(NoviaFunds[[#This Row],[ISIN]],'Novia Web Query'!$A:$E,2,FALSE)</f>
        <v>LF Majedie UK Income X Acc GBP TR in GB</v>
      </c>
      <c r="C2601" t="str">
        <f>VLOOKUP(NoviaFunds[[#This Row],[ISIN]],'Novia Web Query'!$A:$E,3,FALSE)</f>
        <v>UT UK Equity Income</v>
      </c>
      <c r="D2601" s="139">
        <f>VLOOKUP(NoviaFunds[[#This Row],[ISIN]],'Novia Web Query'!$A:$E,4,FALSE)/100</f>
        <v>6.5000000000000006E-3</v>
      </c>
      <c r="E2601" s="3" t="str">
        <f>VLOOKUP(NoviaFunds[[#This Row],[ISIN]],'Novia Web Query'!$A:$E,5,FALSE)</f>
        <v>31/12/2020</v>
      </c>
      <c r="F2601" t="str">
        <f>VLOOKUP(NoviaFunds[[#This Row],[Sector]],Sectors[],2,FALSE)</f>
        <v>UK Equities</v>
      </c>
    </row>
    <row r="2602" spans="1:6" x14ac:dyDescent="0.2">
      <c r="A2602" t="str">
        <f>'Novia Web Query'!A2598</f>
        <v>GB00B7XCNP79</v>
      </c>
      <c r="B2602" t="str">
        <f>VLOOKUP(NoviaFunds[[#This Row],[ISIN]],'Novia Web Query'!$A:$E,2,FALSE)</f>
        <v>LF Majedie UK Income X Inc GBP TR in GB</v>
      </c>
      <c r="C2602" t="str">
        <f>VLOOKUP(NoviaFunds[[#This Row],[ISIN]],'Novia Web Query'!$A:$E,3,FALSE)</f>
        <v>UT UK Equity Income</v>
      </c>
      <c r="D2602" s="139">
        <f>VLOOKUP(NoviaFunds[[#This Row],[ISIN]],'Novia Web Query'!$A:$E,4,FALSE)/100</f>
        <v>6.5000000000000006E-3</v>
      </c>
      <c r="E2602" s="3" t="str">
        <f>VLOOKUP(NoviaFunds[[#This Row],[ISIN]],'Novia Web Query'!$A:$E,5,FALSE)</f>
        <v>31/12/2020</v>
      </c>
      <c r="F2602" t="str">
        <f>VLOOKUP(NoviaFunds[[#This Row],[Sector]],Sectors[],2,FALSE)</f>
        <v>UK Equities</v>
      </c>
    </row>
    <row r="2603" spans="1:6" x14ac:dyDescent="0.2">
      <c r="A2603" t="str">
        <f>'Novia Web Query'!A2599</f>
        <v>GB00BJRCFP12</v>
      </c>
      <c r="B2603" t="str">
        <f>VLOOKUP(NoviaFunds[[#This Row],[ISIN]],'Novia Web Query'!$A:$E,2,FALSE)</f>
        <v>LF Montanaro Better World A Acc TR in GB</v>
      </c>
      <c r="C2603" t="str">
        <f>VLOOKUP(NoviaFunds[[#This Row],[ISIN]],'Novia Web Query'!$A:$E,3,FALSE)</f>
        <v>UT Global</v>
      </c>
      <c r="D2603" s="139">
        <f>VLOOKUP(NoviaFunds[[#This Row],[ISIN]],'Novia Web Query'!$A:$E,4,FALSE)/100</f>
        <v>0.01</v>
      </c>
      <c r="E2603" s="3" t="str">
        <f>VLOOKUP(NoviaFunds[[#This Row],[ISIN]],'Novia Web Query'!$A:$E,5,FALSE)</f>
        <v>04/08/2021</v>
      </c>
      <c r="F2603" t="str">
        <f>VLOOKUP(NoviaFunds[[#This Row],[Sector]],Sectors[],2,FALSE)</f>
        <v>Other Equities</v>
      </c>
    </row>
    <row r="2604" spans="1:6" x14ac:dyDescent="0.2">
      <c r="A2604" t="str">
        <f>'Novia Web Query'!A2600</f>
        <v>GB00BJRCFY03</v>
      </c>
      <c r="B2604" t="str">
        <f>VLOOKUP(NoviaFunds[[#This Row],[ISIN]],'Novia Web Query'!$A:$E,2,FALSE)</f>
        <v>LF Montanaro European Income A Acc TR in GB</v>
      </c>
      <c r="C2604" t="str">
        <f>VLOOKUP(NoviaFunds[[#This Row],[ISIN]],'Novia Web Query'!$A:$E,3,FALSE)</f>
        <v>UT Europe Excluding UK</v>
      </c>
      <c r="D2604" s="139">
        <f>VLOOKUP(NoviaFunds[[#This Row],[ISIN]],'Novia Web Query'!$A:$E,4,FALSE)/100</f>
        <v>8.0000000000000002E-3</v>
      </c>
      <c r="E2604" s="3" t="str">
        <f>VLOOKUP(NoviaFunds[[#This Row],[ISIN]],'Novia Web Query'!$A:$E,5,FALSE)</f>
        <v>04/08/2021</v>
      </c>
      <c r="F2604" t="str">
        <f>VLOOKUP(NoviaFunds[[#This Row],[Sector]],Sectors[],2,FALSE)</f>
        <v>European Equities</v>
      </c>
    </row>
    <row r="2605" spans="1:6" x14ac:dyDescent="0.2">
      <c r="A2605" t="str">
        <f>'Novia Web Query'!A2601</f>
        <v>GB00BJRCFX95</v>
      </c>
      <c r="B2605" t="str">
        <f>VLOOKUP(NoviaFunds[[#This Row],[ISIN]],'Novia Web Query'!$A:$E,2,FALSE)</f>
        <v>LF Montanaro European Income A Inc TR in GB</v>
      </c>
      <c r="C2605" t="str">
        <f>VLOOKUP(NoviaFunds[[#This Row],[ISIN]],'Novia Web Query'!$A:$E,3,FALSE)</f>
        <v>UT Europe Excluding UK</v>
      </c>
      <c r="D2605" s="139">
        <f>VLOOKUP(NoviaFunds[[#This Row],[ISIN]],'Novia Web Query'!$A:$E,4,FALSE)/100</f>
        <v>8.0000000000000002E-3</v>
      </c>
      <c r="E2605" s="3" t="str">
        <f>VLOOKUP(NoviaFunds[[#This Row],[ISIN]],'Novia Web Query'!$A:$E,5,FALSE)</f>
        <v>04/08/2021</v>
      </c>
      <c r="F2605" t="str">
        <f>VLOOKUP(NoviaFunds[[#This Row],[Sector]],Sectors[],2,FALSE)</f>
        <v>European Equities</v>
      </c>
    </row>
    <row r="2606" spans="1:6" x14ac:dyDescent="0.2">
      <c r="A2606" t="str">
        <f>'Novia Web Query'!A2602</f>
        <v>GB00BJRCFN97</v>
      </c>
      <c r="B2606" t="str">
        <f>VLOOKUP(NoviaFunds[[#This Row],[ISIN]],'Novia Web Query'!$A:$E,2,FALSE)</f>
        <v>LF Montanaro Global Select A Acc in GB</v>
      </c>
      <c r="C2606" t="str">
        <f>VLOOKUP(NoviaFunds[[#This Row],[ISIN]],'Novia Web Query'!$A:$E,3,FALSE)</f>
        <v>UT Global</v>
      </c>
      <c r="D2606" s="139">
        <f>VLOOKUP(NoviaFunds[[#This Row],[ISIN]],'Novia Web Query'!$A:$E,4,FALSE)/100</f>
        <v>9.0000000000000011E-3</v>
      </c>
      <c r="E2606" s="3" t="str">
        <f>VLOOKUP(NoviaFunds[[#This Row],[ISIN]],'Novia Web Query'!$A:$E,5,FALSE)</f>
        <v>04/08/2021</v>
      </c>
      <c r="F2606" t="str">
        <f>VLOOKUP(NoviaFunds[[#This Row],[Sector]],Sectors[],2,FALSE)</f>
        <v>Other Equities</v>
      </c>
    </row>
    <row r="2607" spans="1:6" x14ac:dyDescent="0.2">
      <c r="A2607" t="str">
        <f>'Novia Web Query'!A2603</f>
        <v>GB00BJRCFW88</v>
      </c>
      <c r="B2607" t="str">
        <f>VLOOKUP(NoviaFunds[[#This Row],[ISIN]],'Novia Web Query'!$A:$E,2,FALSE)</f>
        <v>LF Montanaro UK Income A Acc TR in GB</v>
      </c>
      <c r="C2607" t="str">
        <f>VLOOKUP(NoviaFunds[[#This Row],[ISIN]],'Novia Web Query'!$A:$E,3,FALSE)</f>
        <v>UT UK Equity Income</v>
      </c>
      <c r="D2607" s="139">
        <f>VLOOKUP(NoviaFunds[[#This Row],[ISIN]],'Novia Web Query'!$A:$E,4,FALSE)/100</f>
        <v>8.0000000000000002E-3</v>
      </c>
      <c r="E2607" s="3" t="str">
        <f>VLOOKUP(NoviaFunds[[#This Row],[ISIN]],'Novia Web Query'!$A:$E,5,FALSE)</f>
        <v>04/08/2021</v>
      </c>
      <c r="F2607" t="str">
        <f>VLOOKUP(NoviaFunds[[#This Row],[Sector]],Sectors[],2,FALSE)</f>
        <v>UK Equities</v>
      </c>
    </row>
    <row r="2608" spans="1:6" x14ac:dyDescent="0.2">
      <c r="A2608" t="str">
        <f>'Novia Web Query'!A2604</f>
        <v>GB00BJRCFQ29</v>
      </c>
      <c r="B2608" t="str">
        <f>VLOOKUP(NoviaFunds[[#This Row],[ISIN]],'Novia Web Query'!$A:$E,2,FALSE)</f>
        <v>LF Montanaro UK Income A Inc TR in GB</v>
      </c>
      <c r="C2608" t="str">
        <f>VLOOKUP(NoviaFunds[[#This Row],[ISIN]],'Novia Web Query'!$A:$E,3,FALSE)</f>
        <v>UT UK Equity Income</v>
      </c>
      <c r="D2608" s="139">
        <f>VLOOKUP(NoviaFunds[[#This Row],[ISIN]],'Novia Web Query'!$A:$E,4,FALSE)/100</f>
        <v>8.0000000000000002E-3</v>
      </c>
      <c r="E2608" s="3" t="str">
        <f>VLOOKUP(NoviaFunds[[#This Row],[ISIN]],'Novia Web Query'!$A:$E,5,FALSE)</f>
        <v>04/08/2021</v>
      </c>
      <c r="F2608" t="str">
        <f>VLOOKUP(NoviaFunds[[#This Row],[Sector]],Sectors[],2,FALSE)</f>
        <v>UK Equities</v>
      </c>
    </row>
    <row r="2609" spans="1:6" x14ac:dyDescent="0.2">
      <c r="A2609" t="str">
        <f>'Novia Web Query'!A2605</f>
        <v>GB00B87YPX87</v>
      </c>
      <c r="B2609" t="str">
        <f>VLOOKUP(NoviaFunds[[#This Row],[ISIN]],'Novia Web Query'!$A:$E,2,FALSE)</f>
        <v>LF Odey Opus A Acc in GB</v>
      </c>
      <c r="C2609" t="str">
        <f>VLOOKUP(NoviaFunds[[#This Row],[ISIN]],'Novia Web Query'!$A:$E,3,FALSE)</f>
        <v>UT Flexible Investment</v>
      </c>
      <c r="D2609" s="139">
        <f>VLOOKUP(NoviaFunds[[#This Row],[ISIN]],'Novia Web Query'!$A:$E,4,FALSE)/100</f>
        <v>1.9699999999999999E-2</v>
      </c>
      <c r="E2609" s="3" t="str">
        <f>VLOOKUP(NoviaFunds[[#This Row],[ISIN]],'Novia Web Query'!$A:$E,5,FALSE)</f>
        <v>31/12/2019</v>
      </c>
      <c r="F2609" t="str">
        <f>VLOOKUP(NoviaFunds[[#This Row],[Sector]],Sectors[],2,FALSE)</f>
        <v>Flexible</v>
      </c>
    </row>
    <row r="2610" spans="1:6" x14ac:dyDescent="0.2">
      <c r="A2610" t="str">
        <f>'Novia Web Query'!A2606</f>
        <v>GB00B54RK123</v>
      </c>
      <c r="B2610" t="str">
        <f>VLOOKUP(NoviaFunds[[#This Row],[ISIN]],'Novia Web Query'!$A:$E,2,FALSE)</f>
        <v>LF Odey Opus Inst Acc in GB**</v>
      </c>
      <c r="C2610" t="str">
        <f>VLOOKUP(NoviaFunds[[#This Row],[ISIN]],'Novia Web Query'!$A:$E,3,FALSE)</f>
        <v>UT Flexible Investment</v>
      </c>
      <c r="D2610" s="139">
        <f>VLOOKUP(NoviaFunds[[#This Row],[ISIN]],'Novia Web Query'!$A:$E,4,FALSE)/100</f>
        <v>1.2199999999999999E-2</v>
      </c>
      <c r="E2610" s="3" t="str">
        <f>VLOOKUP(NoviaFunds[[#This Row],[ISIN]],'Novia Web Query'!$A:$E,5,FALSE)</f>
        <v>31/12/2019</v>
      </c>
      <c r="F2610" t="str">
        <f>VLOOKUP(NoviaFunds[[#This Row],[Sector]],Sectors[],2,FALSE)</f>
        <v>Flexible</v>
      </c>
    </row>
    <row r="2611" spans="1:6" x14ac:dyDescent="0.2">
      <c r="A2611" t="str">
        <f>'Novia Web Query'!A2607</f>
        <v>GB00B717BM70</v>
      </c>
      <c r="B2611" t="str">
        <f>VLOOKUP(NoviaFunds[[#This Row],[ISIN]],'Novia Web Query'!$A:$E,2,FALSE)</f>
        <v>LF Odey Opus Inst Inc TR in GB**</v>
      </c>
      <c r="C2611" t="str">
        <f>VLOOKUP(NoviaFunds[[#This Row],[ISIN]],'Novia Web Query'!$A:$E,3,FALSE)</f>
        <v>UT Flexible Investment</v>
      </c>
      <c r="D2611" s="139">
        <f>VLOOKUP(NoviaFunds[[#This Row],[ISIN]],'Novia Web Query'!$A:$E,4,FALSE)/100</f>
        <v>1.2199999999999999E-2</v>
      </c>
      <c r="E2611" s="3" t="str">
        <f>VLOOKUP(NoviaFunds[[#This Row],[ISIN]],'Novia Web Query'!$A:$E,5,FALSE)</f>
        <v>31/12/2019</v>
      </c>
      <c r="F2611" t="str">
        <f>VLOOKUP(NoviaFunds[[#This Row],[Sector]],Sectors[],2,FALSE)</f>
        <v>Flexible</v>
      </c>
    </row>
    <row r="2612" spans="1:6" x14ac:dyDescent="0.2">
      <c r="A2612" t="str">
        <f>'Novia Web Query'!A2608</f>
        <v>GB00B1JMNF99</v>
      </c>
      <c r="B2612" t="str">
        <f>VLOOKUP(NoviaFunds[[#This Row],[ISIN]],'Novia Web Query'!$A:$E,2,FALSE)</f>
        <v>LF Odey Opus Ret Inc TR in GB</v>
      </c>
      <c r="C2612" t="str">
        <f>VLOOKUP(NoviaFunds[[#This Row],[ISIN]],'Novia Web Query'!$A:$E,3,FALSE)</f>
        <v>UT Flexible Investment</v>
      </c>
      <c r="D2612" s="139">
        <f>VLOOKUP(NoviaFunds[[#This Row],[ISIN]],'Novia Web Query'!$A:$E,4,FALSE)/100</f>
        <v>1.72E-2</v>
      </c>
      <c r="E2612" s="3" t="str">
        <f>VLOOKUP(NoviaFunds[[#This Row],[ISIN]],'Novia Web Query'!$A:$E,5,FALSE)</f>
        <v>31/12/2019</v>
      </c>
      <c r="F2612" t="str">
        <f>VLOOKUP(NoviaFunds[[#This Row],[Sector]],Sectors[],2,FALSE)</f>
        <v>Flexible</v>
      </c>
    </row>
    <row r="2613" spans="1:6" x14ac:dyDescent="0.2">
      <c r="A2613" t="str">
        <f>'Novia Web Query'!A2609</f>
        <v>GB00BKS85L11</v>
      </c>
      <c r="B2613" t="str">
        <f>VLOOKUP(NoviaFunds[[#This Row],[ISIN]],'Novia Web Query'!$A:$E,2,FALSE)</f>
        <v>LF Odey Portfolio P Institutional Acc in GB**</v>
      </c>
      <c r="C2613" t="str">
        <f>VLOOKUP(NoviaFunds[[#This Row],[ISIN]],'Novia Web Query'!$A:$E,3,FALSE)</f>
        <v>UT Mixed Investment 40-85% Shares</v>
      </c>
      <c r="D2613" s="139">
        <f>VLOOKUP(NoviaFunds[[#This Row],[ISIN]],'Novia Web Query'!$A:$E,4,FALSE)/100</f>
        <v>1.0700000000000001E-2</v>
      </c>
      <c r="E2613" s="3" t="str">
        <f>VLOOKUP(NoviaFunds[[#This Row],[ISIN]],'Novia Web Query'!$A:$E,5,FALSE)</f>
        <v>31/12/2019</v>
      </c>
      <c r="F2613" t="str">
        <f>VLOOKUP(NoviaFunds[[#This Row],[Sector]],Sectors[],2,FALSE)</f>
        <v>Mixed 40%-85%</v>
      </c>
    </row>
    <row r="2614" spans="1:6" x14ac:dyDescent="0.2">
      <c r="A2614" t="str">
        <f>'Novia Web Query'!A2610</f>
        <v>GB00BMPHGG71</v>
      </c>
      <c r="B2614" t="str">
        <f>VLOOKUP(NoviaFunds[[#This Row],[ISIN]],'Novia Web Query'!$A:$E,2,FALSE)</f>
        <v>LF Odey Portfolio P Retail Acc in GB</v>
      </c>
      <c r="C2614" t="str">
        <f>VLOOKUP(NoviaFunds[[#This Row],[ISIN]],'Novia Web Query'!$A:$E,3,FALSE)</f>
        <v>UT Mixed Investment 40-85% Shares</v>
      </c>
      <c r="D2614" s="139">
        <f>VLOOKUP(NoviaFunds[[#This Row],[ISIN]],'Novia Web Query'!$A:$E,4,FALSE)/100</f>
        <v>1.5700000000000002E-2</v>
      </c>
      <c r="E2614" s="3" t="str">
        <f>VLOOKUP(NoviaFunds[[#This Row],[ISIN]],'Novia Web Query'!$A:$E,5,FALSE)</f>
        <v>31/12/2019</v>
      </c>
      <c r="F2614" t="str">
        <f>VLOOKUP(NoviaFunds[[#This Row],[Sector]],Sectors[],2,FALSE)</f>
        <v>Mixed 40%-85%</v>
      </c>
    </row>
    <row r="2615" spans="1:6" x14ac:dyDescent="0.2">
      <c r="A2615" t="str">
        <f>'Novia Web Query'!A2611</f>
        <v>GB00BH7Y0F87</v>
      </c>
      <c r="B2615" t="str">
        <f>VLOOKUP(NoviaFunds[[#This Row],[ISIN]],'Novia Web Query'!$A:$E,2,FALSE)</f>
        <v>LF Odey Portfolio Sterling Institutional Acc in GB</v>
      </c>
      <c r="C2615" t="str">
        <f>VLOOKUP(NoviaFunds[[#This Row],[ISIN]],'Novia Web Query'!$A:$E,3,FALSE)</f>
        <v>UT Mixed Investment 40-85% Shares</v>
      </c>
      <c r="D2615" s="139">
        <f>VLOOKUP(NoviaFunds[[#This Row],[ISIN]],'Novia Web Query'!$A:$E,4,FALSE)/100</f>
        <v>1.32E-2</v>
      </c>
      <c r="E2615" s="3" t="str">
        <f>VLOOKUP(NoviaFunds[[#This Row],[ISIN]],'Novia Web Query'!$A:$E,5,FALSE)</f>
        <v>31/12/2019</v>
      </c>
      <c r="F2615" t="str">
        <f>VLOOKUP(NoviaFunds[[#This Row],[Sector]],Sectors[],2,FALSE)</f>
        <v>Mixed 40%-85%</v>
      </c>
    </row>
    <row r="2616" spans="1:6" x14ac:dyDescent="0.2">
      <c r="A2616" t="str">
        <f>'Novia Web Query'!A2612</f>
        <v>GB00B7VZQV57</v>
      </c>
      <c r="B2616" t="str">
        <f>VLOOKUP(NoviaFunds[[#This Row],[ISIN]],'Novia Web Query'!$A:$E,2,FALSE)</f>
        <v>LF Ruffer Equity &amp; General C Acc in GB</v>
      </c>
      <c r="C2616" t="str">
        <f>VLOOKUP(NoviaFunds[[#This Row],[ISIN]],'Novia Web Query'!$A:$E,3,FALSE)</f>
        <v>UT Flexible Investment</v>
      </c>
      <c r="D2616" s="139">
        <f>VLOOKUP(NoviaFunds[[#This Row],[ISIN]],'Novia Web Query'!$A:$E,4,FALSE)/100</f>
        <v>1.2800000000000001E-2</v>
      </c>
      <c r="E2616" s="3" t="str">
        <f>VLOOKUP(NoviaFunds[[#This Row],[ISIN]],'Novia Web Query'!$A:$E,5,FALSE)</f>
        <v>09/02/2021</v>
      </c>
      <c r="F2616" t="str">
        <f>VLOOKUP(NoviaFunds[[#This Row],[Sector]],Sectors[],2,FALSE)</f>
        <v>Flexible</v>
      </c>
    </row>
    <row r="2617" spans="1:6" x14ac:dyDescent="0.2">
      <c r="A2617" t="str">
        <f>'Novia Web Query'!A2613</f>
        <v>GB00B6Y8PL75</v>
      </c>
      <c r="B2617" t="str">
        <f>VLOOKUP(NoviaFunds[[#This Row],[ISIN]],'Novia Web Query'!$A:$E,2,FALSE)</f>
        <v>LF Ruffer Equity &amp; General C Inc TR in GB</v>
      </c>
      <c r="C2617" t="str">
        <f>VLOOKUP(NoviaFunds[[#This Row],[ISIN]],'Novia Web Query'!$A:$E,3,FALSE)</f>
        <v>UT Flexible Investment</v>
      </c>
      <c r="D2617" s="139">
        <f>VLOOKUP(NoviaFunds[[#This Row],[ISIN]],'Novia Web Query'!$A:$E,4,FALSE)/100</f>
        <v>1.2800000000000001E-2</v>
      </c>
      <c r="E2617" s="3" t="str">
        <f>VLOOKUP(NoviaFunds[[#This Row],[ISIN]],'Novia Web Query'!$A:$E,5,FALSE)</f>
        <v>09/02/2021</v>
      </c>
      <c r="F2617" t="str">
        <f>VLOOKUP(NoviaFunds[[#This Row],[Sector]],Sectors[],2,FALSE)</f>
        <v>Flexible</v>
      </c>
    </row>
    <row r="2618" spans="1:6" x14ac:dyDescent="0.2">
      <c r="A2618" t="str">
        <f>'Novia Web Query'!A2614</f>
        <v>GB0009346718</v>
      </c>
      <c r="B2618" t="str">
        <f>VLOOKUP(NoviaFunds[[#This Row],[ISIN]],'Novia Web Query'!$A:$E,2,FALSE)</f>
        <v>LF Ruffer Equity &amp; General O Acc in GB</v>
      </c>
      <c r="C2618" t="str">
        <f>VLOOKUP(NoviaFunds[[#This Row],[ISIN]],'Novia Web Query'!$A:$E,3,FALSE)</f>
        <v>UT Flexible Investment</v>
      </c>
      <c r="D2618" s="139">
        <f>VLOOKUP(NoviaFunds[[#This Row],[ISIN]],'Novia Web Query'!$A:$E,4,FALSE)/100</f>
        <v>1.5800000000000002E-2</v>
      </c>
      <c r="E2618" s="3" t="str">
        <f>VLOOKUP(NoviaFunds[[#This Row],[ISIN]],'Novia Web Query'!$A:$E,5,FALSE)</f>
        <v>09/02/2021</v>
      </c>
      <c r="F2618" t="str">
        <f>VLOOKUP(NoviaFunds[[#This Row],[Sector]],Sectors[],2,FALSE)</f>
        <v>Flexible</v>
      </c>
    </row>
    <row r="2619" spans="1:6" x14ac:dyDescent="0.2">
      <c r="A2619" t="str">
        <f>'Novia Web Query'!A2615</f>
        <v>GB0009340802</v>
      </c>
      <c r="B2619" t="str">
        <f>VLOOKUP(NoviaFunds[[#This Row],[ISIN]],'Novia Web Query'!$A:$E,2,FALSE)</f>
        <v>LF Ruffer Equity &amp; General O Inc TR in GB</v>
      </c>
      <c r="C2619" t="str">
        <f>VLOOKUP(NoviaFunds[[#This Row],[ISIN]],'Novia Web Query'!$A:$E,3,FALSE)</f>
        <v>UT Flexible Investment</v>
      </c>
      <c r="D2619" s="139">
        <f>VLOOKUP(NoviaFunds[[#This Row],[ISIN]],'Novia Web Query'!$A:$E,4,FALSE)/100</f>
        <v>1.5800000000000002E-2</v>
      </c>
      <c r="E2619" s="3" t="str">
        <f>VLOOKUP(NoviaFunds[[#This Row],[ISIN]],'Novia Web Query'!$A:$E,5,FALSE)</f>
        <v>09/02/2021</v>
      </c>
      <c r="F2619" t="str">
        <f>VLOOKUP(NoviaFunds[[#This Row],[Sector]],Sectors[],2,FALSE)</f>
        <v>Flexible</v>
      </c>
    </row>
    <row r="2620" spans="1:6" x14ac:dyDescent="0.2">
      <c r="A2620" t="str">
        <f>'Novia Web Query'!A2616</f>
        <v>GB00B84JVJ48</v>
      </c>
      <c r="B2620" t="str">
        <f>VLOOKUP(NoviaFunds[[#This Row],[ISIN]],'Novia Web Query'!$A:$E,2,FALSE)</f>
        <v>LF Ruffer European C Acc in GB</v>
      </c>
      <c r="C2620" t="str">
        <f>VLOOKUP(NoviaFunds[[#This Row],[ISIN]],'Novia Web Query'!$A:$E,3,FALSE)</f>
        <v>UT Mixed Investment 40-85% Shares</v>
      </c>
      <c r="D2620" s="139">
        <f>VLOOKUP(NoviaFunds[[#This Row],[ISIN]],'Novia Web Query'!$A:$E,4,FALSE)/100</f>
        <v>1.2699999999999999E-2</v>
      </c>
      <c r="E2620" s="3" t="str">
        <f>VLOOKUP(NoviaFunds[[#This Row],[ISIN]],'Novia Web Query'!$A:$E,5,FALSE)</f>
        <v>09/02/2021</v>
      </c>
      <c r="F2620" t="str">
        <f>VLOOKUP(NoviaFunds[[#This Row],[Sector]],Sectors[],2,FALSE)</f>
        <v>Mixed 40%-85%</v>
      </c>
    </row>
    <row r="2621" spans="1:6" x14ac:dyDescent="0.2">
      <c r="A2621" t="str">
        <f>'Novia Web Query'!A2617</f>
        <v>GB0031678161</v>
      </c>
      <c r="B2621" t="str">
        <f>VLOOKUP(NoviaFunds[[#This Row],[ISIN]],'Novia Web Query'!$A:$E,2,FALSE)</f>
        <v>LF Ruffer European O in GB</v>
      </c>
      <c r="C2621" t="str">
        <f>VLOOKUP(NoviaFunds[[#This Row],[ISIN]],'Novia Web Query'!$A:$E,3,FALSE)</f>
        <v>UT Mixed Investment 40-85% Shares</v>
      </c>
      <c r="D2621" s="139">
        <f>VLOOKUP(NoviaFunds[[#This Row],[ISIN]],'Novia Web Query'!$A:$E,4,FALSE)/100</f>
        <v>1.5700000000000002E-2</v>
      </c>
      <c r="E2621" s="3" t="str">
        <f>VLOOKUP(NoviaFunds[[#This Row],[ISIN]],'Novia Web Query'!$A:$E,5,FALSE)</f>
        <v>09/02/2021</v>
      </c>
      <c r="F2621" t="str">
        <f>VLOOKUP(NoviaFunds[[#This Row],[Sector]],Sectors[],2,FALSE)</f>
        <v>Mixed 40%-85%</v>
      </c>
    </row>
    <row r="2622" spans="1:6" x14ac:dyDescent="0.2">
      <c r="A2622" t="str">
        <f>'Novia Web Query'!A2618</f>
        <v>GB00B8510Q93</v>
      </c>
      <c r="B2622" t="str">
        <f>VLOOKUP(NoviaFunds[[#This Row],[ISIN]],'Novia Web Query'!$A:$E,2,FALSE)</f>
        <v>LF Ruffer Gold C Acc in GB</v>
      </c>
      <c r="C2622" t="str">
        <f>VLOOKUP(NoviaFunds[[#This Row],[ISIN]],'Novia Web Query'!$A:$E,3,FALSE)</f>
        <v>UT Specialist</v>
      </c>
      <c r="D2622" s="139">
        <f>VLOOKUP(NoviaFunds[[#This Row],[ISIN]],'Novia Web Query'!$A:$E,4,FALSE)/100</f>
        <v>1.23E-2</v>
      </c>
      <c r="E2622" s="3" t="str">
        <f>VLOOKUP(NoviaFunds[[#This Row],[ISIN]],'Novia Web Query'!$A:$E,5,FALSE)</f>
        <v>09/02/2021</v>
      </c>
      <c r="F2622" t="str">
        <f>VLOOKUP(NoviaFunds[[#This Row],[Sector]],Sectors[],2,FALSE)</f>
        <v>Specialist</v>
      </c>
    </row>
    <row r="2623" spans="1:6" x14ac:dyDescent="0.2">
      <c r="A2623" t="str">
        <f>'Novia Web Query'!A2619</f>
        <v>GB00B8BZBT51</v>
      </c>
      <c r="B2623" t="str">
        <f>VLOOKUP(NoviaFunds[[#This Row],[ISIN]],'Novia Web Query'!$A:$E,2,FALSE)</f>
        <v>LF Ruffer Gold C Inc TR in GB**</v>
      </c>
      <c r="C2623" t="str">
        <f>VLOOKUP(NoviaFunds[[#This Row],[ISIN]],'Novia Web Query'!$A:$E,3,FALSE)</f>
        <v>UT Specialist</v>
      </c>
      <c r="D2623" s="139">
        <f>VLOOKUP(NoviaFunds[[#This Row],[ISIN]],'Novia Web Query'!$A:$E,4,FALSE)/100</f>
        <v>1.23E-2</v>
      </c>
      <c r="E2623" s="3" t="str">
        <f>VLOOKUP(NoviaFunds[[#This Row],[ISIN]],'Novia Web Query'!$A:$E,5,FALSE)</f>
        <v>09/02/2021</v>
      </c>
      <c r="F2623" t="str">
        <f>VLOOKUP(NoviaFunds[[#This Row],[Sector]],Sectors[],2,FALSE)</f>
        <v>Specialist</v>
      </c>
    </row>
    <row r="2624" spans="1:6" x14ac:dyDescent="0.2">
      <c r="A2624" t="str">
        <f>'Novia Web Query'!A2620</f>
        <v>GB0033628156</v>
      </c>
      <c r="B2624" t="str">
        <f>VLOOKUP(NoviaFunds[[#This Row],[ISIN]],'Novia Web Query'!$A:$E,2,FALSE)</f>
        <v>LF Ruffer Gold O in GB</v>
      </c>
      <c r="C2624" t="str">
        <f>VLOOKUP(NoviaFunds[[#This Row],[ISIN]],'Novia Web Query'!$A:$E,3,FALSE)</f>
        <v>UT Specialist</v>
      </c>
      <c r="D2624" s="139">
        <f>VLOOKUP(NoviaFunds[[#This Row],[ISIN]],'Novia Web Query'!$A:$E,4,FALSE)/100</f>
        <v>1.5300000000000001E-2</v>
      </c>
      <c r="E2624" s="3" t="str">
        <f>VLOOKUP(NoviaFunds[[#This Row],[ISIN]],'Novia Web Query'!$A:$E,5,FALSE)</f>
        <v>09/02/2021</v>
      </c>
      <c r="F2624" t="str">
        <f>VLOOKUP(NoviaFunds[[#This Row],[Sector]],Sectors[],2,FALSE)</f>
        <v>Specialist</v>
      </c>
    </row>
    <row r="2625" spans="1:6" x14ac:dyDescent="0.2">
      <c r="A2625" t="str">
        <f>'Novia Web Query'!A2621</f>
        <v>GB00B846SB60</v>
      </c>
      <c r="B2625" t="str">
        <f>VLOOKUP(NoviaFunds[[#This Row],[ISIN]],'Novia Web Query'!$A:$E,2,FALSE)</f>
        <v>LF Ruffer Japanese C Acc in GB</v>
      </c>
      <c r="C2625" t="str">
        <f>VLOOKUP(NoviaFunds[[#This Row],[ISIN]],'Novia Web Query'!$A:$E,3,FALSE)</f>
        <v>UT Flexible Investment</v>
      </c>
      <c r="D2625" s="139">
        <f>VLOOKUP(NoviaFunds[[#This Row],[ISIN]],'Novia Web Query'!$A:$E,4,FALSE)/100</f>
        <v>1.24E-2</v>
      </c>
      <c r="E2625" s="3" t="str">
        <f>VLOOKUP(NoviaFunds[[#This Row],[ISIN]],'Novia Web Query'!$A:$E,5,FALSE)</f>
        <v>09/02/2021</v>
      </c>
      <c r="F2625" t="str">
        <f>VLOOKUP(NoviaFunds[[#This Row],[Sector]],Sectors[],2,FALSE)</f>
        <v>Flexible</v>
      </c>
    </row>
    <row r="2626" spans="1:6" x14ac:dyDescent="0.2">
      <c r="A2626" t="str">
        <f>'Novia Web Query'!A2622</f>
        <v>GB00B80L7V87</v>
      </c>
      <c r="B2626" t="str">
        <f>VLOOKUP(NoviaFunds[[#This Row],[ISIN]],'Novia Web Query'!$A:$E,2,FALSE)</f>
        <v>LF Ruffer Total Return C Acc in GB</v>
      </c>
      <c r="C2626" t="str">
        <f>VLOOKUP(NoviaFunds[[#This Row],[ISIN]],'Novia Web Query'!$A:$E,3,FALSE)</f>
        <v>UT Mixed Investment 20-60% Shares</v>
      </c>
      <c r="D2626" s="139">
        <f>VLOOKUP(NoviaFunds[[#This Row],[ISIN]],'Novia Web Query'!$A:$E,4,FALSE)/100</f>
        <v>1.2199999999999999E-2</v>
      </c>
      <c r="E2626" s="3" t="str">
        <f>VLOOKUP(NoviaFunds[[#This Row],[ISIN]],'Novia Web Query'!$A:$E,5,FALSE)</f>
        <v>17/02/2021</v>
      </c>
      <c r="F2626" t="str">
        <f>VLOOKUP(NoviaFunds[[#This Row],[Sector]],Sectors[],2,FALSE)</f>
        <v>Mixed 20%-60%</v>
      </c>
    </row>
    <row r="2627" spans="1:6" x14ac:dyDescent="0.2">
      <c r="A2627" t="str">
        <f>'Novia Web Query'!A2623</f>
        <v>GB00B58BQH88</v>
      </c>
      <c r="B2627" t="str">
        <f>VLOOKUP(NoviaFunds[[#This Row],[ISIN]],'Novia Web Query'!$A:$E,2,FALSE)</f>
        <v>LF Ruffer Total Return C Inc TR in GB</v>
      </c>
      <c r="C2627" t="str">
        <f>VLOOKUP(NoviaFunds[[#This Row],[ISIN]],'Novia Web Query'!$A:$E,3,FALSE)</f>
        <v>UT Mixed Investment 20-60% Shares</v>
      </c>
      <c r="D2627" s="139">
        <f>VLOOKUP(NoviaFunds[[#This Row],[ISIN]],'Novia Web Query'!$A:$E,4,FALSE)/100</f>
        <v>1.2199999999999999E-2</v>
      </c>
      <c r="E2627" s="3" t="str">
        <f>VLOOKUP(NoviaFunds[[#This Row],[ISIN]],'Novia Web Query'!$A:$E,5,FALSE)</f>
        <v>17/02/2021</v>
      </c>
      <c r="F2627" t="str">
        <f>VLOOKUP(NoviaFunds[[#This Row],[Sector]],Sectors[],2,FALSE)</f>
        <v>Mixed 20%-60%</v>
      </c>
    </row>
    <row r="2628" spans="1:6" x14ac:dyDescent="0.2">
      <c r="A2628" t="str">
        <f>'Novia Web Query'!A2624</f>
        <v>GB00B03JB001</v>
      </c>
      <c r="B2628" t="str">
        <f>VLOOKUP(NoviaFunds[[#This Row],[ISIN]],'Novia Web Query'!$A:$E,2,FALSE)</f>
        <v>LF Ruffer Total Return Inst Acc in GB**</v>
      </c>
      <c r="C2628" t="str">
        <f>VLOOKUP(NoviaFunds[[#This Row],[ISIN]],'Novia Web Query'!$A:$E,3,FALSE)</f>
        <v>UT Mixed Investment 20-60% Shares</v>
      </c>
      <c r="D2628" s="139">
        <f>VLOOKUP(NoviaFunds[[#This Row],[ISIN]],'Novia Web Query'!$A:$E,4,FALSE)/100</f>
        <v>1.0200000000000001E-2</v>
      </c>
      <c r="E2628" s="3" t="str">
        <f>VLOOKUP(NoviaFunds[[#This Row],[ISIN]],'Novia Web Query'!$A:$E,5,FALSE)</f>
        <v>17/02/2021</v>
      </c>
      <c r="F2628" t="str">
        <f>VLOOKUP(NoviaFunds[[#This Row],[Sector]],Sectors[],2,FALSE)</f>
        <v>Mixed 20%-60%</v>
      </c>
    </row>
    <row r="2629" spans="1:6" x14ac:dyDescent="0.2">
      <c r="A2629" t="str">
        <f>'Novia Web Query'!A2625</f>
        <v>GB00B03J9Y05</v>
      </c>
      <c r="B2629" t="str">
        <f>VLOOKUP(NoviaFunds[[#This Row],[ISIN]],'Novia Web Query'!$A:$E,2,FALSE)</f>
        <v>LF Ruffer Total Return Inst Inc TR in GB**</v>
      </c>
      <c r="C2629" t="str">
        <f>VLOOKUP(NoviaFunds[[#This Row],[ISIN]],'Novia Web Query'!$A:$E,3,FALSE)</f>
        <v>UT Mixed Investment 20-60% Shares</v>
      </c>
      <c r="D2629" s="139">
        <f>VLOOKUP(NoviaFunds[[#This Row],[ISIN]],'Novia Web Query'!$A:$E,4,FALSE)/100</f>
        <v>1.0200000000000001E-2</v>
      </c>
      <c r="E2629" s="3" t="str">
        <f>VLOOKUP(NoviaFunds[[#This Row],[ISIN]],'Novia Web Query'!$A:$E,5,FALSE)</f>
        <v>17/02/2021</v>
      </c>
      <c r="F2629" t="str">
        <f>VLOOKUP(NoviaFunds[[#This Row],[Sector]],Sectors[],2,FALSE)</f>
        <v>Mixed 20%-60%</v>
      </c>
    </row>
    <row r="2630" spans="1:6" x14ac:dyDescent="0.2">
      <c r="A2630" t="str">
        <f>'Novia Web Query'!A2626</f>
        <v>GB0009684100</v>
      </c>
      <c r="B2630" t="str">
        <f>VLOOKUP(NoviaFunds[[#This Row],[ISIN]],'Novia Web Query'!$A:$E,2,FALSE)</f>
        <v>LF Ruffer Total Return O Acc in GB</v>
      </c>
      <c r="C2630" t="str">
        <f>VLOOKUP(NoviaFunds[[#This Row],[ISIN]],'Novia Web Query'!$A:$E,3,FALSE)</f>
        <v>UT Mixed Investment 20-60% Shares</v>
      </c>
      <c r="D2630" s="139">
        <f>VLOOKUP(NoviaFunds[[#This Row],[ISIN]],'Novia Web Query'!$A:$E,4,FALSE)/100</f>
        <v>1.52E-2</v>
      </c>
      <c r="E2630" s="3" t="str">
        <f>VLOOKUP(NoviaFunds[[#This Row],[ISIN]],'Novia Web Query'!$A:$E,5,FALSE)</f>
        <v>17/02/2021</v>
      </c>
      <c r="F2630" t="str">
        <f>VLOOKUP(NoviaFunds[[#This Row],[Sector]],Sectors[],2,FALSE)</f>
        <v>Mixed 20%-60%</v>
      </c>
    </row>
    <row r="2631" spans="1:6" x14ac:dyDescent="0.2">
      <c r="A2631" t="str">
        <f>'Novia Web Query'!A2627</f>
        <v>GB0009684878</v>
      </c>
      <c r="B2631" t="str">
        <f>VLOOKUP(NoviaFunds[[#This Row],[ISIN]],'Novia Web Query'!$A:$E,2,FALSE)</f>
        <v>LF Ruffer Total Return O Inc TR in GB</v>
      </c>
      <c r="C2631" t="str">
        <f>VLOOKUP(NoviaFunds[[#This Row],[ISIN]],'Novia Web Query'!$A:$E,3,FALSE)</f>
        <v>UT Mixed Investment 20-60% Shares</v>
      </c>
      <c r="D2631" s="139">
        <f>VLOOKUP(NoviaFunds[[#This Row],[ISIN]],'Novia Web Query'!$A:$E,4,FALSE)/100</f>
        <v>1.52E-2</v>
      </c>
      <c r="E2631" s="3" t="str">
        <f>VLOOKUP(NoviaFunds[[#This Row],[ISIN]],'Novia Web Query'!$A:$E,5,FALSE)</f>
        <v>17/02/2021</v>
      </c>
      <c r="F2631" t="str">
        <f>VLOOKUP(NoviaFunds[[#This Row],[Sector]],Sectors[],2,FALSE)</f>
        <v>Mixed 20%-60%</v>
      </c>
    </row>
    <row r="2632" spans="1:6" x14ac:dyDescent="0.2">
      <c r="A2632" t="str">
        <f>'Novia Web Query'!A2628</f>
        <v>GB00B18B9X76</v>
      </c>
      <c r="B2632" t="str">
        <f>VLOOKUP(NoviaFunds[[#This Row],[ISIN]],'Novia Web Query'!$A:$E,2,FALSE)</f>
        <v>Lindsell Train LF Lindsell Train UK Equity Acc in GB</v>
      </c>
      <c r="C2632" t="str">
        <f>VLOOKUP(NoviaFunds[[#This Row],[ISIN]],'Novia Web Query'!$A:$E,3,FALSE)</f>
        <v>UT UK All Companies</v>
      </c>
      <c r="D2632" s="139">
        <f>VLOOKUP(NoviaFunds[[#This Row],[ISIN]],'Novia Web Query'!$A:$E,4,FALSE)/100</f>
        <v>6.5000000000000006E-3</v>
      </c>
      <c r="E2632" s="3" t="str">
        <f>VLOOKUP(NoviaFunds[[#This Row],[ISIN]],'Novia Web Query'!$A:$E,5,FALSE)</f>
        <v>31/12/2020</v>
      </c>
      <c r="F2632" t="str">
        <f>VLOOKUP(NoviaFunds[[#This Row],[Sector]],Sectors[],2,FALSE)</f>
        <v>UK Equities</v>
      </c>
    </row>
    <row r="2633" spans="1:6" x14ac:dyDescent="0.2">
      <c r="A2633" t="str">
        <f>'Novia Web Query'!A2629</f>
        <v>GB00B18B9V52</v>
      </c>
      <c r="B2633" t="str">
        <f>VLOOKUP(NoviaFunds[[#This Row],[ISIN]],'Novia Web Query'!$A:$E,2,FALSE)</f>
        <v>Lindsell Train LF Lindsell Train UK Equity Inc TR in GB</v>
      </c>
      <c r="C2633" t="str">
        <f>VLOOKUP(NoviaFunds[[#This Row],[ISIN]],'Novia Web Query'!$A:$E,3,FALSE)</f>
        <v>UT UK All Companies</v>
      </c>
      <c r="D2633" s="139">
        <f>VLOOKUP(NoviaFunds[[#This Row],[ISIN]],'Novia Web Query'!$A:$E,4,FALSE)/100</f>
        <v>6.5000000000000006E-3</v>
      </c>
      <c r="E2633" s="3" t="str">
        <f>VLOOKUP(NoviaFunds[[#This Row],[ISIN]],'Novia Web Query'!$A:$E,5,FALSE)</f>
        <v>31/12/2020</v>
      </c>
      <c r="F2633" t="str">
        <f>VLOOKUP(NoviaFunds[[#This Row],[Sector]],Sectors[],2,FALSE)</f>
        <v>UK Equities</v>
      </c>
    </row>
    <row r="2634" spans="1:6" x14ac:dyDescent="0.2">
      <c r="A2634" t="str">
        <f>'Novia Web Query'!A2630</f>
        <v>GB0004821921</v>
      </c>
      <c r="B2634" t="str">
        <f>VLOOKUP(NoviaFunds[[#This Row],[ISIN]],'Novia Web Query'!$A:$E,2,FALSE)</f>
        <v>Liontrust Balanced A Acc in GB</v>
      </c>
      <c r="C2634" t="str">
        <f>VLOOKUP(NoviaFunds[[#This Row],[ISIN]],'Novia Web Query'!$A:$E,3,FALSE)</f>
        <v>UT Mixed Investment 40-85% Shares</v>
      </c>
      <c r="D2634" s="139">
        <f>VLOOKUP(NoviaFunds[[#This Row],[ISIN]],'Novia Web Query'!$A:$E,4,FALSE)/100</f>
        <v>1.6399999999999998E-2</v>
      </c>
      <c r="E2634" s="3" t="str">
        <f>VLOOKUP(NoviaFunds[[#This Row],[ISIN]],'Novia Web Query'!$A:$E,5,FALSE)</f>
        <v>01/10/2021</v>
      </c>
      <c r="F2634" t="str">
        <f>VLOOKUP(NoviaFunds[[#This Row],[Sector]],Sectors[],2,FALSE)</f>
        <v>Mixed 40%-85%</v>
      </c>
    </row>
    <row r="2635" spans="1:6" x14ac:dyDescent="0.2">
      <c r="A2635" t="str">
        <f>'Novia Web Query'!A2631</f>
        <v>GB0033272781</v>
      </c>
      <c r="B2635" t="str">
        <f>VLOOKUP(NoviaFunds[[#This Row],[ISIN]],'Novia Web Query'!$A:$E,2,FALSE)</f>
        <v>Liontrust Balanced A Inc TR in GB</v>
      </c>
      <c r="C2635" t="str">
        <f>VLOOKUP(NoviaFunds[[#This Row],[ISIN]],'Novia Web Query'!$A:$E,3,FALSE)</f>
        <v>UT Mixed Investment 40-85% Shares</v>
      </c>
      <c r="D2635" s="139">
        <f>VLOOKUP(NoviaFunds[[#This Row],[ISIN]],'Novia Web Query'!$A:$E,4,FALSE)/100</f>
        <v>1.6399999999999998E-2</v>
      </c>
      <c r="E2635" s="3" t="str">
        <f>VLOOKUP(NoviaFunds[[#This Row],[ISIN]],'Novia Web Query'!$A:$E,5,FALSE)</f>
        <v>01/10/2021</v>
      </c>
      <c r="F2635" t="str">
        <f>VLOOKUP(NoviaFunds[[#This Row],[Sector]],Sectors[],2,FALSE)</f>
        <v>Mixed 40%-85%</v>
      </c>
    </row>
    <row r="2636" spans="1:6" x14ac:dyDescent="0.2">
      <c r="A2636" t="str">
        <f>'Novia Web Query'!A2632</f>
        <v>GB00B85K7211</v>
      </c>
      <c r="B2636" t="str">
        <f>VLOOKUP(NoviaFunds[[#This Row],[ISIN]],'Novia Web Query'!$A:$E,2,FALSE)</f>
        <v>Liontrust Balanced C Acc in GB</v>
      </c>
      <c r="C2636" t="str">
        <f>VLOOKUP(NoviaFunds[[#This Row],[ISIN]],'Novia Web Query'!$A:$E,3,FALSE)</f>
        <v>UT Mixed Investment 40-85% Shares</v>
      </c>
      <c r="D2636" s="139">
        <f>VLOOKUP(NoviaFunds[[#This Row],[ISIN]],'Novia Web Query'!$A:$E,4,FALSE)/100</f>
        <v>8.5000000000000006E-3</v>
      </c>
      <c r="E2636" s="3" t="str">
        <f>VLOOKUP(NoviaFunds[[#This Row],[ISIN]],'Novia Web Query'!$A:$E,5,FALSE)</f>
        <v>01/10/2021</v>
      </c>
      <c r="F2636" t="str">
        <f>VLOOKUP(NoviaFunds[[#This Row],[Sector]],Sectors[],2,FALSE)</f>
        <v>Mixed 40%-85%</v>
      </c>
    </row>
    <row r="2637" spans="1:6" x14ac:dyDescent="0.2">
      <c r="A2637" t="str">
        <f>'Novia Web Query'!A2633</f>
        <v>GB00B83H6G14</v>
      </c>
      <c r="B2637" t="str">
        <f>VLOOKUP(NoviaFunds[[#This Row],[ISIN]],'Novia Web Query'!$A:$E,2,FALSE)</f>
        <v>Liontrust Balanced C Inc TR in GB</v>
      </c>
      <c r="C2637" t="str">
        <f>VLOOKUP(NoviaFunds[[#This Row],[ISIN]],'Novia Web Query'!$A:$E,3,FALSE)</f>
        <v>UT Mixed Investment 40-85% Shares</v>
      </c>
      <c r="D2637" s="139">
        <f>VLOOKUP(NoviaFunds[[#This Row],[ISIN]],'Novia Web Query'!$A:$E,4,FALSE)/100</f>
        <v>8.5000000000000006E-3</v>
      </c>
      <c r="E2637" s="3" t="str">
        <f>VLOOKUP(NoviaFunds[[#This Row],[ISIN]],'Novia Web Query'!$A:$E,5,FALSE)</f>
        <v>01/10/2021</v>
      </c>
      <c r="F2637" t="str">
        <f>VLOOKUP(NoviaFunds[[#This Row],[Sector]],Sectors[],2,FALSE)</f>
        <v>Mixed 40%-85%</v>
      </c>
    </row>
    <row r="2638" spans="1:6" x14ac:dyDescent="0.2">
      <c r="A2638" t="str">
        <f>'Novia Web Query'!A2634</f>
        <v>GB00B04H0Y06</v>
      </c>
      <c r="B2638" t="str">
        <f>VLOOKUP(NoviaFunds[[#This Row],[ISIN]],'Novia Web Query'!$A:$E,2,FALSE)</f>
        <v>Liontrust China A Acc GBP in GB</v>
      </c>
      <c r="C2638" t="str">
        <f>VLOOKUP(NoviaFunds[[#This Row],[ISIN]],'Novia Web Query'!$A:$E,3,FALSE)</f>
        <v>UT China/Greater China</v>
      </c>
      <c r="D2638" s="139">
        <f>VLOOKUP(NoviaFunds[[#This Row],[ISIN]],'Novia Web Query'!$A:$E,4,FALSE)/100</f>
        <v>1.9E-2</v>
      </c>
      <c r="E2638" s="3" t="str">
        <f>VLOOKUP(NoviaFunds[[#This Row],[ISIN]],'Novia Web Query'!$A:$E,5,FALSE)</f>
        <v>01/10/2021</v>
      </c>
      <c r="F2638" t="str">
        <f>VLOOKUP(NoviaFunds[[#This Row],[Sector]],Sectors[],2,FALSE)</f>
        <v>Asia Pacific</v>
      </c>
    </row>
    <row r="2639" spans="1:6" x14ac:dyDescent="0.2">
      <c r="A2639" t="str">
        <f>'Novia Web Query'!A2635</f>
        <v>GB00B5Q38588</v>
      </c>
      <c r="B2639" t="str">
        <f>VLOOKUP(NoviaFunds[[#This Row],[ISIN]],'Novia Web Query'!$A:$E,2,FALSE)</f>
        <v>Liontrust China C Acc GBP in GB</v>
      </c>
      <c r="C2639" t="str">
        <f>VLOOKUP(NoviaFunds[[#This Row],[ISIN]],'Novia Web Query'!$A:$E,3,FALSE)</f>
        <v>UT China/Greater China</v>
      </c>
      <c r="D2639" s="139">
        <f>VLOOKUP(NoviaFunds[[#This Row],[ISIN]],'Novia Web Query'!$A:$E,4,FALSE)/100</f>
        <v>9.0000000000000011E-3</v>
      </c>
      <c r="E2639" s="3" t="str">
        <f>VLOOKUP(NoviaFunds[[#This Row],[ISIN]],'Novia Web Query'!$A:$E,5,FALSE)</f>
        <v>01/10/2021</v>
      </c>
      <c r="F2639" t="str">
        <f>VLOOKUP(NoviaFunds[[#This Row],[Sector]],Sectors[],2,FALSE)</f>
        <v>Asia Pacific</v>
      </c>
    </row>
    <row r="2640" spans="1:6" x14ac:dyDescent="0.2">
      <c r="A2640" t="str">
        <f>'Novia Web Query'!A2636</f>
        <v>GB00B8J6SV12</v>
      </c>
      <c r="B2640" t="str">
        <f>VLOOKUP(NoviaFunds[[#This Row],[ISIN]],'Novia Web Query'!$A:$E,2,FALSE)</f>
        <v>Liontrust Emerging Markets C Acc GBP in GB</v>
      </c>
      <c r="C2640" t="str">
        <f>VLOOKUP(NoviaFunds[[#This Row],[ISIN]],'Novia Web Query'!$A:$E,3,FALSE)</f>
        <v>UT Global Emerging Markets</v>
      </c>
      <c r="D2640" s="139">
        <f>VLOOKUP(NoviaFunds[[#This Row],[ISIN]],'Novia Web Query'!$A:$E,4,FALSE)/100</f>
        <v>9.0000000000000011E-3</v>
      </c>
      <c r="E2640" s="3" t="str">
        <f>VLOOKUP(NoviaFunds[[#This Row],[ISIN]],'Novia Web Query'!$A:$E,5,FALSE)</f>
        <v>01/10/2021</v>
      </c>
      <c r="F2640" t="str">
        <f>VLOOKUP(NoviaFunds[[#This Row],[Sector]],Sectors[],2,FALSE)</f>
        <v>Emerging Markets</v>
      </c>
    </row>
    <row r="2641" spans="1:6" x14ac:dyDescent="0.2">
      <c r="A2641" t="str">
        <f>'Novia Web Query'!A2637</f>
        <v>GB00B4ZM1M76</v>
      </c>
      <c r="B2641" t="str">
        <f>VLOOKUP(NoviaFunds[[#This Row],[ISIN]],'Novia Web Query'!$A:$E,2,FALSE)</f>
        <v>Liontrust European Growth I Inc TR in GB</v>
      </c>
      <c r="C2641" t="str">
        <f>VLOOKUP(NoviaFunds[[#This Row],[ISIN]],'Novia Web Query'!$A:$E,3,FALSE)</f>
        <v>UT Europe Excluding UK</v>
      </c>
      <c r="D2641" s="139">
        <f>VLOOKUP(NoviaFunds[[#This Row],[ISIN]],'Novia Web Query'!$A:$E,4,FALSE)/100</f>
        <v>8.8000000000000005E-3</v>
      </c>
      <c r="E2641" s="3" t="str">
        <f>VLOOKUP(NoviaFunds[[#This Row],[ISIN]],'Novia Web Query'!$A:$E,5,FALSE)</f>
        <v>01/10/2021</v>
      </c>
      <c r="F2641" t="str">
        <f>VLOOKUP(NoviaFunds[[#This Row],[Sector]],Sectors[],2,FALSE)</f>
        <v>European Equities</v>
      </c>
    </row>
    <row r="2642" spans="1:6" x14ac:dyDescent="0.2">
      <c r="A2642" t="str">
        <f>'Novia Web Query'!A2638</f>
        <v>GB00B1GKBD09</v>
      </c>
      <c r="B2642" t="str">
        <f>VLOOKUP(NoviaFunds[[#This Row],[ISIN]],'Novia Web Query'!$A:$E,2,FALSE)</f>
        <v>Liontrust European Growth R Inc TR in GB</v>
      </c>
      <c r="C2642" t="str">
        <f>VLOOKUP(NoviaFunds[[#This Row],[ISIN]],'Novia Web Query'!$A:$E,3,FALSE)</f>
        <v>UT Europe Excluding UK</v>
      </c>
      <c r="D2642" s="139">
        <f>VLOOKUP(NoviaFunds[[#This Row],[ISIN]],'Novia Web Query'!$A:$E,4,FALSE)/100</f>
        <v>1.6299999999999999E-2</v>
      </c>
      <c r="E2642" s="3" t="str">
        <f>VLOOKUP(NoviaFunds[[#This Row],[ISIN]],'Novia Web Query'!$A:$E,5,FALSE)</f>
        <v>01/10/2021</v>
      </c>
      <c r="F2642" t="str">
        <f>VLOOKUP(NoviaFunds[[#This Row],[Sector]],Sectors[],2,FALSE)</f>
        <v>European Equities</v>
      </c>
    </row>
    <row r="2643" spans="1:6" x14ac:dyDescent="0.2">
      <c r="A2643" t="str">
        <f>'Novia Web Query'!A2639</f>
        <v>GB0031190449</v>
      </c>
      <c r="B2643" t="str">
        <f>VLOOKUP(NoviaFunds[[#This Row],[ISIN]],'Novia Web Query'!$A:$E,2,FALSE)</f>
        <v>Liontrust Global Alpha A Acc in GB</v>
      </c>
      <c r="C2643" t="str">
        <f>VLOOKUP(NoviaFunds[[#This Row],[ISIN]],'Novia Web Query'!$A:$E,3,FALSE)</f>
        <v>UT Flexible Investment</v>
      </c>
      <c r="D2643" s="139">
        <f>VLOOKUP(NoviaFunds[[#This Row],[ISIN]],'Novia Web Query'!$A:$E,4,FALSE)/100</f>
        <v>2.0799999999999999E-2</v>
      </c>
      <c r="E2643" s="3" t="str">
        <f>VLOOKUP(NoviaFunds[[#This Row],[ISIN]],'Novia Web Query'!$A:$E,5,FALSE)</f>
        <v>01/10/2021</v>
      </c>
      <c r="F2643" t="str">
        <f>VLOOKUP(NoviaFunds[[#This Row],[Sector]],Sectors[],2,FALSE)</f>
        <v>Flexible</v>
      </c>
    </row>
    <row r="2644" spans="1:6" x14ac:dyDescent="0.2">
      <c r="A2644" t="str">
        <f>'Novia Web Query'!A2640</f>
        <v>GB0031190555</v>
      </c>
      <c r="B2644" t="str">
        <f>VLOOKUP(NoviaFunds[[#This Row],[ISIN]],'Novia Web Query'!$A:$E,2,FALSE)</f>
        <v>Liontrust Global Alpha C Acc in GB</v>
      </c>
      <c r="C2644" t="str">
        <f>VLOOKUP(NoviaFunds[[#This Row],[ISIN]],'Novia Web Query'!$A:$E,3,FALSE)</f>
        <v>UT Flexible Investment</v>
      </c>
      <c r="D2644" s="139">
        <f>VLOOKUP(NoviaFunds[[#This Row],[ISIN]],'Novia Web Query'!$A:$E,4,FALSE)/100</f>
        <v>8.8000000000000005E-3</v>
      </c>
      <c r="E2644" s="3" t="str">
        <f>VLOOKUP(NoviaFunds[[#This Row],[ISIN]],'Novia Web Query'!$A:$E,5,FALSE)</f>
        <v>01/10/2021</v>
      </c>
      <c r="F2644" t="str">
        <f>VLOOKUP(NoviaFunds[[#This Row],[Sector]],Sectors[],2,FALSE)</f>
        <v>Flexible</v>
      </c>
    </row>
    <row r="2645" spans="1:6" x14ac:dyDescent="0.2">
      <c r="A2645" t="str">
        <f>'Novia Web Query'!A2641</f>
        <v>GB00B9225P64</v>
      </c>
      <c r="B2645" t="str">
        <f>VLOOKUP(NoviaFunds[[#This Row],[ISIN]],'Novia Web Query'!$A:$E,2,FALSE)</f>
        <v>Liontrust Global Dividend C Acc GBP in GB</v>
      </c>
      <c r="C2645" t="str">
        <f>VLOOKUP(NoviaFunds[[#This Row],[ISIN]],'Novia Web Query'!$A:$E,3,FALSE)</f>
        <v>UT Global Equity Income</v>
      </c>
      <c r="D2645" s="139">
        <f>VLOOKUP(NoviaFunds[[#This Row],[ISIN]],'Novia Web Query'!$A:$E,4,FALSE)/100</f>
        <v>8.8000000000000005E-3</v>
      </c>
      <c r="E2645" s="3" t="str">
        <f>VLOOKUP(NoviaFunds[[#This Row],[ISIN]],'Novia Web Query'!$A:$E,5,FALSE)</f>
        <v>01/10/2021</v>
      </c>
      <c r="F2645" t="str">
        <f>VLOOKUP(NoviaFunds[[#This Row],[Sector]],Sectors[],2,FALSE)</f>
        <v>Other Equities</v>
      </c>
    </row>
    <row r="2646" spans="1:6" x14ac:dyDescent="0.2">
      <c r="A2646" t="str">
        <f>'Novia Web Query'!A2642</f>
        <v>GB00B91RFZ23</v>
      </c>
      <c r="B2646" t="str">
        <f>VLOOKUP(NoviaFunds[[#This Row],[ISIN]],'Novia Web Query'!$A:$E,2,FALSE)</f>
        <v>Liontrust Global Dividend C Inc GBP TR in GB</v>
      </c>
      <c r="C2646" t="str">
        <f>VLOOKUP(NoviaFunds[[#This Row],[ISIN]],'Novia Web Query'!$A:$E,3,FALSE)</f>
        <v>UT Global Equity Income</v>
      </c>
      <c r="D2646" s="139">
        <f>VLOOKUP(NoviaFunds[[#This Row],[ISIN]],'Novia Web Query'!$A:$E,4,FALSE)/100</f>
        <v>8.8000000000000005E-3</v>
      </c>
      <c r="E2646" s="3" t="str">
        <f>VLOOKUP(NoviaFunds[[#This Row],[ISIN]],'Novia Web Query'!$A:$E,5,FALSE)</f>
        <v>01/10/2021</v>
      </c>
      <c r="F2646" t="str">
        <f>VLOOKUP(NoviaFunds[[#This Row],[Sector]],Sectors[],2,FALSE)</f>
        <v>Other Equities</v>
      </c>
    </row>
    <row r="2647" spans="1:6" x14ac:dyDescent="0.2">
      <c r="A2647" t="str">
        <f>'Novia Web Query'!A2643</f>
        <v>GB0030679053</v>
      </c>
      <c r="B2647" t="str">
        <f>VLOOKUP(NoviaFunds[[#This Row],[ISIN]],'Novia Web Query'!$A:$E,2,FALSE)</f>
        <v>Liontrust Global Innovation A Acc GBP in GB</v>
      </c>
      <c r="C2647" t="str">
        <f>VLOOKUP(NoviaFunds[[#This Row],[ISIN]],'Novia Web Query'!$A:$E,3,FALSE)</f>
        <v>UT Global</v>
      </c>
      <c r="D2647" s="139">
        <f>VLOOKUP(NoviaFunds[[#This Row],[ISIN]],'Novia Web Query'!$A:$E,4,FALSE)/100</f>
        <v>1.8799999999999997E-2</v>
      </c>
      <c r="E2647" s="3" t="str">
        <f>VLOOKUP(NoviaFunds[[#This Row],[ISIN]],'Novia Web Query'!$A:$E,5,FALSE)</f>
        <v>01/10/2021</v>
      </c>
      <c r="F2647" t="str">
        <f>VLOOKUP(NoviaFunds[[#This Row],[Sector]],Sectors[],2,FALSE)</f>
        <v>Other Equities</v>
      </c>
    </row>
    <row r="2648" spans="1:6" x14ac:dyDescent="0.2">
      <c r="A2648" t="str">
        <f>'Novia Web Query'!A2644</f>
        <v>GB00B28R3304</v>
      </c>
      <c r="B2648" t="str">
        <f>VLOOKUP(NoviaFunds[[#This Row],[ISIN]],'Novia Web Query'!$A:$E,2,FALSE)</f>
        <v>Liontrust Global Innovation A Inc GBP TR in GB</v>
      </c>
      <c r="C2648" t="str">
        <f>VLOOKUP(NoviaFunds[[#This Row],[ISIN]],'Novia Web Query'!$A:$E,3,FALSE)</f>
        <v>UT Global</v>
      </c>
      <c r="D2648" s="139">
        <f>VLOOKUP(NoviaFunds[[#This Row],[ISIN]],'Novia Web Query'!$A:$E,4,FALSE)/100</f>
        <v>1.8799999999999997E-2</v>
      </c>
      <c r="E2648" s="3" t="str">
        <f>VLOOKUP(NoviaFunds[[#This Row],[ISIN]],'Novia Web Query'!$A:$E,5,FALSE)</f>
        <v>01/10/2021</v>
      </c>
      <c r="F2648" t="str">
        <f>VLOOKUP(NoviaFunds[[#This Row],[Sector]],Sectors[],2,FALSE)</f>
        <v>Other Equities</v>
      </c>
    </row>
    <row r="2649" spans="1:6" x14ac:dyDescent="0.2">
      <c r="A2649" t="str">
        <f>'Novia Web Query'!A2645</f>
        <v>GB0030679160</v>
      </c>
      <c r="B2649" t="str">
        <f>VLOOKUP(NoviaFunds[[#This Row],[ISIN]],'Novia Web Query'!$A:$E,2,FALSE)</f>
        <v>Liontrust Global Innovation B Acc GBP in GB</v>
      </c>
      <c r="C2649" t="str">
        <f>VLOOKUP(NoviaFunds[[#This Row],[ISIN]],'Novia Web Query'!$A:$E,3,FALSE)</f>
        <v>UT Global</v>
      </c>
      <c r="D2649" s="139">
        <f>VLOOKUP(NoviaFunds[[#This Row],[ISIN]],'Novia Web Query'!$A:$E,4,FALSE)/100</f>
        <v>1.1299999999999999E-2</v>
      </c>
      <c r="E2649" s="3" t="str">
        <f>VLOOKUP(NoviaFunds[[#This Row],[ISIN]],'Novia Web Query'!$A:$E,5,FALSE)</f>
        <v>01/10/2021</v>
      </c>
      <c r="F2649" t="str">
        <f>VLOOKUP(NoviaFunds[[#This Row],[Sector]],Sectors[],2,FALSE)</f>
        <v>Other Equities</v>
      </c>
    </row>
    <row r="2650" spans="1:6" x14ac:dyDescent="0.2">
      <c r="A2650" t="str">
        <f>'Novia Web Query'!A2646</f>
        <v>GB00B8DLY478</v>
      </c>
      <c r="B2650" t="str">
        <f>VLOOKUP(NoviaFunds[[#This Row],[ISIN]],'Novia Web Query'!$A:$E,2,FALSE)</f>
        <v>Liontrust Global Innovation C Acc GBP in GB</v>
      </c>
      <c r="C2650" t="str">
        <f>VLOOKUP(NoviaFunds[[#This Row],[ISIN]],'Novia Web Query'!$A:$E,3,FALSE)</f>
        <v>UT Global</v>
      </c>
      <c r="D2650" s="139">
        <f>VLOOKUP(NoviaFunds[[#This Row],[ISIN]],'Novia Web Query'!$A:$E,4,FALSE)/100</f>
        <v>8.8000000000000005E-3</v>
      </c>
      <c r="E2650" s="3" t="str">
        <f>VLOOKUP(NoviaFunds[[#This Row],[ISIN]],'Novia Web Query'!$A:$E,5,FALSE)</f>
        <v>01/10/2021</v>
      </c>
      <c r="F2650" t="str">
        <f>VLOOKUP(NoviaFunds[[#This Row],[Sector]],Sectors[],2,FALSE)</f>
        <v>Other Equities</v>
      </c>
    </row>
    <row r="2651" spans="1:6" x14ac:dyDescent="0.2">
      <c r="A2651" t="str">
        <f>'Novia Web Query'!A2647</f>
        <v>GB00B28R3411</v>
      </c>
      <c r="B2651" t="str">
        <f>VLOOKUP(NoviaFunds[[#This Row],[ISIN]],'Novia Web Query'!$A:$E,2,FALSE)</f>
        <v>Liontrust Global Innovation C Inc GBP TR in GB</v>
      </c>
      <c r="C2651" t="str">
        <f>VLOOKUP(NoviaFunds[[#This Row],[ISIN]],'Novia Web Query'!$A:$E,3,FALSE)</f>
        <v>UT Global</v>
      </c>
      <c r="D2651" s="139">
        <f>VLOOKUP(NoviaFunds[[#This Row],[ISIN]],'Novia Web Query'!$A:$E,4,FALSE)/100</f>
        <v>8.8000000000000005E-3</v>
      </c>
      <c r="E2651" s="3" t="str">
        <f>VLOOKUP(NoviaFunds[[#This Row],[ISIN]],'Novia Web Query'!$A:$E,5,FALSE)</f>
        <v>01/10/2021</v>
      </c>
      <c r="F2651" t="str">
        <f>VLOOKUP(NoviaFunds[[#This Row],[Sector]],Sectors[],2,FALSE)</f>
        <v>Other Equities</v>
      </c>
    </row>
    <row r="2652" spans="1:6" x14ac:dyDescent="0.2">
      <c r="A2652" t="str">
        <f>'Novia Web Query'!A2648</f>
        <v>GB00BYXZ5N79</v>
      </c>
      <c r="B2652" t="str">
        <f>VLOOKUP(NoviaFunds[[#This Row],[ISIN]],'Novia Web Query'!$A:$E,2,FALSE)</f>
        <v>Liontrust Global Technology C Acc GBP in GB</v>
      </c>
      <c r="C2652" t="str">
        <f>VLOOKUP(NoviaFunds[[#This Row],[ISIN]],'Novia Web Query'!$A:$E,3,FALSE)</f>
        <v>UT Technology &amp; Telecommunications</v>
      </c>
      <c r="D2652" s="139">
        <f>VLOOKUP(NoviaFunds[[#This Row],[ISIN]],'Novia Web Query'!$A:$E,4,FALSE)/100</f>
        <v>8.8000000000000005E-3</v>
      </c>
      <c r="E2652" s="3" t="str">
        <f>VLOOKUP(NoviaFunds[[#This Row],[ISIN]],'Novia Web Query'!$A:$E,5,FALSE)</f>
        <v>01/10/2021</v>
      </c>
      <c r="F2652" t="e">
        <f>VLOOKUP(NoviaFunds[[#This Row],[Sector]],Sectors[],2,FALSE)</f>
        <v>#N/A</v>
      </c>
    </row>
    <row r="2653" spans="1:6" x14ac:dyDescent="0.2">
      <c r="A2653" t="str">
        <f>'Novia Web Query'!A2649</f>
        <v>GB0032315516</v>
      </c>
      <c r="B2653" t="str">
        <f>VLOOKUP(NoviaFunds[[#This Row],[ISIN]],'Novia Web Query'!$A:$E,2,FALSE)</f>
        <v>Liontrust Income A Acc in GB</v>
      </c>
      <c r="C2653" t="str">
        <f>VLOOKUP(NoviaFunds[[#This Row],[ISIN]],'Novia Web Query'!$A:$E,3,FALSE)</f>
        <v>UT UK Equity Income</v>
      </c>
      <c r="D2653" s="139">
        <f>VLOOKUP(NoviaFunds[[#This Row],[ISIN]],'Novia Web Query'!$A:$E,4,FALSE)/100</f>
        <v>1.7000000000000001E-2</v>
      </c>
      <c r="E2653" s="3" t="str">
        <f>VLOOKUP(NoviaFunds[[#This Row],[ISIN]],'Novia Web Query'!$A:$E,5,FALSE)</f>
        <v>01/10/2021</v>
      </c>
      <c r="F2653" t="str">
        <f>VLOOKUP(NoviaFunds[[#This Row],[Sector]],Sectors[],2,FALSE)</f>
        <v>UK Equities</v>
      </c>
    </row>
    <row r="2654" spans="1:6" x14ac:dyDescent="0.2">
      <c r="A2654" t="str">
        <f>'Novia Web Query'!A2650</f>
        <v>GB0032325093</v>
      </c>
      <c r="B2654" t="str">
        <f>VLOOKUP(NoviaFunds[[#This Row],[ISIN]],'Novia Web Query'!$A:$E,2,FALSE)</f>
        <v>Liontrust Income A Inc TR in GB</v>
      </c>
      <c r="C2654" t="str">
        <f>VLOOKUP(NoviaFunds[[#This Row],[ISIN]],'Novia Web Query'!$A:$E,3,FALSE)</f>
        <v>UT UK Equity Income</v>
      </c>
      <c r="D2654" s="139">
        <f>VLOOKUP(NoviaFunds[[#This Row],[ISIN]],'Novia Web Query'!$A:$E,4,FALSE)/100</f>
        <v>1.7000000000000001E-2</v>
      </c>
      <c r="E2654" s="3" t="str">
        <f>VLOOKUP(NoviaFunds[[#This Row],[ISIN]],'Novia Web Query'!$A:$E,5,FALSE)</f>
        <v>01/10/2021</v>
      </c>
      <c r="F2654" t="str">
        <f>VLOOKUP(NoviaFunds[[#This Row],[Sector]],Sectors[],2,FALSE)</f>
        <v>UK Equities</v>
      </c>
    </row>
    <row r="2655" spans="1:6" x14ac:dyDescent="0.2">
      <c r="A2655" t="str">
        <f>'Novia Web Query'!A2651</f>
        <v>GB0032325101</v>
      </c>
      <c r="B2655" t="str">
        <f>VLOOKUP(NoviaFunds[[#This Row],[ISIN]],'Novia Web Query'!$A:$E,2,FALSE)</f>
        <v>Liontrust Income B Inc TR in GB</v>
      </c>
      <c r="C2655" t="str">
        <f>VLOOKUP(NoviaFunds[[#This Row],[ISIN]],'Novia Web Query'!$A:$E,3,FALSE)</f>
        <v>UT UK Equity Income</v>
      </c>
      <c r="D2655" s="139">
        <f>VLOOKUP(NoviaFunds[[#This Row],[ISIN]],'Novia Web Query'!$A:$E,4,FALSE)/100</f>
        <v>1.1000000000000001E-2</v>
      </c>
      <c r="E2655" s="3" t="str">
        <f>VLOOKUP(NoviaFunds[[#This Row],[ISIN]],'Novia Web Query'!$A:$E,5,FALSE)</f>
        <v>01/10/2021</v>
      </c>
      <c r="F2655" t="str">
        <f>VLOOKUP(NoviaFunds[[#This Row],[Sector]],Sectors[],2,FALSE)</f>
        <v>UK Equities</v>
      </c>
    </row>
    <row r="2656" spans="1:6" x14ac:dyDescent="0.2">
      <c r="A2656" t="str">
        <f>'Novia Web Query'!A2652</f>
        <v>GB00B8JCR452</v>
      </c>
      <c r="B2656" t="str">
        <f>VLOOKUP(NoviaFunds[[#This Row],[ISIN]],'Novia Web Query'!$A:$E,2,FALSE)</f>
        <v>Liontrust Income C Acc in GB</v>
      </c>
      <c r="C2656" t="str">
        <f>VLOOKUP(NoviaFunds[[#This Row],[ISIN]],'Novia Web Query'!$A:$E,3,FALSE)</f>
        <v>UT UK Equity Income</v>
      </c>
      <c r="D2656" s="139">
        <f>VLOOKUP(NoviaFunds[[#This Row],[ISIN]],'Novia Web Query'!$A:$E,4,FALSE)/100</f>
        <v>8.5000000000000006E-3</v>
      </c>
      <c r="E2656" s="3" t="str">
        <f>VLOOKUP(NoviaFunds[[#This Row],[ISIN]],'Novia Web Query'!$A:$E,5,FALSE)</f>
        <v>01/10/2021</v>
      </c>
      <c r="F2656" t="str">
        <f>VLOOKUP(NoviaFunds[[#This Row],[Sector]],Sectors[],2,FALSE)</f>
        <v>UK Equities</v>
      </c>
    </row>
    <row r="2657" spans="1:6" x14ac:dyDescent="0.2">
      <c r="A2657" t="str">
        <f>'Novia Web Query'!A2653</f>
        <v>GB00B8L7B355</v>
      </c>
      <c r="B2657" t="str">
        <f>VLOOKUP(NoviaFunds[[#This Row],[ISIN]],'Novia Web Query'!$A:$E,2,FALSE)</f>
        <v>Liontrust Income C Inc TR in GB</v>
      </c>
      <c r="C2657" t="str">
        <f>VLOOKUP(NoviaFunds[[#This Row],[ISIN]],'Novia Web Query'!$A:$E,3,FALSE)</f>
        <v>UT UK Equity Income</v>
      </c>
      <c r="D2657" s="139">
        <f>VLOOKUP(NoviaFunds[[#This Row],[ISIN]],'Novia Web Query'!$A:$E,4,FALSE)/100</f>
        <v>8.5000000000000006E-3</v>
      </c>
      <c r="E2657" s="3" t="str">
        <f>VLOOKUP(NoviaFunds[[#This Row],[ISIN]],'Novia Web Query'!$A:$E,5,FALSE)</f>
        <v>01/10/2021</v>
      </c>
      <c r="F2657" t="str">
        <f>VLOOKUP(NoviaFunds[[#This Row],[Sector]],Sectors[],2,FALSE)</f>
        <v>UK Equities</v>
      </c>
    </row>
    <row r="2658" spans="1:6" x14ac:dyDescent="0.2">
      <c r="A2658" t="str">
        <f>'Novia Web Query'!A2654</f>
        <v>GB00B1L6DV51</v>
      </c>
      <c r="B2658" t="str">
        <f>VLOOKUP(NoviaFunds[[#This Row],[ISIN]],'Novia Web Query'!$A:$E,2,FALSE)</f>
        <v>Liontrust India C Acc GBP in GB</v>
      </c>
      <c r="C2658" t="str">
        <f>VLOOKUP(NoviaFunds[[#This Row],[ISIN]],'Novia Web Query'!$A:$E,3,FALSE)</f>
        <v>UT India/Indian Subcontinent</v>
      </c>
      <c r="D2658" s="139">
        <f>VLOOKUP(NoviaFunds[[#This Row],[ISIN]],'Novia Web Query'!$A:$E,4,FALSE)/100</f>
        <v>9.0000000000000011E-3</v>
      </c>
      <c r="E2658" s="3" t="str">
        <f>VLOOKUP(NoviaFunds[[#This Row],[ISIN]],'Novia Web Query'!$A:$E,5,FALSE)</f>
        <v>01/10/2021</v>
      </c>
      <c r="F2658" t="e">
        <f>VLOOKUP(NoviaFunds[[#This Row],[Sector]],Sectors[],2,FALSE)</f>
        <v>#N/A</v>
      </c>
    </row>
    <row r="2659" spans="1:6" x14ac:dyDescent="0.2">
      <c r="A2659" t="str">
        <f>'Novia Web Query'!A2655</f>
        <v>GB00BXDZFF23</v>
      </c>
      <c r="B2659" t="str">
        <f>VLOOKUP(NoviaFunds[[#This Row],[ISIN]],'Novia Web Query'!$A:$E,2,FALSE)</f>
        <v>Liontrust Japan Equity C Acc GBP TR in GB</v>
      </c>
      <c r="C2659" t="str">
        <f>VLOOKUP(NoviaFunds[[#This Row],[ISIN]],'Novia Web Query'!$A:$E,3,FALSE)</f>
        <v>UT Japan</v>
      </c>
      <c r="D2659" s="139">
        <f>VLOOKUP(NoviaFunds[[#This Row],[ISIN]],'Novia Web Query'!$A:$E,4,FALSE)/100</f>
        <v>8.8000000000000005E-3</v>
      </c>
      <c r="E2659" s="3" t="str">
        <f>VLOOKUP(NoviaFunds[[#This Row],[ISIN]],'Novia Web Query'!$A:$E,5,FALSE)</f>
        <v>01/10/2021</v>
      </c>
      <c r="F2659" t="str">
        <f>VLOOKUP(NoviaFunds[[#This Row],[Sector]],Sectors[],2,FALSE)</f>
        <v>Japanese Equities</v>
      </c>
    </row>
    <row r="2660" spans="1:6" x14ac:dyDescent="0.2">
      <c r="A2660" t="str">
        <f>'Novia Web Query'!A2656</f>
        <v>GB00BXDZFG30</v>
      </c>
      <c r="B2660" t="str">
        <f>VLOOKUP(NoviaFunds[[#This Row],[ISIN]],'Novia Web Query'!$A:$E,2,FALSE)</f>
        <v>Liontrust Japan Equity C Hedged Acc GBP TR in GB</v>
      </c>
      <c r="C2660" t="str">
        <f>VLOOKUP(NoviaFunds[[#This Row],[ISIN]],'Novia Web Query'!$A:$E,3,FALSE)</f>
        <v>UT Japan</v>
      </c>
      <c r="D2660" s="139">
        <f>VLOOKUP(NoviaFunds[[#This Row],[ISIN]],'Novia Web Query'!$A:$E,4,FALSE)/100</f>
        <v>8.8000000000000005E-3</v>
      </c>
      <c r="E2660" s="3" t="str">
        <f>VLOOKUP(NoviaFunds[[#This Row],[ISIN]],'Novia Web Query'!$A:$E,5,FALSE)</f>
        <v>01/10/2021</v>
      </c>
      <c r="F2660" t="str">
        <f>VLOOKUP(NoviaFunds[[#This Row],[Sector]],Sectors[],2,FALSE)</f>
        <v>Japanese Equities</v>
      </c>
    </row>
    <row r="2661" spans="1:6" x14ac:dyDescent="0.2">
      <c r="A2661" t="str">
        <f>'Novia Web Query'!A2657</f>
        <v>GB00B909HH53</v>
      </c>
      <c r="B2661" t="str">
        <f>VLOOKUP(NoviaFunds[[#This Row],[ISIN]],'Novia Web Query'!$A:$E,2,FALSE)</f>
        <v>Liontrust Latin America C Acc GBP in GB</v>
      </c>
      <c r="C2661" t="str">
        <f>VLOOKUP(NoviaFunds[[#This Row],[ISIN]],'Novia Web Query'!$A:$E,3,FALSE)</f>
        <v>UT Latin America</v>
      </c>
      <c r="D2661" s="139">
        <f>VLOOKUP(NoviaFunds[[#This Row],[ISIN]],'Novia Web Query'!$A:$E,4,FALSE)/100</f>
        <v>9.0000000000000011E-3</v>
      </c>
      <c r="E2661" s="3" t="str">
        <f>VLOOKUP(NoviaFunds[[#This Row],[ISIN]],'Novia Web Query'!$A:$E,5,FALSE)</f>
        <v>01/10/2021</v>
      </c>
      <c r="F2661" t="e">
        <f>VLOOKUP(NoviaFunds[[#This Row],[Sector]],Sectors[],2,FALSE)</f>
        <v>#N/A</v>
      </c>
    </row>
    <row r="2662" spans="1:6" x14ac:dyDescent="0.2">
      <c r="A2662" t="str">
        <f>'Novia Web Query'!A2658</f>
        <v>GB00B3Y38F63</v>
      </c>
      <c r="B2662" t="str">
        <f>VLOOKUP(NoviaFunds[[#This Row],[ISIN]],'Novia Web Query'!$A:$E,2,FALSE)</f>
        <v>Liontrust Monthly Income Bond B Gr Acc TR in GB</v>
      </c>
      <c r="C2662" t="str">
        <f>VLOOKUP(NoviaFunds[[#This Row],[ISIN]],'Novia Web Query'!$A:$E,3,FALSE)</f>
        <v>UT Sterling Corporate Bond</v>
      </c>
      <c r="D2662" s="139">
        <f>VLOOKUP(NoviaFunds[[#This Row],[ISIN]],'Novia Web Query'!$A:$E,4,FALSE)/100</f>
        <v>5.6999999999999993E-3</v>
      </c>
      <c r="E2662" s="3" t="str">
        <f>VLOOKUP(NoviaFunds[[#This Row],[ISIN]],'Novia Web Query'!$A:$E,5,FALSE)</f>
        <v>01/10/2021</v>
      </c>
      <c r="F2662" t="str">
        <f>VLOOKUP(NoviaFunds[[#This Row],[Sector]],Sectors[],2,FALSE)</f>
        <v>Sterling Corporate Bonds</v>
      </c>
    </row>
    <row r="2663" spans="1:6" x14ac:dyDescent="0.2">
      <c r="A2663" t="str">
        <f>'Novia Web Query'!A2659</f>
        <v>GB00B44MQ015</v>
      </c>
      <c r="B2663" t="str">
        <f>VLOOKUP(NoviaFunds[[#This Row],[ISIN]],'Novia Web Query'!$A:$E,2,FALSE)</f>
        <v>Liontrust Monthly Income Bond B Gr Inc TR in GB</v>
      </c>
      <c r="C2663" t="str">
        <f>VLOOKUP(NoviaFunds[[#This Row],[ISIN]],'Novia Web Query'!$A:$E,3,FALSE)</f>
        <v>UT Sterling Corporate Bond</v>
      </c>
      <c r="D2663" s="139">
        <f>VLOOKUP(NoviaFunds[[#This Row],[ISIN]],'Novia Web Query'!$A:$E,4,FALSE)/100</f>
        <v>5.6999999999999993E-3</v>
      </c>
      <c r="E2663" s="3" t="str">
        <f>VLOOKUP(NoviaFunds[[#This Row],[ISIN]],'Novia Web Query'!$A:$E,5,FALSE)</f>
        <v>01/10/2021</v>
      </c>
      <c r="F2663" t="str">
        <f>VLOOKUP(NoviaFunds[[#This Row],[Sector]],Sectors[],2,FALSE)</f>
        <v>Sterling Corporate Bonds</v>
      </c>
    </row>
    <row r="2664" spans="1:6" x14ac:dyDescent="0.2">
      <c r="A2664" t="str">
        <f>'Novia Web Query'!A2660</f>
        <v>GB00B3RPTP62</v>
      </c>
      <c r="B2664" t="str">
        <f>VLOOKUP(NoviaFunds[[#This Row],[ISIN]],'Novia Web Query'!$A:$E,2,FALSE)</f>
        <v>Liontrust Monthly Income Bond P Gr Acc in GB</v>
      </c>
      <c r="C2664" t="str">
        <f>VLOOKUP(NoviaFunds[[#This Row],[ISIN]],'Novia Web Query'!$A:$E,3,FALSE)</f>
        <v>UT Sterling Corporate Bond</v>
      </c>
      <c r="D2664" s="139">
        <f>VLOOKUP(NoviaFunds[[#This Row],[ISIN]],'Novia Web Query'!$A:$E,4,FALSE)/100</f>
        <v>2.7000000000000001E-3</v>
      </c>
      <c r="E2664" s="3" t="str">
        <f>VLOOKUP(NoviaFunds[[#This Row],[ISIN]],'Novia Web Query'!$A:$E,5,FALSE)</f>
        <v>01/10/2021</v>
      </c>
      <c r="F2664" t="str">
        <f>VLOOKUP(NoviaFunds[[#This Row],[Sector]],Sectors[],2,FALSE)</f>
        <v>Sterling Corporate Bonds</v>
      </c>
    </row>
    <row r="2665" spans="1:6" x14ac:dyDescent="0.2">
      <c r="A2665" t="str">
        <f>'Novia Web Query'!A2661</f>
        <v>GB00B3W7G901</v>
      </c>
      <c r="B2665" t="str">
        <f>VLOOKUP(NoviaFunds[[#This Row],[ISIN]],'Novia Web Query'!$A:$E,2,FALSE)</f>
        <v>Liontrust Monthly Income Bond P Gr Inc TR in GB</v>
      </c>
      <c r="C2665" t="str">
        <f>VLOOKUP(NoviaFunds[[#This Row],[ISIN]],'Novia Web Query'!$A:$E,3,FALSE)</f>
        <v>UT Sterling Corporate Bond</v>
      </c>
      <c r="D2665" s="139">
        <f>VLOOKUP(NoviaFunds[[#This Row],[ISIN]],'Novia Web Query'!$A:$E,4,FALSE)/100</f>
        <v>2.7000000000000001E-3</v>
      </c>
      <c r="E2665" s="3" t="str">
        <f>VLOOKUP(NoviaFunds[[#This Row],[ISIN]],'Novia Web Query'!$A:$E,5,FALSE)</f>
        <v>01/10/2021</v>
      </c>
      <c r="F2665" t="str">
        <f>VLOOKUP(NoviaFunds[[#This Row],[Sector]],Sectors[],2,FALSE)</f>
        <v>Sterling Corporate Bonds</v>
      </c>
    </row>
    <row r="2666" spans="1:6" x14ac:dyDescent="0.2">
      <c r="A2666" t="str">
        <f>'Novia Web Query'!A2662</f>
        <v>GB00B04H0T52</v>
      </c>
      <c r="B2666" t="str">
        <f>VLOOKUP(NoviaFunds[[#This Row],[ISIN]],'Novia Web Query'!$A:$E,2,FALSE)</f>
        <v>Liontrust Russia A Acc GBP in GB</v>
      </c>
      <c r="C2666" t="str">
        <f>VLOOKUP(NoviaFunds[[#This Row],[ISIN]],'Novia Web Query'!$A:$E,3,FALSE)</f>
        <v>UT Specialist</v>
      </c>
      <c r="D2666" s="139">
        <f>VLOOKUP(NoviaFunds[[#This Row],[ISIN]],'Novia Web Query'!$A:$E,4,FALSE)/100</f>
        <v>1.9E-2</v>
      </c>
      <c r="E2666" s="3" t="str">
        <f>VLOOKUP(NoviaFunds[[#This Row],[ISIN]],'Novia Web Query'!$A:$E,5,FALSE)</f>
        <v>01/10/2021</v>
      </c>
      <c r="F2666" t="str">
        <f>VLOOKUP(NoviaFunds[[#This Row],[Sector]],Sectors[],2,FALSE)</f>
        <v>Specialist</v>
      </c>
    </row>
    <row r="2667" spans="1:6" x14ac:dyDescent="0.2">
      <c r="A2667" t="str">
        <f>'Novia Web Query'!A2663</f>
        <v>GB00B86WB793</v>
      </c>
      <c r="B2667" t="str">
        <f>VLOOKUP(NoviaFunds[[#This Row],[ISIN]],'Novia Web Query'!$A:$E,2,FALSE)</f>
        <v>Liontrust Russia C Acc GBP in GB</v>
      </c>
      <c r="C2667" t="str">
        <f>VLOOKUP(NoviaFunds[[#This Row],[ISIN]],'Novia Web Query'!$A:$E,3,FALSE)</f>
        <v>UT Specialist</v>
      </c>
      <c r="D2667" s="139">
        <f>VLOOKUP(NoviaFunds[[#This Row],[ISIN]],'Novia Web Query'!$A:$E,4,FALSE)/100</f>
        <v>9.4999999999999998E-3</v>
      </c>
      <c r="E2667" s="3" t="str">
        <f>VLOOKUP(NoviaFunds[[#This Row],[ISIN]],'Novia Web Query'!$A:$E,5,FALSE)</f>
        <v>01/10/2021</v>
      </c>
      <c r="F2667" t="str">
        <f>VLOOKUP(NoviaFunds[[#This Row],[Sector]],Sectors[],2,FALSE)</f>
        <v>Specialist</v>
      </c>
    </row>
    <row r="2668" spans="1:6" x14ac:dyDescent="0.2">
      <c r="A2668" t="str">
        <f>'Novia Web Query'!A2664</f>
        <v>GB00B87GRQ11</v>
      </c>
      <c r="B2668" t="str">
        <f>VLOOKUP(NoviaFunds[[#This Row],[ISIN]],'Novia Web Query'!$A:$E,2,FALSE)</f>
        <v>Liontrust Special Situations A Inc TR in GB**</v>
      </c>
      <c r="C2668" t="str">
        <f>VLOOKUP(NoviaFunds[[#This Row],[ISIN]],'Novia Web Query'!$A:$E,3,FALSE)</f>
        <v>UT UK All Companies</v>
      </c>
      <c r="D2668" s="139">
        <f>VLOOKUP(NoviaFunds[[#This Row],[ISIN]],'Novia Web Query'!$A:$E,4,FALSE)/100</f>
        <v>1.06E-2</v>
      </c>
      <c r="E2668" s="3" t="str">
        <f>VLOOKUP(NoviaFunds[[#This Row],[ISIN]],'Novia Web Query'!$A:$E,5,FALSE)</f>
        <v>01/10/2021</v>
      </c>
      <c r="F2668" t="str">
        <f>VLOOKUP(NoviaFunds[[#This Row],[Sector]],Sectors[],2,FALSE)</f>
        <v>UK Equities</v>
      </c>
    </row>
    <row r="2669" spans="1:6" x14ac:dyDescent="0.2">
      <c r="A2669" t="str">
        <f>'Novia Web Query'!A2665</f>
        <v>GB00BG0J2688</v>
      </c>
      <c r="B2669" t="str">
        <f>VLOOKUP(NoviaFunds[[#This Row],[ISIN]],'Novia Web Query'!$A:$E,2,FALSE)</f>
        <v>Liontrust Special Situations I Acc TR in GB**</v>
      </c>
      <c r="C2669" t="str">
        <f>VLOOKUP(NoviaFunds[[#This Row],[ISIN]],'Novia Web Query'!$A:$E,3,FALSE)</f>
        <v>UT UK All Companies</v>
      </c>
      <c r="D2669" s="139">
        <f>VLOOKUP(NoviaFunds[[#This Row],[ISIN]],'Novia Web Query'!$A:$E,4,FALSE)/100</f>
        <v>8.1000000000000013E-3</v>
      </c>
      <c r="E2669" s="3" t="str">
        <f>VLOOKUP(NoviaFunds[[#This Row],[ISIN]],'Novia Web Query'!$A:$E,5,FALSE)</f>
        <v>01/10/2021</v>
      </c>
      <c r="F2669" t="str">
        <f>VLOOKUP(NoviaFunds[[#This Row],[Sector]],Sectors[],2,FALSE)</f>
        <v>UK Equities</v>
      </c>
    </row>
    <row r="2670" spans="1:6" x14ac:dyDescent="0.2">
      <c r="A2670" t="str">
        <f>'Novia Web Query'!A2666</f>
        <v>GB00B57H4F11</v>
      </c>
      <c r="B2670" t="str">
        <f>VLOOKUP(NoviaFunds[[#This Row],[ISIN]],'Novia Web Query'!$A:$E,2,FALSE)</f>
        <v>Liontrust Special Situations I Inc TR in GB</v>
      </c>
      <c r="C2670" t="str">
        <f>VLOOKUP(NoviaFunds[[#This Row],[ISIN]],'Novia Web Query'!$A:$E,3,FALSE)</f>
        <v>UT UK All Companies</v>
      </c>
      <c r="D2670" s="139">
        <f>VLOOKUP(NoviaFunds[[#This Row],[ISIN]],'Novia Web Query'!$A:$E,4,FALSE)/100</f>
        <v>8.1000000000000013E-3</v>
      </c>
      <c r="E2670" s="3" t="str">
        <f>VLOOKUP(NoviaFunds[[#This Row],[ISIN]],'Novia Web Query'!$A:$E,5,FALSE)</f>
        <v>01/10/2021</v>
      </c>
      <c r="F2670" t="str">
        <f>VLOOKUP(NoviaFunds[[#This Row],[Sector]],Sectors[],2,FALSE)</f>
        <v>UK Equities</v>
      </c>
    </row>
    <row r="2671" spans="1:6" x14ac:dyDescent="0.2">
      <c r="A2671" t="str">
        <f>'Novia Web Query'!A2667</f>
        <v>GB00B0N6YF70</v>
      </c>
      <c r="B2671" t="str">
        <f>VLOOKUP(NoviaFunds[[#This Row],[ISIN]],'Novia Web Query'!$A:$E,2,FALSE)</f>
        <v>Liontrust Special Situations R Inc TR in GB</v>
      </c>
      <c r="C2671" t="str">
        <f>VLOOKUP(NoviaFunds[[#This Row],[ISIN]],'Novia Web Query'!$A:$E,3,FALSE)</f>
        <v>UT UK All Companies</v>
      </c>
      <c r="D2671" s="139">
        <f>VLOOKUP(NoviaFunds[[#This Row],[ISIN]],'Novia Web Query'!$A:$E,4,FALSE)/100</f>
        <v>1.8100000000000002E-2</v>
      </c>
      <c r="E2671" s="3" t="str">
        <f>VLOOKUP(NoviaFunds[[#This Row],[ISIN]],'Novia Web Query'!$A:$E,5,FALSE)</f>
        <v>01/10/2021</v>
      </c>
      <c r="F2671" t="str">
        <f>VLOOKUP(NoviaFunds[[#This Row],[Sector]],Sectors[],2,FALSE)</f>
        <v>UK Equities</v>
      </c>
    </row>
    <row r="2672" spans="1:6" x14ac:dyDescent="0.2">
      <c r="A2672" t="str">
        <f>'Novia Web Query'!A2668</f>
        <v>GB00BMN90304</v>
      </c>
      <c r="B2672" t="str">
        <f>VLOOKUP(NoviaFunds[[#This Row],[ISIN]],'Novia Web Query'!$A:$E,2,FALSE)</f>
        <v>Liontrust Sustainable Future Cautious Managed 2 Inc TR in GB</v>
      </c>
      <c r="C2672" t="str">
        <f>VLOOKUP(NoviaFunds[[#This Row],[ISIN]],'Novia Web Query'!$A:$E,3,FALSE)</f>
        <v>UT Mixed Investment 40-85% Shares</v>
      </c>
      <c r="D2672" s="139">
        <f>VLOOKUP(NoviaFunds[[#This Row],[ISIN]],'Novia Web Query'!$A:$E,4,FALSE)/100</f>
        <v>8.6E-3</v>
      </c>
      <c r="E2672" s="3" t="str">
        <f>VLOOKUP(NoviaFunds[[#This Row],[ISIN]],'Novia Web Query'!$A:$E,5,FALSE)</f>
        <v>01/10/2021</v>
      </c>
      <c r="F2672" t="str">
        <f>VLOOKUP(NoviaFunds[[#This Row],[Sector]],Sectors[],2,FALSE)</f>
        <v>Mixed 40%-85%</v>
      </c>
    </row>
    <row r="2673" spans="1:6" x14ac:dyDescent="0.2">
      <c r="A2673" t="str">
        <f>'Novia Web Query'!A2669</f>
        <v>GB0030029069</v>
      </c>
      <c r="B2673" t="str">
        <f>VLOOKUP(NoviaFunds[[#This Row],[ISIN]],'Novia Web Query'!$A:$E,2,FALSE)</f>
        <v>Liontrust Sustainable Future Corporate Bond 2 Inc TR in GB</v>
      </c>
      <c r="C2673" t="str">
        <f>VLOOKUP(NoviaFunds[[#This Row],[ISIN]],'Novia Web Query'!$A:$E,3,FALSE)</f>
        <v>UT Sterling Corporate Bond</v>
      </c>
      <c r="D2673" s="139">
        <f>VLOOKUP(NoviaFunds[[#This Row],[ISIN]],'Novia Web Query'!$A:$E,4,FALSE)/100</f>
        <v>5.6999999999999993E-3</v>
      </c>
      <c r="E2673" s="3" t="str">
        <f>VLOOKUP(NoviaFunds[[#This Row],[ISIN]],'Novia Web Query'!$A:$E,5,FALSE)</f>
        <v>01/10/2021</v>
      </c>
      <c r="F2673" t="str">
        <f>VLOOKUP(NoviaFunds[[#This Row],[Sector]],Sectors[],2,FALSE)</f>
        <v>Sterling Corporate Bonds</v>
      </c>
    </row>
    <row r="2674" spans="1:6" x14ac:dyDescent="0.2">
      <c r="A2674" t="str">
        <f>'Novia Web Query'!A2670</f>
        <v>GB00B8BPH312</v>
      </c>
      <c r="B2674" t="str">
        <f>VLOOKUP(NoviaFunds[[#This Row],[ISIN]],'Novia Web Query'!$A:$E,2,FALSE)</f>
        <v>Liontrust Sustainable Future Corporate Bond 6 Acc TR in GB</v>
      </c>
      <c r="C2674" t="str">
        <f>VLOOKUP(NoviaFunds[[#This Row],[ISIN]],'Novia Web Query'!$A:$E,3,FALSE)</f>
        <v>UT Sterling Corporate Bond</v>
      </c>
      <c r="D2674" s="139">
        <f>VLOOKUP(NoviaFunds[[#This Row],[ISIN]],'Novia Web Query'!$A:$E,4,FALSE)/100</f>
        <v>5.6999999999999993E-3</v>
      </c>
      <c r="E2674" s="3" t="str">
        <f>VLOOKUP(NoviaFunds[[#This Row],[ISIN]],'Novia Web Query'!$A:$E,5,FALSE)</f>
        <v>01/10/2021</v>
      </c>
      <c r="F2674" t="str">
        <f>VLOOKUP(NoviaFunds[[#This Row],[Sector]],Sectors[],2,FALSE)</f>
        <v>Sterling Corporate Bonds</v>
      </c>
    </row>
    <row r="2675" spans="1:6" x14ac:dyDescent="0.2">
      <c r="A2675" t="str">
        <f>'Novia Web Query'!A2671</f>
        <v>GB00BMN90635</v>
      </c>
      <c r="B2675" t="str">
        <f>VLOOKUP(NoviaFunds[[#This Row],[ISIN]],'Novia Web Query'!$A:$E,2,FALSE)</f>
        <v>Liontrust Sustainable Future Defensive Managed 2 Inc TR in GB</v>
      </c>
      <c r="C2675" t="str">
        <f>VLOOKUP(NoviaFunds[[#This Row],[ISIN]],'Novia Web Query'!$A:$E,3,FALSE)</f>
        <v>UT Mixed Investment 20-60% Shares</v>
      </c>
      <c r="D2675" s="139">
        <f>VLOOKUP(NoviaFunds[[#This Row],[ISIN]],'Novia Web Query'!$A:$E,4,FALSE)/100</f>
        <v>8.6E-3</v>
      </c>
      <c r="E2675" s="3" t="str">
        <f>VLOOKUP(NoviaFunds[[#This Row],[ISIN]],'Novia Web Query'!$A:$E,5,FALSE)</f>
        <v>01/10/2021</v>
      </c>
      <c r="F2675" t="str">
        <f>VLOOKUP(NoviaFunds[[#This Row],[Sector]],Sectors[],2,FALSE)</f>
        <v>Mixed 20%-60%</v>
      </c>
    </row>
    <row r="2676" spans="1:6" x14ac:dyDescent="0.2">
      <c r="A2676" t="str">
        <f>'Novia Web Query'!A2672</f>
        <v>GB0030029390</v>
      </c>
      <c r="B2676" t="str">
        <f>VLOOKUP(NoviaFunds[[#This Row],[ISIN]],'Novia Web Query'!$A:$E,2,FALSE)</f>
        <v>Liontrust Sustainable Future European Growth 2 Acc in GB</v>
      </c>
      <c r="C2676" t="str">
        <f>VLOOKUP(NoviaFunds[[#This Row],[ISIN]],'Novia Web Query'!$A:$E,3,FALSE)</f>
        <v>UT Europe Excluding UK</v>
      </c>
      <c r="D2676" s="139">
        <f>VLOOKUP(NoviaFunds[[#This Row],[ISIN]],'Novia Web Query'!$A:$E,4,FALSE)/100</f>
        <v>8.6999999999999994E-3</v>
      </c>
      <c r="E2676" s="3" t="str">
        <f>VLOOKUP(NoviaFunds[[#This Row],[ISIN]],'Novia Web Query'!$A:$E,5,FALSE)</f>
        <v>01/10/2021</v>
      </c>
      <c r="F2676" t="str">
        <f>VLOOKUP(NoviaFunds[[#This Row],[Sector]],Sectors[],2,FALSE)</f>
        <v>European Equities</v>
      </c>
    </row>
    <row r="2677" spans="1:6" x14ac:dyDescent="0.2">
      <c r="A2677" t="str">
        <f>'Novia Web Query'!A2673</f>
        <v>GB0030030067</v>
      </c>
      <c r="B2677" t="str">
        <f>VLOOKUP(NoviaFunds[[#This Row],[ISIN]],'Novia Web Query'!$A:$E,2,FALSE)</f>
        <v>Liontrust Sustainable Future Global Growth 2 Acc in GB</v>
      </c>
      <c r="C2677" t="str">
        <f>VLOOKUP(NoviaFunds[[#This Row],[ISIN]],'Novia Web Query'!$A:$E,3,FALSE)</f>
        <v>UT Global</v>
      </c>
      <c r="D2677" s="139">
        <f>VLOOKUP(NoviaFunds[[#This Row],[ISIN]],'Novia Web Query'!$A:$E,4,FALSE)/100</f>
        <v>8.6E-3</v>
      </c>
      <c r="E2677" s="3" t="str">
        <f>VLOOKUP(NoviaFunds[[#This Row],[ISIN]],'Novia Web Query'!$A:$E,5,FALSE)</f>
        <v>01/10/2021</v>
      </c>
      <c r="F2677" t="str">
        <f>VLOOKUP(NoviaFunds[[#This Row],[Sector]],Sectors[],2,FALSE)</f>
        <v>Other Equities</v>
      </c>
    </row>
    <row r="2678" spans="1:6" x14ac:dyDescent="0.2">
      <c r="A2678" t="str">
        <f>'Novia Web Query'!A2674</f>
        <v>GB0030030398</v>
      </c>
      <c r="B2678" t="str">
        <f>VLOOKUP(NoviaFunds[[#This Row],[ISIN]],'Novia Web Query'!$A:$E,2,FALSE)</f>
        <v>Liontrust Sustainable Future Managed 2 Inc TR in GB</v>
      </c>
      <c r="C2678" t="str">
        <f>VLOOKUP(NoviaFunds[[#This Row],[ISIN]],'Novia Web Query'!$A:$E,3,FALSE)</f>
        <v>UT Mixed Investment 40-85% Shares</v>
      </c>
      <c r="D2678" s="139">
        <f>VLOOKUP(NoviaFunds[[#This Row],[ISIN]],'Novia Web Query'!$A:$E,4,FALSE)/100</f>
        <v>8.3999999999999995E-3</v>
      </c>
      <c r="E2678" s="3" t="str">
        <f>VLOOKUP(NoviaFunds[[#This Row],[ISIN]],'Novia Web Query'!$A:$E,5,FALSE)</f>
        <v>01/10/2021</v>
      </c>
      <c r="F2678" t="str">
        <f>VLOOKUP(NoviaFunds[[#This Row],[Sector]],Sectors[],2,FALSE)</f>
        <v>Mixed 40%-85%</v>
      </c>
    </row>
    <row r="2679" spans="1:6" x14ac:dyDescent="0.2">
      <c r="A2679" t="str">
        <f>'Novia Web Query'!A2675</f>
        <v>GB00B8FDBQ23</v>
      </c>
      <c r="B2679" t="str">
        <f>VLOOKUP(NoviaFunds[[#This Row],[ISIN]],'Novia Web Query'!$A:$E,2,FALSE)</f>
        <v>Liontrust Sustainable Future Managed 6 Acc TR in GB</v>
      </c>
      <c r="C2679" t="str">
        <f>VLOOKUP(NoviaFunds[[#This Row],[ISIN]],'Novia Web Query'!$A:$E,3,FALSE)</f>
        <v>UT Mixed Investment 40-85% Shares</v>
      </c>
      <c r="D2679" s="139">
        <f>VLOOKUP(NoviaFunds[[#This Row],[ISIN]],'Novia Web Query'!$A:$E,4,FALSE)/100</f>
        <v>8.3999999999999995E-3</v>
      </c>
      <c r="E2679" s="3" t="str">
        <f>VLOOKUP(NoviaFunds[[#This Row],[ISIN]],'Novia Web Query'!$A:$E,5,FALSE)</f>
        <v>01/10/2021</v>
      </c>
      <c r="F2679" t="str">
        <f>VLOOKUP(NoviaFunds[[#This Row],[Sector]],Sectors[],2,FALSE)</f>
        <v>Mixed 40%-85%</v>
      </c>
    </row>
    <row r="2680" spans="1:6" x14ac:dyDescent="0.2">
      <c r="A2680" t="str">
        <f>'Novia Web Query'!A2676</f>
        <v>GB0030029622</v>
      </c>
      <c r="B2680" t="str">
        <f>VLOOKUP(NoviaFunds[[#This Row],[ISIN]],'Novia Web Query'!$A:$E,2,FALSE)</f>
        <v>Liontrust Sustainable Future Managed Growth 2 Acc in GB</v>
      </c>
      <c r="C2680" t="str">
        <f>VLOOKUP(NoviaFunds[[#This Row],[ISIN]],'Novia Web Query'!$A:$E,3,FALSE)</f>
        <v>UT Flexible Investment</v>
      </c>
      <c r="D2680" s="139">
        <f>VLOOKUP(NoviaFunds[[#This Row],[ISIN]],'Novia Web Query'!$A:$E,4,FALSE)/100</f>
        <v>8.6999999999999994E-3</v>
      </c>
      <c r="E2680" s="3" t="str">
        <f>VLOOKUP(NoviaFunds[[#This Row],[ISIN]],'Novia Web Query'!$A:$E,5,FALSE)</f>
        <v>01/10/2021</v>
      </c>
      <c r="F2680" t="str">
        <f>VLOOKUP(NoviaFunds[[#This Row],[Sector]],Sectors[],2,FALSE)</f>
        <v>Flexible</v>
      </c>
    </row>
    <row r="2681" spans="1:6" x14ac:dyDescent="0.2">
      <c r="A2681" t="str">
        <f>'Novia Web Query'!A2677</f>
        <v>GB0030028764</v>
      </c>
      <c r="B2681" t="str">
        <f>VLOOKUP(NoviaFunds[[#This Row],[ISIN]],'Novia Web Query'!$A:$E,2,FALSE)</f>
        <v>Liontrust Sustainable Future UK Growth 2 Acc in GB</v>
      </c>
      <c r="C2681" t="str">
        <f>VLOOKUP(NoviaFunds[[#This Row],[ISIN]],'Novia Web Query'!$A:$E,3,FALSE)</f>
        <v>UT UK All Companies</v>
      </c>
      <c r="D2681" s="139">
        <f>VLOOKUP(NoviaFunds[[#This Row],[ISIN]],'Novia Web Query'!$A:$E,4,FALSE)/100</f>
        <v>8.3000000000000001E-3</v>
      </c>
      <c r="E2681" s="3" t="str">
        <f>VLOOKUP(NoviaFunds[[#This Row],[ISIN]],'Novia Web Query'!$A:$E,5,FALSE)</f>
        <v>01/10/2021</v>
      </c>
      <c r="F2681" t="str">
        <f>VLOOKUP(NoviaFunds[[#This Row],[Sector]],Sectors[],2,FALSE)</f>
        <v>UK Equities</v>
      </c>
    </row>
    <row r="2682" spans="1:6" x14ac:dyDescent="0.2">
      <c r="A2682" t="str">
        <f>'Novia Web Query'!A2678</f>
        <v>GB00B8HCSD36</v>
      </c>
      <c r="B2682" t="str">
        <f>VLOOKUP(NoviaFunds[[#This Row],[ISIN]],'Novia Web Query'!$A:$E,2,FALSE)</f>
        <v>Liontrust UK Ethical 2 Acc in GB</v>
      </c>
      <c r="C2682" t="str">
        <f>VLOOKUP(NoviaFunds[[#This Row],[ISIN]],'Novia Web Query'!$A:$E,3,FALSE)</f>
        <v>UT UK All Companies</v>
      </c>
      <c r="D2682" s="139">
        <f>VLOOKUP(NoviaFunds[[#This Row],[ISIN]],'Novia Web Query'!$A:$E,4,FALSE)/100</f>
        <v>7.9000000000000008E-3</v>
      </c>
      <c r="E2682" s="3" t="str">
        <f>VLOOKUP(NoviaFunds[[#This Row],[ISIN]],'Novia Web Query'!$A:$E,5,FALSE)</f>
        <v>01/10/2021</v>
      </c>
      <c r="F2682" t="str">
        <f>VLOOKUP(NoviaFunds[[#This Row],[Sector]],Sectors[],2,FALSE)</f>
        <v>UK Equities</v>
      </c>
    </row>
    <row r="2683" spans="1:6" x14ac:dyDescent="0.2">
      <c r="A2683" t="str">
        <f>'Novia Web Query'!A2679</f>
        <v>GB00B56BDS09</v>
      </c>
      <c r="B2683" t="str">
        <f>VLOOKUP(NoviaFunds[[#This Row],[ISIN]],'Novia Web Query'!$A:$E,2,FALSE)</f>
        <v>Liontrust UK Growth I Inc TR in GB</v>
      </c>
      <c r="C2683" t="str">
        <f>VLOOKUP(NoviaFunds[[#This Row],[ISIN]],'Novia Web Query'!$A:$E,3,FALSE)</f>
        <v>UT UK All Companies</v>
      </c>
      <c r="D2683" s="139">
        <f>VLOOKUP(NoviaFunds[[#This Row],[ISIN]],'Novia Web Query'!$A:$E,4,FALSE)/100</f>
        <v>8.3999999999999995E-3</v>
      </c>
      <c r="E2683" s="3" t="str">
        <f>VLOOKUP(NoviaFunds[[#This Row],[ISIN]],'Novia Web Query'!$A:$E,5,FALSE)</f>
        <v>01/10/2021</v>
      </c>
      <c r="F2683" t="str">
        <f>VLOOKUP(NoviaFunds[[#This Row],[Sector]],Sectors[],2,FALSE)</f>
        <v>UK Equities</v>
      </c>
    </row>
    <row r="2684" spans="1:6" x14ac:dyDescent="0.2">
      <c r="A2684" t="str">
        <f>'Novia Web Query'!A2680</f>
        <v>GB00BD5CYB01</v>
      </c>
      <c r="B2684" t="str">
        <f>VLOOKUP(NoviaFunds[[#This Row],[ISIN]],'Novia Web Query'!$A:$E,2,FALSE)</f>
        <v>Liontrust UK Growth M Acc TR in GB**</v>
      </c>
      <c r="C2684" t="str">
        <f>VLOOKUP(NoviaFunds[[#This Row],[ISIN]],'Novia Web Query'!$A:$E,3,FALSE)</f>
        <v>UT UK All Companies</v>
      </c>
      <c r="D2684" s="139">
        <f>VLOOKUP(NoviaFunds[[#This Row],[ISIN]],'Novia Web Query'!$A:$E,4,FALSE)/100</f>
        <v>6.4000000000000003E-3</v>
      </c>
      <c r="E2684" s="3" t="str">
        <f>VLOOKUP(NoviaFunds[[#This Row],[ISIN]],'Novia Web Query'!$A:$E,5,FALSE)</f>
        <v>01/10/2021</v>
      </c>
      <c r="F2684" t="str">
        <f>VLOOKUP(NoviaFunds[[#This Row],[Sector]],Sectors[],2,FALSE)</f>
        <v>UK Equities</v>
      </c>
    </row>
    <row r="2685" spans="1:6" x14ac:dyDescent="0.2">
      <c r="A2685" t="str">
        <f>'Novia Web Query'!A2681</f>
        <v>GB00BD5CY988</v>
      </c>
      <c r="B2685" t="str">
        <f>VLOOKUP(NoviaFunds[[#This Row],[ISIN]],'Novia Web Query'!$A:$E,2,FALSE)</f>
        <v>Liontrust UK Growth M Inc TR in GB**</v>
      </c>
      <c r="C2685" t="str">
        <f>VLOOKUP(NoviaFunds[[#This Row],[ISIN]],'Novia Web Query'!$A:$E,3,FALSE)</f>
        <v>UT UK All Companies</v>
      </c>
      <c r="D2685" s="139">
        <f>VLOOKUP(NoviaFunds[[#This Row],[ISIN]],'Novia Web Query'!$A:$E,4,FALSE)/100</f>
        <v>6.4000000000000003E-3</v>
      </c>
      <c r="E2685" s="3" t="str">
        <f>VLOOKUP(NoviaFunds[[#This Row],[ISIN]],'Novia Web Query'!$A:$E,5,FALSE)</f>
        <v>01/10/2021</v>
      </c>
      <c r="F2685" t="str">
        <f>VLOOKUP(NoviaFunds[[#This Row],[Sector]],Sectors[],2,FALSE)</f>
        <v>UK Equities</v>
      </c>
    </row>
    <row r="2686" spans="1:6" x14ac:dyDescent="0.2">
      <c r="A2686" t="str">
        <f>'Novia Web Query'!A2682</f>
        <v>GB0007014557</v>
      </c>
      <c r="B2686" t="str">
        <f>VLOOKUP(NoviaFunds[[#This Row],[ISIN]],'Novia Web Query'!$A:$E,2,FALSE)</f>
        <v>Liontrust UK Growth R Inc TR in GB</v>
      </c>
      <c r="C2686" t="str">
        <f>VLOOKUP(NoviaFunds[[#This Row],[ISIN]],'Novia Web Query'!$A:$E,3,FALSE)</f>
        <v>UT UK All Companies</v>
      </c>
      <c r="D2686" s="139">
        <f>VLOOKUP(NoviaFunds[[#This Row],[ISIN]],'Novia Web Query'!$A:$E,4,FALSE)/100</f>
        <v>1.5900000000000001E-2</v>
      </c>
      <c r="E2686" s="3" t="str">
        <f>VLOOKUP(NoviaFunds[[#This Row],[ISIN]],'Novia Web Query'!$A:$E,5,FALSE)</f>
        <v>01/10/2021</v>
      </c>
      <c r="F2686" t="str">
        <f>VLOOKUP(NoviaFunds[[#This Row],[Sector]],Sectors[],2,FALSE)</f>
        <v>UK Equities</v>
      </c>
    </row>
    <row r="2687" spans="1:6" x14ac:dyDescent="0.2">
      <c r="A2687" t="str">
        <f>'Novia Web Query'!A2683</f>
        <v>GB00BDFYHP14</v>
      </c>
      <c r="B2687" t="str">
        <f>VLOOKUP(NoviaFunds[[#This Row],[ISIN]],'Novia Web Query'!$A:$E,2,FALSE)</f>
        <v>Liontrust UK Micro Cap I Acc in GB</v>
      </c>
      <c r="C2687" t="str">
        <f>VLOOKUP(NoviaFunds[[#This Row],[ISIN]],'Novia Web Query'!$A:$E,3,FALSE)</f>
        <v>UT UK Smaller Companies</v>
      </c>
      <c r="D2687" s="139">
        <f>VLOOKUP(NoviaFunds[[#This Row],[ISIN]],'Novia Web Query'!$A:$E,4,FALSE)/100</f>
        <v>1.3500000000000002E-2</v>
      </c>
      <c r="E2687" s="3" t="str">
        <f>VLOOKUP(NoviaFunds[[#This Row],[ISIN]],'Novia Web Query'!$A:$E,5,FALSE)</f>
        <v>01/10/2021</v>
      </c>
      <c r="F2687" t="str">
        <f>VLOOKUP(NoviaFunds[[#This Row],[Sector]],Sectors[],2,FALSE)</f>
        <v>UK Equities</v>
      </c>
    </row>
    <row r="2688" spans="1:6" x14ac:dyDescent="0.2">
      <c r="A2688" t="str">
        <f>'Novia Web Query'!A2684</f>
        <v>GB00B8HWPP49</v>
      </c>
      <c r="B2688" t="str">
        <f>VLOOKUP(NoviaFunds[[#This Row],[ISIN]],'Novia Web Query'!$A:$E,2,FALSE)</f>
        <v>Liontrust UK Smaller Companies I Acc TR in GB</v>
      </c>
      <c r="C2688" t="str">
        <f>VLOOKUP(NoviaFunds[[#This Row],[ISIN]],'Novia Web Query'!$A:$E,3,FALSE)</f>
        <v>UT UK Smaller Companies</v>
      </c>
      <c r="D2688" s="139">
        <f>VLOOKUP(NoviaFunds[[#This Row],[ISIN]],'Novia Web Query'!$A:$E,4,FALSE)/100</f>
        <v>1.3300000000000001E-2</v>
      </c>
      <c r="E2688" s="3" t="str">
        <f>VLOOKUP(NoviaFunds[[#This Row],[ISIN]],'Novia Web Query'!$A:$E,5,FALSE)</f>
        <v>01/10/2021</v>
      </c>
      <c r="F2688" t="str">
        <f>VLOOKUP(NoviaFunds[[#This Row],[Sector]],Sectors[],2,FALSE)</f>
        <v>UK Equities</v>
      </c>
    </row>
    <row r="2689" spans="1:6" x14ac:dyDescent="0.2">
      <c r="A2689" t="str">
        <f>'Novia Web Query'!A2685</f>
        <v>GB00B57TMD12</v>
      </c>
      <c r="B2689" t="str">
        <f>VLOOKUP(NoviaFunds[[#This Row],[ISIN]],'Novia Web Query'!$A:$E,2,FALSE)</f>
        <v>Liontrust UK Smaller Companies I Inc TR in GB</v>
      </c>
      <c r="C2689" t="str">
        <f>VLOOKUP(NoviaFunds[[#This Row],[ISIN]],'Novia Web Query'!$A:$E,3,FALSE)</f>
        <v>UT UK Smaller Companies</v>
      </c>
      <c r="D2689" s="139">
        <f>VLOOKUP(NoviaFunds[[#This Row],[ISIN]],'Novia Web Query'!$A:$E,4,FALSE)/100</f>
        <v>1.3300000000000001E-2</v>
      </c>
      <c r="E2689" s="3" t="str">
        <f>VLOOKUP(NoviaFunds[[#This Row],[ISIN]],'Novia Web Query'!$A:$E,5,FALSE)</f>
        <v>01/10/2021</v>
      </c>
      <c r="F2689" t="str">
        <f>VLOOKUP(NoviaFunds[[#This Row],[Sector]],Sectors[],2,FALSE)</f>
        <v>UK Equities</v>
      </c>
    </row>
    <row r="2690" spans="1:6" x14ac:dyDescent="0.2">
      <c r="A2690" t="str">
        <f>'Novia Web Query'!A2686</f>
        <v>GB0007420788</v>
      </c>
      <c r="B2690" t="str">
        <f>VLOOKUP(NoviaFunds[[#This Row],[ISIN]],'Novia Web Query'!$A:$E,2,FALSE)</f>
        <v>Liontrust UK Smaller Companies R Inc TR in GB</v>
      </c>
      <c r="C2690" t="str">
        <f>VLOOKUP(NoviaFunds[[#This Row],[ISIN]],'Novia Web Query'!$A:$E,3,FALSE)</f>
        <v>UT UK Smaller Companies</v>
      </c>
      <c r="D2690" s="139">
        <f>VLOOKUP(NoviaFunds[[#This Row],[ISIN]],'Novia Web Query'!$A:$E,4,FALSE)/100</f>
        <v>1.5800000000000002E-2</v>
      </c>
      <c r="E2690" s="3" t="str">
        <f>VLOOKUP(NoviaFunds[[#This Row],[ISIN]],'Novia Web Query'!$A:$E,5,FALSE)</f>
        <v>01/10/2021</v>
      </c>
      <c r="F2690" t="str">
        <f>VLOOKUP(NoviaFunds[[#This Row],[Sector]],Sectors[],2,FALSE)</f>
        <v>UK Equities</v>
      </c>
    </row>
    <row r="2691" spans="1:6" x14ac:dyDescent="0.2">
      <c r="A2691" t="str">
        <f>'Novia Web Query'!A2687</f>
        <v>GB0032310129</v>
      </c>
      <c r="B2691" t="str">
        <f>VLOOKUP(NoviaFunds[[#This Row],[ISIN]],'Novia Web Query'!$A:$E,2,FALSE)</f>
        <v>Liontrust US Opportunities A Acc GBP in GB</v>
      </c>
      <c r="C2691" t="str">
        <f>VLOOKUP(NoviaFunds[[#This Row],[ISIN]],'Novia Web Query'!$A:$E,3,FALSE)</f>
        <v>UT North America</v>
      </c>
      <c r="D2691" s="139">
        <f>VLOOKUP(NoviaFunds[[#This Row],[ISIN]],'Novia Web Query'!$A:$E,4,FALSE)/100</f>
        <v>1.7299999999999999E-2</v>
      </c>
      <c r="E2691" s="3" t="str">
        <f>VLOOKUP(NoviaFunds[[#This Row],[ISIN]],'Novia Web Query'!$A:$E,5,FALSE)</f>
        <v>01/10/2021</v>
      </c>
      <c r="F2691" t="str">
        <f>VLOOKUP(NoviaFunds[[#This Row],[Sector]],Sectors[],2,FALSE)</f>
        <v>USA Equities</v>
      </c>
    </row>
    <row r="2692" spans="1:6" x14ac:dyDescent="0.2">
      <c r="A2692" t="str">
        <f>'Novia Web Query'!A2688</f>
        <v>GB0032310236</v>
      </c>
      <c r="B2692" t="str">
        <f>VLOOKUP(NoviaFunds[[#This Row],[ISIN]],'Novia Web Query'!$A:$E,2,FALSE)</f>
        <v>Liontrust US Opportunities B Acc GBP in GB</v>
      </c>
      <c r="C2692" t="str">
        <f>VLOOKUP(NoviaFunds[[#This Row],[ISIN]],'Novia Web Query'!$A:$E,3,FALSE)</f>
        <v>UT North America</v>
      </c>
      <c r="D2692" s="139">
        <f>VLOOKUP(NoviaFunds[[#This Row],[ISIN]],'Novia Web Query'!$A:$E,4,FALSE)/100</f>
        <v>1.1299999999999999E-2</v>
      </c>
      <c r="E2692" s="3" t="str">
        <f>VLOOKUP(NoviaFunds[[#This Row],[ISIN]],'Novia Web Query'!$A:$E,5,FALSE)</f>
        <v>01/10/2021</v>
      </c>
      <c r="F2692" t="str">
        <f>VLOOKUP(NoviaFunds[[#This Row],[Sector]],Sectors[],2,FALSE)</f>
        <v>USA Equities</v>
      </c>
    </row>
    <row r="2693" spans="1:6" x14ac:dyDescent="0.2">
      <c r="A2693" t="str">
        <f>'Novia Web Query'!A2689</f>
        <v>GB00B7K9LQ88</v>
      </c>
      <c r="B2693" t="str">
        <f>VLOOKUP(NoviaFunds[[#This Row],[ISIN]],'Novia Web Query'!$A:$E,2,FALSE)</f>
        <v>Liontrust US Opportunities C Acc GBP in GB</v>
      </c>
      <c r="C2693" t="str">
        <f>VLOOKUP(NoviaFunds[[#This Row],[ISIN]],'Novia Web Query'!$A:$E,3,FALSE)</f>
        <v>UT North America</v>
      </c>
      <c r="D2693" s="139">
        <f>VLOOKUP(NoviaFunds[[#This Row],[ISIN]],'Novia Web Query'!$A:$E,4,FALSE)/100</f>
        <v>8.8000000000000005E-3</v>
      </c>
      <c r="E2693" s="3" t="str">
        <f>VLOOKUP(NoviaFunds[[#This Row],[ISIN]],'Novia Web Query'!$A:$E,5,FALSE)</f>
        <v>01/10/2021</v>
      </c>
      <c r="F2693" t="str">
        <f>VLOOKUP(NoviaFunds[[#This Row],[Sector]],Sectors[],2,FALSE)</f>
        <v>USA Equities</v>
      </c>
    </row>
    <row r="2694" spans="1:6" x14ac:dyDescent="0.2">
      <c r="A2694" t="str">
        <f>'Novia Web Query'!A2690</f>
        <v>GB00B6ZRLF91</v>
      </c>
      <c r="B2694" t="str">
        <f>VLOOKUP(NoviaFunds[[#This Row],[ISIN]],'Novia Web Query'!$A:$E,2,FALSE)</f>
        <v>Liontrust MA Active Dynamic A Acc in GB</v>
      </c>
      <c r="C2694" t="str">
        <f>VLOOKUP(NoviaFunds[[#This Row],[ISIN]],'Novia Web Query'!$A:$E,3,FALSE)</f>
        <v>UT Flexible Investment</v>
      </c>
      <c r="D2694" s="139">
        <f>VLOOKUP(NoviaFunds[[#This Row],[ISIN]],'Novia Web Query'!$A:$E,4,FALSE)/100</f>
        <v>1.49E-2</v>
      </c>
      <c r="E2694" s="3" t="str">
        <f>VLOOKUP(NoviaFunds[[#This Row],[ISIN]],'Novia Web Query'!$A:$E,5,FALSE)</f>
        <v>01/10/2021</v>
      </c>
      <c r="F2694" t="str">
        <f>VLOOKUP(NoviaFunds[[#This Row],[Sector]],Sectors[],2,FALSE)</f>
        <v>Flexible</v>
      </c>
    </row>
    <row r="2695" spans="1:6" x14ac:dyDescent="0.2">
      <c r="A2695" t="str">
        <f>'Novia Web Query'!A2691</f>
        <v>GB0034251834</v>
      </c>
      <c r="B2695" t="str">
        <f>VLOOKUP(NoviaFunds[[#This Row],[ISIN]],'Novia Web Query'!$A:$E,2,FALSE)</f>
        <v>Liontrust MA Active Dynamic R Acc in GB</v>
      </c>
      <c r="C2695" t="str">
        <f>VLOOKUP(NoviaFunds[[#This Row],[ISIN]],'Novia Web Query'!$A:$E,3,FALSE)</f>
        <v>UT Flexible Investment</v>
      </c>
      <c r="D2695" s="139">
        <f>VLOOKUP(NoviaFunds[[#This Row],[ISIN]],'Novia Web Query'!$A:$E,4,FALSE)/100</f>
        <v>2.2400000000000003E-2</v>
      </c>
      <c r="E2695" s="3" t="str">
        <f>VLOOKUP(NoviaFunds[[#This Row],[ISIN]],'Novia Web Query'!$A:$E,5,FALSE)</f>
        <v>01/10/2021</v>
      </c>
      <c r="F2695" t="str">
        <f>VLOOKUP(NoviaFunds[[#This Row],[Sector]],Sectors[],2,FALSE)</f>
        <v>Flexible</v>
      </c>
    </row>
    <row r="2696" spans="1:6" x14ac:dyDescent="0.2">
      <c r="A2696" t="str">
        <f>'Novia Web Query'!A2692</f>
        <v>GB00BCZW6844</v>
      </c>
      <c r="B2696" t="str">
        <f>VLOOKUP(NoviaFunds[[#This Row],[ISIN]],'Novia Web Query'!$A:$E,2,FALSE)</f>
        <v>Liontrust MA Active Dynamic S Acc in GB</v>
      </c>
      <c r="C2696" t="str">
        <f>VLOOKUP(NoviaFunds[[#This Row],[ISIN]],'Novia Web Query'!$A:$E,3,FALSE)</f>
        <v>UT Flexible Investment</v>
      </c>
      <c r="D2696" s="139">
        <f>VLOOKUP(NoviaFunds[[#This Row],[ISIN]],'Novia Web Query'!$A:$E,4,FALSE)/100</f>
        <v>1.29E-2</v>
      </c>
      <c r="E2696" s="3" t="str">
        <f>VLOOKUP(NoviaFunds[[#This Row],[ISIN]],'Novia Web Query'!$A:$E,5,FALSE)</f>
        <v>01/10/2021</v>
      </c>
      <c r="F2696" t="str">
        <f>VLOOKUP(NoviaFunds[[#This Row],[Sector]],Sectors[],2,FALSE)</f>
        <v>Flexible</v>
      </c>
    </row>
    <row r="2697" spans="1:6" x14ac:dyDescent="0.2">
      <c r="A2697" t="str">
        <f>'Novia Web Query'!A2693</f>
        <v>GB00B88MN829</v>
      </c>
      <c r="B2697" t="str">
        <f>VLOOKUP(NoviaFunds[[#This Row],[ISIN]],'Novia Web Query'!$A:$E,2,FALSE)</f>
        <v>Liontrust MA Active Growth A Acc TR in GB</v>
      </c>
      <c r="C2697" t="str">
        <f>VLOOKUP(NoviaFunds[[#This Row],[ISIN]],'Novia Web Query'!$A:$E,3,FALSE)</f>
        <v>UT Flexible Investment</v>
      </c>
      <c r="D2697" s="139">
        <f>VLOOKUP(NoviaFunds[[#This Row],[ISIN]],'Novia Web Query'!$A:$E,4,FALSE)/100</f>
        <v>1.46E-2</v>
      </c>
      <c r="E2697" s="3" t="str">
        <f>VLOOKUP(NoviaFunds[[#This Row],[ISIN]],'Novia Web Query'!$A:$E,5,FALSE)</f>
        <v>01/10/2021</v>
      </c>
      <c r="F2697" t="str">
        <f>VLOOKUP(NoviaFunds[[#This Row],[Sector]],Sectors[],2,FALSE)</f>
        <v>Flexible</v>
      </c>
    </row>
    <row r="2698" spans="1:6" x14ac:dyDescent="0.2">
      <c r="A2698" t="str">
        <f>'Novia Web Query'!A2694</f>
        <v>GB00B714GR81</v>
      </c>
      <c r="B2698" t="str">
        <f>VLOOKUP(NoviaFunds[[#This Row],[ISIN]],'Novia Web Query'!$A:$E,2,FALSE)</f>
        <v>Liontrust MA Active Growth A Inc TR in GB</v>
      </c>
      <c r="C2698" t="str">
        <f>VLOOKUP(NoviaFunds[[#This Row],[ISIN]],'Novia Web Query'!$A:$E,3,FALSE)</f>
        <v>UT Flexible Investment</v>
      </c>
      <c r="D2698" s="139">
        <f>VLOOKUP(NoviaFunds[[#This Row],[ISIN]],'Novia Web Query'!$A:$E,4,FALSE)/100</f>
        <v>1.46E-2</v>
      </c>
      <c r="E2698" s="3" t="str">
        <f>VLOOKUP(NoviaFunds[[#This Row],[ISIN]],'Novia Web Query'!$A:$E,5,FALSE)</f>
        <v>01/10/2021</v>
      </c>
      <c r="F2698" t="str">
        <f>VLOOKUP(NoviaFunds[[#This Row],[Sector]],Sectors[],2,FALSE)</f>
        <v>Flexible</v>
      </c>
    </row>
    <row r="2699" spans="1:6" x14ac:dyDescent="0.2">
      <c r="A2699" t="str">
        <f>'Novia Web Query'!A2695</f>
        <v>GB00B0CMF532</v>
      </c>
      <c r="B2699" t="str">
        <f>VLOOKUP(NoviaFunds[[#This Row],[ISIN]],'Novia Web Query'!$A:$E,2,FALSE)</f>
        <v>Liontrust MA Active Growth R Acc TR in GB</v>
      </c>
      <c r="C2699" t="str">
        <f>VLOOKUP(NoviaFunds[[#This Row],[ISIN]],'Novia Web Query'!$A:$E,3,FALSE)</f>
        <v>UT Flexible Investment</v>
      </c>
      <c r="D2699" s="139">
        <f>VLOOKUP(NoviaFunds[[#This Row],[ISIN]],'Novia Web Query'!$A:$E,4,FALSE)/100</f>
        <v>2.2099999999999998E-2</v>
      </c>
      <c r="E2699" s="3" t="str">
        <f>VLOOKUP(NoviaFunds[[#This Row],[ISIN]],'Novia Web Query'!$A:$E,5,FALSE)</f>
        <v>01/10/2021</v>
      </c>
      <c r="F2699" t="str">
        <f>VLOOKUP(NoviaFunds[[#This Row],[Sector]],Sectors[],2,FALSE)</f>
        <v>Flexible</v>
      </c>
    </row>
    <row r="2700" spans="1:6" x14ac:dyDescent="0.2">
      <c r="A2700" t="str">
        <f>'Novia Web Query'!A2696</f>
        <v>GB0030911191</v>
      </c>
      <c r="B2700" t="str">
        <f>VLOOKUP(NoviaFunds[[#This Row],[ISIN]],'Novia Web Query'!$A:$E,2,FALSE)</f>
        <v>Liontrust MA Active Growth R Inc TR in GB</v>
      </c>
      <c r="C2700" t="str">
        <f>VLOOKUP(NoviaFunds[[#This Row],[ISIN]],'Novia Web Query'!$A:$E,3,FALSE)</f>
        <v>UT Flexible Investment</v>
      </c>
      <c r="D2700" s="139">
        <f>VLOOKUP(NoviaFunds[[#This Row],[ISIN]],'Novia Web Query'!$A:$E,4,FALSE)/100</f>
        <v>2.2099999999999998E-2</v>
      </c>
      <c r="E2700" s="3" t="str">
        <f>VLOOKUP(NoviaFunds[[#This Row],[ISIN]],'Novia Web Query'!$A:$E,5,FALSE)</f>
        <v>01/10/2021</v>
      </c>
      <c r="F2700" t="str">
        <f>VLOOKUP(NoviaFunds[[#This Row],[Sector]],Sectors[],2,FALSE)</f>
        <v>Flexible</v>
      </c>
    </row>
    <row r="2701" spans="1:6" x14ac:dyDescent="0.2">
      <c r="A2701" t="str">
        <f>'Novia Web Query'!A2697</f>
        <v>GB00BCZW6950</v>
      </c>
      <c r="B2701" t="str">
        <f>VLOOKUP(NoviaFunds[[#This Row],[ISIN]],'Novia Web Query'!$A:$E,2,FALSE)</f>
        <v>Liontrust MA Active Growth S Acc TR in GB</v>
      </c>
      <c r="C2701" t="str">
        <f>VLOOKUP(NoviaFunds[[#This Row],[ISIN]],'Novia Web Query'!$A:$E,3,FALSE)</f>
        <v>UT Flexible Investment</v>
      </c>
      <c r="D2701" s="139">
        <f>VLOOKUP(NoviaFunds[[#This Row],[ISIN]],'Novia Web Query'!$A:$E,4,FALSE)/100</f>
        <v>1.26E-2</v>
      </c>
      <c r="E2701" s="3" t="str">
        <f>VLOOKUP(NoviaFunds[[#This Row],[ISIN]],'Novia Web Query'!$A:$E,5,FALSE)</f>
        <v>01/10/2021</v>
      </c>
      <c r="F2701" t="str">
        <f>VLOOKUP(NoviaFunds[[#This Row],[Sector]],Sectors[],2,FALSE)</f>
        <v>Flexible</v>
      </c>
    </row>
    <row r="2702" spans="1:6" x14ac:dyDescent="0.2">
      <c r="A2702" t="str">
        <f>'Novia Web Query'!A2698</f>
        <v>GB00BCZW6B70</v>
      </c>
      <c r="B2702" t="str">
        <f>VLOOKUP(NoviaFunds[[#This Row],[ISIN]],'Novia Web Query'!$A:$E,2,FALSE)</f>
        <v>Liontrust MA Active Growth S Inc TR in GB</v>
      </c>
      <c r="C2702" t="str">
        <f>VLOOKUP(NoviaFunds[[#This Row],[ISIN]],'Novia Web Query'!$A:$E,3,FALSE)</f>
        <v>UT Flexible Investment</v>
      </c>
      <c r="D2702" s="139">
        <f>VLOOKUP(NoviaFunds[[#This Row],[ISIN]],'Novia Web Query'!$A:$E,4,FALSE)/100</f>
        <v>1.26E-2</v>
      </c>
      <c r="E2702" s="3" t="str">
        <f>VLOOKUP(NoviaFunds[[#This Row],[ISIN]],'Novia Web Query'!$A:$E,5,FALSE)</f>
        <v>01/10/2021</v>
      </c>
      <c r="F2702" t="str">
        <f>VLOOKUP(NoviaFunds[[#This Row],[Sector]],Sectors[],2,FALSE)</f>
        <v>Flexible</v>
      </c>
    </row>
    <row r="2703" spans="1:6" x14ac:dyDescent="0.2">
      <c r="A2703" t="str">
        <f>'Novia Web Query'!A2699</f>
        <v>GB00B7T34843</v>
      </c>
      <c r="B2703" t="str">
        <f>VLOOKUP(NoviaFunds[[#This Row],[ISIN]],'Novia Web Query'!$A:$E,2,FALSE)</f>
        <v>Liontrust MA Active Intermediate Income A Acc TR in GB</v>
      </c>
      <c r="C2703" t="str">
        <f>VLOOKUP(NoviaFunds[[#This Row],[ISIN]],'Novia Web Query'!$A:$E,3,FALSE)</f>
        <v>UT Mixed Investment 20-60% Shares</v>
      </c>
      <c r="D2703" s="139">
        <f>VLOOKUP(NoviaFunds[[#This Row],[ISIN]],'Novia Web Query'!$A:$E,4,FALSE)/100</f>
        <v>1.3000000000000001E-2</v>
      </c>
      <c r="E2703" s="3" t="str">
        <f>VLOOKUP(NoviaFunds[[#This Row],[ISIN]],'Novia Web Query'!$A:$E,5,FALSE)</f>
        <v>01/10/2021</v>
      </c>
      <c r="F2703" t="str">
        <f>VLOOKUP(NoviaFunds[[#This Row],[Sector]],Sectors[],2,FALSE)</f>
        <v>Mixed 20%-60%</v>
      </c>
    </row>
    <row r="2704" spans="1:6" x14ac:dyDescent="0.2">
      <c r="A2704" t="str">
        <f>'Novia Web Query'!A2700</f>
        <v>GB00B7TS1K06</v>
      </c>
      <c r="B2704" t="str">
        <f>VLOOKUP(NoviaFunds[[#This Row],[ISIN]],'Novia Web Query'!$A:$E,2,FALSE)</f>
        <v>Liontrust MA Active Intermediate Income A Inc TR in GB</v>
      </c>
      <c r="C2704" t="str">
        <f>VLOOKUP(NoviaFunds[[#This Row],[ISIN]],'Novia Web Query'!$A:$E,3,FALSE)</f>
        <v>UT Mixed Investment 20-60% Shares</v>
      </c>
      <c r="D2704" s="139">
        <f>VLOOKUP(NoviaFunds[[#This Row],[ISIN]],'Novia Web Query'!$A:$E,4,FALSE)/100</f>
        <v>1.3000000000000001E-2</v>
      </c>
      <c r="E2704" s="3" t="str">
        <f>VLOOKUP(NoviaFunds[[#This Row],[ISIN]],'Novia Web Query'!$A:$E,5,FALSE)</f>
        <v>01/10/2021</v>
      </c>
      <c r="F2704" t="str">
        <f>VLOOKUP(NoviaFunds[[#This Row],[Sector]],Sectors[],2,FALSE)</f>
        <v>Mixed 20%-60%</v>
      </c>
    </row>
    <row r="2705" spans="1:6" x14ac:dyDescent="0.2">
      <c r="A2705" t="str">
        <f>'Novia Web Query'!A2701</f>
        <v>GB00B659R796</v>
      </c>
      <c r="B2705" t="str">
        <f>VLOOKUP(NoviaFunds[[#This Row],[ISIN]],'Novia Web Query'!$A:$E,2,FALSE)</f>
        <v>Liontrust MA Active Intermediate Income R Acc TR in GB</v>
      </c>
      <c r="C2705" t="str">
        <f>VLOOKUP(NoviaFunds[[#This Row],[ISIN]],'Novia Web Query'!$A:$E,3,FALSE)</f>
        <v>UT Mixed Investment 20-60% Shares</v>
      </c>
      <c r="D2705" s="139">
        <f>VLOOKUP(NoviaFunds[[#This Row],[ISIN]],'Novia Web Query'!$A:$E,4,FALSE)/100</f>
        <v>2.0499999999999997E-2</v>
      </c>
      <c r="E2705" s="3" t="str">
        <f>VLOOKUP(NoviaFunds[[#This Row],[ISIN]],'Novia Web Query'!$A:$E,5,FALSE)</f>
        <v>01/10/2021</v>
      </c>
      <c r="F2705" t="str">
        <f>VLOOKUP(NoviaFunds[[#This Row],[Sector]],Sectors[],2,FALSE)</f>
        <v>Mixed 20%-60%</v>
      </c>
    </row>
    <row r="2706" spans="1:6" x14ac:dyDescent="0.2">
      <c r="A2706" t="str">
        <f>'Novia Web Query'!A2702</f>
        <v>GB0030911084</v>
      </c>
      <c r="B2706" t="str">
        <f>VLOOKUP(NoviaFunds[[#This Row],[ISIN]],'Novia Web Query'!$A:$E,2,FALSE)</f>
        <v>Liontrust MA Active Intermediate Income R Inc TR in GB</v>
      </c>
      <c r="C2706" t="str">
        <f>VLOOKUP(NoviaFunds[[#This Row],[ISIN]],'Novia Web Query'!$A:$E,3,FALSE)</f>
        <v>UT Mixed Investment 20-60% Shares</v>
      </c>
      <c r="D2706" s="139">
        <f>VLOOKUP(NoviaFunds[[#This Row],[ISIN]],'Novia Web Query'!$A:$E,4,FALSE)/100</f>
        <v>2.0499999999999997E-2</v>
      </c>
      <c r="E2706" s="3" t="str">
        <f>VLOOKUP(NoviaFunds[[#This Row],[ISIN]],'Novia Web Query'!$A:$E,5,FALSE)</f>
        <v>01/10/2021</v>
      </c>
      <c r="F2706" t="str">
        <f>VLOOKUP(NoviaFunds[[#This Row],[Sector]],Sectors[],2,FALSE)</f>
        <v>Mixed 20%-60%</v>
      </c>
    </row>
    <row r="2707" spans="1:6" x14ac:dyDescent="0.2">
      <c r="A2707" t="str">
        <f>'Novia Web Query'!A2703</f>
        <v>GB00BCZW6F19</v>
      </c>
      <c r="B2707" t="str">
        <f>VLOOKUP(NoviaFunds[[#This Row],[ISIN]],'Novia Web Query'!$A:$E,2,FALSE)</f>
        <v>Liontrust MA Active Intermediate Income S Acc TR in GB</v>
      </c>
      <c r="C2707" t="str">
        <f>VLOOKUP(NoviaFunds[[#This Row],[ISIN]],'Novia Web Query'!$A:$E,3,FALSE)</f>
        <v>UT Mixed Investment 20-60% Shares</v>
      </c>
      <c r="D2707" s="139">
        <f>VLOOKUP(NoviaFunds[[#This Row],[ISIN]],'Novia Web Query'!$A:$E,4,FALSE)/100</f>
        <v>1.1000000000000001E-2</v>
      </c>
      <c r="E2707" s="3" t="str">
        <f>VLOOKUP(NoviaFunds[[#This Row],[ISIN]],'Novia Web Query'!$A:$E,5,FALSE)</f>
        <v>01/10/2021</v>
      </c>
      <c r="F2707" t="str">
        <f>VLOOKUP(NoviaFunds[[#This Row],[Sector]],Sectors[],2,FALSE)</f>
        <v>Mixed 20%-60%</v>
      </c>
    </row>
    <row r="2708" spans="1:6" x14ac:dyDescent="0.2">
      <c r="A2708" t="str">
        <f>'Novia Web Query'!A2704</f>
        <v>GB00BCZW6G26</v>
      </c>
      <c r="B2708" t="str">
        <f>VLOOKUP(NoviaFunds[[#This Row],[ISIN]],'Novia Web Query'!$A:$E,2,FALSE)</f>
        <v>Liontrust MA Active Intermediate Income S Inc TR in GB</v>
      </c>
      <c r="C2708" t="str">
        <f>VLOOKUP(NoviaFunds[[#This Row],[ISIN]],'Novia Web Query'!$A:$E,3,FALSE)</f>
        <v>UT Mixed Investment 20-60% Shares</v>
      </c>
      <c r="D2708" s="139">
        <f>VLOOKUP(NoviaFunds[[#This Row],[ISIN]],'Novia Web Query'!$A:$E,4,FALSE)/100</f>
        <v>1.1000000000000001E-2</v>
      </c>
      <c r="E2708" s="3" t="str">
        <f>VLOOKUP(NoviaFunds[[#This Row],[ISIN]],'Novia Web Query'!$A:$E,5,FALSE)</f>
        <v>01/10/2021</v>
      </c>
      <c r="F2708" t="str">
        <f>VLOOKUP(NoviaFunds[[#This Row],[Sector]],Sectors[],2,FALSE)</f>
        <v>Mixed 20%-60%</v>
      </c>
    </row>
    <row r="2709" spans="1:6" x14ac:dyDescent="0.2">
      <c r="A2709" t="str">
        <f>'Novia Web Query'!A2705</f>
        <v>GB00B8HWD272</v>
      </c>
      <c r="B2709" t="str">
        <f>VLOOKUP(NoviaFunds[[#This Row],[ISIN]],'Novia Web Query'!$A:$E,2,FALSE)</f>
        <v>Liontrust MA Active Moderate Income A Acc TR in GB</v>
      </c>
      <c r="C2709" t="str">
        <f>VLOOKUP(NoviaFunds[[#This Row],[ISIN]],'Novia Web Query'!$A:$E,3,FALSE)</f>
        <v>UT Mixed Investment 0-35% Shares</v>
      </c>
      <c r="D2709" s="139">
        <f>VLOOKUP(NoviaFunds[[#This Row],[ISIN]],'Novia Web Query'!$A:$E,4,FALSE)/100</f>
        <v>1.21E-2</v>
      </c>
      <c r="E2709" s="3" t="str">
        <f>VLOOKUP(NoviaFunds[[#This Row],[ISIN]],'Novia Web Query'!$A:$E,5,FALSE)</f>
        <v>01/10/2021</v>
      </c>
      <c r="F2709" t="str">
        <f>VLOOKUP(NoviaFunds[[#This Row],[Sector]],Sectors[],2,FALSE)</f>
        <v>Mixed 0%-35%</v>
      </c>
    </row>
    <row r="2710" spans="1:6" x14ac:dyDescent="0.2">
      <c r="A2710" t="str">
        <f>'Novia Web Query'!A2706</f>
        <v>GB00B7WJTH36</v>
      </c>
      <c r="B2710" t="str">
        <f>VLOOKUP(NoviaFunds[[#This Row],[ISIN]],'Novia Web Query'!$A:$E,2,FALSE)</f>
        <v>Liontrust MA Active Moderate Income A Inc TR in GB</v>
      </c>
      <c r="C2710" t="str">
        <f>VLOOKUP(NoviaFunds[[#This Row],[ISIN]],'Novia Web Query'!$A:$E,3,FALSE)</f>
        <v>UT Mixed Investment 0-35% Shares</v>
      </c>
      <c r="D2710" s="139">
        <f>VLOOKUP(NoviaFunds[[#This Row],[ISIN]],'Novia Web Query'!$A:$E,4,FALSE)/100</f>
        <v>1.21E-2</v>
      </c>
      <c r="E2710" s="3" t="str">
        <f>VLOOKUP(NoviaFunds[[#This Row],[ISIN]],'Novia Web Query'!$A:$E,5,FALSE)</f>
        <v>01/10/2021</v>
      </c>
      <c r="F2710" t="str">
        <f>VLOOKUP(NoviaFunds[[#This Row],[Sector]],Sectors[],2,FALSE)</f>
        <v>Mixed 0%-35%</v>
      </c>
    </row>
    <row r="2711" spans="1:6" x14ac:dyDescent="0.2">
      <c r="A2711" t="str">
        <f>'Novia Web Query'!A2707</f>
        <v>GB0034252022</v>
      </c>
      <c r="B2711" t="str">
        <f>VLOOKUP(NoviaFunds[[#This Row],[ISIN]],'Novia Web Query'!$A:$E,2,FALSE)</f>
        <v>Liontrust MA Active Moderate Income R Acc TR in GB</v>
      </c>
      <c r="C2711" t="str">
        <f>VLOOKUP(NoviaFunds[[#This Row],[ISIN]],'Novia Web Query'!$A:$E,3,FALSE)</f>
        <v>UT Mixed Investment 0-35% Shares</v>
      </c>
      <c r="D2711" s="139">
        <f>VLOOKUP(NoviaFunds[[#This Row],[ISIN]],'Novia Web Query'!$A:$E,4,FALSE)/100</f>
        <v>1.9599999999999999E-2</v>
      </c>
      <c r="E2711" s="3" t="str">
        <f>VLOOKUP(NoviaFunds[[#This Row],[ISIN]],'Novia Web Query'!$A:$E,5,FALSE)</f>
        <v>01/10/2021</v>
      </c>
      <c r="F2711" t="str">
        <f>VLOOKUP(NoviaFunds[[#This Row],[Sector]],Sectors[],2,FALSE)</f>
        <v>Mixed 0%-35%</v>
      </c>
    </row>
    <row r="2712" spans="1:6" x14ac:dyDescent="0.2">
      <c r="A2712" t="str">
        <f>'Novia Web Query'!A2708</f>
        <v>GB0034251941</v>
      </c>
      <c r="B2712" t="str">
        <f>VLOOKUP(NoviaFunds[[#This Row],[ISIN]],'Novia Web Query'!$A:$E,2,FALSE)</f>
        <v>Liontrust MA Active Moderate Income R Inc TR in GB</v>
      </c>
      <c r="C2712" t="str">
        <f>VLOOKUP(NoviaFunds[[#This Row],[ISIN]],'Novia Web Query'!$A:$E,3,FALSE)</f>
        <v>UT Mixed Investment 0-35% Shares</v>
      </c>
      <c r="D2712" s="139">
        <f>VLOOKUP(NoviaFunds[[#This Row],[ISIN]],'Novia Web Query'!$A:$E,4,FALSE)/100</f>
        <v>1.9599999999999999E-2</v>
      </c>
      <c r="E2712" s="3" t="str">
        <f>VLOOKUP(NoviaFunds[[#This Row],[ISIN]],'Novia Web Query'!$A:$E,5,FALSE)</f>
        <v>01/10/2021</v>
      </c>
      <c r="F2712" t="str">
        <f>VLOOKUP(NoviaFunds[[#This Row],[Sector]],Sectors[],2,FALSE)</f>
        <v>Mixed 0%-35%</v>
      </c>
    </row>
    <row r="2713" spans="1:6" x14ac:dyDescent="0.2">
      <c r="A2713" t="str">
        <f>'Novia Web Query'!A2709</f>
        <v>GB00BCZW6J56</v>
      </c>
      <c r="B2713" t="str">
        <f>VLOOKUP(NoviaFunds[[#This Row],[ISIN]],'Novia Web Query'!$A:$E,2,FALSE)</f>
        <v>Liontrust MA Active Moderate Income S Acc TR in GB</v>
      </c>
      <c r="C2713" t="str">
        <f>VLOOKUP(NoviaFunds[[#This Row],[ISIN]],'Novia Web Query'!$A:$E,3,FALSE)</f>
        <v>UT Mixed Investment 0-35% Shares</v>
      </c>
      <c r="D2713" s="139">
        <f>VLOOKUP(NoviaFunds[[#This Row],[ISIN]],'Novia Web Query'!$A:$E,4,FALSE)/100</f>
        <v>1.01E-2</v>
      </c>
      <c r="E2713" s="3" t="str">
        <f>VLOOKUP(NoviaFunds[[#This Row],[ISIN]],'Novia Web Query'!$A:$E,5,FALSE)</f>
        <v>01/10/2021</v>
      </c>
      <c r="F2713" t="str">
        <f>VLOOKUP(NoviaFunds[[#This Row],[Sector]],Sectors[],2,FALSE)</f>
        <v>Mixed 0%-35%</v>
      </c>
    </row>
    <row r="2714" spans="1:6" x14ac:dyDescent="0.2">
      <c r="A2714" t="str">
        <f>'Novia Web Query'!A2710</f>
        <v>GB00BCZW6H33</v>
      </c>
      <c r="B2714" t="str">
        <f>VLOOKUP(NoviaFunds[[#This Row],[ISIN]],'Novia Web Query'!$A:$E,2,FALSE)</f>
        <v>Liontrust MA Active Moderate Income S Inc TR in GB</v>
      </c>
      <c r="C2714" t="str">
        <f>VLOOKUP(NoviaFunds[[#This Row],[ISIN]],'Novia Web Query'!$A:$E,3,FALSE)</f>
        <v>UT Mixed Investment 0-35% Shares</v>
      </c>
      <c r="D2714" s="139">
        <f>VLOOKUP(NoviaFunds[[#This Row],[ISIN]],'Novia Web Query'!$A:$E,4,FALSE)/100</f>
        <v>1.01E-2</v>
      </c>
      <c r="E2714" s="3" t="str">
        <f>VLOOKUP(NoviaFunds[[#This Row],[ISIN]],'Novia Web Query'!$A:$E,5,FALSE)</f>
        <v>01/10/2021</v>
      </c>
      <c r="F2714" t="str">
        <f>VLOOKUP(NoviaFunds[[#This Row],[Sector]],Sectors[],2,FALSE)</f>
        <v>Mixed 0%-35%</v>
      </c>
    </row>
    <row r="2715" spans="1:6" x14ac:dyDescent="0.2">
      <c r="A2715" t="str">
        <f>'Novia Web Query'!A2711</f>
        <v>GB00B7JBSW09</v>
      </c>
      <c r="B2715" t="str">
        <f>VLOOKUP(NoviaFunds[[#This Row],[ISIN]],'Novia Web Query'!$A:$E,2,FALSE)</f>
        <v>Liontrust MA Active Progressive A Acc TR in GB</v>
      </c>
      <c r="C2715" t="str">
        <f>VLOOKUP(NoviaFunds[[#This Row],[ISIN]],'Novia Web Query'!$A:$E,3,FALSE)</f>
        <v>UT Mixed Investment 40-85% Shares</v>
      </c>
      <c r="D2715" s="139">
        <f>VLOOKUP(NoviaFunds[[#This Row],[ISIN]],'Novia Web Query'!$A:$E,4,FALSE)/100</f>
        <v>1.3500000000000002E-2</v>
      </c>
      <c r="E2715" s="3" t="str">
        <f>VLOOKUP(NoviaFunds[[#This Row],[ISIN]],'Novia Web Query'!$A:$E,5,FALSE)</f>
        <v>01/10/2021</v>
      </c>
      <c r="F2715" t="str">
        <f>VLOOKUP(NoviaFunds[[#This Row],[Sector]],Sectors[],2,FALSE)</f>
        <v>Mixed 40%-85%</v>
      </c>
    </row>
    <row r="2716" spans="1:6" x14ac:dyDescent="0.2">
      <c r="A2716" t="str">
        <f>'Novia Web Query'!A2712</f>
        <v>GB00B7KJWV03</v>
      </c>
      <c r="B2716" t="str">
        <f>VLOOKUP(NoviaFunds[[#This Row],[ISIN]],'Novia Web Query'!$A:$E,2,FALSE)</f>
        <v>Liontrust MA Active Progressive A Inc TR in GB</v>
      </c>
      <c r="C2716" t="str">
        <f>VLOOKUP(NoviaFunds[[#This Row],[ISIN]],'Novia Web Query'!$A:$E,3,FALSE)</f>
        <v>UT Mixed Investment 40-85% Shares</v>
      </c>
      <c r="D2716" s="139">
        <f>VLOOKUP(NoviaFunds[[#This Row],[ISIN]],'Novia Web Query'!$A:$E,4,FALSE)/100</f>
        <v>1.3500000000000002E-2</v>
      </c>
      <c r="E2716" s="3" t="str">
        <f>VLOOKUP(NoviaFunds[[#This Row],[ISIN]],'Novia Web Query'!$A:$E,5,FALSE)</f>
        <v>01/10/2021</v>
      </c>
      <c r="F2716" t="str">
        <f>VLOOKUP(NoviaFunds[[#This Row],[Sector]],Sectors[],2,FALSE)</f>
        <v>Mixed 40%-85%</v>
      </c>
    </row>
    <row r="2717" spans="1:6" x14ac:dyDescent="0.2">
      <c r="A2717" t="str">
        <f>'Novia Web Query'!A2713</f>
        <v>GB00B0F47385</v>
      </c>
      <c r="B2717" t="str">
        <f>VLOOKUP(NoviaFunds[[#This Row],[ISIN]],'Novia Web Query'!$A:$E,2,FALSE)</f>
        <v>Liontrust MA Active Progressive R Acc in GB</v>
      </c>
      <c r="C2717" t="str">
        <f>VLOOKUP(NoviaFunds[[#This Row],[ISIN]],'Novia Web Query'!$A:$E,3,FALSE)</f>
        <v>UT Mixed Investment 40-85% Shares</v>
      </c>
      <c r="D2717" s="139">
        <f>VLOOKUP(NoviaFunds[[#This Row],[ISIN]],'Novia Web Query'!$A:$E,4,FALSE)/100</f>
        <v>2.1000000000000001E-2</v>
      </c>
      <c r="E2717" s="3" t="str">
        <f>VLOOKUP(NoviaFunds[[#This Row],[ISIN]],'Novia Web Query'!$A:$E,5,FALSE)</f>
        <v>01/10/2021</v>
      </c>
      <c r="F2717" t="str">
        <f>VLOOKUP(NoviaFunds[[#This Row],[Sector]],Sectors[],2,FALSE)</f>
        <v>Mixed 40%-85%</v>
      </c>
    </row>
    <row r="2718" spans="1:6" x14ac:dyDescent="0.2">
      <c r="A2718" t="str">
        <f>'Novia Web Query'!A2714</f>
        <v>GB00B0F43C99</v>
      </c>
      <c r="B2718" t="str">
        <f>VLOOKUP(NoviaFunds[[#This Row],[ISIN]],'Novia Web Query'!$A:$E,2,FALSE)</f>
        <v>Liontrust MA Active Progressive R Inc TR in GB</v>
      </c>
      <c r="C2718" t="str">
        <f>VLOOKUP(NoviaFunds[[#This Row],[ISIN]],'Novia Web Query'!$A:$E,3,FALSE)</f>
        <v>UT Mixed Investment 40-85% Shares</v>
      </c>
      <c r="D2718" s="139">
        <f>VLOOKUP(NoviaFunds[[#This Row],[ISIN]],'Novia Web Query'!$A:$E,4,FALSE)/100</f>
        <v>2.1000000000000001E-2</v>
      </c>
      <c r="E2718" s="3" t="str">
        <f>VLOOKUP(NoviaFunds[[#This Row],[ISIN]],'Novia Web Query'!$A:$E,5,FALSE)</f>
        <v>01/10/2021</v>
      </c>
      <c r="F2718" t="str">
        <f>VLOOKUP(NoviaFunds[[#This Row],[Sector]],Sectors[],2,FALSE)</f>
        <v>Mixed 40%-85%</v>
      </c>
    </row>
    <row r="2719" spans="1:6" x14ac:dyDescent="0.2">
      <c r="A2719" t="str">
        <f>'Novia Web Query'!A2715</f>
        <v>GB00BCZW6C87</v>
      </c>
      <c r="B2719" t="str">
        <f>VLOOKUP(NoviaFunds[[#This Row],[ISIN]],'Novia Web Query'!$A:$E,2,FALSE)</f>
        <v>Liontrust MA Active Progressive S Acc TR in GB</v>
      </c>
      <c r="C2719" t="str">
        <f>VLOOKUP(NoviaFunds[[#This Row],[ISIN]],'Novia Web Query'!$A:$E,3,FALSE)</f>
        <v>UT Mixed Investment 40-85% Shares</v>
      </c>
      <c r="D2719" s="139">
        <f>VLOOKUP(NoviaFunds[[#This Row],[ISIN]],'Novia Web Query'!$A:$E,4,FALSE)/100</f>
        <v>1.15E-2</v>
      </c>
      <c r="E2719" s="3" t="str">
        <f>VLOOKUP(NoviaFunds[[#This Row],[ISIN]],'Novia Web Query'!$A:$E,5,FALSE)</f>
        <v>01/10/2021</v>
      </c>
      <c r="F2719" t="str">
        <f>VLOOKUP(NoviaFunds[[#This Row],[Sector]],Sectors[],2,FALSE)</f>
        <v>Mixed 40%-85%</v>
      </c>
    </row>
    <row r="2720" spans="1:6" x14ac:dyDescent="0.2">
      <c r="A2720" t="str">
        <f>'Novia Web Query'!A2716</f>
        <v>GB00BCZW6D94</v>
      </c>
      <c r="B2720" t="str">
        <f>VLOOKUP(NoviaFunds[[#This Row],[ISIN]],'Novia Web Query'!$A:$E,2,FALSE)</f>
        <v>Liontrust MA Active Progressive S Inc TR in GB</v>
      </c>
      <c r="C2720" t="str">
        <f>VLOOKUP(NoviaFunds[[#This Row],[ISIN]],'Novia Web Query'!$A:$E,3,FALSE)</f>
        <v>UT Mixed Investment 40-85% Shares</v>
      </c>
      <c r="D2720" s="139">
        <f>VLOOKUP(NoviaFunds[[#This Row],[ISIN]],'Novia Web Query'!$A:$E,4,FALSE)/100</f>
        <v>1.15E-2</v>
      </c>
      <c r="E2720" s="3" t="str">
        <f>VLOOKUP(NoviaFunds[[#This Row],[ISIN]],'Novia Web Query'!$A:$E,5,FALSE)</f>
        <v>01/10/2021</v>
      </c>
      <c r="F2720" t="str">
        <f>VLOOKUP(NoviaFunds[[#This Row],[Sector]],Sectors[],2,FALSE)</f>
        <v>Mixed 40%-85%</v>
      </c>
    </row>
    <row r="2721" spans="1:6" x14ac:dyDescent="0.2">
      <c r="A2721" t="str">
        <f>'Novia Web Query'!A2717</f>
        <v>GB00B84QFC61</v>
      </c>
      <c r="B2721" t="str">
        <f>VLOOKUP(NoviaFunds[[#This Row],[ISIN]],'Novia Web Query'!$A:$E,2,FALSE)</f>
        <v>Liontrust MA Active Reserve A Acc TR in GB</v>
      </c>
      <c r="C2721" t="str">
        <f>VLOOKUP(NoviaFunds[[#This Row],[ISIN]],'Novia Web Query'!$A:$E,3,FALSE)</f>
        <v>UT Volatility Managed</v>
      </c>
      <c r="D2721" s="139">
        <f>VLOOKUP(NoviaFunds[[#This Row],[ISIN]],'Novia Web Query'!$A:$E,4,FALSE)/100</f>
        <v>8.5000000000000006E-3</v>
      </c>
      <c r="E2721" s="3" t="str">
        <f>VLOOKUP(NoviaFunds[[#This Row],[ISIN]],'Novia Web Query'!$A:$E,5,FALSE)</f>
        <v>01/10/2021</v>
      </c>
      <c r="F2721" t="e">
        <f>VLOOKUP(NoviaFunds[[#This Row],[Sector]],Sectors[],2,FALSE)</f>
        <v>#N/A</v>
      </c>
    </row>
    <row r="2722" spans="1:6" x14ac:dyDescent="0.2">
      <c r="A2722" t="str">
        <f>'Novia Web Query'!A2718</f>
        <v>GB00B84PSB35</v>
      </c>
      <c r="B2722" t="str">
        <f>VLOOKUP(NoviaFunds[[#This Row],[ISIN]],'Novia Web Query'!$A:$E,2,FALSE)</f>
        <v>Liontrust MA Active Reserve A Inc TR in GB</v>
      </c>
      <c r="C2722" t="str">
        <f>VLOOKUP(NoviaFunds[[#This Row],[ISIN]],'Novia Web Query'!$A:$E,3,FALSE)</f>
        <v>UT Volatility Managed</v>
      </c>
      <c r="D2722" s="139">
        <f>VLOOKUP(NoviaFunds[[#This Row],[ISIN]],'Novia Web Query'!$A:$E,4,FALSE)/100</f>
        <v>8.5000000000000006E-3</v>
      </c>
      <c r="E2722" s="3" t="str">
        <f>VLOOKUP(NoviaFunds[[#This Row],[ISIN]],'Novia Web Query'!$A:$E,5,FALSE)</f>
        <v>01/10/2021</v>
      </c>
      <c r="F2722" t="e">
        <f>VLOOKUP(NoviaFunds[[#This Row],[Sector]],Sectors[],2,FALSE)</f>
        <v>#N/A</v>
      </c>
    </row>
    <row r="2723" spans="1:6" x14ac:dyDescent="0.2">
      <c r="A2723" t="str">
        <f>'Novia Web Query'!A2719</f>
        <v>GB00B1QM0S43</v>
      </c>
      <c r="B2723" t="str">
        <f>VLOOKUP(NoviaFunds[[#This Row],[ISIN]],'Novia Web Query'!$A:$E,2,FALSE)</f>
        <v>Liontrust MA Active Reserve R Acc TR in GB</v>
      </c>
      <c r="C2723" t="str">
        <f>VLOOKUP(NoviaFunds[[#This Row],[ISIN]],'Novia Web Query'!$A:$E,3,FALSE)</f>
        <v>UT Volatility Managed</v>
      </c>
      <c r="D2723" s="139">
        <f>VLOOKUP(NoviaFunds[[#This Row],[ISIN]],'Novia Web Query'!$A:$E,4,FALSE)/100</f>
        <v>1.2500000000000001E-2</v>
      </c>
      <c r="E2723" s="3" t="str">
        <f>VLOOKUP(NoviaFunds[[#This Row],[ISIN]],'Novia Web Query'!$A:$E,5,FALSE)</f>
        <v>01/10/2021</v>
      </c>
      <c r="F2723" t="e">
        <f>VLOOKUP(NoviaFunds[[#This Row],[Sector]],Sectors[],2,FALSE)</f>
        <v>#N/A</v>
      </c>
    </row>
    <row r="2724" spans="1:6" x14ac:dyDescent="0.2">
      <c r="A2724" t="str">
        <f>'Novia Web Query'!A2720</f>
        <v>GB00B1QLC299</v>
      </c>
      <c r="B2724" t="str">
        <f>VLOOKUP(NoviaFunds[[#This Row],[ISIN]],'Novia Web Query'!$A:$E,2,FALSE)</f>
        <v>Liontrust MA Active Reserve R Inc TR in GB</v>
      </c>
      <c r="C2724" t="str">
        <f>VLOOKUP(NoviaFunds[[#This Row],[ISIN]],'Novia Web Query'!$A:$E,3,FALSE)</f>
        <v>UT Volatility Managed</v>
      </c>
      <c r="D2724" s="139">
        <f>VLOOKUP(NoviaFunds[[#This Row],[ISIN]],'Novia Web Query'!$A:$E,4,FALSE)/100</f>
        <v>1.2500000000000001E-2</v>
      </c>
      <c r="E2724" s="3" t="str">
        <f>VLOOKUP(NoviaFunds[[#This Row],[ISIN]],'Novia Web Query'!$A:$E,5,FALSE)</f>
        <v>01/10/2021</v>
      </c>
      <c r="F2724" t="e">
        <f>VLOOKUP(NoviaFunds[[#This Row],[Sector]],Sectors[],2,FALSE)</f>
        <v>#N/A</v>
      </c>
    </row>
    <row r="2725" spans="1:6" x14ac:dyDescent="0.2">
      <c r="A2725" t="str">
        <f>'Novia Web Query'!A2721</f>
        <v>GB00BCZW6N92</v>
      </c>
      <c r="B2725" t="str">
        <f>VLOOKUP(NoviaFunds[[#This Row],[ISIN]],'Novia Web Query'!$A:$E,2,FALSE)</f>
        <v>Liontrust MA Active Reserve S Acc in GB</v>
      </c>
      <c r="C2725" t="str">
        <f>VLOOKUP(NoviaFunds[[#This Row],[ISIN]],'Novia Web Query'!$A:$E,3,FALSE)</f>
        <v>UT Volatility Managed</v>
      </c>
      <c r="D2725" s="139">
        <f>VLOOKUP(NoviaFunds[[#This Row],[ISIN]],'Novia Web Query'!$A:$E,4,FALSE)/100</f>
        <v>8.0000000000000002E-3</v>
      </c>
      <c r="E2725" s="3" t="str">
        <f>VLOOKUP(NoviaFunds[[#This Row],[ISIN]],'Novia Web Query'!$A:$E,5,FALSE)</f>
        <v>01/10/2021</v>
      </c>
      <c r="F2725" t="e">
        <f>VLOOKUP(NoviaFunds[[#This Row],[Sector]],Sectors[],2,FALSE)</f>
        <v>#N/A</v>
      </c>
    </row>
    <row r="2726" spans="1:6" x14ac:dyDescent="0.2">
      <c r="A2726" t="str">
        <f>'Novia Web Query'!A2722</f>
        <v>GB00BCZW6M85</v>
      </c>
      <c r="B2726" t="str">
        <f>VLOOKUP(NoviaFunds[[#This Row],[ISIN]],'Novia Web Query'!$A:$E,2,FALSE)</f>
        <v>Liontrust MA Active Reserve S Inc TR in GB</v>
      </c>
      <c r="C2726" t="str">
        <f>VLOOKUP(NoviaFunds[[#This Row],[ISIN]],'Novia Web Query'!$A:$E,3,FALSE)</f>
        <v>UT Volatility Managed</v>
      </c>
      <c r="D2726" s="139">
        <f>VLOOKUP(NoviaFunds[[#This Row],[ISIN]],'Novia Web Query'!$A:$E,4,FALSE)/100</f>
        <v>8.0000000000000002E-3</v>
      </c>
      <c r="E2726" s="3" t="str">
        <f>VLOOKUP(NoviaFunds[[#This Row],[ISIN]],'Novia Web Query'!$A:$E,5,FALSE)</f>
        <v>01/10/2021</v>
      </c>
      <c r="F2726" t="e">
        <f>VLOOKUP(NoviaFunds[[#This Row],[Sector]],Sectors[],2,FALSE)</f>
        <v>#N/A</v>
      </c>
    </row>
    <row r="2727" spans="1:6" x14ac:dyDescent="0.2">
      <c r="A2727" t="str">
        <f>'Novia Web Query'!A2723</f>
        <v>GB00B820T519</v>
      </c>
      <c r="B2727" t="str">
        <f>VLOOKUP(NoviaFunds[[#This Row],[ISIN]],'Novia Web Query'!$A:$E,2,FALSE)</f>
        <v>Liontrust MA Blended Growth A Acc in GB</v>
      </c>
      <c r="C2727" t="str">
        <f>VLOOKUP(NoviaFunds[[#This Row],[ISIN]],'Novia Web Query'!$A:$E,3,FALSE)</f>
        <v>UT Volatility Managed</v>
      </c>
      <c r="D2727" s="139">
        <f>VLOOKUP(NoviaFunds[[#This Row],[ISIN]],'Novia Web Query'!$A:$E,4,FALSE)/100</f>
        <v>1.3000000000000001E-2</v>
      </c>
      <c r="E2727" s="3" t="str">
        <f>VLOOKUP(NoviaFunds[[#This Row],[ISIN]],'Novia Web Query'!$A:$E,5,FALSE)</f>
        <v>01/10/2021</v>
      </c>
      <c r="F2727" t="e">
        <f>VLOOKUP(NoviaFunds[[#This Row],[Sector]],Sectors[],2,FALSE)</f>
        <v>#N/A</v>
      </c>
    </row>
    <row r="2728" spans="1:6" x14ac:dyDescent="0.2">
      <c r="A2728" t="str">
        <f>'Novia Web Query'!A2724</f>
        <v>GB0032816976</v>
      </c>
      <c r="B2728" t="str">
        <f>VLOOKUP(NoviaFunds[[#This Row],[ISIN]],'Novia Web Query'!$A:$E,2,FALSE)</f>
        <v>Liontrust MA Blended Growth R Acc in GB</v>
      </c>
      <c r="C2728" t="str">
        <f>VLOOKUP(NoviaFunds[[#This Row],[ISIN]],'Novia Web Query'!$A:$E,3,FALSE)</f>
        <v>UT Volatility Managed</v>
      </c>
      <c r="D2728" s="139">
        <f>VLOOKUP(NoviaFunds[[#This Row],[ISIN]],'Novia Web Query'!$A:$E,4,FALSE)/100</f>
        <v>0.02</v>
      </c>
      <c r="E2728" s="3" t="str">
        <f>VLOOKUP(NoviaFunds[[#This Row],[ISIN]],'Novia Web Query'!$A:$E,5,FALSE)</f>
        <v>01/10/2021</v>
      </c>
      <c r="F2728" t="e">
        <f>VLOOKUP(NoviaFunds[[#This Row],[Sector]],Sectors[],2,FALSE)</f>
        <v>#N/A</v>
      </c>
    </row>
    <row r="2729" spans="1:6" x14ac:dyDescent="0.2">
      <c r="A2729" t="str">
        <f>'Novia Web Query'!A2725</f>
        <v>GB00BCZW5H67</v>
      </c>
      <c r="B2729" t="str">
        <f>VLOOKUP(NoviaFunds[[#This Row],[ISIN]],'Novia Web Query'!$A:$E,2,FALSE)</f>
        <v>Liontrust MA Blended Growth S Acc in GB</v>
      </c>
      <c r="C2729" t="str">
        <f>VLOOKUP(NoviaFunds[[#This Row],[ISIN]],'Novia Web Query'!$A:$E,3,FALSE)</f>
        <v>UT Volatility Managed</v>
      </c>
      <c r="D2729" s="139">
        <f>VLOOKUP(NoviaFunds[[#This Row],[ISIN]],'Novia Web Query'!$A:$E,4,FALSE)/100</f>
        <v>1.1000000000000001E-2</v>
      </c>
      <c r="E2729" s="3" t="str">
        <f>VLOOKUP(NoviaFunds[[#This Row],[ISIN]],'Novia Web Query'!$A:$E,5,FALSE)</f>
        <v>01/10/2021</v>
      </c>
      <c r="F2729" t="e">
        <f>VLOOKUP(NoviaFunds[[#This Row],[Sector]],Sectors[],2,FALSE)</f>
        <v>#N/A</v>
      </c>
    </row>
    <row r="2730" spans="1:6" x14ac:dyDescent="0.2">
      <c r="A2730" t="str">
        <f>'Novia Web Query'!A2726</f>
        <v>GB00B8KLDR64</v>
      </c>
      <c r="B2730" t="str">
        <f>VLOOKUP(NoviaFunds[[#This Row],[ISIN]],'Novia Web Query'!$A:$E,2,FALSE)</f>
        <v>Liontrust MA Blended Intermediate A Acc in GB</v>
      </c>
      <c r="C2730" t="str">
        <f>VLOOKUP(NoviaFunds[[#This Row],[ISIN]],'Novia Web Query'!$A:$E,3,FALSE)</f>
        <v>UT Volatility Managed</v>
      </c>
      <c r="D2730" s="139">
        <f>VLOOKUP(NoviaFunds[[#This Row],[ISIN]],'Novia Web Query'!$A:$E,4,FALSE)/100</f>
        <v>1.11E-2</v>
      </c>
      <c r="E2730" s="3" t="str">
        <f>VLOOKUP(NoviaFunds[[#This Row],[ISIN]],'Novia Web Query'!$A:$E,5,FALSE)</f>
        <v>01/10/2021</v>
      </c>
      <c r="F2730" t="e">
        <f>VLOOKUP(NoviaFunds[[#This Row],[Sector]],Sectors[],2,FALSE)</f>
        <v>#N/A</v>
      </c>
    </row>
    <row r="2731" spans="1:6" x14ac:dyDescent="0.2">
      <c r="A2731" t="str">
        <f>'Novia Web Query'!A2727</f>
        <v>GB00B8FPSZ60</v>
      </c>
      <c r="B2731" t="str">
        <f>VLOOKUP(NoviaFunds[[#This Row],[ISIN]],'Novia Web Query'!$A:$E,2,FALSE)</f>
        <v>Liontrust MA Blended Intermediate A Inc TR in GB</v>
      </c>
      <c r="C2731" t="str">
        <f>VLOOKUP(NoviaFunds[[#This Row],[ISIN]],'Novia Web Query'!$A:$E,3,FALSE)</f>
        <v>UT Volatility Managed</v>
      </c>
      <c r="D2731" s="139">
        <f>VLOOKUP(NoviaFunds[[#This Row],[ISIN]],'Novia Web Query'!$A:$E,4,FALSE)/100</f>
        <v>1.11E-2</v>
      </c>
      <c r="E2731" s="3" t="str">
        <f>VLOOKUP(NoviaFunds[[#This Row],[ISIN]],'Novia Web Query'!$A:$E,5,FALSE)</f>
        <v>01/10/2021</v>
      </c>
      <c r="F2731" t="e">
        <f>VLOOKUP(NoviaFunds[[#This Row],[Sector]],Sectors[],2,FALSE)</f>
        <v>#N/A</v>
      </c>
    </row>
    <row r="2732" spans="1:6" x14ac:dyDescent="0.2">
      <c r="A2732" t="str">
        <f>'Novia Web Query'!A2728</f>
        <v>GB0031042558</v>
      </c>
      <c r="B2732" t="str">
        <f>VLOOKUP(NoviaFunds[[#This Row],[ISIN]],'Novia Web Query'!$A:$E,2,FALSE)</f>
        <v>Liontrust MA Blended Intermediate R Acc in GB</v>
      </c>
      <c r="C2732" t="str">
        <f>VLOOKUP(NoviaFunds[[#This Row],[ISIN]],'Novia Web Query'!$A:$E,3,FALSE)</f>
        <v>UT Volatility Managed</v>
      </c>
      <c r="D2732" s="139">
        <f>VLOOKUP(NoviaFunds[[#This Row],[ISIN]],'Novia Web Query'!$A:$E,4,FALSE)/100</f>
        <v>1.8100000000000002E-2</v>
      </c>
      <c r="E2732" s="3" t="str">
        <f>VLOOKUP(NoviaFunds[[#This Row],[ISIN]],'Novia Web Query'!$A:$E,5,FALSE)</f>
        <v>01/10/2021</v>
      </c>
      <c r="F2732" t="e">
        <f>VLOOKUP(NoviaFunds[[#This Row],[Sector]],Sectors[],2,FALSE)</f>
        <v>#N/A</v>
      </c>
    </row>
    <row r="2733" spans="1:6" x14ac:dyDescent="0.2">
      <c r="A2733" t="str">
        <f>'Novia Web Query'!A2729</f>
        <v>GB00BCZW5K96</v>
      </c>
      <c r="B2733" t="str">
        <f>VLOOKUP(NoviaFunds[[#This Row],[ISIN]],'Novia Web Query'!$A:$E,2,FALSE)</f>
        <v>Liontrust MA Blended Intermediate S Acc in GB</v>
      </c>
      <c r="C2733" t="str">
        <f>VLOOKUP(NoviaFunds[[#This Row],[ISIN]],'Novia Web Query'!$A:$E,3,FALSE)</f>
        <v>UT Volatility Managed</v>
      </c>
      <c r="D2733" s="139">
        <f>VLOOKUP(NoviaFunds[[#This Row],[ISIN]],'Novia Web Query'!$A:$E,4,FALSE)/100</f>
        <v>9.1000000000000004E-3</v>
      </c>
      <c r="E2733" s="3" t="str">
        <f>VLOOKUP(NoviaFunds[[#This Row],[ISIN]],'Novia Web Query'!$A:$E,5,FALSE)</f>
        <v>01/10/2021</v>
      </c>
      <c r="F2733" t="e">
        <f>VLOOKUP(NoviaFunds[[#This Row],[Sector]],Sectors[],2,FALSE)</f>
        <v>#N/A</v>
      </c>
    </row>
    <row r="2734" spans="1:6" x14ac:dyDescent="0.2">
      <c r="A2734" t="str">
        <f>'Novia Web Query'!A2730</f>
        <v>GB00BCZW5L04</v>
      </c>
      <c r="B2734" t="str">
        <f>VLOOKUP(NoviaFunds[[#This Row],[ISIN]],'Novia Web Query'!$A:$E,2,FALSE)</f>
        <v>Liontrust MA Blended Intermediate S Inc TR in GB</v>
      </c>
      <c r="C2734" t="str">
        <f>VLOOKUP(NoviaFunds[[#This Row],[ISIN]],'Novia Web Query'!$A:$E,3,FALSE)</f>
        <v>UT Volatility Managed</v>
      </c>
      <c r="D2734" s="139">
        <f>VLOOKUP(NoviaFunds[[#This Row],[ISIN]],'Novia Web Query'!$A:$E,4,FALSE)/100</f>
        <v>9.1000000000000004E-3</v>
      </c>
      <c r="E2734" s="3" t="str">
        <f>VLOOKUP(NoviaFunds[[#This Row],[ISIN]],'Novia Web Query'!$A:$E,5,FALSE)</f>
        <v>01/10/2021</v>
      </c>
      <c r="F2734" t="e">
        <f>VLOOKUP(NoviaFunds[[#This Row],[Sector]],Sectors[],2,FALSE)</f>
        <v>#N/A</v>
      </c>
    </row>
    <row r="2735" spans="1:6" x14ac:dyDescent="0.2">
      <c r="A2735" t="str">
        <f>'Novia Web Query'!A2731</f>
        <v>GB00B85L1G65</v>
      </c>
      <c r="B2735" t="str">
        <f>VLOOKUP(NoviaFunds[[#This Row],[ISIN]],'Novia Web Query'!$A:$E,2,FALSE)</f>
        <v>Liontrust MA Blended Moderate A Acc in GB</v>
      </c>
      <c r="C2735" t="str">
        <f>VLOOKUP(NoviaFunds[[#This Row],[ISIN]],'Novia Web Query'!$A:$E,3,FALSE)</f>
        <v>UT Volatility Managed</v>
      </c>
      <c r="D2735" s="139">
        <f>VLOOKUP(NoviaFunds[[#This Row],[ISIN]],'Novia Web Query'!$A:$E,4,FALSE)/100</f>
        <v>1.0500000000000001E-2</v>
      </c>
      <c r="E2735" s="3" t="str">
        <f>VLOOKUP(NoviaFunds[[#This Row],[ISIN]],'Novia Web Query'!$A:$E,5,FALSE)</f>
        <v>01/10/2021</v>
      </c>
      <c r="F2735" t="e">
        <f>VLOOKUP(NoviaFunds[[#This Row],[Sector]],Sectors[],2,FALSE)</f>
        <v>#N/A</v>
      </c>
    </row>
    <row r="2736" spans="1:6" x14ac:dyDescent="0.2">
      <c r="A2736" t="str">
        <f>'Novia Web Query'!A2732</f>
        <v>GB00B8MGPL79</v>
      </c>
      <c r="B2736" t="str">
        <f>VLOOKUP(NoviaFunds[[#This Row],[ISIN]],'Novia Web Query'!$A:$E,2,FALSE)</f>
        <v>Liontrust MA Blended Moderate A Inc TR in GB</v>
      </c>
      <c r="C2736" t="str">
        <f>VLOOKUP(NoviaFunds[[#This Row],[ISIN]],'Novia Web Query'!$A:$E,3,FALSE)</f>
        <v>UT Volatility Managed</v>
      </c>
      <c r="D2736" s="139">
        <f>VLOOKUP(NoviaFunds[[#This Row],[ISIN]],'Novia Web Query'!$A:$E,4,FALSE)/100</f>
        <v>1.0500000000000001E-2</v>
      </c>
      <c r="E2736" s="3" t="str">
        <f>VLOOKUP(NoviaFunds[[#This Row],[ISIN]],'Novia Web Query'!$A:$E,5,FALSE)</f>
        <v>01/10/2021</v>
      </c>
      <c r="F2736" t="e">
        <f>VLOOKUP(NoviaFunds[[#This Row],[Sector]],Sectors[],2,FALSE)</f>
        <v>#N/A</v>
      </c>
    </row>
    <row r="2737" spans="1:6" x14ac:dyDescent="0.2">
      <c r="A2737" t="str">
        <f>'Novia Web Query'!A2733</f>
        <v>GB0032817164</v>
      </c>
      <c r="B2737" t="str">
        <f>VLOOKUP(NoviaFunds[[#This Row],[ISIN]],'Novia Web Query'!$A:$E,2,FALSE)</f>
        <v>Liontrust MA Blended Moderate R Acc in GB</v>
      </c>
      <c r="C2737" t="str">
        <f>VLOOKUP(NoviaFunds[[#This Row],[ISIN]],'Novia Web Query'!$A:$E,3,FALSE)</f>
        <v>UT Volatility Managed</v>
      </c>
      <c r="D2737" s="139">
        <f>VLOOKUP(NoviaFunds[[#This Row],[ISIN]],'Novia Web Query'!$A:$E,4,FALSE)/100</f>
        <v>1.7500000000000002E-2</v>
      </c>
      <c r="E2737" s="3" t="str">
        <f>VLOOKUP(NoviaFunds[[#This Row],[ISIN]],'Novia Web Query'!$A:$E,5,FALSE)</f>
        <v>01/10/2021</v>
      </c>
      <c r="F2737" t="e">
        <f>VLOOKUP(NoviaFunds[[#This Row],[Sector]],Sectors[],2,FALSE)</f>
        <v>#N/A</v>
      </c>
    </row>
    <row r="2738" spans="1:6" x14ac:dyDescent="0.2">
      <c r="A2738" t="str">
        <f>'Novia Web Query'!A2734</f>
        <v>GB00BBHXCM47</v>
      </c>
      <c r="B2738" t="str">
        <f>VLOOKUP(NoviaFunds[[#This Row],[ISIN]],'Novia Web Query'!$A:$E,2,FALSE)</f>
        <v>Liontrust MA Blended Moderate R Inc TR in GB</v>
      </c>
      <c r="C2738" t="str">
        <f>VLOOKUP(NoviaFunds[[#This Row],[ISIN]],'Novia Web Query'!$A:$E,3,FALSE)</f>
        <v>UT Volatility Managed</v>
      </c>
      <c r="D2738" s="139">
        <f>VLOOKUP(NoviaFunds[[#This Row],[ISIN]],'Novia Web Query'!$A:$E,4,FALSE)/100</f>
        <v>1.7500000000000002E-2</v>
      </c>
      <c r="E2738" s="3" t="str">
        <f>VLOOKUP(NoviaFunds[[#This Row],[ISIN]],'Novia Web Query'!$A:$E,5,FALSE)</f>
        <v>01/10/2021</v>
      </c>
      <c r="F2738" t="e">
        <f>VLOOKUP(NoviaFunds[[#This Row],[Sector]],Sectors[],2,FALSE)</f>
        <v>#N/A</v>
      </c>
    </row>
    <row r="2739" spans="1:6" x14ac:dyDescent="0.2">
      <c r="A2739" t="str">
        <f>'Novia Web Query'!A2735</f>
        <v>GB00BCZW5B06</v>
      </c>
      <c r="B2739" t="str">
        <f>VLOOKUP(NoviaFunds[[#This Row],[ISIN]],'Novia Web Query'!$A:$E,2,FALSE)</f>
        <v>Liontrust MA Blended Moderate S Acc in GB</v>
      </c>
      <c r="C2739" t="str">
        <f>VLOOKUP(NoviaFunds[[#This Row],[ISIN]],'Novia Web Query'!$A:$E,3,FALSE)</f>
        <v>UT Volatility Managed</v>
      </c>
      <c r="D2739" s="139">
        <f>VLOOKUP(NoviaFunds[[#This Row],[ISIN]],'Novia Web Query'!$A:$E,4,FALSE)/100</f>
        <v>8.5000000000000006E-3</v>
      </c>
      <c r="E2739" s="3" t="str">
        <f>VLOOKUP(NoviaFunds[[#This Row],[ISIN]],'Novia Web Query'!$A:$E,5,FALSE)</f>
        <v>01/10/2021</v>
      </c>
      <c r="F2739" t="e">
        <f>VLOOKUP(NoviaFunds[[#This Row],[Sector]],Sectors[],2,FALSE)</f>
        <v>#N/A</v>
      </c>
    </row>
    <row r="2740" spans="1:6" x14ac:dyDescent="0.2">
      <c r="A2740" t="str">
        <f>'Novia Web Query'!A2736</f>
        <v>GB00BCZW5986</v>
      </c>
      <c r="B2740" t="str">
        <f>VLOOKUP(NoviaFunds[[#This Row],[ISIN]],'Novia Web Query'!$A:$E,2,FALSE)</f>
        <v>Liontrust MA Blended Moderate S Inc TR in GB</v>
      </c>
      <c r="C2740" t="str">
        <f>VLOOKUP(NoviaFunds[[#This Row],[ISIN]],'Novia Web Query'!$A:$E,3,FALSE)</f>
        <v>UT Volatility Managed</v>
      </c>
      <c r="D2740" s="139">
        <f>VLOOKUP(NoviaFunds[[#This Row],[ISIN]],'Novia Web Query'!$A:$E,4,FALSE)/100</f>
        <v>8.5000000000000006E-3</v>
      </c>
      <c r="E2740" s="3" t="str">
        <f>VLOOKUP(NoviaFunds[[#This Row],[ISIN]],'Novia Web Query'!$A:$E,5,FALSE)</f>
        <v>01/10/2021</v>
      </c>
      <c r="F2740" t="e">
        <f>VLOOKUP(NoviaFunds[[#This Row],[Sector]],Sectors[],2,FALSE)</f>
        <v>#N/A</v>
      </c>
    </row>
    <row r="2741" spans="1:6" x14ac:dyDescent="0.2">
      <c r="A2741" t="str">
        <f>'Novia Web Query'!A2737</f>
        <v>GB00B8JY5364</v>
      </c>
      <c r="B2741" t="str">
        <f>VLOOKUP(NoviaFunds[[#This Row],[ISIN]],'Novia Web Query'!$A:$E,2,FALSE)</f>
        <v>Liontrust MA Blended Progressive A Acc in GB</v>
      </c>
      <c r="C2741" t="str">
        <f>VLOOKUP(NoviaFunds[[#This Row],[ISIN]],'Novia Web Query'!$A:$E,3,FALSE)</f>
        <v>UT Volatility Managed</v>
      </c>
      <c r="D2741" s="139">
        <f>VLOOKUP(NoviaFunds[[#This Row],[ISIN]],'Novia Web Query'!$A:$E,4,FALSE)/100</f>
        <v>1.1599999999999999E-2</v>
      </c>
      <c r="E2741" s="3" t="str">
        <f>VLOOKUP(NoviaFunds[[#This Row],[ISIN]],'Novia Web Query'!$A:$E,5,FALSE)</f>
        <v>01/10/2021</v>
      </c>
      <c r="F2741" t="e">
        <f>VLOOKUP(NoviaFunds[[#This Row],[Sector]],Sectors[],2,FALSE)</f>
        <v>#N/A</v>
      </c>
    </row>
    <row r="2742" spans="1:6" x14ac:dyDescent="0.2">
      <c r="A2742" t="str">
        <f>'Novia Web Query'!A2738</f>
        <v>GB0032817057</v>
      </c>
      <c r="B2742" t="str">
        <f>VLOOKUP(NoviaFunds[[#This Row],[ISIN]],'Novia Web Query'!$A:$E,2,FALSE)</f>
        <v>Liontrust MA Blended Progressive R Acc in GB</v>
      </c>
      <c r="C2742" t="str">
        <f>VLOOKUP(NoviaFunds[[#This Row],[ISIN]],'Novia Web Query'!$A:$E,3,FALSE)</f>
        <v>UT Volatility Managed</v>
      </c>
      <c r="D2742" s="139">
        <f>VLOOKUP(NoviaFunds[[#This Row],[ISIN]],'Novia Web Query'!$A:$E,4,FALSE)/100</f>
        <v>1.8600000000000002E-2</v>
      </c>
      <c r="E2742" s="3" t="str">
        <f>VLOOKUP(NoviaFunds[[#This Row],[ISIN]],'Novia Web Query'!$A:$E,5,FALSE)</f>
        <v>01/10/2021</v>
      </c>
      <c r="F2742" t="e">
        <f>VLOOKUP(NoviaFunds[[#This Row],[Sector]],Sectors[],2,FALSE)</f>
        <v>#N/A</v>
      </c>
    </row>
    <row r="2743" spans="1:6" x14ac:dyDescent="0.2">
      <c r="A2743" t="str">
        <f>'Novia Web Query'!A2739</f>
        <v>GB00BCZW5J81</v>
      </c>
      <c r="B2743" t="str">
        <f>VLOOKUP(NoviaFunds[[#This Row],[ISIN]],'Novia Web Query'!$A:$E,2,FALSE)</f>
        <v>Liontrust MA Blended Progressive S Acc in GB</v>
      </c>
      <c r="C2743" t="str">
        <f>VLOOKUP(NoviaFunds[[#This Row],[ISIN]],'Novia Web Query'!$A:$E,3,FALSE)</f>
        <v>UT Volatility Managed</v>
      </c>
      <c r="D2743" s="139">
        <f>VLOOKUP(NoviaFunds[[#This Row],[ISIN]],'Novia Web Query'!$A:$E,4,FALSE)/100</f>
        <v>9.5999999999999992E-3</v>
      </c>
      <c r="E2743" s="3" t="str">
        <f>VLOOKUP(NoviaFunds[[#This Row],[ISIN]],'Novia Web Query'!$A:$E,5,FALSE)</f>
        <v>01/10/2021</v>
      </c>
      <c r="F2743" t="e">
        <f>VLOOKUP(NoviaFunds[[#This Row],[Sector]],Sectors[],2,FALSE)</f>
        <v>#N/A</v>
      </c>
    </row>
    <row r="2744" spans="1:6" x14ac:dyDescent="0.2">
      <c r="A2744" t="str">
        <f>'Novia Web Query'!A2740</f>
        <v>GB00B8BMB189</v>
      </c>
      <c r="B2744" t="str">
        <f>VLOOKUP(NoviaFunds[[#This Row],[ISIN]],'Novia Web Query'!$A:$E,2,FALSE)</f>
        <v>Liontrust MA Blended Reserve A Acc TR in GB</v>
      </c>
      <c r="C2744" t="str">
        <f>VLOOKUP(NoviaFunds[[#This Row],[ISIN]],'Novia Web Query'!$A:$E,3,FALSE)</f>
        <v>UT Volatility Managed</v>
      </c>
      <c r="D2744" s="139">
        <f>VLOOKUP(NoviaFunds[[#This Row],[ISIN]],'Novia Web Query'!$A:$E,4,FALSE)/100</f>
        <v>1.01E-2</v>
      </c>
      <c r="E2744" s="3" t="str">
        <f>VLOOKUP(NoviaFunds[[#This Row],[ISIN]],'Novia Web Query'!$A:$E,5,FALSE)</f>
        <v>01/10/2021</v>
      </c>
      <c r="F2744" t="e">
        <f>VLOOKUP(NoviaFunds[[#This Row],[Sector]],Sectors[],2,FALSE)</f>
        <v>#N/A</v>
      </c>
    </row>
    <row r="2745" spans="1:6" x14ac:dyDescent="0.2">
      <c r="A2745" t="str">
        <f>'Novia Web Query'!A2741</f>
        <v>GB00B7VR0864</v>
      </c>
      <c r="B2745" t="str">
        <f>VLOOKUP(NoviaFunds[[#This Row],[ISIN]],'Novia Web Query'!$A:$E,2,FALSE)</f>
        <v>Liontrust MA Blended Reserve A Inc TR in GB</v>
      </c>
      <c r="C2745" t="str">
        <f>VLOOKUP(NoviaFunds[[#This Row],[ISIN]],'Novia Web Query'!$A:$E,3,FALSE)</f>
        <v>UT Volatility Managed</v>
      </c>
      <c r="D2745" s="139">
        <f>VLOOKUP(NoviaFunds[[#This Row],[ISIN]],'Novia Web Query'!$A:$E,4,FALSE)/100</f>
        <v>1.01E-2</v>
      </c>
      <c r="E2745" s="3" t="str">
        <f>VLOOKUP(NoviaFunds[[#This Row],[ISIN]],'Novia Web Query'!$A:$E,5,FALSE)</f>
        <v>01/10/2021</v>
      </c>
      <c r="F2745" t="e">
        <f>VLOOKUP(NoviaFunds[[#This Row],[Sector]],Sectors[],2,FALSE)</f>
        <v>#N/A</v>
      </c>
    </row>
    <row r="2746" spans="1:6" x14ac:dyDescent="0.2">
      <c r="A2746" t="str">
        <f>'Novia Web Query'!A2742</f>
        <v>GB0031042335</v>
      </c>
      <c r="B2746" t="str">
        <f>VLOOKUP(NoviaFunds[[#This Row],[ISIN]],'Novia Web Query'!$A:$E,2,FALSE)</f>
        <v>Liontrust MA Blended Reserve R Acc TR in GB</v>
      </c>
      <c r="C2746" t="str">
        <f>VLOOKUP(NoviaFunds[[#This Row],[ISIN]],'Novia Web Query'!$A:$E,3,FALSE)</f>
        <v>UT Volatility Managed</v>
      </c>
      <c r="D2746" s="139">
        <f>VLOOKUP(NoviaFunds[[#This Row],[ISIN]],'Novia Web Query'!$A:$E,4,FALSE)/100</f>
        <v>1.7100000000000001E-2</v>
      </c>
      <c r="E2746" s="3" t="str">
        <f>VLOOKUP(NoviaFunds[[#This Row],[ISIN]],'Novia Web Query'!$A:$E,5,FALSE)</f>
        <v>01/10/2021</v>
      </c>
      <c r="F2746" t="e">
        <f>VLOOKUP(NoviaFunds[[#This Row],[Sector]],Sectors[],2,FALSE)</f>
        <v>#N/A</v>
      </c>
    </row>
    <row r="2747" spans="1:6" x14ac:dyDescent="0.2">
      <c r="A2747" t="str">
        <f>'Novia Web Query'!A2743</f>
        <v>GB0031042442</v>
      </c>
      <c r="B2747" t="str">
        <f>VLOOKUP(NoviaFunds[[#This Row],[ISIN]],'Novia Web Query'!$A:$E,2,FALSE)</f>
        <v>Liontrust MA Blended Reserve R Inc TR in GB</v>
      </c>
      <c r="C2747" t="str">
        <f>VLOOKUP(NoviaFunds[[#This Row],[ISIN]],'Novia Web Query'!$A:$E,3,FALSE)</f>
        <v>UT Volatility Managed</v>
      </c>
      <c r="D2747" s="139">
        <f>VLOOKUP(NoviaFunds[[#This Row],[ISIN]],'Novia Web Query'!$A:$E,4,FALSE)/100</f>
        <v>1.7100000000000001E-2</v>
      </c>
      <c r="E2747" s="3" t="str">
        <f>VLOOKUP(NoviaFunds[[#This Row],[ISIN]],'Novia Web Query'!$A:$E,5,FALSE)</f>
        <v>01/10/2021</v>
      </c>
      <c r="F2747" t="e">
        <f>VLOOKUP(NoviaFunds[[#This Row],[Sector]],Sectors[],2,FALSE)</f>
        <v>#N/A</v>
      </c>
    </row>
    <row r="2748" spans="1:6" x14ac:dyDescent="0.2">
      <c r="A2748" t="str">
        <f>'Novia Web Query'!A2744</f>
        <v>GB00BCZW5D20</v>
      </c>
      <c r="B2748" t="str">
        <f>VLOOKUP(NoviaFunds[[#This Row],[ISIN]],'Novia Web Query'!$A:$E,2,FALSE)</f>
        <v>Liontrust MA Blended Reserve S Acc TR in GB</v>
      </c>
      <c r="C2748" t="str">
        <f>VLOOKUP(NoviaFunds[[#This Row],[ISIN]],'Novia Web Query'!$A:$E,3,FALSE)</f>
        <v>UT Volatility Managed</v>
      </c>
      <c r="D2748" s="139">
        <f>VLOOKUP(NoviaFunds[[#This Row],[ISIN]],'Novia Web Query'!$A:$E,4,FALSE)/100</f>
        <v>8.1000000000000013E-3</v>
      </c>
      <c r="E2748" s="3" t="str">
        <f>VLOOKUP(NoviaFunds[[#This Row],[ISIN]],'Novia Web Query'!$A:$E,5,FALSE)</f>
        <v>01/10/2021</v>
      </c>
      <c r="F2748" t="e">
        <f>VLOOKUP(NoviaFunds[[#This Row],[Sector]],Sectors[],2,FALSE)</f>
        <v>#N/A</v>
      </c>
    </row>
    <row r="2749" spans="1:6" x14ac:dyDescent="0.2">
      <c r="A2749" t="str">
        <f>'Novia Web Query'!A2745</f>
        <v>GB00BCZW5C13</v>
      </c>
      <c r="B2749" t="str">
        <f>VLOOKUP(NoviaFunds[[#This Row],[ISIN]],'Novia Web Query'!$A:$E,2,FALSE)</f>
        <v>Liontrust MA Blended Reserve S Inc TR in GB</v>
      </c>
      <c r="C2749" t="str">
        <f>VLOOKUP(NoviaFunds[[#This Row],[ISIN]],'Novia Web Query'!$A:$E,3,FALSE)</f>
        <v>UT Volatility Managed</v>
      </c>
      <c r="D2749" s="139">
        <f>VLOOKUP(NoviaFunds[[#This Row],[ISIN]],'Novia Web Query'!$A:$E,4,FALSE)/100</f>
        <v>8.1000000000000013E-3</v>
      </c>
      <c r="E2749" s="3" t="str">
        <f>VLOOKUP(NoviaFunds[[#This Row],[ISIN]],'Novia Web Query'!$A:$E,5,FALSE)</f>
        <v>01/10/2021</v>
      </c>
      <c r="F2749" t="e">
        <f>VLOOKUP(NoviaFunds[[#This Row],[Sector]],Sectors[],2,FALSE)</f>
        <v>#N/A</v>
      </c>
    </row>
    <row r="2750" spans="1:6" x14ac:dyDescent="0.2">
      <c r="A2750" t="str">
        <f>'Novia Web Query'!A2746</f>
        <v>GB00BMP2ZL03</v>
      </c>
      <c r="B2750" t="str">
        <f>VLOOKUP(NoviaFunds[[#This Row],[ISIN]],'Novia Web Query'!$A:$E,2,FALSE)</f>
        <v>Liontrust MA Diversified Real Assets A Acc in GB</v>
      </c>
      <c r="C2750" t="str">
        <f>VLOOKUP(NoviaFunds[[#This Row],[ISIN]],'Novia Web Query'!$A:$E,3,FALSE)</f>
        <v>UT Specialist</v>
      </c>
      <c r="D2750" s="139">
        <f>VLOOKUP(NoviaFunds[[#This Row],[ISIN]],'Novia Web Query'!$A:$E,4,FALSE)/100</f>
        <v>8.6999999999999994E-3</v>
      </c>
      <c r="E2750" s="3" t="str">
        <f>VLOOKUP(NoviaFunds[[#This Row],[ISIN]],'Novia Web Query'!$A:$E,5,FALSE)</f>
        <v>01/10/2021</v>
      </c>
      <c r="F2750" t="str">
        <f>VLOOKUP(NoviaFunds[[#This Row],[Sector]],Sectors[],2,FALSE)</f>
        <v>Specialist</v>
      </c>
    </row>
    <row r="2751" spans="1:6" x14ac:dyDescent="0.2">
      <c r="A2751" t="str">
        <f>'Novia Web Query'!A2747</f>
        <v>GB00BMP2ZM10</v>
      </c>
      <c r="B2751" t="str">
        <f>VLOOKUP(NoviaFunds[[#This Row],[ISIN]],'Novia Web Query'!$A:$E,2,FALSE)</f>
        <v>Liontrust MA Diversified Real Assets A Inc TR in GB</v>
      </c>
      <c r="C2751" t="str">
        <f>VLOOKUP(NoviaFunds[[#This Row],[ISIN]],'Novia Web Query'!$A:$E,3,FALSE)</f>
        <v>UT Specialist</v>
      </c>
      <c r="D2751" s="139">
        <f>VLOOKUP(NoviaFunds[[#This Row],[ISIN]],'Novia Web Query'!$A:$E,4,FALSE)/100</f>
        <v>8.6999999999999994E-3</v>
      </c>
      <c r="E2751" s="3" t="str">
        <f>VLOOKUP(NoviaFunds[[#This Row],[ISIN]],'Novia Web Query'!$A:$E,5,FALSE)</f>
        <v>01/10/2021</v>
      </c>
      <c r="F2751" t="str">
        <f>VLOOKUP(NoviaFunds[[#This Row],[Sector]],Sectors[],2,FALSE)</f>
        <v>Specialist</v>
      </c>
    </row>
    <row r="2752" spans="1:6" x14ac:dyDescent="0.2">
      <c r="A2752" t="str">
        <f>'Novia Web Query'!A2748</f>
        <v>GB00BRKD9W23</v>
      </c>
      <c r="B2752" t="str">
        <f>VLOOKUP(NoviaFunds[[#This Row],[ISIN]],'Novia Web Query'!$A:$E,2,FALSE)</f>
        <v>Liontrust MA Diversified Real Assets D Acc in GB</v>
      </c>
      <c r="C2752" t="str">
        <f>VLOOKUP(NoviaFunds[[#This Row],[ISIN]],'Novia Web Query'!$A:$E,3,FALSE)</f>
        <v>UT Specialist</v>
      </c>
      <c r="D2752" s="139">
        <f>VLOOKUP(NoviaFunds[[#This Row],[ISIN]],'Novia Web Query'!$A:$E,4,FALSE)/100</f>
        <v>9.7000000000000003E-3</v>
      </c>
      <c r="E2752" s="3" t="str">
        <f>VLOOKUP(NoviaFunds[[#This Row],[ISIN]],'Novia Web Query'!$A:$E,5,FALSE)</f>
        <v>01/10/2021</v>
      </c>
      <c r="F2752" t="str">
        <f>VLOOKUP(NoviaFunds[[#This Row],[Sector]],Sectors[],2,FALSE)</f>
        <v>Specialist</v>
      </c>
    </row>
    <row r="2753" spans="1:6" x14ac:dyDescent="0.2">
      <c r="A2753" t="str">
        <f>'Novia Web Query'!A2749</f>
        <v>GB00BRKD9X30</v>
      </c>
      <c r="B2753" t="str">
        <f>VLOOKUP(NoviaFunds[[#This Row],[ISIN]],'Novia Web Query'!$A:$E,2,FALSE)</f>
        <v>Liontrust MA Diversified Real Assets D Inc TR in GB</v>
      </c>
      <c r="C2753" t="str">
        <f>VLOOKUP(NoviaFunds[[#This Row],[ISIN]],'Novia Web Query'!$A:$E,3,FALSE)</f>
        <v>UT Specialist</v>
      </c>
      <c r="D2753" s="139">
        <f>VLOOKUP(NoviaFunds[[#This Row],[ISIN]],'Novia Web Query'!$A:$E,4,FALSE)/100</f>
        <v>9.7000000000000003E-3</v>
      </c>
      <c r="E2753" s="3" t="str">
        <f>VLOOKUP(NoviaFunds[[#This Row],[ISIN]],'Novia Web Query'!$A:$E,5,FALSE)</f>
        <v>01/10/2021</v>
      </c>
      <c r="F2753" t="str">
        <f>VLOOKUP(NoviaFunds[[#This Row],[Sector]],Sectors[],2,FALSE)</f>
        <v>Specialist</v>
      </c>
    </row>
    <row r="2754" spans="1:6" x14ac:dyDescent="0.2">
      <c r="A2754" t="str">
        <f>'Novia Web Query'!A2750</f>
        <v>GB00B8KC8M99</v>
      </c>
      <c r="B2754" t="str">
        <f>VLOOKUP(NoviaFunds[[#This Row],[ISIN]],'Novia Web Query'!$A:$E,2,FALSE)</f>
        <v>Liontrust MA Monthly High Income A Acc TR in GB</v>
      </c>
      <c r="C2754" t="str">
        <f>VLOOKUP(NoviaFunds[[#This Row],[ISIN]],'Novia Web Query'!$A:$E,3,FALSE)</f>
        <v>UT Mixed Investment 0-35% Shares</v>
      </c>
      <c r="D2754" s="139">
        <f>VLOOKUP(NoviaFunds[[#This Row],[ISIN]],'Novia Web Query'!$A:$E,4,FALSE)/100</f>
        <v>9.7000000000000003E-3</v>
      </c>
      <c r="E2754" s="3" t="str">
        <f>VLOOKUP(NoviaFunds[[#This Row],[ISIN]],'Novia Web Query'!$A:$E,5,FALSE)</f>
        <v>01/10/2021</v>
      </c>
      <c r="F2754" t="str">
        <f>VLOOKUP(NoviaFunds[[#This Row],[Sector]],Sectors[],2,FALSE)</f>
        <v>Mixed 0%-35%</v>
      </c>
    </row>
    <row r="2755" spans="1:6" x14ac:dyDescent="0.2">
      <c r="A2755" t="str">
        <f>'Novia Web Query'!A2751</f>
        <v>GB00B7Y03B64</v>
      </c>
      <c r="B2755" t="str">
        <f>VLOOKUP(NoviaFunds[[#This Row],[ISIN]],'Novia Web Query'!$A:$E,2,FALSE)</f>
        <v>Liontrust MA Monthly High Income A Inc TR in GB</v>
      </c>
      <c r="C2755" t="str">
        <f>VLOOKUP(NoviaFunds[[#This Row],[ISIN]],'Novia Web Query'!$A:$E,3,FALSE)</f>
        <v>UT Mixed Investment 0-35% Shares</v>
      </c>
      <c r="D2755" s="139">
        <f>VLOOKUP(NoviaFunds[[#This Row],[ISIN]],'Novia Web Query'!$A:$E,4,FALSE)/100</f>
        <v>9.7000000000000003E-3</v>
      </c>
      <c r="E2755" s="3" t="str">
        <f>VLOOKUP(NoviaFunds[[#This Row],[ISIN]],'Novia Web Query'!$A:$E,5,FALSE)</f>
        <v>01/10/2021</v>
      </c>
      <c r="F2755" t="str">
        <f>VLOOKUP(NoviaFunds[[#This Row],[Sector]],Sectors[],2,FALSE)</f>
        <v>Mixed 0%-35%</v>
      </c>
    </row>
    <row r="2756" spans="1:6" x14ac:dyDescent="0.2">
      <c r="A2756" t="str">
        <f>'Novia Web Query'!A2752</f>
        <v>GB0031042004</v>
      </c>
      <c r="B2756" t="str">
        <f>VLOOKUP(NoviaFunds[[#This Row],[ISIN]],'Novia Web Query'!$A:$E,2,FALSE)</f>
        <v>Liontrust MA Monthly High Income R Acc TR in GB</v>
      </c>
      <c r="C2756" t="str">
        <f>VLOOKUP(NoviaFunds[[#This Row],[ISIN]],'Novia Web Query'!$A:$E,3,FALSE)</f>
        <v>UT Mixed Investment 0-35% Shares</v>
      </c>
      <c r="D2756" s="139">
        <f>VLOOKUP(NoviaFunds[[#This Row],[ISIN]],'Novia Web Query'!$A:$E,4,FALSE)/100</f>
        <v>1.67E-2</v>
      </c>
      <c r="E2756" s="3" t="str">
        <f>VLOOKUP(NoviaFunds[[#This Row],[ISIN]],'Novia Web Query'!$A:$E,5,FALSE)</f>
        <v>01/10/2021</v>
      </c>
      <c r="F2756" t="str">
        <f>VLOOKUP(NoviaFunds[[#This Row],[Sector]],Sectors[],2,FALSE)</f>
        <v>Mixed 0%-35%</v>
      </c>
    </row>
    <row r="2757" spans="1:6" x14ac:dyDescent="0.2">
      <c r="A2757" t="str">
        <f>'Novia Web Query'!A2753</f>
        <v>GB0031042228</v>
      </c>
      <c r="B2757" t="str">
        <f>VLOOKUP(NoviaFunds[[#This Row],[ISIN]],'Novia Web Query'!$A:$E,2,FALSE)</f>
        <v>Liontrust MA Monthly High Income R Inc TR in GB</v>
      </c>
      <c r="C2757" t="str">
        <f>VLOOKUP(NoviaFunds[[#This Row],[ISIN]],'Novia Web Query'!$A:$E,3,FALSE)</f>
        <v>UT Mixed Investment 0-35% Shares</v>
      </c>
      <c r="D2757" s="139">
        <f>VLOOKUP(NoviaFunds[[#This Row],[ISIN]],'Novia Web Query'!$A:$E,4,FALSE)/100</f>
        <v>1.67E-2</v>
      </c>
      <c r="E2757" s="3" t="str">
        <f>VLOOKUP(NoviaFunds[[#This Row],[ISIN]],'Novia Web Query'!$A:$E,5,FALSE)</f>
        <v>01/10/2021</v>
      </c>
      <c r="F2757" t="str">
        <f>VLOOKUP(NoviaFunds[[#This Row],[Sector]],Sectors[],2,FALSE)</f>
        <v>Mixed 0%-35%</v>
      </c>
    </row>
    <row r="2758" spans="1:6" x14ac:dyDescent="0.2">
      <c r="A2758" t="str">
        <f>'Novia Web Query'!A2754</f>
        <v>GB00BCZW5S72</v>
      </c>
      <c r="B2758" t="str">
        <f>VLOOKUP(NoviaFunds[[#This Row],[ISIN]],'Novia Web Query'!$A:$E,2,FALSE)</f>
        <v>Liontrust MA Monthly High Income S Acc TR in GB</v>
      </c>
      <c r="C2758" t="str">
        <f>VLOOKUP(NoviaFunds[[#This Row],[ISIN]],'Novia Web Query'!$A:$E,3,FALSE)</f>
        <v>UT Mixed Investment 0-35% Shares</v>
      </c>
      <c r="D2758" s="139">
        <f>VLOOKUP(NoviaFunds[[#This Row],[ISIN]],'Novia Web Query'!$A:$E,4,FALSE)/100</f>
        <v>7.7000000000000002E-3</v>
      </c>
      <c r="E2758" s="3" t="str">
        <f>VLOOKUP(NoviaFunds[[#This Row],[ISIN]],'Novia Web Query'!$A:$E,5,FALSE)</f>
        <v>01/10/2021</v>
      </c>
      <c r="F2758" t="str">
        <f>VLOOKUP(NoviaFunds[[#This Row],[Sector]],Sectors[],2,FALSE)</f>
        <v>Mixed 0%-35%</v>
      </c>
    </row>
    <row r="2759" spans="1:6" x14ac:dyDescent="0.2">
      <c r="A2759" t="str">
        <f>'Novia Web Query'!A2755</f>
        <v>GB00BCZW5V02</v>
      </c>
      <c r="B2759" t="str">
        <f>VLOOKUP(NoviaFunds[[#This Row],[ISIN]],'Novia Web Query'!$A:$E,2,FALSE)</f>
        <v>Liontrust MA Monthly High Income S Inc TR in GB</v>
      </c>
      <c r="C2759" t="str">
        <f>VLOOKUP(NoviaFunds[[#This Row],[ISIN]],'Novia Web Query'!$A:$E,3,FALSE)</f>
        <v>UT Mixed Investment 0-35% Shares</v>
      </c>
      <c r="D2759" s="139">
        <f>VLOOKUP(NoviaFunds[[#This Row],[ISIN]],'Novia Web Query'!$A:$E,4,FALSE)/100</f>
        <v>7.7000000000000002E-3</v>
      </c>
      <c r="E2759" s="3" t="str">
        <f>VLOOKUP(NoviaFunds[[#This Row],[ISIN]],'Novia Web Query'!$A:$E,5,FALSE)</f>
        <v>01/10/2021</v>
      </c>
      <c r="F2759" t="str">
        <f>VLOOKUP(NoviaFunds[[#This Row],[Sector]],Sectors[],2,FALSE)</f>
        <v>Mixed 0%-35%</v>
      </c>
    </row>
    <row r="2760" spans="1:6" x14ac:dyDescent="0.2">
      <c r="A2760" t="str">
        <f>'Novia Web Query'!A2756</f>
        <v>GB00B7XRTZ41</v>
      </c>
      <c r="B2760" t="str">
        <f>VLOOKUP(NoviaFunds[[#This Row],[ISIN]],'Novia Web Query'!$A:$E,2,FALSE)</f>
        <v>Liontrust MA Passive Dynamic A Acc in GB</v>
      </c>
      <c r="C2760" t="str">
        <f>VLOOKUP(NoviaFunds[[#This Row],[ISIN]],'Novia Web Query'!$A:$E,3,FALSE)</f>
        <v>UT Volatility Managed</v>
      </c>
      <c r="D2760" s="139">
        <f>VLOOKUP(NoviaFunds[[#This Row],[ISIN]],'Novia Web Query'!$A:$E,4,FALSE)/100</f>
        <v>6.0000000000000001E-3</v>
      </c>
      <c r="E2760" s="3" t="str">
        <f>VLOOKUP(NoviaFunds[[#This Row],[ISIN]],'Novia Web Query'!$A:$E,5,FALSE)</f>
        <v>01/10/2021</v>
      </c>
      <c r="F2760" t="e">
        <f>VLOOKUP(NoviaFunds[[#This Row],[Sector]],Sectors[],2,FALSE)</f>
        <v>#N/A</v>
      </c>
    </row>
    <row r="2761" spans="1:6" x14ac:dyDescent="0.2">
      <c r="A2761" t="str">
        <f>'Novia Web Query'!A2757</f>
        <v>GB00BNGNDL53</v>
      </c>
      <c r="B2761" t="str">
        <f>VLOOKUP(NoviaFunds[[#This Row],[ISIN]],'Novia Web Query'!$A:$E,2,FALSE)</f>
        <v>Liontrust MA Passive Dynamic D Acc in GB</v>
      </c>
      <c r="C2761" t="str">
        <f>VLOOKUP(NoviaFunds[[#This Row],[ISIN]],'Novia Web Query'!$A:$E,3,FALSE)</f>
        <v>UT Volatility Managed</v>
      </c>
      <c r="D2761" s="139">
        <f>VLOOKUP(NoviaFunds[[#This Row],[ISIN]],'Novia Web Query'!$A:$E,4,FALSE)/100</f>
        <v>4.5000000000000005E-3</v>
      </c>
      <c r="E2761" s="3" t="str">
        <f>VLOOKUP(NoviaFunds[[#This Row],[ISIN]],'Novia Web Query'!$A:$E,5,FALSE)</f>
        <v>01/10/2021</v>
      </c>
      <c r="F2761" t="e">
        <f>VLOOKUP(NoviaFunds[[#This Row],[Sector]],Sectors[],2,FALSE)</f>
        <v>#N/A</v>
      </c>
    </row>
    <row r="2762" spans="1:6" x14ac:dyDescent="0.2">
      <c r="A2762" t="str">
        <f>'Novia Web Query'!A2758</f>
        <v>GB00B3TCY722</v>
      </c>
      <c r="B2762" t="str">
        <f>VLOOKUP(NoviaFunds[[#This Row],[ISIN]],'Novia Web Query'!$A:$E,2,FALSE)</f>
        <v>Liontrust MA Passive Dynamic R Acc in GB</v>
      </c>
      <c r="C2762" t="str">
        <f>VLOOKUP(NoviaFunds[[#This Row],[ISIN]],'Novia Web Query'!$A:$E,3,FALSE)</f>
        <v>UT Volatility Managed</v>
      </c>
      <c r="D2762" s="139">
        <f>VLOOKUP(NoviaFunds[[#This Row],[ISIN]],'Novia Web Query'!$A:$E,4,FALSE)/100</f>
        <v>1.15E-2</v>
      </c>
      <c r="E2762" s="3" t="str">
        <f>VLOOKUP(NoviaFunds[[#This Row],[ISIN]],'Novia Web Query'!$A:$E,5,FALSE)</f>
        <v>01/10/2021</v>
      </c>
      <c r="F2762" t="e">
        <f>VLOOKUP(NoviaFunds[[#This Row],[Sector]],Sectors[],2,FALSE)</f>
        <v>#N/A</v>
      </c>
    </row>
    <row r="2763" spans="1:6" x14ac:dyDescent="0.2">
      <c r="A2763" t="str">
        <f>'Novia Web Query'!A2759</f>
        <v>GB00BCZW4Y67</v>
      </c>
      <c r="B2763" t="str">
        <f>VLOOKUP(NoviaFunds[[#This Row],[ISIN]],'Novia Web Query'!$A:$E,2,FALSE)</f>
        <v>Liontrust MA Passive Dynamic S Acc in GB</v>
      </c>
      <c r="C2763" t="str">
        <f>VLOOKUP(NoviaFunds[[#This Row],[ISIN]],'Novia Web Query'!$A:$E,3,FALSE)</f>
        <v>UT Volatility Managed</v>
      </c>
      <c r="D2763" s="139">
        <f>VLOOKUP(NoviaFunds[[#This Row],[ISIN]],'Novia Web Query'!$A:$E,4,FALSE)/100</f>
        <v>4.0000000000000001E-3</v>
      </c>
      <c r="E2763" s="3" t="str">
        <f>VLOOKUP(NoviaFunds[[#This Row],[ISIN]],'Novia Web Query'!$A:$E,5,FALSE)</f>
        <v>01/10/2021</v>
      </c>
      <c r="F2763" t="e">
        <f>VLOOKUP(NoviaFunds[[#This Row],[Sector]],Sectors[],2,FALSE)</f>
        <v>#N/A</v>
      </c>
    </row>
    <row r="2764" spans="1:6" x14ac:dyDescent="0.2">
      <c r="A2764" t="str">
        <f>'Novia Web Query'!A2760</f>
        <v>GB00B7XCP731</v>
      </c>
      <c r="B2764" t="str">
        <f>VLOOKUP(NoviaFunds[[#This Row],[ISIN]],'Novia Web Query'!$A:$E,2,FALSE)</f>
        <v>Liontrust MA Passive Growth A Acc in GB</v>
      </c>
      <c r="C2764" t="str">
        <f>VLOOKUP(NoviaFunds[[#This Row],[ISIN]],'Novia Web Query'!$A:$E,3,FALSE)</f>
        <v>UT Volatility Managed</v>
      </c>
      <c r="D2764" s="139">
        <f>VLOOKUP(NoviaFunds[[#This Row],[ISIN]],'Novia Web Query'!$A:$E,4,FALSE)/100</f>
        <v>6.0000000000000001E-3</v>
      </c>
      <c r="E2764" s="3" t="str">
        <f>VLOOKUP(NoviaFunds[[#This Row],[ISIN]],'Novia Web Query'!$A:$E,5,FALSE)</f>
        <v>01/10/2021</v>
      </c>
      <c r="F2764" t="e">
        <f>VLOOKUP(NoviaFunds[[#This Row],[Sector]],Sectors[],2,FALSE)</f>
        <v>#N/A</v>
      </c>
    </row>
    <row r="2765" spans="1:6" x14ac:dyDescent="0.2">
      <c r="A2765" t="str">
        <f>'Novia Web Query'!A2761</f>
        <v>GB00BNGNDK47</v>
      </c>
      <c r="B2765" t="str">
        <f>VLOOKUP(NoviaFunds[[#This Row],[ISIN]],'Novia Web Query'!$A:$E,2,FALSE)</f>
        <v>Liontrust MA Passive Growth D Acc in GB</v>
      </c>
      <c r="C2765" t="str">
        <f>VLOOKUP(NoviaFunds[[#This Row],[ISIN]],'Novia Web Query'!$A:$E,3,FALSE)</f>
        <v>UT Volatility Managed</v>
      </c>
      <c r="D2765" s="139">
        <f>VLOOKUP(NoviaFunds[[#This Row],[ISIN]],'Novia Web Query'!$A:$E,4,FALSE)/100</f>
        <v>4.5000000000000005E-3</v>
      </c>
      <c r="E2765" s="3" t="str">
        <f>VLOOKUP(NoviaFunds[[#This Row],[ISIN]],'Novia Web Query'!$A:$E,5,FALSE)</f>
        <v>01/10/2021</v>
      </c>
      <c r="F2765" t="e">
        <f>VLOOKUP(NoviaFunds[[#This Row],[Sector]],Sectors[],2,FALSE)</f>
        <v>#N/A</v>
      </c>
    </row>
    <row r="2766" spans="1:6" x14ac:dyDescent="0.2">
      <c r="A2766" t="str">
        <f>'Novia Web Query'!A2762</f>
        <v>GB00B3TQLW84</v>
      </c>
      <c r="B2766" t="str">
        <f>VLOOKUP(NoviaFunds[[#This Row],[ISIN]],'Novia Web Query'!$A:$E,2,FALSE)</f>
        <v>Liontrust MA Passive Growth R Acc in GB</v>
      </c>
      <c r="C2766" t="str">
        <f>VLOOKUP(NoviaFunds[[#This Row],[ISIN]],'Novia Web Query'!$A:$E,3,FALSE)</f>
        <v>UT Volatility Managed</v>
      </c>
      <c r="D2766" s="139">
        <f>VLOOKUP(NoviaFunds[[#This Row],[ISIN]],'Novia Web Query'!$A:$E,4,FALSE)/100</f>
        <v>1.15E-2</v>
      </c>
      <c r="E2766" s="3" t="str">
        <f>VLOOKUP(NoviaFunds[[#This Row],[ISIN]],'Novia Web Query'!$A:$E,5,FALSE)</f>
        <v>01/10/2021</v>
      </c>
      <c r="F2766" t="e">
        <f>VLOOKUP(NoviaFunds[[#This Row],[Sector]],Sectors[],2,FALSE)</f>
        <v>#N/A</v>
      </c>
    </row>
    <row r="2767" spans="1:6" x14ac:dyDescent="0.2">
      <c r="A2767" t="str">
        <f>'Novia Web Query'!A2763</f>
        <v>GB00BCZW4X50</v>
      </c>
      <c r="B2767" t="str">
        <f>VLOOKUP(NoviaFunds[[#This Row],[ISIN]],'Novia Web Query'!$A:$E,2,FALSE)</f>
        <v>Liontrust MA Passive Growth S Acc in GB</v>
      </c>
      <c r="C2767" t="str">
        <f>VLOOKUP(NoviaFunds[[#This Row],[ISIN]],'Novia Web Query'!$A:$E,3,FALSE)</f>
        <v>UT Volatility Managed</v>
      </c>
      <c r="D2767" s="139">
        <f>VLOOKUP(NoviaFunds[[#This Row],[ISIN]],'Novia Web Query'!$A:$E,4,FALSE)/100</f>
        <v>4.0000000000000001E-3</v>
      </c>
      <c r="E2767" s="3" t="str">
        <f>VLOOKUP(NoviaFunds[[#This Row],[ISIN]],'Novia Web Query'!$A:$E,5,FALSE)</f>
        <v>01/10/2021</v>
      </c>
      <c r="F2767" t="e">
        <f>VLOOKUP(NoviaFunds[[#This Row],[Sector]],Sectors[],2,FALSE)</f>
        <v>#N/A</v>
      </c>
    </row>
    <row r="2768" spans="1:6" x14ac:dyDescent="0.2">
      <c r="A2768" t="str">
        <f>'Novia Web Query'!A2764</f>
        <v>GB00B82VBH08</v>
      </c>
      <c r="B2768" t="str">
        <f>VLOOKUP(NoviaFunds[[#This Row],[ISIN]],'Novia Web Query'!$A:$E,2,FALSE)</f>
        <v>Liontrust MA Passive Intermediate A Acc in GB</v>
      </c>
      <c r="C2768" t="str">
        <f>VLOOKUP(NoviaFunds[[#This Row],[ISIN]],'Novia Web Query'!$A:$E,3,FALSE)</f>
        <v>UT Volatility Managed</v>
      </c>
      <c r="D2768" s="139">
        <f>VLOOKUP(NoviaFunds[[#This Row],[ISIN]],'Novia Web Query'!$A:$E,4,FALSE)/100</f>
        <v>5.8999999999999999E-3</v>
      </c>
      <c r="E2768" s="3" t="str">
        <f>VLOOKUP(NoviaFunds[[#This Row],[ISIN]],'Novia Web Query'!$A:$E,5,FALSE)</f>
        <v>01/10/2021</v>
      </c>
      <c r="F2768" t="e">
        <f>VLOOKUP(NoviaFunds[[#This Row],[Sector]],Sectors[],2,FALSE)</f>
        <v>#N/A</v>
      </c>
    </row>
    <row r="2769" spans="1:6" x14ac:dyDescent="0.2">
      <c r="A2769" t="str">
        <f>'Novia Web Query'!A2765</f>
        <v>GB00BNGNDH18</v>
      </c>
      <c r="B2769" t="str">
        <f>VLOOKUP(NoviaFunds[[#This Row],[ISIN]],'Novia Web Query'!$A:$E,2,FALSE)</f>
        <v>Liontrust MA Passive Intermediate D Acc in GB</v>
      </c>
      <c r="C2769" t="str">
        <f>VLOOKUP(NoviaFunds[[#This Row],[ISIN]],'Novia Web Query'!$A:$E,3,FALSE)</f>
        <v>UT Volatility Managed</v>
      </c>
      <c r="D2769" s="139">
        <f>VLOOKUP(NoviaFunds[[#This Row],[ISIN]],'Novia Web Query'!$A:$E,4,FALSE)/100</f>
        <v>4.4000000000000003E-3</v>
      </c>
      <c r="E2769" s="3" t="str">
        <f>VLOOKUP(NoviaFunds[[#This Row],[ISIN]],'Novia Web Query'!$A:$E,5,FALSE)</f>
        <v>01/10/2021</v>
      </c>
      <c r="F2769" t="e">
        <f>VLOOKUP(NoviaFunds[[#This Row],[Sector]],Sectors[],2,FALSE)</f>
        <v>#N/A</v>
      </c>
    </row>
    <row r="2770" spans="1:6" x14ac:dyDescent="0.2">
      <c r="A2770" t="str">
        <f>'Novia Web Query'!A2766</f>
        <v>GB00B3CQK065</v>
      </c>
      <c r="B2770" t="str">
        <f>VLOOKUP(NoviaFunds[[#This Row],[ISIN]],'Novia Web Query'!$A:$E,2,FALSE)</f>
        <v>Liontrust MA Passive Intermediate R Acc in GB</v>
      </c>
      <c r="C2770" t="str">
        <f>VLOOKUP(NoviaFunds[[#This Row],[ISIN]],'Novia Web Query'!$A:$E,3,FALSE)</f>
        <v>UT Volatility Managed</v>
      </c>
      <c r="D2770" s="139">
        <f>VLOOKUP(NoviaFunds[[#This Row],[ISIN]],'Novia Web Query'!$A:$E,4,FALSE)/100</f>
        <v>1.1399999999999999E-2</v>
      </c>
      <c r="E2770" s="3" t="str">
        <f>VLOOKUP(NoviaFunds[[#This Row],[ISIN]],'Novia Web Query'!$A:$E,5,FALSE)</f>
        <v>01/10/2021</v>
      </c>
      <c r="F2770" t="e">
        <f>VLOOKUP(NoviaFunds[[#This Row],[Sector]],Sectors[],2,FALSE)</f>
        <v>#N/A</v>
      </c>
    </row>
    <row r="2771" spans="1:6" x14ac:dyDescent="0.2">
      <c r="A2771" t="str">
        <f>'Novia Web Query'!A2767</f>
        <v>GB00BCZW4V37</v>
      </c>
      <c r="B2771" t="str">
        <f>VLOOKUP(NoviaFunds[[#This Row],[ISIN]],'Novia Web Query'!$A:$E,2,FALSE)</f>
        <v>Liontrust MA Passive Intermediate S Acc in GB</v>
      </c>
      <c r="C2771" t="str">
        <f>VLOOKUP(NoviaFunds[[#This Row],[ISIN]],'Novia Web Query'!$A:$E,3,FALSE)</f>
        <v>UT Volatility Managed</v>
      </c>
      <c r="D2771" s="139">
        <f>VLOOKUP(NoviaFunds[[#This Row],[ISIN]],'Novia Web Query'!$A:$E,4,FALSE)/100</f>
        <v>3.9000000000000003E-3</v>
      </c>
      <c r="E2771" s="3" t="str">
        <f>VLOOKUP(NoviaFunds[[#This Row],[ISIN]],'Novia Web Query'!$A:$E,5,FALSE)</f>
        <v>01/10/2021</v>
      </c>
      <c r="F2771" t="e">
        <f>VLOOKUP(NoviaFunds[[#This Row],[Sector]],Sectors[],2,FALSE)</f>
        <v>#N/A</v>
      </c>
    </row>
    <row r="2772" spans="1:6" x14ac:dyDescent="0.2">
      <c r="A2772" t="str">
        <f>'Novia Web Query'!A2768</f>
        <v>GB00B8DT9S00</v>
      </c>
      <c r="B2772" t="str">
        <f>VLOOKUP(NoviaFunds[[#This Row],[ISIN]],'Novia Web Query'!$A:$E,2,FALSE)</f>
        <v>Liontrust MA Passive Moderate A Acc in GB</v>
      </c>
      <c r="C2772" t="str">
        <f>VLOOKUP(NoviaFunds[[#This Row],[ISIN]],'Novia Web Query'!$A:$E,3,FALSE)</f>
        <v>UT Volatility Managed</v>
      </c>
      <c r="D2772" s="139">
        <f>VLOOKUP(NoviaFunds[[#This Row],[ISIN]],'Novia Web Query'!$A:$E,4,FALSE)/100</f>
        <v>5.8999999999999999E-3</v>
      </c>
      <c r="E2772" s="3" t="str">
        <f>VLOOKUP(NoviaFunds[[#This Row],[ISIN]],'Novia Web Query'!$A:$E,5,FALSE)</f>
        <v>01/10/2021</v>
      </c>
      <c r="F2772" t="e">
        <f>VLOOKUP(NoviaFunds[[#This Row],[Sector]],Sectors[],2,FALSE)</f>
        <v>#N/A</v>
      </c>
    </row>
    <row r="2773" spans="1:6" x14ac:dyDescent="0.2">
      <c r="A2773" t="str">
        <f>'Novia Web Query'!A2769</f>
        <v>GB00BNGNDG01</v>
      </c>
      <c r="B2773" t="str">
        <f>VLOOKUP(NoviaFunds[[#This Row],[ISIN]],'Novia Web Query'!$A:$E,2,FALSE)</f>
        <v>Liontrust MA Passive Moderate D Acc in GB</v>
      </c>
      <c r="C2773" t="str">
        <f>VLOOKUP(NoviaFunds[[#This Row],[ISIN]],'Novia Web Query'!$A:$E,3,FALSE)</f>
        <v>UT Volatility Managed</v>
      </c>
      <c r="D2773" s="139">
        <f>VLOOKUP(NoviaFunds[[#This Row],[ISIN]],'Novia Web Query'!$A:$E,4,FALSE)/100</f>
        <v>4.4000000000000003E-3</v>
      </c>
      <c r="E2773" s="3" t="str">
        <f>VLOOKUP(NoviaFunds[[#This Row],[ISIN]],'Novia Web Query'!$A:$E,5,FALSE)</f>
        <v>01/10/2021</v>
      </c>
      <c r="F2773" t="e">
        <f>VLOOKUP(NoviaFunds[[#This Row],[Sector]],Sectors[],2,FALSE)</f>
        <v>#N/A</v>
      </c>
    </row>
    <row r="2774" spans="1:6" x14ac:dyDescent="0.2">
      <c r="A2774" t="str">
        <f>'Novia Web Query'!A2770</f>
        <v>GB00BWWCYY97</v>
      </c>
      <c r="B2774" t="str">
        <f>VLOOKUP(NoviaFunds[[#This Row],[ISIN]],'Novia Web Query'!$A:$E,2,FALSE)</f>
        <v>Liontrust MA Passive Moderate D Inc TR in GB</v>
      </c>
      <c r="C2774" t="str">
        <f>VLOOKUP(NoviaFunds[[#This Row],[ISIN]],'Novia Web Query'!$A:$E,3,FALSE)</f>
        <v>UT Volatility Managed</v>
      </c>
      <c r="D2774" s="139">
        <f>VLOOKUP(NoviaFunds[[#This Row],[ISIN]],'Novia Web Query'!$A:$E,4,FALSE)/100</f>
        <v>4.4000000000000003E-3</v>
      </c>
      <c r="E2774" s="3" t="str">
        <f>VLOOKUP(NoviaFunds[[#This Row],[ISIN]],'Novia Web Query'!$A:$E,5,FALSE)</f>
        <v>01/10/2021</v>
      </c>
      <c r="F2774" t="e">
        <f>VLOOKUP(NoviaFunds[[#This Row],[Sector]],Sectors[],2,FALSE)</f>
        <v>#N/A</v>
      </c>
    </row>
    <row r="2775" spans="1:6" x14ac:dyDescent="0.2">
      <c r="A2775" t="str">
        <f>'Novia Web Query'!A2771</f>
        <v>GB00B3CQJZ43</v>
      </c>
      <c r="B2775" t="str">
        <f>VLOOKUP(NoviaFunds[[#This Row],[ISIN]],'Novia Web Query'!$A:$E,2,FALSE)</f>
        <v>Liontrust MA Passive Moderate R Acc in GB</v>
      </c>
      <c r="C2775" t="str">
        <f>VLOOKUP(NoviaFunds[[#This Row],[ISIN]],'Novia Web Query'!$A:$E,3,FALSE)</f>
        <v>UT Volatility Managed</v>
      </c>
      <c r="D2775" s="139">
        <f>VLOOKUP(NoviaFunds[[#This Row],[ISIN]],'Novia Web Query'!$A:$E,4,FALSE)/100</f>
        <v>1.1399999999999999E-2</v>
      </c>
      <c r="E2775" s="3" t="str">
        <f>VLOOKUP(NoviaFunds[[#This Row],[ISIN]],'Novia Web Query'!$A:$E,5,FALSE)</f>
        <v>01/10/2021</v>
      </c>
      <c r="F2775" t="e">
        <f>VLOOKUP(NoviaFunds[[#This Row],[Sector]],Sectors[],2,FALSE)</f>
        <v>#N/A</v>
      </c>
    </row>
    <row r="2776" spans="1:6" x14ac:dyDescent="0.2">
      <c r="A2776" t="str">
        <f>'Novia Web Query'!A2772</f>
        <v>GB00B3D3WC24</v>
      </c>
      <c r="B2776" t="str">
        <f>VLOOKUP(NoviaFunds[[#This Row],[ISIN]],'Novia Web Query'!$A:$E,2,FALSE)</f>
        <v>Liontrust MA Passive Moderate R Inc TR in GB</v>
      </c>
      <c r="C2776" t="str">
        <f>VLOOKUP(NoviaFunds[[#This Row],[ISIN]],'Novia Web Query'!$A:$E,3,FALSE)</f>
        <v>UT Volatility Managed</v>
      </c>
      <c r="D2776" s="139">
        <f>VLOOKUP(NoviaFunds[[#This Row],[ISIN]],'Novia Web Query'!$A:$E,4,FALSE)/100</f>
        <v>1.1399999999999999E-2</v>
      </c>
      <c r="E2776" s="3" t="str">
        <f>VLOOKUP(NoviaFunds[[#This Row],[ISIN]],'Novia Web Query'!$A:$E,5,FALSE)</f>
        <v>01/10/2021</v>
      </c>
      <c r="F2776" t="e">
        <f>VLOOKUP(NoviaFunds[[#This Row],[Sector]],Sectors[],2,FALSE)</f>
        <v>#N/A</v>
      </c>
    </row>
    <row r="2777" spans="1:6" x14ac:dyDescent="0.2">
      <c r="A2777" t="str">
        <f>'Novia Web Query'!A2773</f>
        <v>GB00BCZW4T15</v>
      </c>
      <c r="B2777" t="str">
        <f>VLOOKUP(NoviaFunds[[#This Row],[ISIN]],'Novia Web Query'!$A:$E,2,FALSE)</f>
        <v>Liontrust MA Passive Moderate S Acc in GB</v>
      </c>
      <c r="C2777" t="str">
        <f>VLOOKUP(NoviaFunds[[#This Row],[ISIN]],'Novia Web Query'!$A:$E,3,FALSE)</f>
        <v>UT Volatility Managed</v>
      </c>
      <c r="D2777" s="139">
        <f>VLOOKUP(NoviaFunds[[#This Row],[ISIN]],'Novia Web Query'!$A:$E,4,FALSE)/100</f>
        <v>3.9000000000000003E-3</v>
      </c>
      <c r="E2777" s="3" t="str">
        <f>VLOOKUP(NoviaFunds[[#This Row],[ISIN]],'Novia Web Query'!$A:$E,5,FALSE)</f>
        <v>01/10/2021</v>
      </c>
      <c r="F2777" t="e">
        <f>VLOOKUP(NoviaFunds[[#This Row],[Sector]],Sectors[],2,FALSE)</f>
        <v>#N/A</v>
      </c>
    </row>
    <row r="2778" spans="1:6" x14ac:dyDescent="0.2">
      <c r="A2778" t="str">
        <f>'Novia Web Query'!A2774</f>
        <v>GB00BWWCYX80</v>
      </c>
      <c r="B2778" t="str">
        <f>VLOOKUP(NoviaFunds[[#This Row],[ISIN]],'Novia Web Query'!$A:$E,2,FALSE)</f>
        <v>Liontrust MA Passive Moderate S Inc TR in GB</v>
      </c>
      <c r="C2778" t="str">
        <f>VLOOKUP(NoviaFunds[[#This Row],[ISIN]],'Novia Web Query'!$A:$E,3,FALSE)</f>
        <v>UT Volatility Managed</v>
      </c>
      <c r="D2778" s="139">
        <f>VLOOKUP(NoviaFunds[[#This Row],[ISIN]],'Novia Web Query'!$A:$E,4,FALSE)/100</f>
        <v>3.9000000000000003E-3</v>
      </c>
      <c r="E2778" s="3" t="str">
        <f>VLOOKUP(NoviaFunds[[#This Row],[ISIN]],'Novia Web Query'!$A:$E,5,FALSE)</f>
        <v>01/10/2021</v>
      </c>
      <c r="F2778" t="e">
        <f>VLOOKUP(NoviaFunds[[#This Row],[Sector]],Sectors[],2,FALSE)</f>
        <v>#N/A</v>
      </c>
    </row>
    <row r="2779" spans="1:6" x14ac:dyDescent="0.2">
      <c r="A2779" t="str">
        <f>'Novia Web Query'!A2775</f>
        <v>GB00B7Z2H085</v>
      </c>
      <c r="B2779" t="str">
        <f>VLOOKUP(NoviaFunds[[#This Row],[ISIN]],'Novia Web Query'!$A:$E,2,FALSE)</f>
        <v>Liontrust MA Passive Progressive A Acc in GB</v>
      </c>
      <c r="C2779" t="str">
        <f>VLOOKUP(NoviaFunds[[#This Row],[ISIN]],'Novia Web Query'!$A:$E,3,FALSE)</f>
        <v>UT Volatility Managed</v>
      </c>
      <c r="D2779" s="139">
        <f>VLOOKUP(NoviaFunds[[#This Row],[ISIN]],'Novia Web Query'!$A:$E,4,FALSE)/100</f>
        <v>5.7999999999999996E-3</v>
      </c>
      <c r="E2779" s="3" t="str">
        <f>VLOOKUP(NoviaFunds[[#This Row],[ISIN]],'Novia Web Query'!$A:$E,5,FALSE)</f>
        <v>01/10/2021</v>
      </c>
      <c r="F2779" t="e">
        <f>VLOOKUP(NoviaFunds[[#This Row],[Sector]],Sectors[],2,FALSE)</f>
        <v>#N/A</v>
      </c>
    </row>
    <row r="2780" spans="1:6" x14ac:dyDescent="0.2">
      <c r="A2780" t="str">
        <f>'Novia Web Query'!A2776</f>
        <v>GB00BNGNDJ32</v>
      </c>
      <c r="B2780" t="str">
        <f>VLOOKUP(NoviaFunds[[#This Row],[ISIN]],'Novia Web Query'!$A:$E,2,FALSE)</f>
        <v>Liontrust MA Passive Progressive D Acc in GB</v>
      </c>
      <c r="C2780" t="str">
        <f>VLOOKUP(NoviaFunds[[#This Row],[ISIN]],'Novia Web Query'!$A:$E,3,FALSE)</f>
        <v>UT Volatility Managed</v>
      </c>
      <c r="D2780" s="139">
        <f>VLOOKUP(NoviaFunds[[#This Row],[ISIN]],'Novia Web Query'!$A:$E,4,FALSE)/100</f>
        <v>4.3E-3</v>
      </c>
      <c r="E2780" s="3" t="str">
        <f>VLOOKUP(NoviaFunds[[#This Row],[ISIN]],'Novia Web Query'!$A:$E,5,FALSE)</f>
        <v>01/10/2021</v>
      </c>
      <c r="F2780" t="e">
        <f>VLOOKUP(NoviaFunds[[#This Row],[Sector]],Sectors[],2,FALSE)</f>
        <v>#N/A</v>
      </c>
    </row>
    <row r="2781" spans="1:6" x14ac:dyDescent="0.2">
      <c r="A2781" t="str">
        <f>'Novia Web Query'!A2777</f>
        <v>GB00B3CQK172</v>
      </c>
      <c r="B2781" t="str">
        <f>VLOOKUP(NoviaFunds[[#This Row],[ISIN]],'Novia Web Query'!$A:$E,2,FALSE)</f>
        <v>Liontrust MA Passive Progressive R Acc in GB</v>
      </c>
      <c r="C2781" t="str">
        <f>VLOOKUP(NoviaFunds[[#This Row],[ISIN]],'Novia Web Query'!$A:$E,3,FALSE)</f>
        <v>UT Volatility Managed</v>
      </c>
      <c r="D2781" s="139">
        <f>VLOOKUP(NoviaFunds[[#This Row],[ISIN]],'Novia Web Query'!$A:$E,4,FALSE)/100</f>
        <v>1.1299999999999999E-2</v>
      </c>
      <c r="E2781" s="3" t="str">
        <f>VLOOKUP(NoviaFunds[[#This Row],[ISIN]],'Novia Web Query'!$A:$E,5,FALSE)</f>
        <v>01/10/2021</v>
      </c>
      <c r="F2781" t="e">
        <f>VLOOKUP(NoviaFunds[[#This Row],[Sector]],Sectors[],2,FALSE)</f>
        <v>#N/A</v>
      </c>
    </row>
    <row r="2782" spans="1:6" x14ac:dyDescent="0.2">
      <c r="A2782" t="str">
        <f>'Novia Web Query'!A2778</f>
        <v>GB00BCZW4W44</v>
      </c>
      <c r="B2782" t="str">
        <f>VLOOKUP(NoviaFunds[[#This Row],[ISIN]],'Novia Web Query'!$A:$E,2,FALSE)</f>
        <v>Liontrust MA Passive Progressive S Acc in GB</v>
      </c>
      <c r="C2782" t="str">
        <f>VLOOKUP(NoviaFunds[[#This Row],[ISIN]],'Novia Web Query'!$A:$E,3,FALSE)</f>
        <v>UT Volatility Managed</v>
      </c>
      <c r="D2782" s="139">
        <f>VLOOKUP(NoviaFunds[[#This Row],[ISIN]],'Novia Web Query'!$A:$E,4,FALSE)/100</f>
        <v>3.8E-3</v>
      </c>
      <c r="E2782" s="3" t="str">
        <f>VLOOKUP(NoviaFunds[[#This Row],[ISIN]],'Novia Web Query'!$A:$E,5,FALSE)</f>
        <v>01/10/2021</v>
      </c>
      <c r="F2782" t="e">
        <f>VLOOKUP(NoviaFunds[[#This Row],[Sector]],Sectors[],2,FALSE)</f>
        <v>#N/A</v>
      </c>
    </row>
    <row r="2783" spans="1:6" x14ac:dyDescent="0.2">
      <c r="A2783" t="str">
        <f>'Novia Web Query'!A2779</f>
        <v>GB00B7WNMF47</v>
      </c>
      <c r="B2783" t="str">
        <f>VLOOKUP(NoviaFunds[[#This Row],[ISIN]],'Novia Web Query'!$A:$E,2,FALSE)</f>
        <v>Liontrust MA Passive Prudent A Acc in GB</v>
      </c>
      <c r="C2783" t="str">
        <f>VLOOKUP(NoviaFunds[[#This Row],[ISIN]],'Novia Web Query'!$A:$E,3,FALSE)</f>
        <v>UT Volatility Managed</v>
      </c>
      <c r="D2783" s="139">
        <f>VLOOKUP(NoviaFunds[[#This Row],[ISIN]],'Novia Web Query'!$A:$E,4,FALSE)/100</f>
        <v>6.3E-3</v>
      </c>
      <c r="E2783" s="3" t="str">
        <f>VLOOKUP(NoviaFunds[[#This Row],[ISIN]],'Novia Web Query'!$A:$E,5,FALSE)</f>
        <v>01/10/2021</v>
      </c>
      <c r="F2783" t="e">
        <f>VLOOKUP(NoviaFunds[[#This Row],[Sector]],Sectors[],2,FALSE)</f>
        <v>#N/A</v>
      </c>
    </row>
    <row r="2784" spans="1:6" x14ac:dyDescent="0.2">
      <c r="A2784" t="str">
        <f>'Novia Web Query'!A2780</f>
        <v>GB00BNGNDM60</v>
      </c>
      <c r="B2784" t="str">
        <f>VLOOKUP(NoviaFunds[[#This Row],[ISIN]],'Novia Web Query'!$A:$E,2,FALSE)</f>
        <v>Liontrust MA Passive Prudent D Acc in GB</v>
      </c>
      <c r="C2784" t="str">
        <f>VLOOKUP(NoviaFunds[[#This Row],[ISIN]],'Novia Web Query'!$A:$E,3,FALSE)</f>
        <v>UT Volatility Managed</v>
      </c>
      <c r="D2784" s="139">
        <f>VLOOKUP(NoviaFunds[[#This Row],[ISIN]],'Novia Web Query'!$A:$E,4,FALSE)/100</f>
        <v>4.7999999999999996E-3</v>
      </c>
      <c r="E2784" s="3" t="str">
        <f>VLOOKUP(NoviaFunds[[#This Row],[ISIN]],'Novia Web Query'!$A:$E,5,FALSE)</f>
        <v>01/10/2021</v>
      </c>
      <c r="F2784" t="e">
        <f>VLOOKUP(NoviaFunds[[#This Row],[Sector]],Sectors[],2,FALSE)</f>
        <v>#N/A</v>
      </c>
    </row>
    <row r="2785" spans="1:6" x14ac:dyDescent="0.2">
      <c r="A2785" t="str">
        <f>'Novia Web Query'!A2781</f>
        <v>GB00B3ZPFX84</v>
      </c>
      <c r="B2785" t="str">
        <f>VLOOKUP(NoviaFunds[[#This Row],[ISIN]],'Novia Web Query'!$A:$E,2,FALSE)</f>
        <v>Liontrust MA Passive Prudent R Acc in GB</v>
      </c>
      <c r="C2785" t="str">
        <f>VLOOKUP(NoviaFunds[[#This Row],[ISIN]],'Novia Web Query'!$A:$E,3,FALSE)</f>
        <v>UT Volatility Managed</v>
      </c>
      <c r="D2785" s="139">
        <f>VLOOKUP(NoviaFunds[[#This Row],[ISIN]],'Novia Web Query'!$A:$E,4,FALSE)/100</f>
        <v>1.18E-2</v>
      </c>
      <c r="E2785" s="3" t="str">
        <f>VLOOKUP(NoviaFunds[[#This Row],[ISIN]],'Novia Web Query'!$A:$E,5,FALSE)</f>
        <v>01/10/2021</v>
      </c>
      <c r="F2785" t="e">
        <f>VLOOKUP(NoviaFunds[[#This Row],[Sector]],Sectors[],2,FALSE)</f>
        <v>#N/A</v>
      </c>
    </row>
    <row r="2786" spans="1:6" x14ac:dyDescent="0.2">
      <c r="A2786" t="str">
        <f>'Novia Web Query'!A2782</f>
        <v>GB00B6SWSM71</v>
      </c>
      <c r="B2786" t="str">
        <f>VLOOKUP(NoviaFunds[[#This Row],[ISIN]],'Novia Web Query'!$A:$E,2,FALSE)</f>
        <v>Liontrust MA Passive Prudent R Inc TR in GB</v>
      </c>
      <c r="C2786" t="str">
        <f>VLOOKUP(NoviaFunds[[#This Row],[ISIN]],'Novia Web Query'!$A:$E,3,FALSE)</f>
        <v>UT Volatility Managed</v>
      </c>
      <c r="D2786" s="139">
        <f>VLOOKUP(NoviaFunds[[#This Row],[ISIN]],'Novia Web Query'!$A:$E,4,FALSE)/100</f>
        <v>1.18E-2</v>
      </c>
      <c r="E2786" s="3" t="str">
        <f>VLOOKUP(NoviaFunds[[#This Row],[ISIN]],'Novia Web Query'!$A:$E,5,FALSE)</f>
        <v>01/10/2021</v>
      </c>
      <c r="F2786" t="e">
        <f>VLOOKUP(NoviaFunds[[#This Row],[Sector]],Sectors[],2,FALSE)</f>
        <v>#N/A</v>
      </c>
    </row>
    <row r="2787" spans="1:6" x14ac:dyDescent="0.2">
      <c r="A2787" t="str">
        <f>'Novia Web Query'!A2783</f>
        <v>GB00BCZW4Z74</v>
      </c>
      <c r="B2787" t="str">
        <f>VLOOKUP(NoviaFunds[[#This Row],[ISIN]],'Novia Web Query'!$A:$E,2,FALSE)</f>
        <v>Liontrust MA Passive Prudent S Acc in GB</v>
      </c>
      <c r="C2787" t="str">
        <f>VLOOKUP(NoviaFunds[[#This Row],[ISIN]],'Novia Web Query'!$A:$E,3,FALSE)</f>
        <v>UT Volatility Managed</v>
      </c>
      <c r="D2787" s="139">
        <f>VLOOKUP(NoviaFunds[[#This Row],[ISIN]],'Novia Web Query'!$A:$E,4,FALSE)/100</f>
        <v>4.3E-3</v>
      </c>
      <c r="E2787" s="3" t="str">
        <f>VLOOKUP(NoviaFunds[[#This Row],[ISIN]],'Novia Web Query'!$A:$E,5,FALSE)</f>
        <v>01/10/2021</v>
      </c>
      <c r="F2787" t="e">
        <f>VLOOKUP(NoviaFunds[[#This Row],[Sector]],Sectors[],2,FALSE)</f>
        <v>#N/A</v>
      </c>
    </row>
    <row r="2788" spans="1:6" x14ac:dyDescent="0.2">
      <c r="A2788" t="str">
        <f>'Novia Web Query'!A2784</f>
        <v>GB00B8PJ5H93</v>
      </c>
      <c r="B2788" t="str">
        <f>VLOOKUP(NoviaFunds[[#This Row],[ISIN]],'Novia Web Query'!$A:$E,2,FALSE)</f>
        <v>Liontrust MA Passive Reserve A Acc in GB</v>
      </c>
      <c r="C2788" t="str">
        <f>VLOOKUP(NoviaFunds[[#This Row],[ISIN]],'Novia Web Query'!$A:$E,3,FALSE)</f>
        <v>UT Volatility Managed</v>
      </c>
      <c r="D2788" s="139">
        <f>VLOOKUP(NoviaFunds[[#This Row],[ISIN]],'Novia Web Query'!$A:$E,4,FALSE)/100</f>
        <v>5.8999999999999999E-3</v>
      </c>
      <c r="E2788" s="3" t="str">
        <f>VLOOKUP(NoviaFunds[[#This Row],[ISIN]],'Novia Web Query'!$A:$E,5,FALSE)</f>
        <v>01/10/2021</v>
      </c>
      <c r="F2788" t="e">
        <f>VLOOKUP(NoviaFunds[[#This Row],[Sector]],Sectors[],2,FALSE)</f>
        <v>#N/A</v>
      </c>
    </row>
    <row r="2789" spans="1:6" x14ac:dyDescent="0.2">
      <c r="A2789" t="str">
        <f>'Novia Web Query'!A2785</f>
        <v>GB00BNGNDF93</v>
      </c>
      <c r="B2789" t="str">
        <f>VLOOKUP(NoviaFunds[[#This Row],[ISIN]],'Novia Web Query'!$A:$E,2,FALSE)</f>
        <v>Liontrust MA Passive Reserve D Acc in GB</v>
      </c>
      <c r="C2789" t="str">
        <f>VLOOKUP(NoviaFunds[[#This Row],[ISIN]],'Novia Web Query'!$A:$E,3,FALSE)</f>
        <v>UT Volatility Managed</v>
      </c>
      <c r="D2789" s="139">
        <f>VLOOKUP(NoviaFunds[[#This Row],[ISIN]],'Novia Web Query'!$A:$E,4,FALSE)/100</f>
        <v>4.4000000000000003E-3</v>
      </c>
      <c r="E2789" s="3" t="str">
        <f>VLOOKUP(NoviaFunds[[#This Row],[ISIN]],'Novia Web Query'!$A:$E,5,FALSE)</f>
        <v>01/10/2021</v>
      </c>
      <c r="F2789" t="e">
        <f>VLOOKUP(NoviaFunds[[#This Row],[Sector]],Sectors[],2,FALSE)</f>
        <v>#N/A</v>
      </c>
    </row>
    <row r="2790" spans="1:6" x14ac:dyDescent="0.2">
      <c r="A2790" t="str">
        <f>'Novia Web Query'!A2786</f>
        <v>GB00B48XQL14</v>
      </c>
      <c r="B2790" t="str">
        <f>VLOOKUP(NoviaFunds[[#This Row],[ISIN]],'Novia Web Query'!$A:$E,2,FALSE)</f>
        <v>Liontrust MA Passive Reserve R Acc in GB</v>
      </c>
      <c r="C2790" t="str">
        <f>VLOOKUP(NoviaFunds[[#This Row],[ISIN]],'Novia Web Query'!$A:$E,3,FALSE)</f>
        <v>UT Volatility Managed</v>
      </c>
      <c r="D2790" s="139">
        <f>VLOOKUP(NoviaFunds[[#This Row],[ISIN]],'Novia Web Query'!$A:$E,4,FALSE)/100</f>
        <v>1.1399999999999999E-2</v>
      </c>
      <c r="E2790" s="3" t="str">
        <f>VLOOKUP(NoviaFunds[[#This Row],[ISIN]],'Novia Web Query'!$A:$E,5,FALSE)</f>
        <v>01/10/2021</v>
      </c>
      <c r="F2790" t="e">
        <f>VLOOKUP(NoviaFunds[[#This Row],[Sector]],Sectors[],2,FALSE)</f>
        <v>#N/A</v>
      </c>
    </row>
    <row r="2791" spans="1:6" x14ac:dyDescent="0.2">
      <c r="A2791" t="str">
        <f>'Novia Web Query'!A2787</f>
        <v>GB00BCZW4S08</v>
      </c>
      <c r="B2791" t="str">
        <f>VLOOKUP(NoviaFunds[[#This Row],[ISIN]],'Novia Web Query'!$A:$E,2,FALSE)</f>
        <v>Liontrust MA Passive Reserve S Acc in GB</v>
      </c>
      <c r="C2791" t="str">
        <f>VLOOKUP(NoviaFunds[[#This Row],[ISIN]],'Novia Web Query'!$A:$E,3,FALSE)</f>
        <v>UT Volatility Managed</v>
      </c>
      <c r="D2791" s="139">
        <f>VLOOKUP(NoviaFunds[[#This Row],[ISIN]],'Novia Web Query'!$A:$E,4,FALSE)/100</f>
        <v>3.9000000000000003E-3</v>
      </c>
      <c r="E2791" s="3" t="str">
        <f>VLOOKUP(NoviaFunds[[#This Row],[ISIN]],'Novia Web Query'!$A:$E,5,FALSE)</f>
        <v>01/10/2021</v>
      </c>
      <c r="F2791" t="e">
        <f>VLOOKUP(NoviaFunds[[#This Row],[Sector]],Sectors[],2,FALSE)</f>
        <v>#N/A</v>
      </c>
    </row>
    <row r="2792" spans="1:6" x14ac:dyDescent="0.2">
      <c r="A2792" t="str">
        <f>'Novia Web Query'!A2788</f>
        <v>GB00B6QR6L91</v>
      </c>
      <c r="B2792" t="str">
        <f>VLOOKUP(NoviaFunds[[#This Row],[ISIN]],'Novia Web Query'!$A:$E,2,FALSE)</f>
        <v>Liontrust MA Strategic Bond A Acc TR in GB</v>
      </c>
      <c r="C2792" t="str">
        <f>VLOOKUP(NoviaFunds[[#This Row],[ISIN]],'Novia Web Query'!$A:$E,3,FALSE)</f>
        <v>UT Sterling Strategic Bond</v>
      </c>
      <c r="D2792" s="139">
        <f>VLOOKUP(NoviaFunds[[#This Row],[ISIN]],'Novia Web Query'!$A:$E,4,FALSE)/100</f>
        <v>9.7000000000000003E-3</v>
      </c>
      <c r="E2792" s="3" t="str">
        <f>VLOOKUP(NoviaFunds[[#This Row],[ISIN]],'Novia Web Query'!$A:$E,5,FALSE)</f>
        <v>01/10/2021</v>
      </c>
      <c r="F2792" t="str">
        <f>VLOOKUP(NoviaFunds[[#This Row],[Sector]],Sectors[],2,FALSE)</f>
        <v>Other Bonds</v>
      </c>
    </row>
    <row r="2793" spans="1:6" x14ac:dyDescent="0.2">
      <c r="A2793" t="str">
        <f>'Novia Web Query'!A2789</f>
        <v>GB00B8QW1242</v>
      </c>
      <c r="B2793" t="str">
        <f>VLOOKUP(NoviaFunds[[#This Row],[ISIN]],'Novia Web Query'!$A:$E,2,FALSE)</f>
        <v>Liontrust MA Strategic Bond A Inc TR in GB</v>
      </c>
      <c r="C2793" t="str">
        <f>VLOOKUP(NoviaFunds[[#This Row],[ISIN]],'Novia Web Query'!$A:$E,3,FALSE)</f>
        <v>UT Sterling Strategic Bond</v>
      </c>
      <c r="D2793" s="139">
        <f>VLOOKUP(NoviaFunds[[#This Row],[ISIN]],'Novia Web Query'!$A:$E,4,FALSE)/100</f>
        <v>9.7000000000000003E-3</v>
      </c>
      <c r="E2793" s="3" t="str">
        <f>VLOOKUP(NoviaFunds[[#This Row],[ISIN]],'Novia Web Query'!$A:$E,5,FALSE)</f>
        <v>01/10/2021</v>
      </c>
      <c r="F2793" t="str">
        <f>VLOOKUP(NoviaFunds[[#This Row],[Sector]],Sectors[],2,FALSE)</f>
        <v>Other Bonds</v>
      </c>
    </row>
    <row r="2794" spans="1:6" x14ac:dyDescent="0.2">
      <c r="A2794" t="str">
        <f>'Novia Web Query'!A2790</f>
        <v>GB0032816869</v>
      </c>
      <c r="B2794" t="str">
        <f>VLOOKUP(NoviaFunds[[#This Row],[ISIN]],'Novia Web Query'!$A:$E,2,FALSE)</f>
        <v>Liontrust MA Strategic Bond R Acc TR in GB</v>
      </c>
      <c r="C2794" t="str">
        <f>VLOOKUP(NoviaFunds[[#This Row],[ISIN]],'Novia Web Query'!$A:$E,3,FALSE)</f>
        <v>UT Sterling Strategic Bond</v>
      </c>
      <c r="D2794" s="139">
        <f>VLOOKUP(NoviaFunds[[#This Row],[ISIN]],'Novia Web Query'!$A:$E,4,FALSE)/100</f>
        <v>1.67E-2</v>
      </c>
      <c r="E2794" s="3" t="str">
        <f>VLOOKUP(NoviaFunds[[#This Row],[ISIN]],'Novia Web Query'!$A:$E,5,FALSE)</f>
        <v>01/10/2021</v>
      </c>
      <c r="F2794" t="str">
        <f>VLOOKUP(NoviaFunds[[#This Row],[Sector]],Sectors[],2,FALSE)</f>
        <v>Other Bonds</v>
      </c>
    </row>
    <row r="2795" spans="1:6" x14ac:dyDescent="0.2">
      <c r="A2795" t="str">
        <f>'Novia Web Query'!A2791</f>
        <v>GB00BCZW5N28</v>
      </c>
      <c r="B2795" t="str">
        <f>VLOOKUP(NoviaFunds[[#This Row],[ISIN]],'Novia Web Query'!$A:$E,2,FALSE)</f>
        <v>Liontrust MA Strategic Bond S Acc TR in GB</v>
      </c>
      <c r="C2795" t="str">
        <f>VLOOKUP(NoviaFunds[[#This Row],[ISIN]],'Novia Web Query'!$A:$E,3,FALSE)</f>
        <v>UT Sterling Strategic Bond</v>
      </c>
      <c r="D2795" s="139">
        <f>VLOOKUP(NoviaFunds[[#This Row],[ISIN]],'Novia Web Query'!$A:$E,4,FALSE)/100</f>
        <v>7.7000000000000002E-3</v>
      </c>
      <c r="E2795" s="3" t="str">
        <f>VLOOKUP(NoviaFunds[[#This Row],[ISIN]],'Novia Web Query'!$A:$E,5,FALSE)</f>
        <v>01/10/2021</v>
      </c>
      <c r="F2795" t="str">
        <f>VLOOKUP(NoviaFunds[[#This Row],[Sector]],Sectors[],2,FALSE)</f>
        <v>Other Bonds</v>
      </c>
    </row>
    <row r="2796" spans="1:6" x14ac:dyDescent="0.2">
      <c r="A2796" t="str">
        <f>'Novia Web Query'!A2792</f>
        <v>GB00BCZW5Q58</v>
      </c>
      <c r="B2796" t="str">
        <f>VLOOKUP(NoviaFunds[[#This Row],[ISIN]],'Novia Web Query'!$A:$E,2,FALSE)</f>
        <v>Liontrust MA Strategic Bond S Inc TR in GB</v>
      </c>
      <c r="C2796" t="str">
        <f>VLOOKUP(NoviaFunds[[#This Row],[ISIN]],'Novia Web Query'!$A:$E,3,FALSE)</f>
        <v>UT Sterling Strategic Bond</v>
      </c>
      <c r="D2796" s="139">
        <f>VLOOKUP(NoviaFunds[[#This Row],[ISIN]],'Novia Web Query'!$A:$E,4,FALSE)/100</f>
        <v>7.7000000000000002E-3</v>
      </c>
      <c r="E2796" s="3" t="str">
        <f>VLOOKUP(NoviaFunds[[#This Row],[ISIN]],'Novia Web Query'!$A:$E,5,FALSE)</f>
        <v>01/10/2021</v>
      </c>
      <c r="F2796" t="str">
        <f>VLOOKUP(NoviaFunds[[#This Row],[Sector]],Sectors[],2,FALSE)</f>
        <v>Other Bonds</v>
      </c>
    </row>
    <row r="2797" spans="1:6" x14ac:dyDescent="0.2">
      <c r="A2797" t="str">
        <f>'Novia Web Query'!A2793</f>
        <v>GB00B7KMK266</v>
      </c>
      <c r="B2797" t="str">
        <f>VLOOKUP(NoviaFunds[[#This Row],[ISIN]],'Novia Web Query'!$A:$E,2,FALSE)</f>
        <v>Liontrust MA UK Equity A Acc in GB</v>
      </c>
      <c r="C2797" t="str">
        <f>VLOOKUP(NoviaFunds[[#This Row],[ISIN]],'Novia Web Query'!$A:$E,3,FALSE)</f>
        <v>UT UK All Companies</v>
      </c>
      <c r="D2797" s="139">
        <f>VLOOKUP(NoviaFunds[[#This Row],[ISIN]],'Novia Web Query'!$A:$E,4,FALSE)/100</f>
        <v>1.1599999999999999E-2</v>
      </c>
      <c r="E2797" s="3" t="str">
        <f>VLOOKUP(NoviaFunds[[#This Row],[ISIN]],'Novia Web Query'!$A:$E,5,FALSE)</f>
        <v>01/10/2021</v>
      </c>
      <c r="F2797" t="str">
        <f>VLOOKUP(NoviaFunds[[#This Row],[Sector]],Sectors[],2,FALSE)</f>
        <v>UK Equities</v>
      </c>
    </row>
    <row r="2798" spans="1:6" x14ac:dyDescent="0.2">
      <c r="A2798" t="str">
        <f>'Novia Web Query'!A2794</f>
        <v>GB00B8882D80</v>
      </c>
      <c r="B2798" t="str">
        <f>VLOOKUP(NoviaFunds[[#This Row],[ISIN]],'Novia Web Query'!$A:$E,2,FALSE)</f>
        <v>Liontrust MA UK Equity A Inc TR in GB</v>
      </c>
      <c r="C2798" t="str">
        <f>VLOOKUP(NoviaFunds[[#This Row],[ISIN]],'Novia Web Query'!$A:$E,3,FALSE)</f>
        <v>UT UK All Companies</v>
      </c>
      <c r="D2798" s="139">
        <f>VLOOKUP(NoviaFunds[[#This Row],[ISIN]],'Novia Web Query'!$A:$E,4,FALSE)/100</f>
        <v>1.1599999999999999E-2</v>
      </c>
      <c r="E2798" s="3" t="str">
        <f>VLOOKUP(NoviaFunds[[#This Row],[ISIN]],'Novia Web Query'!$A:$E,5,FALSE)</f>
        <v>01/10/2021</v>
      </c>
      <c r="F2798" t="str">
        <f>VLOOKUP(NoviaFunds[[#This Row],[Sector]],Sectors[],2,FALSE)</f>
        <v>UK Equities</v>
      </c>
    </row>
    <row r="2799" spans="1:6" x14ac:dyDescent="0.2">
      <c r="A2799" t="str">
        <f>'Novia Web Query'!A2795</f>
        <v>GB0031041816</v>
      </c>
      <c r="B2799" t="str">
        <f>VLOOKUP(NoviaFunds[[#This Row],[ISIN]],'Novia Web Query'!$A:$E,2,FALSE)</f>
        <v>Liontrust MA UK Equity R Acc in GB</v>
      </c>
      <c r="C2799" t="str">
        <f>VLOOKUP(NoviaFunds[[#This Row],[ISIN]],'Novia Web Query'!$A:$E,3,FALSE)</f>
        <v>UT UK All Companies</v>
      </c>
      <c r="D2799" s="139">
        <f>VLOOKUP(NoviaFunds[[#This Row],[ISIN]],'Novia Web Query'!$A:$E,4,FALSE)/100</f>
        <v>1.8600000000000002E-2</v>
      </c>
      <c r="E2799" s="3" t="str">
        <f>VLOOKUP(NoviaFunds[[#This Row],[ISIN]],'Novia Web Query'!$A:$E,5,FALSE)</f>
        <v>01/10/2021</v>
      </c>
      <c r="F2799" t="str">
        <f>VLOOKUP(NoviaFunds[[#This Row],[Sector]],Sectors[],2,FALSE)</f>
        <v>UK Equities</v>
      </c>
    </row>
    <row r="2800" spans="1:6" x14ac:dyDescent="0.2">
      <c r="A2800" t="str">
        <f>'Novia Web Query'!A2796</f>
        <v>GB00BCZW5M11</v>
      </c>
      <c r="B2800" t="str">
        <f>VLOOKUP(NoviaFunds[[#This Row],[ISIN]],'Novia Web Query'!$A:$E,2,FALSE)</f>
        <v>Liontrust MA UK Equity S Acc in GB</v>
      </c>
      <c r="C2800" t="str">
        <f>VLOOKUP(NoviaFunds[[#This Row],[ISIN]],'Novia Web Query'!$A:$E,3,FALSE)</f>
        <v>UT UK All Companies</v>
      </c>
      <c r="D2800" s="139">
        <f>VLOOKUP(NoviaFunds[[#This Row],[ISIN]],'Novia Web Query'!$A:$E,4,FALSE)/100</f>
        <v>9.5999999999999992E-3</v>
      </c>
      <c r="E2800" s="3" t="str">
        <f>VLOOKUP(NoviaFunds[[#This Row],[ISIN]],'Novia Web Query'!$A:$E,5,FALSE)</f>
        <v>01/10/2021</v>
      </c>
      <c r="F2800" t="str">
        <f>VLOOKUP(NoviaFunds[[#This Row],[Sector]],Sectors[],2,FALSE)</f>
        <v>UK Equities</v>
      </c>
    </row>
    <row r="2801" spans="1:6" x14ac:dyDescent="0.2">
      <c r="A2801" t="str">
        <f>'Novia Web Query'!A2797</f>
        <v>GB00BD6FFN71</v>
      </c>
      <c r="B2801" t="str">
        <f>VLOOKUP(NoviaFunds[[#This Row],[ISIN]],'Novia Web Query'!$A:$E,2,FALSE)</f>
        <v>M&amp;G Absolute Return Bond I Acc GBP in GB</v>
      </c>
      <c r="C2801" t="str">
        <f>VLOOKUP(NoviaFunds[[#This Row],[ISIN]],'Novia Web Query'!$A:$E,3,FALSE)</f>
        <v>UT Targeted Absolute Return</v>
      </c>
      <c r="D2801" s="139">
        <f>VLOOKUP(NoviaFunds[[#This Row],[ISIN]],'Novia Web Query'!$A:$E,4,FALSE)/100</f>
        <v>4.5000000000000005E-3</v>
      </c>
      <c r="E2801" s="3" t="str">
        <f>VLOOKUP(NoviaFunds[[#This Row],[ISIN]],'Novia Web Query'!$A:$E,5,FALSE)</f>
        <v>30/09/2021</v>
      </c>
      <c r="F2801" t="str">
        <f>VLOOKUP(NoviaFunds[[#This Row],[Sector]],Sectors[],2,FALSE)</f>
        <v>Absolute Return</v>
      </c>
    </row>
    <row r="2802" spans="1:6" x14ac:dyDescent="0.2">
      <c r="A2802" t="str">
        <f>'Novia Web Query'!A2798</f>
        <v>GB00BD6FFP95</v>
      </c>
      <c r="B2802" t="str">
        <f>VLOOKUP(NoviaFunds[[#This Row],[ISIN]],'Novia Web Query'!$A:$E,2,FALSE)</f>
        <v>M&amp;G Absolute Return Bond I Inc GBP TR in GB</v>
      </c>
      <c r="C2802" t="str">
        <f>VLOOKUP(NoviaFunds[[#This Row],[ISIN]],'Novia Web Query'!$A:$E,3,FALSE)</f>
        <v>UT Targeted Absolute Return</v>
      </c>
      <c r="D2802" s="139">
        <f>VLOOKUP(NoviaFunds[[#This Row],[ISIN]],'Novia Web Query'!$A:$E,4,FALSE)/100</f>
        <v>4.5000000000000005E-3</v>
      </c>
      <c r="E2802" s="3" t="str">
        <f>VLOOKUP(NoviaFunds[[#This Row],[ISIN]],'Novia Web Query'!$A:$E,5,FALSE)</f>
        <v>30/09/2021</v>
      </c>
      <c r="F2802" t="str">
        <f>VLOOKUP(NoviaFunds[[#This Row],[Sector]],Sectors[],2,FALSE)</f>
        <v>Absolute Return</v>
      </c>
    </row>
    <row r="2803" spans="1:6" x14ac:dyDescent="0.2">
      <c r="A2803" t="str">
        <f>'Novia Web Query'!A2799</f>
        <v>GB0030939556</v>
      </c>
      <c r="B2803" t="str">
        <f>VLOOKUP(NoviaFunds[[#This Row],[ISIN]],'Novia Web Query'!$A:$E,2,FALSE)</f>
        <v>M&amp;G Asian A Acc GBP in GB</v>
      </c>
      <c r="C2803" t="str">
        <f>VLOOKUP(NoviaFunds[[#This Row],[ISIN]],'Novia Web Query'!$A:$E,3,FALSE)</f>
        <v>UT Asia Pacific Excluding Japan</v>
      </c>
      <c r="D2803" s="139">
        <f>VLOOKUP(NoviaFunds[[#This Row],[ISIN]],'Novia Web Query'!$A:$E,4,FALSE)/100</f>
        <v>1.3500000000000002E-2</v>
      </c>
      <c r="E2803" s="3" t="str">
        <f>VLOOKUP(NoviaFunds[[#This Row],[ISIN]],'Novia Web Query'!$A:$E,5,FALSE)</f>
        <v>31/08/2021</v>
      </c>
      <c r="F2803" t="str">
        <f>VLOOKUP(NoviaFunds[[#This Row],[Sector]],Sectors[],2,FALSE)</f>
        <v>Asia Pacific</v>
      </c>
    </row>
    <row r="2804" spans="1:6" x14ac:dyDescent="0.2">
      <c r="A2804" t="str">
        <f>'Novia Web Query'!A2800</f>
        <v>GB0030939440</v>
      </c>
      <c r="B2804" t="str">
        <f>VLOOKUP(NoviaFunds[[#This Row],[ISIN]],'Novia Web Query'!$A:$E,2,FALSE)</f>
        <v>M&amp;G Asian A Inc GBP TR in GB</v>
      </c>
      <c r="C2804" t="str">
        <f>VLOOKUP(NoviaFunds[[#This Row],[ISIN]],'Novia Web Query'!$A:$E,3,FALSE)</f>
        <v>UT Asia Pacific Excluding Japan</v>
      </c>
      <c r="D2804" s="139">
        <f>VLOOKUP(NoviaFunds[[#This Row],[ISIN]],'Novia Web Query'!$A:$E,4,FALSE)/100</f>
        <v>1.3500000000000002E-2</v>
      </c>
      <c r="E2804" s="3" t="str">
        <f>VLOOKUP(NoviaFunds[[#This Row],[ISIN]],'Novia Web Query'!$A:$E,5,FALSE)</f>
        <v>31/08/2021</v>
      </c>
      <c r="F2804" t="str">
        <f>VLOOKUP(NoviaFunds[[#This Row],[Sector]],Sectors[],2,FALSE)</f>
        <v>Asia Pacific</v>
      </c>
    </row>
    <row r="2805" spans="1:6" x14ac:dyDescent="0.2">
      <c r="A2805" t="str">
        <f>'Novia Web Query'!A2801</f>
        <v>GB00B6SQYF47</v>
      </c>
      <c r="B2805" t="str">
        <f>VLOOKUP(NoviaFunds[[#This Row],[ISIN]],'Novia Web Query'!$A:$E,2,FALSE)</f>
        <v>M&amp;G Asian I Acc GBP in GB</v>
      </c>
      <c r="C2805" t="str">
        <f>VLOOKUP(NoviaFunds[[#This Row],[ISIN]],'Novia Web Query'!$A:$E,3,FALSE)</f>
        <v>UT Asia Pacific Excluding Japan</v>
      </c>
      <c r="D2805" s="139">
        <f>VLOOKUP(NoviaFunds[[#This Row],[ISIN]],'Novia Web Query'!$A:$E,4,FALSE)/100</f>
        <v>9.4999999999999998E-3</v>
      </c>
      <c r="E2805" s="3" t="str">
        <f>VLOOKUP(NoviaFunds[[#This Row],[ISIN]],'Novia Web Query'!$A:$E,5,FALSE)</f>
        <v>31/08/2021</v>
      </c>
      <c r="F2805" t="str">
        <f>VLOOKUP(NoviaFunds[[#This Row],[Sector]],Sectors[],2,FALSE)</f>
        <v>Asia Pacific</v>
      </c>
    </row>
    <row r="2806" spans="1:6" x14ac:dyDescent="0.2">
      <c r="A2806" t="str">
        <f>'Novia Web Query'!A2802</f>
        <v>GB00B3T2RX98</v>
      </c>
      <c r="B2806" t="str">
        <f>VLOOKUP(NoviaFunds[[#This Row],[ISIN]],'Novia Web Query'!$A:$E,2,FALSE)</f>
        <v>M&amp;G Asian I Inc GBP TR in GB</v>
      </c>
      <c r="C2806" t="str">
        <f>VLOOKUP(NoviaFunds[[#This Row],[ISIN]],'Novia Web Query'!$A:$E,3,FALSE)</f>
        <v>UT Asia Pacific Excluding Japan</v>
      </c>
      <c r="D2806" s="139">
        <f>VLOOKUP(NoviaFunds[[#This Row],[ISIN]],'Novia Web Query'!$A:$E,4,FALSE)/100</f>
        <v>9.4999999999999998E-3</v>
      </c>
      <c r="E2806" s="3" t="str">
        <f>VLOOKUP(NoviaFunds[[#This Row],[ISIN]],'Novia Web Query'!$A:$E,5,FALSE)</f>
        <v>31/08/2021</v>
      </c>
      <c r="F2806" t="str">
        <f>VLOOKUP(NoviaFunds[[#This Row],[Sector]],Sectors[],2,FALSE)</f>
        <v>Asia Pacific</v>
      </c>
    </row>
    <row r="2807" spans="1:6" x14ac:dyDescent="0.2">
      <c r="A2807" t="str">
        <f>'Novia Web Query'!A2803</f>
        <v>GB0031956807</v>
      </c>
      <c r="B2807" t="str">
        <f>VLOOKUP(NoviaFunds[[#This Row],[ISIN]],'Novia Web Query'!$A:$E,2,FALSE)</f>
        <v>M&amp;G Asian X Acc GBP in GB</v>
      </c>
      <c r="C2807" t="str">
        <f>VLOOKUP(NoviaFunds[[#This Row],[ISIN]],'Novia Web Query'!$A:$E,3,FALSE)</f>
        <v>UT Asia Pacific Excluding Japan</v>
      </c>
      <c r="D2807" s="139">
        <f>VLOOKUP(NoviaFunds[[#This Row],[ISIN]],'Novia Web Query'!$A:$E,4,FALSE)/100</f>
        <v>1.3500000000000002E-2</v>
      </c>
      <c r="E2807" s="3" t="str">
        <f>VLOOKUP(NoviaFunds[[#This Row],[ISIN]],'Novia Web Query'!$A:$E,5,FALSE)</f>
        <v>31/08/2021</v>
      </c>
      <c r="F2807" t="str">
        <f>VLOOKUP(NoviaFunds[[#This Row],[Sector]],Sectors[],2,FALSE)</f>
        <v>Asia Pacific</v>
      </c>
    </row>
    <row r="2808" spans="1:6" x14ac:dyDescent="0.2">
      <c r="A2808" t="str">
        <f>'Novia Web Query'!A2804</f>
        <v>GB0031285785</v>
      </c>
      <c r="B2808" t="str">
        <f>VLOOKUP(NoviaFunds[[#This Row],[ISIN]],'Novia Web Query'!$A:$E,2,FALSE)</f>
        <v>M&amp;G Corporate Bond A Acc GBP in GB</v>
      </c>
      <c r="C2808" t="str">
        <f>VLOOKUP(NoviaFunds[[#This Row],[ISIN]],'Novia Web Query'!$A:$E,3,FALSE)</f>
        <v>UT Sterling Corporate Bond</v>
      </c>
      <c r="D2808" s="139">
        <f>VLOOKUP(NoviaFunds[[#This Row],[ISIN]],'Novia Web Query'!$A:$E,4,FALSE)/100</f>
        <v>8.1000000000000013E-3</v>
      </c>
      <c r="E2808" s="3" t="str">
        <f>VLOOKUP(NoviaFunds[[#This Row],[ISIN]],'Novia Web Query'!$A:$E,5,FALSE)</f>
        <v>13/07/2021</v>
      </c>
      <c r="F2808" t="str">
        <f>VLOOKUP(NoviaFunds[[#This Row],[Sector]],Sectors[],2,FALSE)</f>
        <v>Sterling Corporate Bonds</v>
      </c>
    </row>
    <row r="2809" spans="1:6" x14ac:dyDescent="0.2">
      <c r="A2809" t="str">
        <f>'Novia Web Query'!A2805</f>
        <v>GB0031285678</v>
      </c>
      <c r="B2809" t="str">
        <f>VLOOKUP(NoviaFunds[[#This Row],[ISIN]],'Novia Web Query'!$A:$E,2,FALSE)</f>
        <v>M&amp;G Corporate Bond A Inc GBP TR in GB</v>
      </c>
      <c r="C2809" t="str">
        <f>VLOOKUP(NoviaFunds[[#This Row],[ISIN]],'Novia Web Query'!$A:$E,3,FALSE)</f>
        <v>UT Sterling Corporate Bond</v>
      </c>
      <c r="D2809" s="139">
        <f>VLOOKUP(NoviaFunds[[#This Row],[ISIN]],'Novia Web Query'!$A:$E,4,FALSE)/100</f>
        <v>8.1000000000000013E-3</v>
      </c>
      <c r="E2809" s="3" t="str">
        <f>VLOOKUP(NoviaFunds[[#This Row],[ISIN]],'Novia Web Query'!$A:$E,5,FALSE)</f>
        <v>13/07/2021</v>
      </c>
      <c r="F2809" t="str">
        <f>VLOOKUP(NoviaFunds[[#This Row],[Sector]],Sectors[],2,FALSE)</f>
        <v>Sterling Corporate Bonds</v>
      </c>
    </row>
    <row r="2810" spans="1:6" x14ac:dyDescent="0.2">
      <c r="A2810" t="str">
        <f>'Novia Web Query'!A2806</f>
        <v>GB00B1YBRL59</v>
      </c>
      <c r="B2810" t="str">
        <f>VLOOKUP(NoviaFunds[[#This Row],[ISIN]],'Novia Web Query'!$A:$E,2,FALSE)</f>
        <v>M&amp;G Corporate Bond Inst Acc GBP in GB</v>
      </c>
      <c r="C2810" t="str">
        <f>VLOOKUP(NoviaFunds[[#This Row],[ISIN]],'Novia Web Query'!$A:$E,3,FALSE)</f>
        <v>UT Sterling Corporate Bond</v>
      </c>
      <c r="D2810" s="139">
        <f>VLOOKUP(NoviaFunds[[#This Row],[ISIN]],'Novia Web Query'!$A:$E,4,FALSE)/100</f>
        <v>4.0999999999999995E-3</v>
      </c>
      <c r="E2810" s="3" t="str">
        <f>VLOOKUP(NoviaFunds[[#This Row],[ISIN]],'Novia Web Query'!$A:$E,5,FALSE)</f>
        <v>13/07/2021</v>
      </c>
      <c r="F2810" t="str">
        <f>VLOOKUP(NoviaFunds[[#This Row],[Sector]],Sectors[],2,FALSE)</f>
        <v>Sterling Corporate Bonds</v>
      </c>
    </row>
    <row r="2811" spans="1:6" x14ac:dyDescent="0.2">
      <c r="A2811" t="str">
        <f>'Novia Web Query'!A2807</f>
        <v>GB00B1YBRM66</v>
      </c>
      <c r="B2811" t="str">
        <f>VLOOKUP(NoviaFunds[[#This Row],[ISIN]],'Novia Web Query'!$A:$E,2,FALSE)</f>
        <v>M&amp;G Corporate Bond Inst Inc GBP TR in GB</v>
      </c>
      <c r="C2811" t="str">
        <f>VLOOKUP(NoviaFunds[[#This Row],[ISIN]],'Novia Web Query'!$A:$E,3,FALSE)</f>
        <v>UT Sterling Corporate Bond</v>
      </c>
      <c r="D2811" s="139">
        <f>VLOOKUP(NoviaFunds[[#This Row],[ISIN]],'Novia Web Query'!$A:$E,4,FALSE)/100</f>
        <v>4.0999999999999995E-3</v>
      </c>
      <c r="E2811" s="3" t="str">
        <f>VLOOKUP(NoviaFunds[[#This Row],[ISIN]],'Novia Web Query'!$A:$E,5,FALSE)</f>
        <v>13/07/2021</v>
      </c>
      <c r="F2811" t="str">
        <f>VLOOKUP(NoviaFunds[[#This Row],[Sector]],Sectors[],2,FALSE)</f>
        <v>Sterling Corporate Bonds</v>
      </c>
    </row>
    <row r="2812" spans="1:6" x14ac:dyDescent="0.2">
      <c r="A2812" t="str">
        <f>'Novia Web Query'!A2808</f>
        <v>GB0031285900</v>
      </c>
      <c r="B2812" t="str">
        <f>VLOOKUP(NoviaFunds[[#This Row],[ISIN]],'Novia Web Query'!$A:$E,2,FALSE)</f>
        <v>M&amp;G Corporate Bond X Acc GBP in GB</v>
      </c>
      <c r="C2812" t="str">
        <f>VLOOKUP(NoviaFunds[[#This Row],[ISIN]],'Novia Web Query'!$A:$E,3,FALSE)</f>
        <v>UT Sterling Corporate Bond</v>
      </c>
      <c r="D2812" s="139">
        <f>VLOOKUP(NoviaFunds[[#This Row],[ISIN]],'Novia Web Query'!$A:$E,4,FALSE)/100</f>
        <v>8.1000000000000013E-3</v>
      </c>
      <c r="E2812" s="3" t="str">
        <f>VLOOKUP(NoviaFunds[[#This Row],[ISIN]],'Novia Web Query'!$A:$E,5,FALSE)</f>
        <v>13/07/2021</v>
      </c>
      <c r="F2812" t="str">
        <f>VLOOKUP(NoviaFunds[[#This Row],[Sector]],Sectors[],2,FALSE)</f>
        <v>Sterling Corporate Bonds</v>
      </c>
    </row>
    <row r="2813" spans="1:6" x14ac:dyDescent="0.2">
      <c r="A2813" t="str">
        <f>'Novia Web Query'!A2809</f>
        <v>GB0031285892</v>
      </c>
      <c r="B2813" t="str">
        <f>VLOOKUP(NoviaFunds[[#This Row],[ISIN]],'Novia Web Query'!$A:$E,2,FALSE)</f>
        <v>M&amp;G Corporate Bond X Inc GBP TR in GB</v>
      </c>
      <c r="C2813" t="str">
        <f>VLOOKUP(NoviaFunds[[#This Row],[ISIN]],'Novia Web Query'!$A:$E,3,FALSE)</f>
        <v>UT Sterling Corporate Bond</v>
      </c>
      <c r="D2813" s="139">
        <f>VLOOKUP(NoviaFunds[[#This Row],[ISIN]],'Novia Web Query'!$A:$E,4,FALSE)/100</f>
        <v>8.1000000000000013E-3</v>
      </c>
      <c r="E2813" s="3" t="str">
        <f>VLOOKUP(NoviaFunds[[#This Row],[ISIN]],'Novia Web Query'!$A:$E,5,FALSE)</f>
        <v>13/07/2021</v>
      </c>
      <c r="F2813" t="str">
        <f>VLOOKUP(NoviaFunds[[#This Row],[Sector]],Sectors[],2,FALSE)</f>
        <v>Sterling Corporate Bonds</v>
      </c>
    </row>
    <row r="2814" spans="1:6" x14ac:dyDescent="0.2">
      <c r="A2814" t="str">
        <f>'Novia Web Query'!A2810</f>
        <v>GB0031286197</v>
      </c>
      <c r="B2814" t="str">
        <f>VLOOKUP(NoviaFunds[[#This Row],[ISIN]],'Novia Web Query'!$A:$E,2,FALSE)</f>
        <v>M&amp;G Dividend A Acc GBP in GB</v>
      </c>
      <c r="C2814" t="str">
        <f>VLOOKUP(NoviaFunds[[#This Row],[ISIN]],'Novia Web Query'!$A:$E,3,FALSE)</f>
        <v>UT UK Equity Income</v>
      </c>
      <c r="D2814" s="139">
        <f>VLOOKUP(NoviaFunds[[#This Row],[ISIN]],'Novia Web Query'!$A:$E,4,FALSE)/100</f>
        <v>1.0800000000000001E-2</v>
      </c>
      <c r="E2814" s="3" t="str">
        <f>VLOOKUP(NoviaFunds[[#This Row],[ISIN]],'Novia Web Query'!$A:$E,5,FALSE)</f>
        <v>15/02/2021</v>
      </c>
      <c r="F2814" t="str">
        <f>VLOOKUP(NoviaFunds[[#This Row],[Sector]],Sectors[],2,FALSE)</f>
        <v>UK Equities</v>
      </c>
    </row>
    <row r="2815" spans="1:6" x14ac:dyDescent="0.2">
      <c r="A2815" t="str">
        <f>'Novia Web Query'!A2811</f>
        <v>GB0031286080</v>
      </c>
      <c r="B2815" t="str">
        <f>VLOOKUP(NoviaFunds[[#This Row],[ISIN]],'Novia Web Query'!$A:$E,2,FALSE)</f>
        <v>M&amp;G Dividend A Inc GBP TR in GB</v>
      </c>
      <c r="C2815" t="str">
        <f>VLOOKUP(NoviaFunds[[#This Row],[ISIN]],'Novia Web Query'!$A:$E,3,FALSE)</f>
        <v>UT UK Equity Income</v>
      </c>
      <c r="D2815" s="139">
        <f>VLOOKUP(NoviaFunds[[#This Row],[ISIN]],'Novia Web Query'!$A:$E,4,FALSE)/100</f>
        <v>1.0800000000000001E-2</v>
      </c>
      <c r="E2815" s="3" t="str">
        <f>VLOOKUP(NoviaFunds[[#This Row],[ISIN]],'Novia Web Query'!$A:$E,5,FALSE)</f>
        <v>15/02/2021</v>
      </c>
      <c r="F2815" t="str">
        <f>VLOOKUP(NoviaFunds[[#This Row],[Sector]],Sectors[],2,FALSE)</f>
        <v>UK Equities</v>
      </c>
    </row>
    <row r="2816" spans="1:6" x14ac:dyDescent="0.2">
      <c r="A2816" t="str">
        <f>'Novia Web Query'!A2812</f>
        <v>GB00B7BX4821</v>
      </c>
      <c r="B2816" t="str">
        <f>VLOOKUP(NoviaFunds[[#This Row],[ISIN]],'Novia Web Query'!$A:$E,2,FALSE)</f>
        <v>M&amp;G Dividend I Acc GBP in GB</v>
      </c>
      <c r="C2816" t="str">
        <f>VLOOKUP(NoviaFunds[[#This Row],[ISIN]],'Novia Web Query'!$A:$E,3,FALSE)</f>
        <v>UT UK Equity Income</v>
      </c>
      <c r="D2816" s="139">
        <f>VLOOKUP(NoviaFunds[[#This Row],[ISIN]],'Novia Web Query'!$A:$E,4,FALSE)/100</f>
        <v>6.8000000000000005E-3</v>
      </c>
      <c r="E2816" s="3" t="str">
        <f>VLOOKUP(NoviaFunds[[#This Row],[ISIN]],'Novia Web Query'!$A:$E,5,FALSE)</f>
        <v>30/06/2021</v>
      </c>
      <c r="F2816" t="str">
        <f>VLOOKUP(NoviaFunds[[#This Row],[Sector]],Sectors[],2,FALSE)</f>
        <v>UK Equities</v>
      </c>
    </row>
    <row r="2817" spans="1:6" x14ac:dyDescent="0.2">
      <c r="A2817" t="str">
        <f>'Novia Web Query'!A2813</f>
        <v>GB00B6T64N15</v>
      </c>
      <c r="B2817" t="str">
        <f>VLOOKUP(NoviaFunds[[#This Row],[ISIN]],'Novia Web Query'!$A:$E,2,FALSE)</f>
        <v>M&amp;G Dividend I Inc GBP TR in GB</v>
      </c>
      <c r="C2817" t="str">
        <f>VLOOKUP(NoviaFunds[[#This Row],[ISIN]],'Novia Web Query'!$A:$E,3,FALSE)</f>
        <v>UT UK Equity Income</v>
      </c>
      <c r="D2817" s="139">
        <f>VLOOKUP(NoviaFunds[[#This Row],[ISIN]],'Novia Web Query'!$A:$E,4,FALSE)/100</f>
        <v>6.8000000000000005E-3</v>
      </c>
      <c r="E2817" s="3" t="str">
        <f>VLOOKUP(NoviaFunds[[#This Row],[ISIN]],'Novia Web Query'!$A:$E,5,FALSE)</f>
        <v>30/06/2021</v>
      </c>
      <c r="F2817" t="str">
        <f>VLOOKUP(NoviaFunds[[#This Row],[Sector]],Sectors[],2,FALSE)</f>
        <v>UK Equities</v>
      </c>
    </row>
    <row r="2818" spans="1:6" x14ac:dyDescent="0.2">
      <c r="A2818" t="str">
        <f>'Novia Web Query'!A2814</f>
        <v>GB0031958514</v>
      </c>
      <c r="B2818" t="str">
        <f>VLOOKUP(NoviaFunds[[#This Row],[ISIN]],'Novia Web Query'!$A:$E,2,FALSE)</f>
        <v>M&amp;G Dividend X Acc GBP in GB</v>
      </c>
      <c r="C2818" t="str">
        <f>VLOOKUP(NoviaFunds[[#This Row],[ISIN]],'Novia Web Query'!$A:$E,3,FALSE)</f>
        <v>UT UK Equity Income</v>
      </c>
      <c r="D2818" s="139">
        <f>VLOOKUP(NoviaFunds[[#This Row],[ISIN]],'Novia Web Query'!$A:$E,4,FALSE)/100</f>
        <v>1.0800000000000001E-2</v>
      </c>
      <c r="E2818" s="3" t="str">
        <f>VLOOKUP(NoviaFunds[[#This Row],[ISIN]],'Novia Web Query'!$A:$E,5,FALSE)</f>
        <v>15/02/2021</v>
      </c>
      <c r="F2818" t="str">
        <f>VLOOKUP(NoviaFunds[[#This Row],[Sector]],Sectors[],2,FALSE)</f>
        <v>UK Equities</v>
      </c>
    </row>
    <row r="2819" spans="1:6" x14ac:dyDescent="0.2">
      <c r="A2819" t="str">
        <f>'Novia Web Query'!A2815</f>
        <v>GB0031958738</v>
      </c>
      <c r="B2819" t="str">
        <f>VLOOKUP(NoviaFunds[[#This Row],[ISIN]],'Novia Web Query'!$A:$E,2,FALSE)</f>
        <v>M&amp;G Emerging Markets Bond A Acc GBP in GB</v>
      </c>
      <c r="C2819" t="str">
        <f>VLOOKUP(NoviaFunds[[#This Row],[ISIN]],'Novia Web Query'!$A:$E,3,FALSE)</f>
        <v>UT Global EM Bonds - Blended</v>
      </c>
      <c r="D2819" s="139">
        <f>VLOOKUP(NoviaFunds[[#This Row],[ISIN]],'Novia Web Query'!$A:$E,4,FALSE)/100</f>
        <v>1.1000000000000001E-2</v>
      </c>
      <c r="E2819" s="3" t="str">
        <f>VLOOKUP(NoviaFunds[[#This Row],[ISIN]],'Novia Web Query'!$A:$E,5,FALSE)</f>
        <v>15/02/2021</v>
      </c>
      <c r="F2819" t="e">
        <f>VLOOKUP(NoviaFunds[[#This Row],[Sector]],Sectors[],2,FALSE)</f>
        <v>#N/A</v>
      </c>
    </row>
    <row r="2820" spans="1:6" x14ac:dyDescent="0.2">
      <c r="A2820" t="str">
        <f>'Novia Web Query'!A2816</f>
        <v>GB0031958621</v>
      </c>
      <c r="B2820" t="str">
        <f>VLOOKUP(NoviaFunds[[#This Row],[ISIN]],'Novia Web Query'!$A:$E,2,FALSE)</f>
        <v>M&amp;G Emerging Markets Bond A Inc GBP TR in GB</v>
      </c>
      <c r="C2820" t="str">
        <f>VLOOKUP(NoviaFunds[[#This Row],[ISIN]],'Novia Web Query'!$A:$E,3,FALSE)</f>
        <v>UT Global EM Bonds - Blended</v>
      </c>
      <c r="D2820" s="139">
        <f>VLOOKUP(NoviaFunds[[#This Row],[ISIN]],'Novia Web Query'!$A:$E,4,FALSE)/100</f>
        <v>1.1000000000000001E-2</v>
      </c>
      <c r="E2820" s="3" t="str">
        <f>VLOOKUP(NoviaFunds[[#This Row],[ISIN]],'Novia Web Query'!$A:$E,5,FALSE)</f>
        <v>15/02/2021</v>
      </c>
      <c r="F2820" t="e">
        <f>VLOOKUP(NoviaFunds[[#This Row],[Sector]],Sectors[],2,FALSE)</f>
        <v>#N/A</v>
      </c>
    </row>
    <row r="2821" spans="1:6" x14ac:dyDescent="0.2">
      <c r="A2821" t="str">
        <f>'Novia Web Query'!A2817</f>
        <v>GB00B7GNKY53</v>
      </c>
      <c r="B2821" t="str">
        <f>VLOOKUP(NoviaFunds[[#This Row],[ISIN]],'Novia Web Query'!$A:$E,2,FALSE)</f>
        <v>M&amp;G Emerging Markets Bond I Acc GBP in GB</v>
      </c>
      <c r="C2821" t="str">
        <f>VLOOKUP(NoviaFunds[[#This Row],[ISIN]],'Novia Web Query'!$A:$E,3,FALSE)</f>
        <v>UT Global EM Bonds - Blended</v>
      </c>
      <c r="D2821" s="139">
        <f>VLOOKUP(NoviaFunds[[#This Row],[ISIN]],'Novia Web Query'!$A:$E,4,FALSE)/100</f>
        <v>6.9999999999999993E-3</v>
      </c>
      <c r="E2821" s="3" t="str">
        <f>VLOOKUP(NoviaFunds[[#This Row],[ISIN]],'Novia Web Query'!$A:$E,5,FALSE)</f>
        <v>15/02/2021</v>
      </c>
      <c r="F2821" t="e">
        <f>VLOOKUP(NoviaFunds[[#This Row],[Sector]],Sectors[],2,FALSE)</f>
        <v>#N/A</v>
      </c>
    </row>
    <row r="2822" spans="1:6" x14ac:dyDescent="0.2">
      <c r="A2822" t="str">
        <f>'Novia Web Query'!A2818</f>
        <v>GB00B4TL2D89</v>
      </c>
      <c r="B2822" t="str">
        <f>VLOOKUP(NoviaFunds[[#This Row],[ISIN]],'Novia Web Query'!$A:$E,2,FALSE)</f>
        <v>M&amp;G Emerging Markets Bond I Inc GBP TR in GB</v>
      </c>
      <c r="C2822" t="str">
        <f>VLOOKUP(NoviaFunds[[#This Row],[ISIN]],'Novia Web Query'!$A:$E,3,FALSE)</f>
        <v>UT Global EM Bonds - Blended</v>
      </c>
      <c r="D2822" s="139">
        <f>VLOOKUP(NoviaFunds[[#This Row],[ISIN]],'Novia Web Query'!$A:$E,4,FALSE)/100</f>
        <v>6.9999999999999993E-3</v>
      </c>
      <c r="E2822" s="3" t="str">
        <f>VLOOKUP(NoviaFunds[[#This Row],[ISIN]],'Novia Web Query'!$A:$E,5,FALSE)</f>
        <v>15/02/2021</v>
      </c>
      <c r="F2822" t="e">
        <f>VLOOKUP(NoviaFunds[[#This Row],[Sector]],Sectors[],2,FALSE)</f>
        <v>#N/A</v>
      </c>
    </row>
    <row r="2823" spans="1:6" x14ac:dyDescent="0.2">
      <c r="A2823" t="str">
        <f>'Novia Web Query'!A2819</f>
        <v>GB00BZ0YDS58</v>
      </c>
      <c r="B2823" t="str">
        <f>VLOOKUP(NoviaFunds[[#This Row],[ISIN]],'Novia Web Query'!$A:$E,2,FALSE)</f>
        <v>M&amp;G Emerging Markets Bond IH Acc GBP in GB</v>
      </c>
      <c r="C2823" t="str">
        <f>VLOOKUP(NoviaFunds[[#This Row],[ISIN]],'Novia Web Query'!$A:$E,3,FALSE)</f>
        <v>UT Global EM Bonds - Blended</v>
      </c>
      <c r="D2823" s="139">
        <f>VLOOKUP(NoviaFunds[[#This Row],[ISIN]],'Novia Web Query'!$A:$E,4,FALSE)/100</f>
        <v>7.3000000000000001E-3</v>
      </c>
      <c r="E2823" s="3" t="str">
        <f>VLOOKUP(NoviaFunds[[#This Row],[ISIN]],'Novia Web Query'!$A:$E,5,FALSE)</f>
        <v>15/02/2021</v>
      </c>
      <c r="F2823" t="e">
        <f>VLOOKUP(NoviaFunds[[#This Row],[Sector]],Sectors[],2,FALSE)</f>
        <v>#N/A</v>
      </c>
    </row>
    <row r="2824" spans="1:6" x14ac:dyDescent="0.2">
      <c r="A2824" t="str">
        <f>'Novia Web Query'!A2820</f>
        <v>GB00BZ0YDT65</v>
      </c>
      <c r="B2824" t="str">
        <f>VLOOKUP(NoviaFunds[[#This Row],[ISIN]],'Novia Web Query'!$A:$E,2,FALSE)</f>
        <v>M&amp;G Emerging Markets Bond IH Inc GBP TR in GB</v>
      </c>
      <c r="C2824" t="str">
        <f>VLOOKUP(NoviaFunds[[#This Row],[ISIN]],'Novia Web Query'!$A:$E,3,FALSE)</f>
        <v>UT Global EM Bonds - Blended</v>
      </c>
      <c r="D2824" s="139">
        <f>VLOOKUP(NoviaFunds[[#This Row],[ISIN]],'Novia Web Query'!$A:$E,4,FALSE)/100</f>
        <v>7.3000000000000001E-3</v>
      </c>
      <c r="E2824" s="3" t="str">
        <f>VLOOKUP(NoviaFunds[[#This Row],[ISIN]],'Novia Web Query'!$A:$E,5,FALSE)</f>
        <v>15/02/2021</v>
      </c>
      <c r="F2824" t="e">
        <f>VLOOKUP(NoviaFunds[[#This Row],[Sector]],Sectors[],2,FALSE)</f>
        <v>#N/A</v>
      </c>
    </row>
    <row r="2825" spans="1:6" x14ac:dyDescent="0.2">
      <c r="A2825" t="str">
        <f>'Novia Web Query'!A2821</f>
        <v>GB0031286312</v>
      </c>
      <c r="B2825" t="str">
        <f>VLOOKUP(NoviaFunds[[#This Row],[ISIN]],'Novia Web Query'!$A:$E,2,FALSE)</f>
        <v>M&amp;G Emerging Markets Bond X Acc GBP in GB</v>
      </c>
      <c r="C2825" t="str">
        <f>VLOOKUP(NoviaFunds[[#This Row],[ISIN]],'Novia Web Query'!$A:$E,3,FALSE)</f>
        <v>UT Global EM Bonds - Blended</v>
      </c>
      <c r="D2825" s="139">
        <f>VLOOKUP(NoviaFunds[[#This Row],[ISIN]],'Novia Web Query'!$A:$E,4,FALSE)/100</f>
        <v>1.1000000000000001E-2</v>
      </c>
      <c r="E2825" s="3" t="str">
        <f>VLOOKUP(NoviaFunds[[#This Row],[ISIN]],'Novia Web Query'!$A:$E,5,FALSE)</f>
        <v>15/02/2021</v>
      </c>
      <c r="F2825" t="e">
        <f>VLOOKUP(NoviaFunds[[#This Row],[Sector]],Sectors[],2,FALSE)</f>
        <v>#N/A</v>
      </c>
    </row>
    <row r="2826" spans="1:6" x14ac:dyDescent="0.2">
      <c r="A2826" t="str">
        <f>'Novia Web Query'!A2822</f>
        <v>GB00B1P9ZJ26</v>
      </c>
      <c r="B2826" t="str">
        <f>VLOOKUP(NoviaFunds[[#This Row],[ISIN]],'Novia Web Query'!$A:$E,2,FALSE)</f>
        <v>M&amp;G Episode Allocation A Acc GBP in GB</v>
      </c>
      <c r="C2826" t="str">
        <f>VLOOKUP(NoviaFunds[[#This Row],[ISIN]],'Novia Web Query'!$A:$E,3,FALSE)</f>
        <v>UT Mixed Investment 20-60% Shares</v>
      </c>
      <c r="D2826" s="139">
        <f>VLOOKUP(NoviaFunds[[#This Row],[ISIN]],'Novia Web Query'!$A:$E,4,FALSE)/100</f>
        <v>1.0500000000000001E-2</v>
      </c>
      <c r="E2826" s="3" t="str">
        <f>VLOOKUP(NoviaFunds[[#This Row],[ISIN]],'Novia Web Query'!$A:$E,5,FALSE)</f>
        <v>30/04/2021</v>
      </c>
      <c r="F2826" t="str">
        <f>VLOOKUP(NoviaFunds[[#This Row],[Sector]],Sectors[],2,FALSE)</f>
        <v>Mixed 20%-60%</v>
      </c>
    </row>
    <row r="2827" spans="1:6" x14ac:dyDescent="0.2">
      <c r="A2827" t="str">
        <f>'Novia Web Query'!A2823</f>
        <v>GB00B1P9ZK31</v>
      </c>
      <c r="B2827" t="str">
        <f>VLOOKUP(NoviaFunds[[#This Row],[ISIN]],'Novia Web Query'!$A:$E,2,FALSE)</f>
        <v>M&amp;G Episode Allocation A Inc GBP TR in GB</v>
      </c>
      <c r="C2827" t="str">
        <f>VLOOKUP(NoviaFunds[[#This Row],[ISIN]],'Novia Web Query'!$A:$E,3,FALSE)</f>
        <v>UT Mixed Investment 20-60% Shares</v>
      </c>
      <c r="D2827" s="139">
        <f>VLOOKUP(NoviaFunds[[#This Row],[ISIN]],'Novia Web Query'!$A:$E,4,FALSE)/100</f>
        <v>1.0500000000000001E-2</v>
      </c>
      <c r="E2827" s="3" t="str">
        <f>VLOOKUP(NoviaFunds[[#This Row],[ISIN]],'Novia Web Query'!$A:$E,5,FALSE)</f>
        <v>30/04/2021</v>
      </c>
      <c r="F2827" t="str">
        <f>VLOOKUP(NoviaFunds[[#This Row],[Sector]],Sectors[],2,FALSE)</f>
        <v>Mixed 20%-60%</v>
      </c>
    </row>
    <row r="2828" spans="1:6" x14ac:dyDescent="0.2">
      <c r="A2828" t="str">
        <f>'Novia Web Query'!A2824</f>
        <v>GB00B73RVW51</v>
      </c>
      <c r="B2828" t="str">
        <f>VLOOKUP(NoviaFunds[[#This Row],[ISIN]],'Novia Web Query'!$A:$E,2,FALSE)</f>
        <v>M&amp;G Episode Allocation I Acc GBP in GB</v>
      </c>
      <c r="C2828" t="str">
        <f>VLOOKUP(NoviaFunds[[#This Row],[ISIN]],'Novia Web Query'!$A:$E,3,FALSE)</f>
        <v>UT Mixed Investment 20-60% Shares</v>
      </c>
      <c r="D2828" s="139">
        <f>VLOOKUP(NoviaFunds[[#This Row],[ISIN]],'Novia Web Query'!$A:$E,4,FALSE)/100</f>
        <v>6.5000000000000006E-3</v>
      </c>
      <c r="E2828" s="3" t="str">
        <f>VLOOKUP(NoviaFunds[[#This Row],[ISIN]],'Novia Web Query'!$A:$E,5,FALSE)</f>
        <v>30/04/2021</v>
      </c>
      <c r="F2828" t="str">
        <f>VLOOKUP(NoviaFunds[[#This Row],[Sector]],Sectors[],2,FALSE)</f>
        <v>Mixed 20%-60%</v>
      </c>
    </row>
    <row r="2829" spans="1:6" x14ac:dyDescent="0.2">
      <c r="A2829" t="str">
        <f>'Novia Web Query'!A2825</f>
        <v>GB00B71QKV66</v>
      </c>
      <c r="B2829" t="str">
        <f>VLOOKUP(NoviaFunds[[#This Row],[ISIN]],'Novia Web Query'!$A:$E,2,FALSE)</f>
        <v>M&amp;G Episode Allocation I Inc GBP TR in GB</v>
      </c>
      <c r="C2829" t="str">
        <f>VLOOKUP(NoviaFunds[[#This Row],[ISIN]],'Novia Web Query'!$A:$E,3,FALSE)</f>
        <v>UT Mixed Investment 20-60% Shares</v>
      </c>
      <c r="D2829" s="139">
        <f>VLOOKUP(NoviaFunds[[#This Row],[ISIN]],'Novia Web Query'!$A:$E,4,FALSE)/100</f>
        <v>6.5000000000000006E-3</v>
      </c>
      <c r="E2829" s="3" t="str">
        <f>VLOOKUP(NoviaFunds[[#This Row],[ISIN]],'Novia Web Query'!$A:$E,5,FALSE)</f>
        <v>30/04/2021</v>
      </c>
      <c r="F2829" t="str">
        <f>VLOOKUP(NoviaFunds[[#This Row],[Sector]],Sectors[],2,FALSE)</f>
        <v>Mixed 20%-60%</v>
      </c>
    </row>
    <row r="2830" spans="1:6" x14ac:dyDescent="0.2">
      <c r="A2830" t="str">
        <f>'Novia Web Query'!A2826</f>
        <v>GB00B1P9ZL48</v>
      </c>
      <c r="B2830" t="str">
        <f>VLOOKUP(NoviaFunds[[#This Row],[ISIN]],'Novia Web Query'!$A:$E,2,FALSE)</f>
        <v>M&amp;G Episode Allocation X Acc GBP in GB</v>
      </c>
      <c r="C2830" t="str">
        <f>VLOOKUP(NoviaFunds[[#This Row],[ISIN]],'Novia Web Query'!$A:$E,3,FALSE)</f>
        <v>UT Mixed Investment 20-60% Shares</v>
      </c>
      <c r="D2830" s="139">
        <f>VLOOKUP(NoviaFunds[[#This Row],[ISIN]],'Novia Web Query'!$A:$E,4,FALSE)/100</f>
        <v>1.0500000000000001E-2</v>
      </c>
      <c r="E2830" s="3" t="str">
        <f>VLOOKUP(NoviaFunds[[#This Row],[ISIN]],'Novia Web Query'!$A:$E,5,FALSE)</f>
        <v>30/04/2021</v>
      </c>
      <c r="F2830" t="str">
        <f>VLOOKUP(NoviaFunds[[#This Row],[Sector]],Sectors[],2,FALSE)</f>
        <v>Mixed 20%-60%</v>
      </c>
    </row>
    <row r="2831" spans="1:6" x14ac:dyDescent="0.2">
      <c r="A2831" t="str">
        <f>'Novia Web Query'!A2827</f>
        <v>GB00B1P9ZM54</v>
      </c>
      <c r="B2831" t="str">
        <f>VLOOKUP(NoviaFunds[[#This Row],[ISIN]],'Novia Web Query'!$A:$E,2,FALSE)</f>
        <v>M&amp;G Episode Allocation X Inc GBP TR in GB</v>
      </c>
      <c r="C2831" t="str">
        <f>VLOOKUP(NoviaFunds[[#This Row],[ISIN]],'Novia Web Query'!$A:$E,3,FALSE)</f>
        <v>UT Mixed Investment 20-60% Shares</v>
      </c>
      <c r="D2831" s="139">
        <f>VLOOKUP(NoviaFunds[[#This Row],[ISIN]],'Novia Web Query'!$A:$E,4,FALSE)/100</f>
        <v>1.0500000000000001E-2</v>
      </c>
      <c r="E2831" s="3" t="str">
        <f>VLOOKUP(NoviaFunds[[#This Row],[ISIN]],'Novia Web Query'!$A:$E,5,FALSE)</f>
        <v>30/04/2021</v>
      </c>
      <c r="F2831" t="str">
        <f>VLOOKUP(NoviaFunds[[#This Row],[Sector]],Sectors[],2,FALSE)</f>
        <v>Mixed 20%-60%</v>
      </c>
    </row>
    <row r="2832" spans="1:6" x14ac:dyDescent="0.2">
      <c r="A2832" t="str">
        <f>'Novia Web Query'!A2828</f>
        <v>GB0031960585</v>
      </c>
      <c r="B2832" t="str">
        <f>VLOOKUP(NoviaFunds[[#This Row],[ISIN]],'Novia Web Query'!$A:$E,2,FALSE)</f>
        <v>M&amp;G Episode Growth A Acc GBP in GB</v>
      </c>
      <c r="C2832" t="str">
        <f>VLOOKUP(NoviaFunds[[#This Row],[ISIN]],'Novia Web Query'!$A:$E,3,FALSE)</f>
        <v>UT Mixed Investment 40-85% Shares</v>
      </c>
      <c r="D2832" s="139">
        <f>VLOOKUP(NoviaFunds[[#This Row],[ISIN]],'Novia Web Query'!$A:$E,4,FALSE)/100</f>
        <v>1.0500000000000001E-2</v>
      </c>
      <c r="E2832" s="3" t="str">
        <f>VLOOKUP(NoviaFunds[[#This Row],[ISIN]],'Novia Web Query'!$A:$E,5,FALSE)</f>
        <v>30/04/2021</v>
      </c>
      <c r="F2832" t="str">
        <f>VLOOKUP(NoviaFunds[[#This Row],[Sector]],Sectors[],2,FALSE)</f>
        <v>Mixed 40%-85%</v>
      </c>
    </row>
    <row r="2833" spans="1:6" x14ac:dyDescent="0.2">
      <c r="A2833" t="str">
        <f>'Novia Web Query'!A2829</f>
        <v>GB0031960478</v>
      </c>
      <c r="B2833" t="str">
        <f>VLOOKUP(NoviaFunds[[#This Row],[ISIN]],'Novia Web Query'!$A:$E,2,FALSE)</f>
        <v>M&amp;G Episode Growth A Inc GBP TR in GB</v>
      </c>
      <c r="C2833" t="str">
        <f>VLOOKUP(NoviaFunds[[#This Row],[ISIN]],'Novia Web Query'!$A:$E,3,FALSE)</f>
        <v>UT Mixed Investment 40-85% Shares</v>
      </c>
      <c r="D2833" s="139">
        <f>VLOOKUP(NoviaFunds[[#This Row],[ISIN]],'Novia Web Query'!$A:$E,4,FALSE)/100</f>
        <v>1.0500000000000001E-2</v>
      </c>
      <c r="E2833" s="3" t="str">
        <f>VLOOKUP(NoviaFunds[[#This Row],[ISIN]],'Novia Web Query'!$A:$E,5,FALSE)</f>
        <v>30/04/2021</v>
      </c>
      <c r="F2833" t="str">
        <f>VLOOKUP(NoviaFunds[[#This Row],[Sector]],Sectors[],2,FALSE)</f>
        <v>Mixed 40%-85%</v>
      </c>
    </row>
    <row r="2834" spans="1:6" x14ac:dyDescent="0.2">
      <c r="A2834" t="str">
        <f>'Novia Web Query'!A2830</f>
        <v>GB00B5V3ZY14</v>
      </c>
      <c r="B2834" t="str">
        <f>VLOOKUP(NoviaFunds[[#This Row],[ISIN]],'Novia Web Query'!$A:$E,2,FALSE)</f>
        <v>M&amp;G Episode Growth I Acc GBP TR in GB</v>
      </c>
      <c r="C2834" t="str">
        <f>VLOOKUP(NoviaFunds[[#This Row],[ISIN]],'Novia Web Query'!$A:$E,3,FALSE)</f>
        <v>UT Mixed Investment 40-85% Shares</v>
      </c>
      <c r="D2834" s="139">
        <f>VLOOKUP(NoviaFunds[[#This Row],[ISIN]],'Novia Web Query'!$A:$E,4,FALSE)/100</f>
        <v>6.5000000000000006E-3</v>
      </c>
      <c r="E2834" s="3" t="str">
        <f>VLOOKUP(NoviaFunds[[#This Row],[ISIN]],'Novia Web Query'!$A:$E,5,FALSE)</f>
        <v>30/04/2021</v>
      </c>
      <c r="F2834" t="str">
        <f>VLOOKUP(NoviaFunds[[#This Row],[Sector]],Sectors[],2,FALSE)</f>
        <v>Mixed 40%-85%</v>
      </c>
    </row>
    <row r="2835" spans="1:6" x14ac:dyDescent="0.2">
      <c r="A2835" t="str">
        <f>'Novia Web Query'!A2831</f>
        <v>GB00B708D148</v>
      </c>
      <c r="B2835" t="str">
        <f>VLOOKUP(NoviaFunds[[#This Row],[ISIN]],'Novia Web Query'!$A:$E,2,FALSE)</f>
        <v>M&amp;G Episode Growth I Inc GBP TR in GB</v>
      </c>
      <c r="C2835" t="str">
        <f>VLOOKUP(NoviaFunds[[#This Row],[ISIN]],'Novia Web Query'!$A:$E,3,FALSE)</f>
        <v>UT Mixed Investment 40-85% Shares</v>
      </c>
      <c r="D2835" s="139">
        <f>VLOOKUP(NoviaFunds[[#This Row],[ISIN]],'Novia Web Query'!$A:$E,4,FALSE)/100</f>
        <v>6.5000000000000006E-3</v>
      </c>
      <c r="E2835" s="3" t="str">
        <f>VLOOKUP(NoviaFunds[[#This Row],[ISIN]],'Novia Web Query'!$A:$E,5,FALSE)</f>
        <v>30/04/2021</v>
      </c>
      <c r="F2835" t="str">
        <f>VLOOKUP(NoviaFunds[[#This Row],[Sector]],Sectors[],2,FALSE)</f>
        <v>Mixed 40%-85%</v>
      </c>
    </row>
    <row r="2836" spans="1:6" x14ac:dyDescent="0.2">
      <c r="A2836" t="str">
        <f>'Novia Web Query'!A2832</f>
        <v>GB0031616922</v>
      </c>
      <c r="B2836" t="str">
        <f>VLOOKUP(NoviaFunds[[#This Row],[ISIN]],'Novia Web Query'!$A:$E,2,FALSE)</f>
        <v>M&amp;G Episode Growth X Inc GBP TR in GB</v>
      </c>
      <c r="C2836" t="str">
        <f>VLOOKUP(NoviaFunds[[#This Row],[ISIN]],'Novia Web Query'!$A:$E,3,FALSE)</f>
        <v>UT Mixed Investment 40-85% Shares</v>
      </c>
      <c r="D2836" s="139">
        <f>VLOOKUP(NoviaFunds[[#This Row],[ISIN]],'Novia Web Query'!$A:$E,4,FALSE)/100</f>
        <v>1.0500000000000001E-2</v>
      </c>
      <c r="E2836" s="3" t="str">
        <f>VLOOKUP(NoviaFunds[[#This Row],[ISIN]],'Novia Web Query'!$A:$E,5,FALSE)</f>
        <v>30/04/2021</v>
      </c>
      <c r="F2836" t="str">
        <f>VLOOKUP(NoviaFunds[[#This Row],[Sector]],Sectors[],2,FALSE)</f>
        <v>Mixed 40%-85%</v>
      </c>
    </row>
    <row r="2837" spans="1:6" x14ac:dyDescent="0.2">
      <c r="A2837" t="str">
        <f>'Novia Web Query'!A2833</f>
        <v>GB00B48VC629</v>
      </c>
      <c r="B2837" t="str">
        <f>VLOOKUP(NoviaFunds[[#This Row],[ISIN]],'Novia Web Query'!$A:$E,2,FALSE)</f>
        <v>M&amp;G Episode Income A Acc in GB</v>
      </c>
      <c r="C2837" t="str">
        <f>VLOOKUP(NoviaFunds[[#This Row],[ISIN]],'Novia Web Query'!$A:$E,3,FALSE)</f>
        <v>UT Mixed Investment 20-60% Shares</v>
      </c>
      <c r="D2837" s="139">
        <f>VLOOKUP(NoviaFunds[[#This Row],[ISIN]],'Novia Web Query'!$A:$E,4,FALSE)/100</f>
        <v>1.0500000000000001E-2</v>
      </c>
      <c r="E2837" s="3" t="str">
        <f>VLOOKUP(NoviaFunds[[#This Row],[ISIN]],'Novia Web Query'!$A:$E,5,FALSE)</f>
        <v>30/04/2021</v>
      </c>
      <c r="F2837" t="str">
        <f>VLOOKUP(NoviaFunds[[#This Row],[Sector]],Sectors[],2,FALSE)</f>
        <v>Mixed 20%-60%</v>
      </c>
    </row>
    <row r="2838" spans="1:6" x14ac:dyDescent="0.2">
      <c r="A2838" t="str">
        <f>'Novia Web Query'!A2834</f>
        <v>GB00B4054K09</v>
      </c>
      <c r="B2838" t="str">
        <f>VLOOKUP(NoviaFunds[[#This Row],[ISIN]],'Novia Web Query'!$A:$E,2,FALSE)</f>
        <v>M&amp;G Episode Income A Inc TR in GB</v>
      </c>
      <c r="C2838" t="str">
        <f>VLOOKUP(NoviaFunds[[#This Row],[ISIN]],'Novia Web Query'!$A:$E,3,FALSE)</f>
        <v>UT Mixed Investment 20-60% Shares</v>
      </c>
      <c r="D2838" s="139">
        <f>VLOOKUP(NoviaFunds[[#This Row],[ISIN]],'Novia Web Query'!$A:$E,4,FALSE)/100</f>
        <v>1.0500000000000001E-2</v>
      </c>
      <c r="E2838" s="3" t="str">
        <f>VLOOKUP(NoviaFunds[[#This Row],[ISIN]],'Novia Web Query'!$A:$E,5,FALSE)</f>
        <v>30/04/2021</v>
      </c>
      <c r="F2838" t="str">
        <f>VLOOKUP(NoviaFunds[[#This Row],[Sector]],Sectors[],2,FALSE)</f>
        <v>Mixed 20%-60%</v>
      </c>
    </row>
    <row r="2839" spans="1:6" x14ac:dyDescent="0.2">
      <c r="A2839" t="str">
        <f>'Novia Web Query'!A2835</f>
        <v>GB00B4QHRP64</v>
      </c>
      <c r="B2839" t="str">
        <f>VLOOKUP(NoviaFunds[[#This Row],[ISIN]],'Novia Web Query'!$A:$E,2,FALSE)</f>
        <v>M&amp;G Episode Income I Acc GBP in GB</v>
      </c>
      <c r="C2839" t="str">
        <f>VLOOKUP(NoviaFunds[[#This Row],[ISIN]],'Novia Web Query'!$A:$E,3,FALSE)</f>
        <v>UT Mixed Investment 20-60% Shares</v>
      </c>
      <c r="D2839" s="139">
        <f>VLOOKUP(NoviaFunds[[#This Row],[ISIN]],'Novia Web Query'!$A:$E,4,FALSE)/100</f>
        <v>6.5000000000000006E-3</v>
      </c>
      <c r="E2839" s="3" t="str">
        <f>VLOOKUP(NoviaFunds[[#This Row],[ISIN]],'Novia Web Query'!$A:$E,5,FALSE)</f>
        <v>30/04/2021</v>
      </c>
      <c r="F2839" t="str">
        <f>VLOOKUP(NoviaFunds[[#This Row],[Sector]],Sectors[],2,FALSE)</f>
        <v>Mixed 20%-60%</v>
      </c>
    </row>
    <row r="2840" spans="1:6" x14ac:dyDescent="0.2">
      <c r="A2840" t="str">
        <f>'Novia Web Query'!A2836</f>
        <v>GB00B7FSJ224</v>
      </c>
      <c r="B2840" t="str">
        <f>VLOOKUP(NoviaFunds[[#This Row],[ISIN]],'Novia Web Query'!$A:$E,2,FALSE)</f>
        <v>M&amp;G Episode Income I Inc GBP TR in GB</v>
      </c>
      <c r="C2840" t="str">
        <f>VLOOKUP(NoviaFunds[[#This Row],[ISIN]],'Novia Web Query'!$A:$E,3,FALSE)</f>
        <v>UT Mixed Investment 20-60% Shares</v>
      </c>
      <c r="D2840" s="139">
        <f>VLOOKUP(NoviaFunds[[#This Row],[ISIN]],'Novia Web Query'!$A:$E,4,FALSE)/100</f>
        <v>6.5000000000000006E-3</v>
      </c>
      <c r="E2840" s="3" t="str">
        <f>VLOOKUP(NoviaFunds[[#This Row],[ISIN]],'Novia Web Query'!$A:$E,5,FALSE)</f>
        <v>30/04/2021</v>
      </c>
      <c r="F2840" t="str">
        <f>VLOOKUP(NoviaFunds[[#This Row],[Sector]],Sectors[],2,FALSE)</f>
        <v>Mixed 20%-60%</v>
      </c>
    </row>
    <row r="2841" spans="1:6" x14ac:dyDescent="0.2">
      <c r="A2841" t="str">
        <f>'Novia Web Query'!A2837</f>
        <v>GB0032178419</v>
      </c>
      <c r="B2841" t="str">
        <f>VLOOKUP(NoviaFunds[[#This Row],[ISIN]],'Novia Web Query'!$A:$E,2,FALSE)</f>
        <v>M&amp;G European Corporate Bond A Inc GBP TR in GB</v>
      </c>
      <c r="C2841" t="str">
        <f>VLOOKUP(NoviaFunds[[#This Row],[ISIN]],'Novia Web Query'!$A:$E,3,FALSE)</f>
        <v>UT Global Bonds</v>
      </c>
      <c r="D2841" s="139">
        <f>VLOOKUP(NoviaFunds[[#This Row],[ISIN]],'Novia Web Query'!$A:$E,4,FALSE)/100</f>
        <v>7.4999999999999997E-3</v>
      </c>
      <c r="E2841" s="3" t="str">
        <f>VLOOKUP(NoviaFunds[[#This Row],[ISIN]],'Novia Web Query'!$A:$E,5,FALSE)</f>
        <v>15/02/2021</v>
      </c>
      <c r="F2841" t="str">
        <f>VLOOKUP(NoviaFunds[[#This Row],[Sector]],Sectors[],2,FALSE)</f>
        <v>Global Investment Grade</v>
      </c>
    </row>
    <row r="2842" spans="1:6" x14ac:dyDescent="0.2">
      <c r="A2842" t="str">
        <f>'Novia Web Query'!A2838</f>
        <v>GB00B76JLK62</v>
      </c>
      <c r="B2842" t="str">
        <f>VLOOKUP(NoviaFunds[[#This Row],[ISIN]],'Novia Web Query'!$A:$E,2,FALSE)</f>
        <v>M&amp;G European Corporate Bond I Acc GBP in GB</v>
      </c>
      <c r="C2842" t="str">
        <f>VLOOKUP(NoviaFunds[[#This Row],[ISIN]],'Novia Web Query'!$A:$E,3,FALSE)</f>
        <v>UT Global Bonds</v>
      </c>
      <c r="D2842" s="139">
        <f>VLOOKUP(NoviaFunds[[#This Row],[ISIN]],'Novia Web Query'!$A:$E,4,FALSE)/100</f>
        <v>3.4999999999999996E-3</v>
      </c>
      <c r="E2842" s="3" t="str">
        <f>VLOOKUP(NoviaFunds[[#This Row],[ISIN]],'Novia Web Query'!$A:$E,5,FALSE)</f>
        <v>15/02/2021</v>
      </c>
      <c r="F2842" t="str">
        <f>VLOOKUP(NoviaFunds[[#This Row],[Sector]],Sectors[],2,FALSE)</f>
        <v>Global Investment Grade</v>
      </c>
    </row>
    <row r="2843" spans="1:6" x14ac:dyDescent="0.2">
      <c r="A2843" t="str">
        <f>'Novia Web Query'!A2839</f>
        <v>GB00B3W19714</v>
      </c>
      <c r="B2843" t="str">
        <f>VLOOKUP(NoviaFunds[[#This Row],[ISIN]],'Novia Web Query'!$A:$E,2,FALSE)</f>
        <v>M&amp;G European Corporate Bond I Inc GBP TR in GB</v>
      </c>
      <c r="C2843" t="str">
        <f>VLOOKUP(NoviaFunds[[#This Row],[ISIN]],'Novia Web Query'!$A:$E,3,FALSE)</f>
        <v>UT Global Bonds</v>
      </c>
      <c r="D2843" s="139">
        <f>VLOOKUP(NoviaFunds[[#This Row],[ISIN]],'Novia Web Query'!$A:$E,4,FALSE)/100</f>
        <v>3.4999999999999996E-3</v>
      </c>
      <c r="E2843" s="3" t="str">
        <f>VLOOKUP(NoviaFunds[[#This Row],[ISIN]],'Novia Web Query'!$A:$E,5,FALSE)</f>
        <v>15/02/2021</v>
      </c>
      <c r="F2843" t="str">
        <f>VLOOKUP(NoviaFunds[[#This Row],[Sector]],Sectors[],2,FALSE)</f>
        <v>Global Investment Grade</v>
      </c>
    </row>
    <row r="2844" spans="1:6" x14ac:dyDescent="0.2">
      <c r="A2844" t="str">
        <f>'Novia Web Query'!A2840</f>
        <v>GB0030929300</v>
      </c>
      <c r="B2844" t="str">
        <f>VLOOKUP(NoviaFunds[[#This Row],[ISIN]],'Novia Web Query'!$A:$E,2,FALSE)</f>
        <v>M&amp;G European Index Tracker A Acc GBP in GB</v>
      </c>
      <c r="C2844" t="str">
        <f>VLOOKUP(NoviaFunds[[#This Row],[ISIN]],'Novia Web Query'!$A:$E,3,FALSE)</f>
        <v>UT Europe Excluding UK</v>
      </c>
      <c r="D2844" s="139">
        <f>VLOOKUP(NoviaFunds[[#This Row],[ISIN]],'Novia Web Query'!$A:$E,4,FALSE)/100</f>
        <v>5.0000000000000001E-3</v>
      </c>
      <c r="E2844" s="3" t="str">
        <f>VLOOKUP(NoviaFunds[[#This Row],[ISIN]],'Novia Web Query'!$A:$E,5,FALSE)</f>
        <v>31/08/2021</v>
      </c>
      <c r="F2844" t="str">
        <f>VLOOKUP(NoviaFunds[[#This Row],[Sector]],Sectors[],2,FALSE)</f>
        <v>European Equities</v>
      </c>
    </row>
    <row r="2845" spans="1:6" x14ac:dyDescent="0.2">
      <c r="A2845" t="str">
        <f>'Novia Web Query'!A2841</f>
        <v>GB0030929185</v>
      </c>
      <c r="B2845" t="str">
        <f>VLOOKUP(NoviaFunds[[#This Row],[ISIN]],'Novia Web Query'!$A:$E,2,FALSE)</f>
        <v>M&amp;G European Index Tracker A Inc GBP TR in GB</v>
      </c>
      <c r="C2845" t="str">
        <f>VLOOKUP(NoviaFunds[[#This Row],[ISIN]],'Novia Web Query'!$A:$E,3,FALSE)</f>
        <v>UT Europe Excluding UK</v>
      </c>
      <c r="D2845" s="139">
        <f>VLOOKUP(NoviaFunds[[#This Row],[ISIN]],'Novia Web Query'!$A:$E,4,FALSE)/100</f>
        <v>5.0000000000000001E-3</v>
      </c>
      <c r="E2845" s="3" t="str">
        <f>VLOOKUP(NoviaFunds[[#This Row],[ISIN]],'Novia Web Query'!$A:$E,5,FALSE)</f>
        <v>31/08/2021</v>
      </c>
      <c r="F2845" t="str">
        <f>VLOOKUP(NoviaFunds[[#This Row],[Sector]],Sectors[],2,FALSE)</f>
        <v>European Equities</v>
      </c>
    </row>
    <row r="2846" spans="1:6" x14ac:dyDescent="0.2">
      <c r="A2846" t="str">
        <f>'Novia Web Query'!A2842</f>
        <v>GB0030927817</v>
      </c>
      <c r="B2846" t="str">
        <f>VLOOKUP(NoviaFunds[[#This Row],[ISIN]],'Novia Web Query'!$A:$E,2,FALSE)</f>
        <v>M&amp;G European Sustain Paris Aligned A Acc GBP in GB</v>
      </c>
      <c r="C2846" t="str">
        <f>VLOOKUP(NoviaFunds[[#This Row],[ISIN]],'Novia Web Query'!$A:$E,3,FALSE)</f>
        <v>UT Europe Including UK</v>
      </c>
      <c r="D2846" s="139">
        <f>VLOOKUP(NoviaFunds[[#This Row],[ISIN]],'Novia Web Query'!$A:$E,4,FALSE)/100</f>
        <v>9.4999999999999998E-3</v>
      </c>
      <c r="E2846" s="3" t="str">
        <f>VLOOKUP(NoviaFunds[[#This Row],[ISIN]],'Novia Web Query'!$A:$E,5,FALSE)</f>
        <v>31/08/2021</v>
      </c>
      <c r="F2846" t="str">
        <f>VLOOKUP(NoviaFunds[[#This Row],[Sector]],Sectors[],2,FALSE)</f>
        <v>European Equities</v>
      </c>
    </row>
    <row r="2847" spans="1:6" x14ac:dyDescent="0.2">
      <c r="A2847" t="str">
        <f>'Novia Web Query'!A2843</f>
        <v>GB0030927700</v>
      </c>
      <c r="B2847" t="str">
        <f>VLOOKUP(NoviaFunds[[#This Row],[ISIN]],'Novia Web Query'!$A:$E,2,FALSE)</f>
        <v>M&amp;G European Sustain Paris Aligned A Inc GBP TR in GB</v>
      </c>
      <c r="C2847" t="str">
        <f>VLOOKUP(NoviaFunds[[#This Row],[ISIN]],'Novia Web Query'!$A:$E,3,FALSE)</f>
        <v>UT Europe Including UK</v>
      </c>
      <c r="D2847" s="139">
        <f>VLOOKUP(NoviaFunds[[#This Row],[ISIN]],'Novia Web Query'!$A:$E,4,FALSE)/100</f>
        <v>9.4999999999999998E-3</v>
      </c>
      <c r="E2847" s="3" t="str">
        <f>VLOOKUP(NoviaFunds[[#This Row],[ISIN]],'Novia Web Query'!$A:$E,5,FALSE)</f>
        <v>31/08/2021</v>
      </c>
      <c r="F2847" t="str">
        <f>VLOOKUP(NoviaFunds[[#This Row],[Sector]],Sectors[],2,FALSE)</f>
        <v>European Equities</v>
      </c>
    </row>
    <row r="2848" spans="1:6" x14ac:dyDescent="0.2">
      <c r="A2848" t="str">
        <f>'Novia Web Query'!A2844</f>
        <v>GB00B5ZSNC68</v>
      </c>
      <c r="B2848" t="str">
        <f>VLOOKUP(NoviaFunds[[#This Row],[ISIN]],'Novia Web Query'!$A:$E,2,FALSE)</f>
        <v>M&amp;G European Sustain Paris Aligned I Acc GBP in GB</v>
      </c>
      <c r="C2848" t="str">
        <f>VLOOKUP(NoviaFunds[[#This Row],[ISIN]],'Novia Web Query'!$A:$E,3,FALSE)</f>
        <v>UT Europe Including UK</v>
      </c>
      <c r="D2848" s="139">
        <f>VLOOKUP(NoviaFunds[[#This Row],[ISIN]],'Novia Web Query'!$A:$E,4,FALSE)/100</f>
        <v>5.5000000000000005E-3</v>
      </c>
      <c r="E2848" s="3" t="str">
        <f>VLOOKUP(NoviaFunds[[#This Row],[ISIN]],'Novia Web Query'!$A:$E,5,FALSE)</f>
        <v>31/08/2021</v>
      </c>
      <c r="F2848" t="str">
        <f>VLOOKUP(NoviaFunds[[#This Row],[Sector]],Sectors[],2,FALSE)</f>
        <v>European Equities</v>
      </c>
    </row>
    <row r="2849" spans="1:6" x14ac:dyDescent="0.2">
      <c r="A2849" t="str">
        <f>'Novia Web Query'!A2845</f>
        <v>GB00B6T93L12</v>
      </c>
      <c r="B2849" t="str">
        <f>VLOOKUP(NoviaFunds[[#This Row],[ISIN]],'Novia Web Query'!$A:$E,2,FALSE)</f>
        <v>M&amp;G European Sustain Paris Aligned I Inc GBP TR in GB</v>
      </c>
      <c r="C2849" t="str">
        <f>VLOOKUP(NoviaFunds[[#This Row],[ISIN]],'Novia Web Query'!$A:$E,3,FALSE)</f>
        <v>UT Europe Including UK</v>
      </c>
      <c r="D2849" s="139">
        <f>VLOOKUP(NoviaFunds[[#This Row],[ISIN]],'Novia Web Query'!$A:$E,4,FALSE)/100</f>
        <v>5.5000000000000005E-3</v>
      </c>
      <c r="E2849" s="3" t="str">
        <f>VLOOKUP(NoviaFunds[[#This Row],[ISIN]],'Novia Web Query'!$A:$E,5,FALSE)</f>
        <v>31/08/2021</v>
      </c>
      <c r="F2849" t="str">
        <f>VLOOKUP(NoviaFunds[[#This Row],[Sector]],Sectors[],2,FALSE)</f>
        <v>European Equities</v>
      </c>
    </row>
    <row r="2850" spans="1:6" x14ac:dyDescent="0.2">
      <c r="A2850" t="str">
        <f>'Novia Web Query'!A2846</f>
        <v>GB00B8FSZ434</v>
      </c>
      <c r="B2850" t="str">
        <f>VLOOKUP(NoviaFunds[[#This Row],[ISIN]],'Novia Web Query'!$A:$E,2,FALSE)</f>
        <v>M&amp;G Feeder of Property Portfolio A Acc in GB</v>
      </c>
      <c r="C2850" t="str">
        <f>VLOOKUP(NoviaFunds[[#This Row],[ISIN]],'Novia Web Query'!$A:$E,3,FALSE)</f>
        <v>UT UK Direct Property</v>
      </c>
      <c r="D2850" s="139">
        <f>VLOOKUP(NoviaFunds[[#This Row],[ISIN]],'Novia Web Query'!$A:$E,4,FALSE)/100</f>
        <v>1.32E-2</v>
      </c>
      <c r="E2850" s="3" t="str">
        <f>VLOOKUP(NoviaFunds[[#This Row],[ISIN]],'Novia Web Query'!$A:$E,5,FALSE)</f>
        <v>30/09/2021</v>
      </c>
      <c r="F2850" t="e">
        <f>VLOOKUP(NoviaFunds[[#This Row],[Sector]],Sectors[],2,FALSE)</f>
        <v>#N/A</v>
      </c>
    </row>
    <row r="2851" spans="1:6" x14ac:dyDescent="0.2">
      <c r="A2851" t="str">
        <f>'Novia Web Query'!A2847</f>
        <v>GB00B8FWH509</v>
      </c>
      <c r="B2851" t="str">
        <f>VLOOKUP(NoviaFunds[[#This Row],[ISIN]],'Novia Web Query'!$A:$E,2,FALSE)</f>
        <v>M&amp;G Feeder of Property Portfolio A Inc TR in GB</v>
      </c>
      <c r="C2851" t="str">
        <f>VLOOKUP(NoviaFunds[[#This Row],[ISIN]],'Novia Web Query'!$A:$E,3,FALSE)</f>
        <v>UT UK Direct Property</v>
      </c>
      <c r="D2851" s="139">
        <f>VLOOKUP(NoviaFunds[[#This Row],[ISIN]],'Novia Web Query'!$A:$E,4,FALSE)/100</f>
        <v>1.32E-2</v>
      </c>
      <c r="E2851" s="3" t="str">
        <f>VLOOKUP(NoviaFunds[[#This Row],[ISIN]],'Novia Web Query'!$A:$E,5,FALSE)</f>
        <v>30/09/2021</v>
      </c>
      <c r="F2851" t="e">
        <f>VLOOKUP(NoviaFunds[[#This Row],[Sector]],Sectors[],2,FALSE)</f>
        <v>#N/A</v>
      </c>
    </row>
    <row r="2852" spans="1:6" x14ac:dyDescent="0.2">
      <c r="A2852" t="str">
        <f>'Novia Web Query'!A2848</f>
        <v>GB00B7SX7S61</v>
      </c>
      <c r="B2852" t="str">
        <f>VLOOKUP(NoviaFunds[[#This Row],[ISIN]],'Novia Web Query'!$A:$E,2,FALSE)</f>
        <v>M&amp;G Feeder of Property Portfolio I Acc TR in GB</v>
      </c>
      <c r="C2852" t="str">
        <f>VLOOKUP(NoviaFunds[[#This Row],[ISIN]],'Novia Web Query'!$A:$E,3,FALSE)</f>
        <v>UT UK Direct Property</v>
      </c>
      <c r="D2852" s="139">
        <f>VLOOKUP(NoviaFunds[[#This Row],[ISIN]],'Novia Web Query'!$A:$E,4,FALSE)/100</f>
        <v>9.1999999999999998E-3</v>
      </c>
      <c r="E2852" s="3" t="str">
        <f>VLOOKUP(NoviaFunds[[#This Row],[ISIN]],'Novia Web Query'!$A:$E,5,FALSE)</f>
        <v>30/09/2021</v>
      </c>
      <c r="F2852" t="e">
        <f>VLOOKUP(NoviaFunds[[#This Row],[Sector]],Sectors[],2,FALSE)</f>
        <v>#N/A</v>
      </c>
    </row>
    <row r="2853" spans="1:6" x14ac:dyDescent="0.2">
      <c r="A2853" t="str">
        <f>'Novia Web Query'!A2849</f>
        <v>GB00B842HT59</v>
      </c>
      <c r="B2853" t="str">
        <f>VLOOKUP(NoviaFunds[[#This Row],[ISIN]],'Novia Web Query'!$A:$E,2,FALSE)</f>
        <v>M&amp;G Feeder of Property Portfolio I Inc TR in GB</v>
      </c>
      <c r="C2853" t="str">
        <f>VLOOKUP(NoviaFunds[[#This Row],[ISIN]],'Novia Web Query'!$A:$E,3,FALSE)</f>
        <v>UT UK Direct Property</v>
      </c>
      <c r="D2853" s="139">
        <f>VLOOKUP(NoviaFunds[[#This Row],[ISIN]],'Novia Web Query'!$A:$E,4,FALSE)/100</f>
        <v>9.1999999999999998E-3</v>
      </c>
      <c r="E2853" s="3" t="str">
        <f>VLOOKUP(NoviaFunds[[#This Row],[ISIN]],'Novia Web Query'!$A:$E,5,FALSE)</f>
        <v>30/09/2021</v>
      </c>
      <c r="F2853" t="e">
        <f>VLOOKUP(NoviaFunds[[#This Row],[Sector]],Sectors[],2,FALSE)</f>
        <v>#N/A</v>
      </c>
    </row>
    <row r="2854" spans="1:6" x14ac:dyDescent="0.2">
      <c r="A2854" t="str">
        <f>'Novia Web Query'!A2850</f>
        <v>GB0031108433</v>
      </c>
      <c r="B2854" t="str">
        <f>VLOOKUP(NoviaFunds[[#This Row],[ISIN]],'Novia Web Query'!$A:$E,2,FALSE)</f>
        <v>M&amp;G Gilt &amp; Fixed Interest Income A Acc GBP in GB</v>
      </c>
      <c r="C2854" t="str">
        <f>VLOOKUP(NoviaFunds[[#This Row],[ISIN]],'Novia Web Query'!$A:$E,3,FALSE)</f>
        <v>UT UK Gilts</v>
      </c>
      <c r="D2854" s="139">
        <f>VLOOKUP(NoviaFunds[[#This Row],[ISIN]],'Novia Web Query'!$A:$E,4,FALSE)/100</f>
        <v>5.5000000000000005E-3</v>
      </c>
      <c r="E2854" s="3" t="str">
        <f>VLOOKUP(NoviaFunds[[#This Row],[ISIN]],'Novia Web Query'!$A:$E,5,FALSE)</f>
        <v>31/05/2021</v>
      </c>
      <c r="F2854" t="str">
        <f>VLOOKUP(NoviaFunds[[#This Row],[Sector]],Sectors[],2,FALSE)</f>
        <v>Gilts</v>
      </c>
    </row>
    <row r="2855" spans="1:6" x14ac:dyDescent="0.2">
      <c r="A2855" t="str">
        <f>'Novia Web Query'!A2851</f>
        <v>GB0031107807</v>
      </c>
      <c r="B2855" t="str">
        <f>VLOOKUP(NoviaFunds[[#This Row],[ISIN]],'Novia Web Query'!$A:$E,2,FALSE)</f>
        <v>M&amp;G Gilt &amp; Fixed Interest Income A Inc GBP TR in GB</v>
      </c>
      <c r="C2855" t="str">
        <f>VLOOKUP(NoviaFunds[[#This Row],[ISIN]],'Novia Web Query'!$A:$E,3,FALSE)</f>
        <v>UT UK Gilts</v>
      </c>
      <c r="D2855" s="139">
        <f>VLOOKUP(NoviaFunds[[#This Row],[ISIN]],'Novia Web Query'!$A:$E,4,FALSE)/100</f>
        <v>5.5000000000000005E-3</v>
      </c>
      <c r="E2855" s="3" t="str">
        <f>VLOOKUP(NoviaFunds[[#This Row],[ISIN]],'Novia Web Query'!$A:$E,5,FALSE)</f>
        <v>31/05/2021</v>
      </c>
      <c r="F2855" t="str">
        <f>VLOOKUP(NoviaFunds[[#This Row],[Sector]],Sectors[],2,FALSE)</f>
        <v>Gilts</v>
      </c>
    </row>
    <row r="2856" spans="1:6" x14ac:dyDescent="0.2">
      <c r="A2856" t="str">
        <f>'Novia Web Query'!A2852</f>
        <v>GB00B734BY83</v>
      </c>
      <c r="B2856" t="str">
        <f>VLOOKUP(NoviaFunds[[#This Row],[ISIN]],'Novia Web Query'!$A:$E,2,FALSE)</f>
        <v>M&amp;G Gilt &amp; Fixed Interest Income I Acc GBP in GB</v>
      </c>
      <c r="C2856" t="str">
        <f>VLOOKUP(NoviaFunds[[#This Row],[ISIN]],'Novia Web Query'!$A:$E,3,FALSE)</f>
        <v>UT UK Gilts</v>
      </c>
      <c r="D2856" s="139">
        <f>VLOOKUP(NoviaFunds[[#This Row],[ISIN]],'Novia Web Query'!$A:$E,4,FALSE)/100</f>
        <v>2.5000000000000001E-3</v>
      </c>
      <c r="E2856" s="3" t="str">
        <f>VLOOKUP(NoviaFunds[[#This Row],[ISIN]],'Novia Web Query'!$A:$E,5,FALSE)</f>
        <v>15/02/2021</v>
      </c>
      <c r="F2856" t="str">
        <f>VLOOKUP(NoviaFunds[[#This Row],[Sector]],Sectors[],2,FALSE)</f>
        <v>Gilts</v>
      </c>
    </row>
    <row r="2857" spans="1:6" x14ac:dyDescent="0.2">
      <c r="A2857" t="str">
        <f>'Novia Web Query'!A2853</f>
        <v>GB00B7454D07</v>
      </c>
      <c r="B2857" t="str">
        <f>VLOOKUP(NoviaFunds[[#This Row],[ISIN]],'Novia Web Query'!$A:$E,2,FALSE)</f>
        <v>M&amp;G Gilt &amp; Fixed Interest Income I Inc GBP TR in GB</v>
      </c>
      <c r="C2857" t="str">
        <f>VLOOKUP(NoviaFunds[[#This Row],[ISIN]],'Novia Web Query'!$A:$E,3,FALSE)</f>
        <v>UT UK Gilts</v>
      </c>
      <c r="D2857" s="139">
        <f>VLOOKUP(NoviaFunds[[#This Row],[ISIN]],'Novia Web Query'!$A:$E,4,FALSE)/100</f>
        <v>2.5000000000000001E-3</v>
      </c>
      <c r="E2857" s="3" t="str">
        <f>VLOOKUP(NoviaFunds[[#This Row],[ISIN]],'Novia Web Query'!$A:$E,5,FALSE)</f>
        <v>15/02/2021</v>
      </c>
      <c r="F2857" t="str">
        <f>VLOOKUP(NoviaFunds[[#This Row],[Sector]],Sectors[],2,FALSE)</f>
        <v>Gilts</v>
      </c>
    </row>
    <row r="2858" spans="1:6" x14ac:dyDescent="0.2">
      <c r="A2858" t="str">
        <f>'Novia Web Query'!A2854</f>
        <v>GB00B1Z68163</v>
      </c>
      <c r="B2858" t="str">
        <f>VLOOKUP(NoviaFunds[[#This Row],[ISIN]],'Novia Web Query'!$A:$E,2,FALSE)</f>
        <v>M&amp;G Global Convertibles A Acc GBP in GB</v>
      </c>
      <c r="C2858" t="str">
        <f>VLOOKUP(NoviaFunds[[#This Row],[ISIN]],'Novia Web Query'!$A:$E,3,FALSE)</f>
        <v>UT Specialist</v>
      </c>
      <c r="D2858" s="139">
        <f>VLOOKUP(NoviaFunds[[#This Row],[ISIN]],'Novia Web Query'!$A:$E,4,FALSE)/100</f>
        <v>1.2500000000000001E-2</v>
      </c>
      <c r="E2858" s="3" t="str">
        <f>VLOOKUP(NoviaFunds[[#This Row],[ISIN]],'Novia Web Query'!$A:$E,5,FALSE)</f>
        <v>31/07/2021</v>
      </c>
      <c r="F2858" t="str">
        <f>VLOOKUP(NoviaFunds[[#This Row],[Sector]],Sectors[],2,FALSE)</f>
        <v>Specialist</v>
      </c>
    </row>
    <row r="2859" spans="1:6" x14ac:dyDescent="0.2">
      <c r="A2859" t="str">
        <f>'Novia Web Query'!A2855</f>
        <v>GB00B1Z68270</v>
      </c>
      <c r="B2859" t="str">
        <f>VLOOKUP(NoviaFunds[[#This Row],[ISIN]],'Novia Web Query'!$A:$E,2,FALSE)</f>
        <v>M&amp;G Global Convertibles A Inc GBP TR in GB</v>
      </c>
      <c r="C2859" t="str">
        <f>VLOOKUP(NoviaFunds[[#This Row],[ISIN]],'Novia Web Query'!$A:$E,3,FALSE)</f>
        <v>UT Specialist</v>
      </c>
      <c r="D2859" s="139">
        <f>VLOOKUP(NoviaFunds[[#This Row],[ISIN]],'Novia Web Query'!$A:$E,4,FALSE)/100</f>
        <v>1.2500000000000001E-2</v>
      </c>
      <c r="E2859" s="3" t="str">
        <f>VLOOKUP(NoviaFunds[[#This Row],[ISIN]],'Novia Web Query'!$A:$E,5,FALSE)</f>
        <v>31/07/2021</v>
      </c>
      <c r="F2859" t="str">
        <f>VLOOKUP(NoviaFunds[[#This Row],[Sector]],Sectors[],2,FALSE)</f>
        <v>Specialist</v>
      </c>
    </row>
    <row r="2860" spans="1:6" x14ac:dyDescent="0.2">
      <c r="A2860" t="str">
        <f>'Novia Web Query'!A2856</f>
        <v>GB00B8J73758</v>
      </c>
      <c r="B2860" t="str">
        <f>VLOOKUP(NoviaFunds[[#This Row],[ISIN]],'Novia Web Query'!$A:$E,2,FALSE)</f>
        <v>M&amp;G Global Convertibles IH Acc GBP in GB</v>
      </c>
      <c r="C2860" t="str">
        <f>VLOOKUP(NoviaFunds[[#This Row],[ISIN]],'Novia Web Query'!$A:$E,3,FALSE)</f>
        <v>UT Specialist</v>
      </c>
      <c r="D2860" s="139">
        <f>VLOOKUP(NoviaFunds[[#This Row],[ISIN]],'Novia Web Query'!$A:$E,4,FALSE)/100</f>
        <v>8.8000000000000005E-3</v>
      </c>
      <c r="E2860" s="3" t="str">
        <f>VLOOKUP(NoviaFunds[[#This Row],[ISIN]],'Novia Web Query'!$A:$E,5,FALSE)</f>
        <v>31/07/2021</v>
      </c>
      <c r="F2860" t="str">
        <f>VLOOKUP(NoviaFunds[[#This Row],[Sector]],Sectors[],2,FALSE)</f>
        <v>Specialist</v>
      </c>
    </row>
    <row r="2861" spans="1:6" x14ac:dyDescent="0.2">
      <c r="A2861" t="str">
        <f>'Novia Web Query'!A2857</f>
        <v>GB00B1Z68387</v>
      </c>
      <c r="B2861" t="str">
        <f>VLOOKUP(NoviaFunds[[#This Row],[ISIN]],'Novia Web Query'!$A:$E,2,FALSE)</f>
        <v>M&amp;G Global Convertibles Inst Acc GBP in GB</v>
      </c>
      <c r="C2861" t="str">
        <f>VLOOKUP(NoviaFunds[[#This Row],[ISIN]],'Novia Web Query'!$A:$E,3,FALSE)</f>
        <v>UT Specialist</v>
      </c>
      <c r="D2861" s="139">
        <f>VLOOKUP(NoviaFunds[[#This Row],[ISIN]],'Novia Web Query'!$A:$E,4,FALSE)/100</f>
        <v>8.5000000000000006E-3</v>
      </c>
      <c r="E2861" s="3" t="str">
        <f>VLOOKUP(NoviaFunds[[#This Row],[ISIN]],'Novia Web Query'!$A:$E,5,FALSE)</f>
        <v>31/07/2021</v>
      </c>
      <c r="F2861" t="str">
        <f>VLOOKUP(NoviaFunds[[#This Row],[Sector]],Sectors[],2,FALSE)</f>
        <v>Specialist</v>
      </c>
    </row>
    <row r="2862" spans="1:6" x14ac:dyDescent="0.2">
      <c r="A2862" t="str">
        <f>'Novia Web Query'!A2858</f>
        <v>GB00B758PJ12</v>
      </c>
      <c r="B2862" t="str">
        <f>VLOOKUP(NoviaFunds[[#This Row],[ISIN]],'Novia Web Query'!$A:$E,2,FALSE)</f>
        <v>M&amp;G Global Convertibles Inst Inc GBP TR in GB</v>
      </c>
      <c r="C2862" t="str">
        <f>VLOOKUP(NoviaFunds[[#This Row],[ISIN]],'Novia Web Query'!$A:$E,3,FALSE)</f>
        <v>UT Specialist</v>
      </c>
      <c r="D2862" s="139">
        <f>VLOOKUP(NoviaFunds[[#This Row],[ISIN]],'Novia Web Query'!$A:$E,4,FALSE)/100</f>
        <v>8.5000000000000006E-3</v>
      </c>
      <c r="E2862" s="3" t="str">
        <f>VLOOKUP(NoviaFunds[[#This Row],[ISIN]],'Novia Web Query'!$A:$E,5,FALSE)</f>
        <v>31/07/2021</v>
      </c>
      <c r="F2862" t="str">
        <f>VLOOKUP(NoviaFunds[[#This Row],[Sector]],Sectors[],2,FALSE)</f>
        <v>Specialist</v>
      </c>
    </row>
    <row r="2863" spans="1:6" x14ac:dyDescent="0.2">
      <c r="A2863" t="str">
        <f>'Novia Web Query'!A2859</f>
        <v>GB00B39R2L79</v>
      </c>
      <c r="B2863" t="str">
        <f>VLOOKUP(NoviaFunds[[#This Row],[ISIN]],'Novia Web Query'!$A:$E,2,FALSE)</f>
        <v>M&amp;G Global Dividend A Acc GBP in GB</v>
      </c>
      <c r="C2863" t="str">
        <f>VLOOKUP(NoviaFunds[[#This Row],[ISIN]],'Novia Web Query'!$A:$E,3,FALSE)</f>
        <v>UT Global</v>
      </c>
      <c r="D2863" s="139">
        <f>VLOOKUP(NoviaFunds[[#This Row],[ISIN]],'Novia Web Query'!$A:$E,4,FALSE)/100</f>
        <v>1.06E-2</v>
      </c>
      <c r="E2863" s="3" t="str">
        <f>VLOOKUP(NoviaFunds[[#This Row],[ISIN]],'Novia Web Query'!$A:$E,5,FALSE)</f>
        <v>30/09/2021</v>
      </c>
      <c r="F2863" t="str">
        <f>VLOOKUP(NoviaFunds[[#This Row],[Sector]],Sectors[],2,FALSE)</f>
        <v>Other Equities</v>
      </c>
    </row>
    <row r="2864" spans="1:6" x14ac:dyDescent="0.2">
      <c r="A2864" t="str">
        <f>'Novia Web Query'!A2860</f>
        <v>GB00B39R2M86</v>
      </c>
      <c r="B2864" t="str">
        <f>VLOOKUP(NoviaFunds[[#This Row],[ISIN]],'Novia Web Query'!$A:$E,2,FALSE)</f>
        <v>M&amp;G Global Dividend A Inc GBP TR in GB</v>
      </c>
      <c r="C2864" t="str">
        <f>VLOOKUP(NoviaFunds[[#This Row],[ISIN]],'Novia Web Query'!$A:$E,3,FALSE)</f>
        <v>UT Global</v>
      </c>
      <c r="D2864" s="139">
        <f>VLOOKUP(NoviaFunds[[#This Row],[ISIN]],'Novia Web Query'!$A:$E,4,FALSE)/100</f>
        <v>1.06E-2</v>
      </c>
      <c r="E2864" s="3" t="str">
        <f>VLOOKUP(NoviaFunds[[#This Row],[ISIN]],'Novia Web Query'!$A:$E,5,FALSE)</f>
        <v>30/09/2021</v>
      </c>
      <c r="F2864" t="str">
        <f>VLOOKUP(NoviaFunds[[#This Row],[Sector]],Sectors[],2,FALSE)</f>
        <v>Other Equities</v>
      </c>
    </row>
    <row r="2865" spans="1:6" x14ac:dyDescent="0.2">
      <c r="A2865" t="str">
        <f>'Novia Web Query'!A2861</f>
        <v>GB00B39R2Q25</v>
      </c>
      <c r="B2865" t="str">
        <f>VLOOKUP(NoviaFunds[[#This Row],[ISIN]],'Novia Web Query'!$A:$E,2,FALSE)</f>
        <v>M&amp;G Global Dividend I Acc GBP in GB</v>
      </c>
      <c r="C2865" t="str">
        <f>VLOOKUP(NoviaFunds[[#This Row],[ISIN]],'Novia Web Query'!$A:$E,3,FALSE)</f>
        <v>UT Global</v>
      </c>
      <c r="D2865" s="139">
        <f>VLOOKUP(NoviaFunds[[#This Row],[ISIN]],'Novia Web Query'!$A:$E,4,FALSE)/100</f>
        <v>6.6E-3</v>
      </c>
      <c r="E2865" s="3" t="str">
        <f>VLOOKUP(NoviaFunds[[#This Row],[ISIN]],'Novia Web Query'!$A:$E,5,FALSE)</f>
        <v>30/09/2021</v>
      </c>
      <c r="F2865" t="str">
        <f>VLOOKUP(NoviaFunds[[#This Row],[Sector]],Sectors[],2,FALSE)</f>
        <v>Other Equities</v>
      </c>
    </row>
    <row r="2866" spans="1:6" x14ac:dyDescent="0.2">
      <c r="A2866" t="str">
        <f>'Novia Web Query'!A2862</f>
        <v>GB00B39R2R32</v>
      </c>
      <c r="B2866" t="str">
        <f>VLOOKUP(NoviaFunds[[#This Row],[ISIN]],'Novia Web Query'!$A:$E,2,FALSE)</f>
        <v>M&amp;G Global Dividend I Inc GBP TR in GB</v>
      </c>
      <c r="C2866" t="str">
        <f>VLOOKUP(NoviaFunds[[#This Row],[ISIN]],'Novia Web Query'!$A:$E,3,FALSE)</f>
        <v>UT Global</v>
      </c>
      <c r="D2866" s="139">
        <f>VLOOKUP(NoviaFunds[[#This Row],[ISIN]],'Novia Web Query'!$A:$E,4,FALSE)/100</f>
        <v>6.6E-3</v>
      </c>
      <c r="E2866" s="3" t="str">
        <f>VLOOKUP(NoviaFunds[[#This Row],[ISIN]],'Novia Web Query'!$A:$E,5,FALSE)</f>
        <v>30/09/2021</v>
      </c>
      <c r="F2866" t="str">
        <f>VLOOKUP(NoviaFunds[[#This Row],[Sector]],Sectors[],2,FALSE)</f>
        <v>Other Equities</v>
      </c>
    </row>
    <row r="2867" spans="1:6" x14ac:dyDescent="0.2">
      <c r="A2867" t="str">
        <f>'Novia Web Query'!A2863</f>
        <v>GB00B39R2P18</v>
      </c>
      <c r="B2867" t="str">
        <f>VLOOKUP(NoviaFunds[[#This Row],[ISIN]],'Novia Web Query'!$A:$E,2,FALSE)</f>
        <v>M&amp;G Global Dividend X Inc GBP TR in GB</v>
      </c>
      <c r="C2867" t="str">
        <f>VLOOKUP(NoviaFunds[[#This Row],[ISIN]],'Novia Web Query'!$A:$E,3,FALSE)</f>
        <v>UT Global</v>
      </c>
      <c r="D2867" s="139">
        <f>VLOOKUP(NoviaFunds[[#This Row],[ISIN]],'Novia Web Query'!$A:$E,4,FALSE)/100</f>
        <v>1.06E-2</v>
      </c>
      <c r="E2867" s="3" t="str">
        <f>VLOOKUP(NoviaFunds[[#This Row],[ISIN]],'Novia Web Query'!$A:$E,5,FALSE)</f>
        <v>30/09/2021</v>
      </c>
      <c r="F2867" t="str">
        <f>VLOOKUP(NoviaFunds[[#This Row],[Sector]],Sectors[],2,FALSE)</f>
        <v>Other Equities</v>
      </c>
    </row>
    <row r="2868" spans="1:6" x14ac:dyDescent="0.2">
      <c r="A2868" t="str">
        <f>'Novia Web Query'!A2864</f>
        <v>GB00B3FFXV23</v>
      </c>
      <c r="B2868" t="str">
        <f>VLOOKUP(NoviaFunds[[#This Row],[ISIN]],'Novia Web Query'!$A:$E,2,FALSE)</f>
        <v>M&amp;G Global Emerging Markets A Acc GBP in GB</v>
      </c>
      <c r="C2868" t="str">
        <f>VLOOKUP(NoviaFunds[[#This Row],[ISIN]],'Novia Web Query'!$A:$E,3,FALSE)</f>
        <v>UT Global Emerging Markets</v>
      </c>
      <c r="D2868" s="139">
        <f>VLOOKUP(NoviaFunds[[#This Row],[ISIN]],'Novia Web Query'!$A:$E,4,FALSE)/100</f>
        <v>1.15E-2</v>
      </c>
      <c r="E2868" s="3" t="str">
        <f>VLOOKUP(NoviaFunds[[#This Row],[ISIN]],'Novia Web Query'!$A:$E,5,FALSE)</f>
        <v>31/07/2021</v>
      </c>
      <c r="F2868" t="str">
        <f>VLOOKUP(NoviaFunds[[#This Row],[Sector]],Sectors[],2,FALSE)</f>
        <v>Emerging Markets</v>
      </c>
    </row>
    <row r="2869" spans="1:6" x14ac:dyDescent="0.2">
      <c r="A2869" t="str">
        <f>'Novia Web Query'!A2865</f>
        <v>GB00B3FFXW30</v>
      </c>
      <c r="B2869" t="str">
        <f>VLOOKUP(NoviaFunds[[#This Row],[ISIN]],'Novia Web Query'!$A:$E,2,FALSE)</f>
        <v>M&amp;G Global Emerging Markets A Inc GBP TR in GB</v>
      </c>
      <c r="C2869" t="str">
        <f>VLOOKUP(NoviaFunds[[#This Row],[ISIN]],'Novia Web Query'!$A:$E,3,FALSE)</f>
        <v>UT Global Emerging Markets</v>
      </c>
      <c r="D2869" s="139">
        <f>VLOOKUP(NoviaFunds[[#This Row],[ISIN]],'Novia Web Query'!$A:$E,4,FALSE)/100</f>
        <v>1.15E-2</v>
      </c>
      <c r="E2869" s="3" t="str">
        <f>VLOOKUP(NoviaFunds[[#This Row],[ISIN]],'Novia Web Query'!$A:$E,5,FALSE)</f>
        <v>31/07/2021</v>
      </c>
      <c r="F2869" t="str">
        <f>VLOOKUP(NoviaFunds[[#This Row],[Sector]],Sectors[],2,FALSE)</f>
        <v>Emerging Markets</v>
      </c>
    </row>
    <row r="2870" spans="1:6" x14ac:dyDescent="0.2">
      <c r="A2870" t="str">
        <f>'Novia Web Query'!A2866</f>
        <v>GB00B3FFXX47</v>
      </c>
      <c r="B2870" t="str">
        <f>VLOOKUP(NoviaFunds[[#This Row],[ISIN]],'Novia Web Query'!$A:$E,2,FALSE)</f>
        <v>M&amp;G Global Emerging Markets I Acc GBP in GB</v>
      </c>
      <c r="C2870" t="str">
        <f>VLOOKUP(NoviaFunds[[#This Row],[ISIN]],'Novia Web Query'!$A:$E,3,FALSE)</f>
        <v>UT Global Emerging Markets</v>
      </c>
      <c r="D2870" s="139">
        <f>VLOOKUP(NoviaFunds[[#This Row],[ISIN]],'Novia Web Query'!$A:$E,4,FALSE)/100</f>
        <v>7.4999999999999997E-3</v>
      </c>
      <c r="E2870" s="3" t="str">
        <f>VLOOKUP(NoviaFunds[[#This Row],[ISIN]],'Novia Web Query'!$A:$E,5,FALSE)</f>
        <v>31/07/2021</v>
      </c>
      <c r="F2870" t="str">
        <f>VLOOKUP(NoviaFunds[[#This Row],[Sector]],Sectors[],2,FALSE)</f>
        <v>Emerging Markets</v>
      </c>
    </row>
    <row r="2871" spans="1:6" x14ac:dyDescent="0.2">
      <c r="A2871" t="str">
        <f>'Novia Web Query'!A2867</f>
        <v>GB00B3FFXY53</v>
      </c>
      <c r="B2871" t="str">
        <f>VLOOKUP(NoviaFunds[[#This Row],[ISIN]],'Novia Web Query'!$A:$E,2,FALSE)</f>
        <v>M&amp;G Global Emerging Markets I Inc GBP TR in GB</v>
      </c>
      <c r="C2871" t="str">
        <f>VLOOKUP(NoviaFunds[[#This Row],[ISIN]],'Novia Web Query'!$A:$E,3,FALSE)</f>
        <v>UT Global Emerging Markets</v>
      </c>
      <c r="D2871" s="139">
        <f>VLOOKUP(NoviaFunds[[#This Row],[ISIN]],'Novia Web Query'!$A:$E,4,FALSE)/100</f>
        <v>7.4999999999999997E-3</v>
      </c>
      <c r="E2871" s="3" t="str">
        <f>VLOOKUP(NoviaFunds[[#This Row],[ISIN]],'Novia Web Query'!$A:$E,5,FALSE)</f>
        <v>31/07/2021</v>
      </c>
      <c r="F2871" t="str">
        <f>VLOOKUP(NoviaFunds[[#This Row],[Sector]],Sectors[],2,FALSE)</f>
        <v>Emerging Markets</v>
      </c>
    </row>
    <row r="2872" spans="1:6" x14ac:dyDescent="0.2">
      <c r="A2872" t="str">
        <f>'Novia Web Query'!A2868</f>
        <v>GB00BMP3SC51</v>
      </c>
      <c r="B2872" t="str">
        <f>VLOOKUP(NoviaFunds[[#This Row],[ISIN]],'Novia Web Query'!$A:$E,2,FALSE)</f>
        <v>M&amp;G Global Floating Rate High Yield IH Acc GBP in GB</v>
      </c>
      <c r="C2872" t="str">
        <f>VLOOKUP(NoviaFunds[[#This Row],[ISIN]],'Novia Web Query'!$A:$E,3,FALSE)</f>
        <v>UT Sterling High Yield</v>
      </c>
      <c r="D2872" s="139">
        <f>VLOOKUP(NoviaFunds[[#This Row],[ISIN]],'Novia Web Query'!$A:$E,4,FALSE)/100</f>
        <v>6.3E-3</v>
      </c>
      <c r="E2872" s="3" t="str">
        <f>VLOOKUP(NoviaFunds[[#This Row],[ISIN]],'Novia Web Query'!$A:$E,5,FALSE)</f>
        <v>31/07/2021</v>
      </c>
      <c r="F2872" t="str">
        <f>VLOOKUP(NoviaFunds[[#This Row],[Sector]],Sectors[],2,FALSE)</f>
        <v>High Yield</v>
      </c>
    </row>
    <row r="2873" spans="1:6" x14ac:dyDescent="0.2">
      <c r="A2873" t="str">
        <f>'Novia Web Query'!A2869</f>
        <v>GB00BMP3SD68</v>
      </c>
      <c r="B2873" t="str">
        <f>VLOOKUP(NoviaFunds[[#This Row],[ISIN]],'Novia Web Query'!$A:$E,2,FALSE)</f>
        <v>M&amp;G Global Floating Rate High Yield IH Inc GBP TR in GB</v>
      </c>
      <c r="C2873" t="str">
        <f>VLOOKUP(NoviaFunds[[#This Row],[ISIN]],'Novia Web Query'!$A:$E,3,FALSE)</f>
        <v>UT Sterling High Yield</v>
      </c>
      <c r="D2873" s="139">
        <f>VLOOKUP(NoviaFunds[[#This Row],[ISIN]],'Novia Web Query'!$A:$E,4,FALSE)/100</f>
        <v>6.3E-3</v>
      </c>
      <c r="E2873" s="3" t="str">
        <f>VLOOKUP(NoviaFunds[[#This Row],[ISIN]],'Novia Web Query'!$A:$E,5,FALSE)</f>
        <v>31/07/2021</v>
      </c>
      <c r="F2873" t="str">
        <f>VLOOKUP(NoviaFunds[[#This Row],[Sector]],Sectors[],2,FALSE)</f>
        <v>High Yield</v>
      </c>
    </row>
    <row r="2874" spans="1:6" x14ac:dyDescent="0.2">
      <c r="A2874" t="str">
        <f>'Novia Web Query'!A2870</f>
        <v>GB0031289092</v>
      </c>
      <c r="B2874" t="str">
        <f>VLOOKUP(NoviaFunds[[#This Row],[ISIN]],'Novia Web Query'!$A:$E,2,FALSE)</f>
        <v>M&amp;G Global Government Bond A Acc GBP in GB</v>
      </c>
      <c r="C2874" t="str">
        <f>VLOOKUP(NoviaFunds[[#This Row],[ISIN]],'Novia Web Query'!$A:$E,3,FALSE)</f>
        <v>UT Global Bonds</v>
      </c>
      <c r="D2874" s="139">
        <f>VLOOKUP(NoviaFunds[[#This Row],[ISIN]],'Novia Web Query'!$A:$E,4,FALSE)/100</f>
        <v>9.0000000000000011E-3</v>
      </c>
      <c r="E2874" s="3" t="str">
        <f>VLOOKUP(NoviaFunds[[#This Row],[ISIN]],'Novia Web Query'!$A:$E,5,FALSE)</f>
        <v>15/02/2021</v>
      </c>
      <c r="F2874" t="str">
        <f>VLOOKUP(NoviaFunds[[#This Row],[Sector]],Sectors[],2,FALSE)</f>
        <v>Global Investment Grade</v>
      </c>
    </row>
    <row r="2875" spans="1:6" x14ac:dyDescent="0.2">
      <c r="A2875" t="str">
        <f>'Novia Web Query'!A2871</f>
        <v>GB0031288912</v>
      </c>
      <c r="B2875" t="str">
        <f>VLOOKUP(NoviaFunds[[#This Row],[ISIN]],'Novia Web Query'!$A:$E,2,FALSE)</f>
        <v>M&amp;G Global Government Bond A Inc GBP TR in GB</v>
      </c>
      <c r="C2875" t="str">
        <f>VLOOKUP(NoviaFunds[[#This Row],[ISIN]],'Novia Web Query'!$A:$E,3,FALSE)</f>
        <v>UT Global Bonds</v>
      </c>
      <c r="D2875" s="139">
        <f>VLOOKUP(NoviaFunds[[#This Row],[ISIN]],'Novia Web Query'!$A:$E,4,FALSE)/100</f>
        <v>9.0000000000000011E-3</v>
      </c>
      <c r="E2875" s="3" t="str">
        <f>VLOOKUP(NoviaFunds[[#This Row],[ISIN]],'Novia Web Query'!$A:$E,5,FALSE)</f>
        <v>15/02/2021</v>
      </c>
      <c r="F2875" t="str">
        <f>VLOOKUP(NoviaFunds[[#This Row],[Sector]],Sectors[],2,FALSE)</f>
        <v>Global Investment Grade</v>
      </c>
    </row>
    <row r="2876" spans="1:6" x14ac:dyDescent="0.2">
      <c r="A2876" t="str">
        <f>'Novia Web Query'!A2872</f>
        <v>GB00B7Q0Q826</v>
      </c>
      <c r="B2876" t="str">
        <f>VLOOKUP(NoviaFunds[[#This Row],[ISIN]],'Novia Web Query'!$A:$E,2,FALSE)</f>
        <v>M&amp;G Global Government Bond I Acc GBP in GB</v>
      </c>
      <c r="C2876" t="str">
        <f>VLOOKUP(NoviaFunds[[#This Row],[ISIN]],'Novia Web Query'!$A:$E,3,FALSE)</f>
        <v>UT Global Bonds</v>
      </c>
      <c r="D2876" s="139">
        <f>VLOOKUP(NoviaFunds[[#This Row],[ISIN]],'Novia Web Query'!$A:$E,4,FALSE)/100</f>
        <v>5.0000000000000001E-3</v>
      </c>
      <c r="E2876" s="3" t="str">
        <f>VLOOKUP(NoviaFunds[[#This Row],[ISIN]],'Novia Web Query'!$A:$E,5,FALSE)</f>
        <v>15/02/2021</v>
      </c>
      <c r="F2876" t="str">
        <f>VLOOKUP(NoviaFunds[[#This Row],[Sector]],Sectors[],2,FALSE)</f>
        <v>Global Investment Grade</v>
      </c>
    </row>
    <row r="2877" spans="1:6" x14ac:dyDescent="0.2">
      <c r="A2877" t="str">
        <f>'Novia Web Query'!A2873</f>
        <v>GB00B700F033</v>
      </c>
      <c r="B2877" t="str">
        <f>VLOOKUP(NoviaFunds[[#This Row],[ISIN]],'Novia Web Query'!$A:$E,2,FALSE)</f>
        <v>M&amp;G Global Government Bond I Inc GBP TR in GB</v>
      </c>
      <c r="C2877" t="str">
        <f>VLOOKUP(NoviaFunds[[#This Row],[ISIN]],'Novia Web Query'!$A:$E,3,FALSE)</f>
        <v>UT Global Bonds</v>
      </c>
      <c r="D2877" s="139">
        <f>VLOOKUP(NoviaFunds[[#This Row],[ISIN]],'Novia Web Query'!$A:$E,4,FALSE)/100</f>
        <v>5.0000000000000001E-3</v>
      </c>
      <c r="E2877" s="3" t="str">
        <f>VLOOKUP(NoviaFunds[[#This Row],[ISIN]],'Novia Web Query'!$A:$E,5,FALSE)</f>
        <v>15/02/2021</v>
      </c>
      <c r="F2877" t="str">
        <f>VLOOKUP(NoviaFunds[[#This Row],[Sector]],Sectors[],2,FALSE)</f>
        <v>Global Investment Grade</v>
      </c>
    </row>
    <row r="2878" spans="1:6" x14ac:dyDescent="0.2">
      <c r="A2878" t="str">
        <f>'Novia Web Query'!A2874</f>
        <v>GB0031957219</v>
      </c>
      <c r="B2878" t="str">
        <f>VLOOKUP(NoviaFunds[[#This Row],[ISIN]],'Novia Web Query'!$A:$E,2,FALSE)</f>
        <v>M&amp;G Global High Yield Bond A Acc GBP in GB</v>
      </c>
      <c r="C2878" t="str">
        <f>VLOOKUP(NoviaFunds[[#This Row],[ISIN]],'Novia Web Query'!$A:$E,3,FALSE)</f>
        <v>UT Sterling High Yield</v>
      </c>
      <c r="D2878" s="139">
        <f>VLOOKUP(NoviaFunds[[#This Row],[ISIN]],'Novia Web Query'!$A:$E,4,FALSE)/100</f>
        <v>9.7999999999999997E-3</v>
      </c>
      <c r="E2878" s="3" t="str">
        <f>VLOOKUP(NoviaFunds[[#This Row],[ISIN]],'Novia Web Query'!$A:$E,5,FALSE)</f>
        <v>15/02/2021</v>
      </c>
      <c r="F2878" t="str">
        <f>VLOOKUP(NoviaFunds[[#This Row],[Sector]],Sectors[],2,FALSE)</f>
        <v>High Yield</v>
      </c>
    </row>
    <row r="2879" spans="1:6" x14ac:dyDescent="0.2">
      <c r="A2879" t="str">
        <f>'Novia Web Query'!A2875</f>
        <v>GB0031957102</v>
      </c>
      <c r="B2879" t="str">
        <f>VLOOKUP(NoviaFunds[[#This Row],[ISIN]],'Novia Web Query'!$A:$E,2,FALSE)</f>
        <v>M&amp;G Global High Yield Bond A Inc GBP TR in GB</v>
      </c>
      <c r="C2879" t="str">
        <f>VLOOKUP(NoviaFunds[[#This Row],[ISIN]],'Novia Web Query'!$A:$E,3,FALSE)</f>
        <v>UT Sterling High Yield</v>
      </c>
      <c r="D2879" s="139">
        <f>VLOOKUP(NoviaFunds[[#This Row],[ISIN]],'Novia Web Query'!$A:$E,4,FALSE)/100</f>
        <v>9.7999999999999997E-3</v>
      </c>
      <c r="E2879" s="3" t="str">
        <f>VLOOKUP(NoviaFunds[[#This Row],[ISIN]],'Novia Web Query'!$A:$E,5,FALSE)</f>
        <v>15/02/2021</v>
      </c>
      <c r="F2879" t="str">
        <f>VLOOKUP(NoviaFunds[[#This Row],[Sector]],Sectors[],2,FALSE)</f>
        <v>High Yield</v>
      </c>
    </row>
    <row r="2880" spans="1:6" x14ac:dyDescent="0.2">
      <c r="A2880" t="str">
        <f>'Novia Web Query'!A2876</f>
        <v>GB00B4Z1M213</v>
      </c>
      <c r="B2880" t="str">
        <f>VLOOKUP(NoviaFunds[[#This Row],[ISIN]],'Novia Web Query'!$A:$E,2,FALSE)</f>
        <v>M&amp;G Global High Yield Bond I Acc GBP in GB</v>
      </c>
      <c r="C2880" t="str">
        <f>VLOOKUP(NoviaFunds[[#This Row],[ISIN]],'Novia Web Query'!$A:$E,3,FALSE)</f>
        <v>UT Sterling High Yield</v>
      </c>
      <c r="D2880" s="139">
        <f>VLOOKUP(NoviaFunds[[#This Row],[ISIN]],'Novia Web Query'!$A:$E,4,FALSE)/100</f>
        <v>5.7999999999999996E-3</v>
      </c>
      <c r="E2880" s="3" t="str">
        <f>VLOOKUP(NoviaFunds[[#This Row],[ISIN]],'Novia Web Query'!$A:$E,5,FALSE)</f>
        <v>15/02/2021</v>
      </c>
      <c r="F2880" t="str">
        <f>VLOOKUP(NoviaFunds[[#This Row],[Sector]],Sectors[],2,FALSE)</f>
        <v>High Yield</v>
      </c>
    </row>
    <row r="2881" spans="1:6" x14ac:dyDescent="0.2">
      <c r="A2881" t="str">
        <f>'Novia Web Query'!A2877</f>
        <v>GB00B6ZD1B32</v>
      </c>
      <c r="B2881" t="str">
        <f>VLOOKUP(NoviaFunds[[#This Row],[ISIN]],'Novia Web Query'!$A:$E,2,FALSE)</f>
        <v>M&amp;G Global High Yield Bond I Inc GBP TR in GB</v>
      </c>
      <c r="C2881" t="str">
        <f>VLOOKUP(NoviaFunds[[#This Row],[ISIN]],'Novia Web Query'!$A:$E,3,FALSE)</f>
        <v>UT Sterling High Yield</v>
      </c>
      <c r="D2881" s="139">
        <f>VLOOKUP(NoviaFunds[[#This Row],[ISIN]],'Novia Web Query'!$A:$E,4,FALSE)/100</f>
        <v>5.7999999999999996E-3</v>
      </c>
      <c r="E2881" s="3" t="str">
        <f>VLOOKUP(NoviaFunds[[#This Row],[ISIN]],'Novia Web Query'!$A:$E,5,FALSE)</f>
        <v>15/02/2021</v>
      </c>
      <c r="F2881" t="str">
        <f>VLOOKUP(NoviaFunds[[#This Row],[Sector]],Sectors[],2,FALSE)</f>
        <v>High Yield</v>
      </c>
    </row>
    <row r="2882" spans="1:6" x14ac:dyDescent="0.2">
      <c r="A2882" t="str">
        <f>'Novia Web Query'!A2878</f>
        <v>GB00B7K97Y86</v>
      </c>
      <c r="B2882" t="str">
        <f>VLOOKUP(NoviaFunds[[#This Row],[ISIN]],'Novia Web Query'!$A:$E,2,FALSE)</f>
        <v>M&amp;G Global High Yield Bond R Inc GBP TR in GB</v>
      </c>
      <c r="C2882" t="str">
        <f>VLOOKUP(NoviaFunds[[#This Row],[ISIN]],'Novia Web Query'!$A:$E,3,FALSE)</f>
        <v>UT Sterling High Yield</v>
      </c>
      <c r="D2882" s="139">
        <f>VLOOKUP(NoviaFunds[[#This Row],[ISIN]],'Novia Web Query'!$A:$E,4,FALSE)/100</f>
        <v>8.3000000000000001E-3</v>
      </c>
      <c r="E2882" s="3" t="str">
        <f>VLOOKUP(NoviaFunds[[#This Row],[ISIN]],'Novia Web Query'!$A:$E,5,FALSE)</f>
        <v>15/02/2021</v>
      </c>
      <c r="F2882" t="str">
        <f>VLOOKUP(NoviaFunds[[#This Row],[Sector]],Sectors[],2,FALSE)</f>
        <v>High Yield</v>
      </c>
    </row>
    <row r="2883" spans="1:6" x14ac:dyDescent="0.2">
      <c r="A2883" t="str">
        <f>'Novia Web Query'!A2879</f>
        <v>GB0031110512</v>
      </c>
      <c r="B2883" t="str">
        <f>VLOOKUP(NoviaFunds[[#This Row],[ISIN]],'Novia Web Query'!$A:$E,2,FALSE)</f>
        <v>M&amp;G Global High Yield Bond X Acc GBP in GB</v>
      </c>
      <c r="C2883" t="str">
        <f>VLOOKUP(NoviaFunds[[#This Row],[ISIN]],'Novia Web Query'!$A:$E,3,FALSE)</f>
        <v>UT Sterling High Yield</v>
      </c>
      <c r="D2883" s="139">
        <f>VLOOKUP(NoviaFunds[[#This Row],[ISIN]],'Novia Web Query'!$A:$E,4,FALSE)/100</f>
        <v>9.7999999999999997E-3</v>
      </c>
      <c r="E2883" s="3" t="str">
        <f>VLOOKUP(NoviaFunds[[#This Row],[ISIN]],'Novia Web Query'!$A:$E,5,FALSE)</f>
        <v>15/02/2021</v>
      </c>
      <c r="F2883" t="str">
        <f>VLOOKUP(NoviaFunds[[#This Row],[Sector]],Sectors[],2,FALSE)</f>
        <v>High Yield</v>
      </c>
    </row>
    <row r="2884" spans="1:6" x14ac:dyDescent="0.2">
      <c r="A2884" t="str">
        <f>'Novia Web Query'!A2880</f>
        <v>GB0031110405</v>
      </c>
      <c r="B2884" t="str">
        <f>VLOOKUP(NoviaFunds[[#This Row],[ISIN]],'Novia Web Query'!$A:$E,2,FALSE)</f>
        <v>M&amp;G Global High Yield Bond X Inc GBP TR in GB</v>
      </c>
      <c r="C2884" t="str">
        <f>VLOOKUP(NoviaFunds[[#This Row],[ISIN]],'Novia Web Query'!$A:$E,3,FALSE)</f>
        <v>UT Sterling High Yield</v>
      </c>
      <c r="D2884" s="139">
        <f>VLOOKUP(NoviaFunds[[#This Row],[ISIN]],'Novia Web Query'!$A:$E,4,FALSE)/100</f>
        <v>9.7999999999999997E-3</v>
      </c>
      <c r="E2884" s="3" t="str">
        <f>VLOOKUP(NoviaFunds[[#This Row],[ISIN]],'Novia Web Query'!$A:$E,5,FALSE)</f>
        <v>15/02/2021</v>
      </c>
      <c r="F2884" t="str">
        <f>VLOOKUP(NoviaFunds[[#This Row],[Sector]],Sectors[],2,FALSE)</f>
        <v>High Yield</v>
      </c>
    </row>
    <row r="2885" spans="1:6" x14ac:dyDescent="0.2">
      <c r="A2885" t="str">
        <f>'Novia Web Query'!A2881</f>
        <v>GB00BJRCD571</v>
      </c>
      <c r="B2885" t="str">
        <f>VLOOKUP(NoviaFunds[[#This Row],[ISIN]],'Novia Web Query'!$A:$E,2,FALSE)</f>
        <v>M&amp;G Global High Yield ESG Bond I-H Acc GBP in GB</v>
      </c>
      <c r="C2885" t="str">
        <f>VLOOKUP(NoviaFunds[[#This Row],[ISIN]],'Novia Web Query'!$A:$E,3,FALSE)</f>
        <v>UT Sterling High Yield</v>
      </c>
      <c r="D2885" s="139">
        <f>VLOOKUP(NoviaFunds[[#This Row],[ISIN]],'Novia Web Query'!$A:$E,4,FALSE)/100</f>
        <v>6.3E-3</v>
      </c>
      <c r="E2885" s="3" t="str">
        <f>VLOOKUP(NoviaFunds[[#This Row],[ISIN]],'Novia Web Query'!$A:$E,5,FALSE)</f>
        <v>30/09/2021</v>
      </c>
      <c r="F2885" t="str">
        <f>VLOOKUP(NoviaFunds[[#This Row],[Sector]],Sectors[],2,FALSE)</f>
        <v>High Yield</v>
      </c>
    </row>
    <row r="2886" spans="1:6" x14ac:dyDescent="0.2">
      <c r="A2886" t="str">
        <f>'Novia Web Query'!A2882</f>
        <v>GB00BJRCD688</v>
      </c>
      <c r="B2886" t="str">
        <f>VLOOKUP(NoviaFunds[[#This Row],[ISIN]],'Novia Web Query'!$A:$E,2,FALSE)</f>
        <v>M&amp;G Global High Yield ESG Bond I-H Inc GBP TR in GB</v>
      </c>
      <c r="C2886" t="str">
        <f>VLOOKUP(NoviaFunds[[#This Row],[ISIN]],'Novia Web Query'!$A:$E,3,FALSE)</f>
        <v>UT Sterling High Yield</v>
      </c>
      <c r="D2886" s="139">
        <f>VLOOKUP(NoviaFunds[[#This Row],[ISIN]],'Novia Web Query'!$A:$E,4,FALSE)/100</f>
        <v>6.3E-3</v>
      </c>
      <c r="E2886" s="3" t="str">
        <f>VLOOKUP(NoviaFunds[[#This Row],[ISIN]],'Novia Web Query'!$A:$E,5,FALSE)</f>
        <v>30/09/2021</v>
      </c>
      <c r="F2886" t="str">
        <f>VLOOKUP(NoviaFunds[[#This Row],[Sector]],Sectors[],2,FALSE)</f>
        <v>High Yield</v>
      </c>
    </row>
    <row r="2887" spans="1:6" x14ac:dyDescent="0.2">
      <c r="A2887" t="str">
        <f>'Novia Web Query'!A2883</f>
        <v>GB00BF00R928</v>
      </c>
      <c r="B2887" t="str">
        <f>VLOOKUP(NoviaFunds[[#This Row],[ISIN]],'Novia Web Query'!$A:$E,2,FALSE)</f>
        <v>M&amp;G Global Listed Infrastructure I Acc in GB</v>
      </c>
      <c r="C2887" t="str">
        <f>VLOOKUP(NoviaFunds[[#This Row],[ISIN]],'Novia Web Query'!$A:$E,3,FALSE)</f>
        <v>UT Infrastructure</v>
      </c>
      <c r="D2887" s="139">
        <f>VLOOKUP(NoviaFunds[[#This Row],[ISIN]],'Novia Web Query'!$A:$E,4,FALSE)/100</f>
        <v>6.9999999999999993E-3</v>
      </c>
      <c r="E2887" s="3" t="str">
        <f>VLOOKUP(NoviaFunds[[#This Row],[ISIN]],'Novia Web Query'!$A:$E,5,FALSE)</f>
        <v>30/09/2021</v>
      </c>
      <c r="F2887" t="e">
        <f>VLOOKUP(NoviaFunds[[#This Row],[Sector]],Sectors[],2,FALSE)</f>
        <v>#N/A</v>
      </c>
    </row>
    <row r="2888" spans="1:6" x14ac:dyDescent="0.2">
      <c r="A2888" t="str">
        <f>'Novia Web Query'!A2884</f>
        <v>GB00BF00R811</v>
      </c>
      <c r="B2888" t="str">
        <f>VLOOKUP(NoviaFunds[[#This Row],[ISIN]],'Novia Web Query'!$A:$E,2,FALSE)</f>
        <v>M&amp;G Global Listed Infrastructure I Inc TR in GB</v>
      </c>
      <c r="C2888" t="str">
        <f>VLOOKUP(NoviaFunds[[#This Row],[ISIN]],'Novia Web Query'!$A:$E,3,FALSE)</f>
        <v>UT Infrastructure</v>
      </c>
      <c r="D2888" s="139">
        <f>VLOOKUP(NoviaFunds[[#This Row],[ISIN]],'Novia Web Query'!$A:$E,4,FALSE)/100</f>
        <v>6.9999999999999993E-3</v>
      </c>
      <c r="E2888" s="3" t="str">
        <f>VLOOKUP(NoviaFunds[[#This Row],[ISIN]],'Novia Web Query'!$A:$E,5,FALSE)</f>
        <v>30/09/2021</v>
      </c>
      <c r="F2888" t="e">
        <f>VLOOKUP(NoviaFunds[[#This Row],[Sector]],Sectors[],2,FALSE)</f>
        <v>#N/A</v>
      </c>
    </row>
    <row r="2889" spans="1:6" x14ac:dyDescent="0.2">
      <c r="A2889" t="str">
        <f>'Novia Web Query'!A2885</f>
        <v>GB00BF00R696</v>
      </c>
      <c r="B2889" t="str">
        <f>VLOOKUP(NoviaFunds[[#This Row],[ISIN]],'Novia Web Query'!$A:$E,2,FALSE)</f>
        <v>M&amp;G Global Listed Infrastructure L Acc in GB</v>
      </c>
      <c r="C2889" t="str">
        <f>VLOOKUP(NoviaFunds[[#This Row],[ISIN]],'Novia Web Query'!$A:$E,3,FALSE)</f>
        <v>UT Infrastructure</v>
      </c>
      <c r="D2889" s="139">
        <f>VLOOKUP(NoviaFunds[[#This Row],[ISIN]],'Novia Web Query'!$A:$E,4,FALSE)/100</f>
        <v>5.0000000000000001E-3</v>
      </c>
      <c r="E2889" s="3" t="str">
        <f>VLOOKUP(NoviaFunds[[#This Row],[ISIN]],'Novia Web Query'!$A:$E,5,FALSE)</f>
        <v>30/09/2021</v>
      </c>
      <c r="F2889" t="e">
        <f>VLOOKUP(NoviaFunds[[#This Row],[Sector]],Sectors[],2,FALSE)</f>
        <v>#N/A</v>
      </c>
    </row>
    <row r="2890" spans="1:6" x14ac:dyDescent="0.2">
      <c r="A2890" t="str">
        <f>'Novia Web Query'!A2886</f>
        <v>GB00BF00R704</v>
      </c>
      <c r="B2890" t="str">
        <f>VLOOKUP(NoviaFunds[[#This Row],[ISIN]],'Novia Web Query'!$A:$E,2,FALSE)</f>
        <v>M&amp;G Global Listed Infrastructure L Inc TR in GB</v>
      </c>
      <c r="C2890" t="str">
        <f>VLOOKUP(NoviaFunds[[#This Row],[ISIN]],'Novia Web Query'!$A:$E,3,FALSE)</f>
        <v>UT Infrastructure</v>
      </c>
      <c r="D2890" s="139">
        <f>VLOOKUP(NoviaFunds[[#This Row],[ISIN]],'Novia Web Query'!$A:$E,4,FALSE)/100</f>
        <v>5.0000000000000001E-3</v>
      </c>
      <c r="E2890" s="3" t="str">
        <f>VLOOKUP(NoviaFunds[[#This Row],[ISIN]],'Novia Web Query'!$A:$E,5,FALSE)</f>
        <v>30/09/2021</v>
      </c>
      <c r="F2890" t="e">
        <f>VLOOKUP(NoviaFunds[[#This Row],[Sector]],Sectors[],2,FALSE)</f>
        <v>#N/A</v>
      </c>
    </row>
    <row r="2891" spans="1:6" x14ac:dyDescent="0.2">
      <c r="A2891" t="str">
        <f>'Novia Web Query'!A2887</f>
        <v>GB0031616815</v>
      </c>
      <c r="B2891" t="str">
        <f>VLOOKUP(NoviaFunds[[#This Row],[ISIN]],'Novia Web Query'!$A:$E,2,FALSE)</f>
        <v>M&amp;G Global Macro Bond A Acc GBP in GB</v>
      </c>
      <c r="C2891" t="str">
        <f>VLOOKUP(NoviaFunds[[#This Row],[ISIN]],'Novia Web Query'!$A:$E,3,FALSE)</f>
        <v>UT Global Bonds</v>
      </c>
      <c r="D2891" s="139">
        <f>VLOOKUP(NoviaFunds[[#This Row],[ISIN]],'Novia Web Query'!$A:$E,4,FALSE)/100</f>
        <v>1.03E-2</v>
      </c>
      <c r="E2891" s="3" t="str">
        <f>VLOOKUP(NoviaFunds[[#This Row],[ISIN]],'Novia Web Query'!$A:$E,5,FALSE)</f>
        <v>30/04/2021</v>
      </c>
      <c r="F2891" t="str">
        <f>VLOOKUP(NoviaFunds[[#This Row],[Sector]],Sectors[],2,FALSE)</f>
        <v>Global Investment Grade</v>
      </c>
    </row>
    <row r="2892" spans="1:6" x14ac:dyDescent="0.2">
      <c r="A2892" t="str">
        <f>'Novia Web Query'!A2888</f>
        <v>GB0031616708</v>
      </c>
      <c r="B2892" t="str">
        <f>VLOOKUP(NoviaFunds[[#This Row],[ISIN]],'Novia Web Query'!$A:$E,2,FALSE)</f>
        <v>M&amp;G Global Macro Bond A Inc GBP TR in GB</v>
      </c>
      <c r="C2892" t="str">
        <f>VLOOKUP(NoviaFunds[[#This Row],[ISIN]],'Novia Web Query'!$A:$E,3,FALSE)</f>
        <v>UT Global Bonds</v>
      </c>
      <c r="D2892" s="139">
        <f>VLOOKUP(NoviaFunds[[#This Row],[ISIN]],'Novia Web Query'!$A:$E,4,FALSE)/100</f>
        <v>1.03E-2</v>
      </c>
      <c r="E2892" s="3" t="str">
        <f>VLOOKUP(NoviaFunds[[#This Row],[ISIN]],'Novia Web Query'!$A:$E,5,FALSE)</f>
        <v>30/04/2021</v>
      </c>
      <c r="F2892" t="str">
        <f>VLOOKUP(NoviaFunds[[#This Row],[Sector]],Sectors[],2,FALSE)</f>
        <v>Global Investment Grade</v>
      </c>
    </row>
    <row r="2893" spans="1:6" x14ac:dyDescent="0.2">
      <c r="A2893" t="str">
        <f>'Novia Web Query'!A2889</f>
        <v>GB00B78PGS53</v>
      </c>
      <c r="B2893" t="str">
        <f>VLOOKUP(NoviaFunds[[#This Row],[ISIN]],'Novia Web Query'!$A:$E,2,FALSE)</f>
        <v>M&amp;G Global Macro Bond I Acc GBP in GB</v>
      </c>
      <c r="C2893" t="str">
        <f>VLOOKUP(NoviaFunds[[#This Row],[ISIN]],'Novia Web Query'!$A:$E,3,FALSE)</f>
        <v>UT Global Bonds</v>
      </c>
      <c r="D2893" s="139">
        <f>VLOOKUP(NoviaFunds[[#This Row],[ISIN]],'Novia Web Query'!$A:$E,4,FALSE)/100</f>
        <v>6.3E-3</v>
      </c>
      <c r="E2893" s="3" t="str">
        <f>VLOOKUP(NoviaFunds[[#This Row],[ISIN]],'Novia Web Query'!$A:$E,5,FALSE)</f>
        <v>30/04/2021</v>
      </c>
      <c r="F2893" t="str">
        <f>VLOOKUP(NoviaFunds[[#This Row],[Sector]],Sectors[],2,FALSE)</f>
        <v>Global Investment Grade</v>
      </c>
    </row>
    <row r="2894" spans="1:6" x14ac:dyDescent="0.2">
      <c r="A2894" t="str">
        <f>'Novia Web Query'!A2890</f>
        <v>GB00B78PH601</v>
      </c>
      <c r="B2894" t="str">
        <f>VLOOKUP(NoviaFunds[[#This Row],[ISIN]],'Novia Web Query'!$A:$E,2,FALSE)</f>
        <v>M&amp;G Global Macro Bond I Inc GBP TR in GB</v>
      </c>
      <c r="C2894" t="str">
        <f>VLOOKUP(NoviaFunds[[#This Row],[ISIN]],'Novia Web Query'!$A:$E,3,FALSE)</f>
        <v>UT Global Bonds</v>
      </c>
      <c r="D2894" s="139">
        <f>VLOOKUP(NoviaFunds[[#This Row],[ISIN]],'Novia Web Query'!$A:$E,4,FALSE)/100</f>
        <v>6.3E-3</v>
      </c>
      <c r="E2894" s="3" t="str">
        <f>VLOOKUP(NoviaFunds[[#This Row],[ISIN]],'Novia Web Query'!$A:$E,5,FALSE)</f>
        <v>30/04/2021</v>
      </c>
      <c r="F2894" t="str">
        <f>VLOOKUP(NoviaFunds[[#This Row],[Sector]],Sectors[],2,FALSE)</f>
        <v>Global Investment Grade</v>
      </c>
    </row>
    <row r="2895" spans="1:6" x14ac:dyDescent="0.2">
      <c r="A2895" t="str">
        <f>'Novia Web Query'!A2891</f>
        <v>GB00BVYJ0Y38</v>
      </c>
      <c r="B2895" t="str">
        <f>VLOOKUP(NoviaFunds[[#This Row],[ISIN]],'Novia Web Query'!$A:$E,2,FALSE)</f>
        <v>M&amp;G Global Macro Bond IH Acc GBP in GB</v>
      </c>
      <c r="C2895" t="str">
        <f>VLOOKUP(NoviaFunds[[#This Row],[ISIN]],'Novia Web Query'!$A:$E,3,FALSE)</f>
        <v>UT Global Bonds</v>
      </c>
      <c r="D2895" s="139">
        <f>VLOOKUP(NoviaFunds[[#This Row],[ISIN]],'Novia Web Query'!$A:$E,4,FALSE)/100</f>
        <v>6.6E-3</v>
      </c>
      <c r="E2895" s="3" t="str">
        <f>VLOOKUP(NoviaFunds[[#This Row],[ISIN]],'Novia Web Query'!$A:$E,5,FALSE)</f>
        <v>30/04/2021</v>
      </c>
      <c r="F2895" t="str">
        <f>VLOOKUP(NoviaFunds[[#This Row],[Sector]],Sectors[],2,FALSE)</f>
        <v>Global Investment Grade</v>
      </c>
    </row>
    <row r="2896" spans="1:6" x14ac:dyDescent="0.2">
      <c r="A2896" t="str">
        <f>'Novia Web Query'!A2892</f>
        <v>GB0031960254</v>
      </c>
      <c r="B2896" t="str">
        <f>VLOOKUP(NoviaFunds[[#This Row],[ISIN]],'Novia Web Query'!$A:$E,2,FALSE)</f>
        <v>M&amp;G Global Macro Bond X Inc GBP TR in GB</v>
      </c>
      <c r="C2896" t="str">
        <f>VLOOKUP(NoviaFunds[[#This Row],[ISIN]],'Novia Web Query'!$A:$E,3,FALSE)</f>
        <v>UT Global Bonds</v>
      </c>
      <c r="D2896" s="139">
        <f>VLOOKUP(NoviaFunds[[#This Row],[ISIN]],'Novia Web Query'!$A:$E,4,FALSE)/100</f>
        <v>1.03E-2</v>
      </c>
      <c r="E2896" s="3" t="str">
        <f>VLOOKUP(NoviaFunds[[#This Row],[ISIN]],'Novia Web Query'!$A:$E,5,FALSE)</f>
        <v>30/04/2021</v>
      </c>
      <c r="F2896" t="str">
        <f>VLOOKUP(NoviaFunds[[#This Row],[Sector]],Sectors[],2,FALSE)</f>
        <v>Global Investment Grade</v>
      </c>
    </row>
    <row r="2897" spans="1:6" x14ac:dyDescent="0.2">
      <c r="A2897" t="str">
        <f>'Novia Web Query'!A2893</f>
        <v>GB00B706FQ75</v>
      </c>
      <c r="B2897" t="str">
        <f>VLOOKUP(NoviaFunds[[#This Row],[ISIN]],'Novia Web Query'!$A:$E,2,FALSE)</f>
        <v>M&amp;G Global Strategic Value I Inc GBP TR in GB</v>
      </c>
      <c r="C2897" t="str">
        <f>VLOOKUP(NoviaFunds[[#This Row],[ISIN]],'Novia Web Query'!$A:$E,3,FALSE)</f>
        <v>UT Global</v>
      </c>
      <c r="D2897" s="139">
        <f>VLOOKUP(NoviaFunds[[#This Row],[ISIN]],'Novia Web Query'!$A:$E,4,FALSE)/100</f>
        <v>9.0000000000000011E-3</v>
      </c>
      <c r="E2897" s="3" t="str">
        <f>VLOOKUP(NoviaFunds[[#This Row],[ISIN]],'Novia Web Query'!$A:$E,5,FALSE)</f>
        <v>31/07/2021</v>
      </c>
      <c r="F2897" t="str">
        <f>VLOOKUP(NoviaFunds[[#This Row],[Sector]],Sectors[],2,FALSE)</f>
        <v>Other Equities</v>
      </c>
    </row>
    <row r="2898" spans="1:6" x14ac:dyDescent="0.2">
      <c r="A2898" t="str">
        <f>'Novia Web Query'!A2894</f>
        <v>GB0030938038</v>
      </c>
      <c r="B2898" t="str">
        <f>VLOOKUP(NoviaFunds[[#This Row],[ISIN]],'Novia Web Query'!$A:$E,2,FALSE)</f>
        <v>M&amp;G Global Sustain Paris Aligned A Acc GBP in GB</v>
      </c>
      <c r="C2898" t="str">
        <f>VLOOKUP(NoviaFunds[[#This Row],[ISIN]],'Novia Web Query'!$A:$E,3,FALSE)</f>
        <v>UT Global</v>
      </c>
      <c r="D2898" s="139">
        <f>VLOOKUP(NoviaFunds[[#This Row],[ISIN]],'Novia Web Query'!$A:$E,4,FALSE)/100</f>
        <v>1.3000000000000001E-2</v>
      </c>
      <c r="E2898" s="3" t="str">
        <f>VLOOKUP(NoviaFunds[[#This Row],[ISIN]],'Novia Web Query'!$A:$E,5,FALSE)</f>
        <v>31/08/2021</v>
      </c>
      <c r="F2898" t="str">
        <f>VLOOKUP(NoviaFunds[[#This Row],[Sector]],Sectors[],2,FALSE)</f>
        <v>Other Equities</v>
      </c>
    </row>
    <row r="2899" spans="1:6" x14ac:dyDescent="0.2">
      <c r="A2899" t="str">
        <f>'Novia Web Query'!A2895</f>
        <v>GB0030937840</v>
      </c>
      <c r="B2899" t="str">
        <f>VLOOKUP(NoviaFunds[[#This Row],[ISIN]],'Novia Web Query'!$A:$E,2,FALSE)</f>
        <v>M&amp;G Global Sustain Paris Aligned A Inc GBP TR in GB</v>
      </c>
      <c r="C2899" t="str">
        <f>VLOOKUP(NoviaFunds[[#This Row],[ISIN]],'Novia Web Query'!$A:$E,3,FALSE)</f>
        <v>UT Global</v>
      </c>
      <c r="D2899" s="139">
        <f>VLOOKUP(NoviaFunds[[#This Row],[ISIN]],'Novia Web Query'!$A:$E,4,FALSE)/100</f>
        <v>1.3000000000000001E-2</v>
      </c>
      <c r="E2899" s="3" t="str">
        <f>VLOOKUP(NoviaFunds[[#This Row],[ISIN]],'Novia Web Query'!$A:$E,5,FALSE)</f>
        <v>31/08/2021</v>
      </c>
      <c r="F2899" t="str">
        <f>VLOOKUP(NoviaFunds[[#This Row],[Sector]],Sectors[],2,FALSE)</f>
        <v>Other Equities</v>
      </c>
    </row>
    <row r="2900" spans="1:6" x14ac:dyDescent="0.2">
      <c r="A2900" t="str">
        <f>'Novia Web Query'!A2896</f>
        <v>GB00B77HHZ62</v>
      </c>
      <c r="B2900" t="str">
        <f>VLOOKUP(NoviaFunds[[#This Row],[ISIN]],'Novia Web Query'!$A:$E,2,FALSE)</f>
        <v>M&amp;G Global Sustain Paris Aligned I Acc GBP in GB</v>
      </c>
      <c r="C2900" t="str">
        <f>VLOOKUP(NoviaFunds[[#This Row],[ISIN]],'Novia Web Query'!$A:$E,3,FALSE)</f>
        <v>UT Global</v>
      </c>
      <c r="D2900" s="139">
        <f>VLOOKUP(NoviaFunds[[#This Row],[ISIN]],'Novia Web Query'!$A:$E,4,FALSE)/100</f>
        <v>9.0000000000000011E-3</v>
      </c>
      <c r="E2900" s="3" t="str">
        <f>VLOOKUP(NoviaFunds[[#This Row],[ISIN]],'Novia Web Query'!$A:$E,5,FALSE)</f>
        <v>31/08/2021</v>
      </c>
      <c r="F2900" t="str">
        <f>VLOOKUP(NoviaFunds[[#This Row],[Sector]],Sectors[],2,FALSE)</f>
        <v>Other Equities</v>
      </c>
    </row>
    <row r="2901" spans="1:6" x14ac:dyDescent="0.2">
      <c r="A2901" t="str">
        <f>'Novia Web Query'!A2897</f>
        <v>GB00B556Q879</v>
      </c>
      <c r="B2901" t="str">
        <f>VLOOKUP(NoviaFunds[[#This Row],[ISIN]],'Novia Web Query'!$A:$E,2,FALSE)</f>
        <v>M&amp;G Global Sustain Paris Aligned I Inc GBP TR in GB</v>
      </c>
      <c r="C2901" t="str">
        <f>VLOOKUP(NoviaFunds[[#This Row],[ISIN]],'Novia Web Query'!$A:$E,3,FALSE)</f>
        <v>UT Global</v>
      </c>
      <c r="D2901" s="139">
        <f>VLOOKUP(NoviaFunds[[#This Row],[ISIN]],'Novia Web Query'!$A:$E,4,FALSE)/100</f>
        <v>9.0000000000000011E-3</v>
      </c>
      <c r="E2901" s="3" t="str">
        <f>VLOOKUP(NoviaFunds[[#This Row],[ISIN]],'Novia Web Query'!$A:$E,5,FALSE)</f>
        <v>31/08/2021</v>
      </c>
      <c r="F2901" t="str">
        <f>VLOOKUP(NoviaFunds[[#This Row],[Sector]],Sectors[],2,FALSE)</f>
        <v>Other Equities</v>
      </c>
    </row>
    <row r="2902" spans="1:6" x14ac:dyDescent="0.2">
      <c r="A2902" t="str">
        <f>'Novia Web Query'!A2898</f>
        <v>GB0031956021</v>
      </c>
      <c r="B2902" t="str">
        <f>VLOOKUP(NoviaFunds[[#This Row],[ISIN]],'Novia Web Query'!$A:$E,2,FALSE)</f>
        <v>M&amp;G Global Sustain Paris Aligned X Inc GBP TR in GB</v>
      </c>
      <c r="C2902" t="str">
        <f>VLOOKUP(NoviaFunds[[#This Row],[ISIN]],'Novia Web Query'!$A:$E,3,FALSE)</f>
        <v>UT Global</v>
      </c>
      <c r="D2902" s="139">
        <f>VLOOKUP(NoviaFunds[[#This Row],[ISIN]],'Novia Web Query'!$A:$E,4,FALSE)/100</f>
        <v>1.3000000000000001E-2</v>
      </c>
      <c r="E2902" s="3" t="str">
        <f>VLOOKUP(NoviaFunds[[#This Row],[ISIN]],'Novia Web Query'!$A:$E,5,FALSE)</f>
        <v>31/08/2021</v>
      </c>
      <c r="F2902" t="str">
        <f>VLOOKUP(NoviaFunds[[#This Row],[Sector]],Sectors[],2,FALSE)</f>
        <v>Other Equities</v>
      </c>
    </row>
    <row r="2903" spans="1:6" x14ac:dyDescent="0.2">
      <c r="A2903" t="str">
        <f>'Novia Web Query'!A2899</f>
        <v>GB00BYM55C75</v>
      </c>
      <c r="B2903" t="str">
        <f>VLOOKUP(NoviaFunds[[#This Row],[ISIN]],'Novia Web Query'!$A:$E,2,FALSE)</f>
        <v>M&amp;G Global Target Return I Acc GBP in GB</v>
      </c>
      <c r="C2903" t="str">
        <f>VLOOKUP(NoviaFunds[[#This Row],[ISIN]],'Novia Web Query'!$A:$E,3,FALSE)</f>
        <v>UT Targeted Absolute Return</v>
      </c>
      <c r="D2903" s="139">
        <f>VLOOKUP(NoviaFunds[[#This Row],[ISIN]],'Novia Web Query'!$A:$E,4,FALSE)/100</f>
        <v>5.0000000000000001E-3</v>
      </c>
      <c r="E2903" s="3" t="str">
        <f>VLOOKUP(NoviaFunds[[#This Row],[ISIN]],'Novia Web Query'!$A:$E,5,FALSE)</f>
        <v>30/04/2021</v>
      </c>
      <c r="F2903" t="str">
        <f>VLOOKUP(NoviaFunds[[#This Row],[Sector]],Sectors[],2,FALSE)</f>
        <v>Absolute Return</v>
      </c>
    </row>
    <row r="2904" spans="1:6" x14ac:dyDescent="0.2">
      <c r="A2904" t="str">
        <f>'Novia Web Query'!A2900</f>
        <v>GB0030932452</v>
      </c>
      <c r="B2904" t="str">
        <f>VLOOKUP(NoviaFunds[[#This Row],[ISIN]],'Novia Web Query'!$A:$E,2,FALSE)</f>
        <v>M&amp;G Global Themes A Acc GBP in GB</v>
      </c>
      <c r="C2904" t="str">
        <f>VLOOKUP(NoviaFunds[[#This Row],[ISIN]],'Novia Web Query'!$A:$E,3,FALSE)</f>
        <v>UT Global</v>
      </c>
      <c r="D2904" s="139">
        <f>VLOOKUP(NoviaFunds[[#This Row],[ISIN]],'Novia Web Query'!$A:$E,4,FALSE)/100</f>
        <v>1.26E-2</v>
      </c>
      <c r="E2904" s="3" t="str">
        <f>VLOOKUP(NoviaFunds[[#This Row],[ISIN]],'Novia Web Query'!$A:$E,5,FALSE)</f>
        <v>31/08/2021</v>
      </c>
      <c r="F2904" t="str">
        <f>VLOOKUP(NoviaFunds[[#This Row],[Sector]],Sectors[],2,FALSE)</f>
        <v>Other Equities</v>
      </c>
    </row>
    <row r="2905" spans="1:6" x14ac:dyDescent="0.2">
      <c r="A2905" t="str">
        <f>'Novia Web Query'!A2901</f>
        <v>GB0030932346</v>
      </c>
      <c r="B2905" t="str">
        <f>VLOOKUP(NoviaFunds[[#This Row],[ISIN]],'Novia Web Query'!$A:$E,2,FALSE)</f>
        <v>M&amp;G Global Themes A Inc GBP TR in GB</v>
      </c>
      <c r="C2905" t="str">
        <f>VLOOKUP(NoviaFunds[[#This Row],[ISIN]],'Novia Web Query'!$A:$E,3,FALSE)</f>
        <v>UT Global</v>
      </c>
      <c r="D2905" s="139">
        <f>VLOOKUP(NoviaFunds[[#This Row],[ISIN]],'Novia Web Query'!$A:$E,4,FALSE)/100</f>
        <v>1.26E-2</v>
      </c>
      <c r="E2905" s="3" t="str">
        <f>VLOOKUP(NoviaFunds[[#This Row],[ISIN]],'Novia Web Query'!$A:$E,5,FALSE)</f>
        <v>31/08/2021</v>
      </c>
      <c r="F2905" t="str">
        <f>VLOOKUP(NoviaFunds[[#This Row],[Sector]],Sectors[],2,FALSE)</f>
        <v>Other Equities</v>
      </c>
    </row>
    <row r="2906" spans="1:6" x14ac:dyDescent="0.2">
      <c r="A2906" t="str">
        <f>'Novia Web Query'!A2902</f>
        <v>GB00B4WV2P70</v>
      </c>
      <c r="B2906" t="str">
        <f>VLOOKUP(NoviaFunds[[#This Row],[ISIN]],'Novia Web Query'!$A:$E,2,FALSE)</f>
        <v>M&amp;G Global Themes I Acc GBP in GB</v>
      </c>
      <c r="C2906" t="str">
        <f>VLOOKUP(NoviaFunds[[#This Row],[ISIN]],'Novia Web Query'!$A:$E,3,FALSE)</f>
        <v>UT Global</v>
      </c>
      <c r="D2906" s="139">
        <f>VLOOKUP(NoviaFunds[[#This Row],[ISIN]],'Novia Web Query'!$A:$E,4,FALSE)/100</f>
        <v>8.6E-3</v>
      </c>
      <c r="E2906" s="3" t="str">
        <f>VLOOKUP(NoviaFunds[[#This Row],[ISIN]],'Novia Web Query'!$A:$E,5,FALSE)</f>
        <v>31/08/2021</v>
      </c>
      <c r="F2906" t="str">
        <f>VLOOKUP(NoviaFunds[[#This Row],[Sector]],Sectors[],2,FALSE)</f>
        <v>Other Equities</v>
      </c>
    </row>
    <row r="2907" spans="1:6" x14ac:dyDescent="0.2">
      <c r="A2907" t="str">
        <f>'Novia Web Query'!A2903</f>
        <v>GB00B76CZD62</v>
      </c>
      <c r="B2907" t="str">
        <f>VLOOKUP(NoviaFunds[[#This Row],[ISIN]],'Novia Web Query'!$A:$E,2,FALSE)</f>
        <v>M&amp;G Global Themes I Inc GBP TR in GB</v>
      </c>
      <c r="C2907" t="str">
        <f>VLOOKUP(NoviaFunds[[#This Row],[ISIN]],'Novia Web Query'!$A:$E,3,FALSE)</f>
        <v>UT Global</v>
      </c>
      <c r="D2907" s="139">
        <f>VLOOKUP(NoviaFunds[[#This Row],[ISIN]],'Novia Web Query'!$A:$E,4,FALSE)/100</f>
        <v>8.6E-3</v>
      </c>
      <c r="E2907" s="3" t="str">
        <f>VLOOKUP(NoviaFunds[[#This Row],[ISIN]],'Novia Web Query'!$A:$E,5,FALSE)</f>
        <v>31/08/2021</v>
      </c>
      <c r="F2907" t="str">
        <f>VLOOKUP(NoviaFunds[[#This Row],[Sector]],Sectors[],2,FALSE)</f>
        <v>Other Equities</v>
      </c>
    </row>
    <row r="2908" spans="1:6" x14ac:dyDescent="0.2">
      <c r="A2908" t="str">
        <f>'Novia Web Query'!A2904</f>
        <v>GB0031952376</v>
      </c>
      <c r="B2908" t="str">
        <f>VLOOKUP(NoviaFunds[[#This Row],[ISIN]],'Novia Web Query'!$A:$E,2,FALSE)</f>
        <v>M&amp;G Global Themes X Acc GBP in GB</v>
      </c>
      <c r="C2908" t="str">
        <f>VLOOKUP(NoviaFunds[[#This Row],[ISIN]],'Novia Web Query'!$A:$E,3,FALSE)</f>
        <v>UT Global</v>
      </c>
      <c r="D2908" s="139">
        <f>VLOOKUP(NoviaFunds[[#This Row],[ISIN]],'Novia Web Query'!$A:$E,4,FALSE)/100</f>
        <v>1.26E-2</v>
      </c>
      <c r="E2908" s="3" t="str">
        <f>VLOOKUP(NoviaFunds[[#This Row],[ISIN]],'Novia Web Query'!$A:$E,5,FALSE)</f>
        <v>31/08/2021</v>
      </c>
      <c r="F2908" t="str">
        <f>VLOOKUP(NoviaFunds[[#This Row],[Sector]],Sectors[],2,FALSE)</f>
        <v>Other Equities</v>
      </c>
    </row>
    <row r="2909" spans="1:6" x14ac:dyDescent="0.2">
      <c r="A2909" t="str">
        <f>'Novia Web Query'!A2905</f>
        <v>GB0031952269</v>
      </c>
      <c r="B2909" t="str">
        <f>VLOOKUP(NoviaFunds[[#This Row],[ISIN]],'Novia Web Query'!$A:$E,2,FALSE)</f>
        <v>M&amp;G Global Themes X Inc GBP TR in GB</v>
      </c>
      <c r="C2909" t="str">
        <f>VLOOKUP(NoviaFunds[[#This Row],[ISIN]],'Novia Web Query'!$A:$E,3,FALSE)</f>
        <v>UT Global</v>
      </c>
      <c r="D2909" s="139">
        <f>VLOOKUP(NoviaFunds[[#This Row],[ISIN]],'Novia Web Query'!$A:$E,4,FALSE)/100</f>
        <v>1.26E-2</v>
      </c>
      <c r="E2909" s="3" t="str">
        <f>VLOOKUP(NoviaFunds[[#This Row],[ISIN]],'Novia Web Query'!$A:$E,5,FALSE)</f>
        <v>31/08/2021</v>
      </c>
      <c r="F2909" t="str">
        <f>VLOOKUP(NoviaFunds[[#This Row],[Sector]],Sectors[],2,FALSE)</f>
        <v>Other Equities</v>
      </c>
    </row>
    <row r="2910" spans="1:6" x14ac:dyDescent="0.2">
      <c r="A2910" t="str">
        <f>'Novia Web Query'!A2906</f>
        <v>GB0031110959</v>
      </c>
      <c r="B2910" t="str">
        <f>VLOOKUP(NoviaFunds[[#This Row],[ISIN]],'Novia Web Query'!$A:$E,2,FALSE)</f>
        <v>M&amp;G Index Tracker A Acc GBP in GB</v>
      </c>
      <c r="C2910" t="str">
        <f>VLOOKUP(NoviaFunds[[#This Row],[ISIN]],'Novia Web Query'!$A:$E,3,FALSE)</f>
        <v>UT UK All Companies</v>
      </c>
      <c r="D2910" s="139">
        <f>VLOOKUP(NoviaFunds[[#This Row],[ISIN]],'Novia Web Query'!$A:$E,4,FALSE)/100</f>
        <v>4.5000000000000005E-3</v>
      </c>
      <c r="E2910" s="3" t="str">
        <f>VLOOKUP(NoviaFunds[[#This Row],[ISIN]],'Novia Web Query'!$A:$E,5,FALSE)</f>
        <v>31/05/2021</v>
      </c>
      <c r="F2910" t="str">
        <f>VLOOKUP(NoviaFunds[[#This Row],[Sector]],Sectors[],2,FALSE)</f>
        <v>UK Equities</v>
      </c>
    </row>
    <row r="2911" spans="1:6" x14ac:dyDescent="0.2">
      <c r="A2911" t="str">
        <f>'Novia Web Query'!A2907</f>
        <v>GB0031110843</v>
      </c>
      <c r="B2911" t="str">
        <f>VLOOKUP(NoviaFunds[[#This Row],[ISIN]],'Novia Web Query'!$A:$E,2,FALSE)</f>
        <v>M&amp;G Index Tracker A Inc GBP TR in GB</v>
      </c>
      <c r="C2911" t="str">
        <f>VLOOKUP(NoviaFunds[[#This Row],[ISIN]],'Novia Web Query'!$A:$E,3,FALSE)</f>
        <v>UT UK All Companies</v>
      </c>
      <c r="D2911" s="139">
        <f>VLOOKUP(NoviaFunds[[#This Row],[ISIN]],'Novia Web Query'!$A:$E,4,FALSE)/100</f>
        <v>4.5000000000000005E-3</v>
      </c>
      <c r="E2911" s="3" t="str">
        <f>VLOOKUP(NoviaFunds[[#This Row],[ISIN]],'Novia Web Query'!$A:$E,5,FALSE)</f>
        <v>31/05/2021</v>
      </c>
      <c r="F2911" t="str">
        <f>VLOOKUP(NoviaFunds[[#This Row],[Sector]],Sectors[],2,FALSE)</f>
        <v>UK Equities</v>
      </c>
    </row>
    <row r="2912" spans="1:6" x14ac:dyDescent="0.2">
      <c r="A2912" t="str">
        <f>'Novia Web Query'!A2908</f>
        <v>GB0031111478</v>
      </c>
      <c r="B2912" t="str">
        <f>VLOOKUP(NoviaFunds[[#This Row],[ISIN]],'Novia Web Query'!$A:$E,2,FALSE)</f>
        <v>M&amp;G Index-Linked Bond A Acc GBP in GB</v>
      </c>
      <c r="C2912" t="str">
        <f>VLOOKUP(NoviaFunds[[#This Row],[ISIN]],'Novia Web Query'!$A:$E,3,FALSE)</f>
        <v>UT UK Index Linked Gilts</v>
      </c>
      <c r="D2912" s="139">
        <f>VLOOKUP(NoviaFunds[[#This Row],[ISIN]],'Novia Web Query'!$A:$E,4,FALSE)/100</f>
        <v>5.5000000000000005E-3</v>
      </c>
      <c r="E2912" s="3" t="str">
        <f>VLOOKUP(NoviaFunds[[#This Row],[ISIN]],'Novia Web Query'!$A:$E,5,FALSE)</f>
        <v>31/05/2021</v>
      </c>
      <c r="F2912" t="str">
        <f>VLOOKUP(NoviaFunds[[#This Row],[Sector]],Sectors[],2,FALSE)</f>
        <v>UK Index Linked Gilts</v>
      </c>
    </row>
    <row r="2913" spans="1:6" x14ac:dyDescent="0.2">
      <c r="A2913" t="str">
        <f>'Novia Web Query'!A2909</f>
        <v>GB0031111361</v>
      </c>
      <c r="B2913" t="str">
        <f>VLOOKUP(NoviaFunds[[#This Row],[ISIN]],'Novia Web Query'!$A:$E,2,FALSE)</f>
        <v>M&amp;G Index-Linked Bond A Inc GBP TR in GB</v>
      </c>
      <c r="C2913" t="str">
        <f>VLOOKUP(NoviaFunds[[#This Row],[ISIN]],'Novia Web Query'!$A:$E,3,FALSE)</f>
        <v>UT UK Index Linked Gilts</v>
      </c>
      <c r="D2913" s="139">
        <f>VLOOKUP(NoviaFunds[[#This Row],[ISIN]],'Novia Web Query'!$A:$E,4,FALSE)/100</f>
        <v>5.5000000000000005E-3</v>
      </c>
      <c r="E2913" s="3" t="str">
        <f>VLOOKUP(NoviaFunds[[#This Row],[ISIN]],'Novia Web Query'!$A:$E,5,FALSE)</f>
        <v>31/05/2021</v>
      </c>
      <c r="F2913" t="str">
        <f>VLOOKUP(NoviaFunds[[#This Row],[Sector]],Sectors[],2,FALSE)</f>
        <v>UK Index Linked Gilts</v>
      </c>
    </row>
    <row r="2914" spans="1:6" x14ac:dyDescent="0.2">
      <c r="A2914" t="str">
        <f>'Novia Web Query'!A2910</f>
        <v>GB00B6SYH932</v>
      </c>
      <c r="B2914" t="str">
        <f>VLOOKUP(NoviaFunds[[#This Row],[ISIN]],'Novia Web Query'!$A:$E,2,FALSE)</f>
        <v>M&amp;G Index-Linked Bond I Acc GBP in GB</v>
      </c>
      <c r="C2914" t="str">
        <f>VLOOKUP(NoviaFunds[[#This Row],[ISIN]],'Novia Web Query'!$A:$E,3,FALSE)</f>
        <v>UT UK Index Linked Gilts</v>
      </c>
      <c r="D2914" s="139">
        <f>VLOOKUP(NoviaFunds[[#This Row],[ISIN]],'Novia Web Query'!$A:$E,4,FALSE)/100</f>
        <v>2.5000000000000001E-3</v>
      </c>
      <c r="E2914" s="3" t="str">
        <f>VLOOKUP(NoviaFunds[[#This Row],[ISIN]],'Novia Web Query'!$A:$E,5,FALSE)</f>
        <v>15/02/2021</v>
      </c>
      <c r="F2914" t="str">
        <f>VLOOKUP(NoviaFunds[[#This Row],[Sector]],Sectors[],2,FALSE)</f>
        <v>UK Index Linked Gilts</v>
      </c>
    </row>
    <row r="2915" spans="1:6" x14ac:dyDescent="0.2">
      <c r="A2915" t="str">
        <f>'Novia Web Query'!A2911</f>
        <v>GB00B7875289</v>
      </c>
      <c r="B2915" t="str">
        <f>VLOOKUP(NoviaFunds[[#This Row],[ISIN]],'Novia Web Query'!$A:$E,2,FALSE)</f>
        <v>M&amp;G Index-Linked Bond I Inc GBP TR in GB</v>
      </c>
      <c r="C2915" t="str">
        <f>VLOOKUP(NoviaFunds[[#This Row],[ISIN]],'Novia Web Query'!$A:$E,3,FALSE)</f>
        <v>UT UK Index Linked Gilts</v>
      </c>
      <c r="D2915" s="139">
        <f>VLOOKUP(NoviaFunds[[#This Row],[ISIN]],'Novia Web Query'!$A:$E,4,FALSE)/100</f>
        <v>2.5000000000000001E-3</v>
      </c>
      <c r="E2915" s="3" t="str">
        <f>VLOOKUP(NoviaFunds[[#This Row],[ISIN]],'Novia Web Query'!$A:$E,5,FALSE)</f>
        <v>15/02/2021</v>
      </c>
      <c r="F2915" t="str">
        <f>VLOOKUP(NoviaFunds[[#This Row],[Sector]],Sectors[],2,FALSE)</f>
        <v>UK Index Linked Gilts</v>
      </c>
    </row>
    <row r="2916" spans="1:6" x14ac:dyDescent="0.2">
      <c r="A2916" t="str">
        <f>'Novia Web Query'!A2912</f>
        <v>GB0030938475</v>
      </c>
      <c r="B2916" t="str">
        <f>VLOOKUP(NoviaFunds[[#This Row],[ISIN]],'Novia Web Query'!$A:$E,2,FALSE)</f>
        <v>M&amp;G Japan A Acc GBP in GB</v>
      </c>
      <c r="C2916" t="str">
        <f>VLOOKUP(NoviaFunds[[#This Row],[ISIN]],'Novia Web Query'!$A:$E,3,FALSE)</f>
        <v>UT Japan</v>
      </c>
      <c r="D2916" s="139">
        <f>VLOOKUP(NoviaFunds[[#This Row],[ISIN]],'Novia Web Query'!$A:$E,4,FALSE)/100</f>
        <v>1.3000000000000001E-2</v>
      </c>
      <c r="E2916" s="3" t="str">
        <f>VLOOKUP(NoviaFunds[[#This Row],[ISIN]],'Novia Web Query'!$A:$E,5,FALSE)</f>
        <v>31/08/2021</v>
      </c>
      <c r="F2916" t="str">
        <f>VLOOKUP(NoviaFunds[[#This Row],[Sector]],Sectors[],2,FALSE)</f>
        <v>Japanese Equities</v>
      </c>
    </row>
    <row r="2917" spans="1:6" x14ac:dyDescent="0.2">
      <c r="A2917" t="str">
        <f>'Novia Web Query'!A2913</f>
        <v>GB0030938368</v>
      </c>
      <c r="B2917" t="str">
        <f>VLOOKUP(NoviaFunds[[#This Row],[ISIN]],'Novia Web Query'!$A:$E,2,FALSE)</f>
        <v>M&amp;G Japan A Inc GBP TR in GB</v>
      </c>
      <c r="C2917" t="str">
        <f>VLOOKUP(NoviaFunds[[#This Row],[ISIN]],'Novia Web Query'!$A:$E,3,FALSE)</f>
        <v>UT Japan</v>
      </c>
      <c r="D2917" s="139">
        <f>VLOOKUP(NoviaFunds[[#This Row],[ISIN]],'Novia Web Query'!$A:$E,4,FALSE)/100</f>
        <v>1.3000000000000001E-2</v>
      </c>
      <c r="E2917" s="3" t="str">
        <f>VLOOKUP(NoviaFunds[[#This Row],[ISIN]],'Novia Web Query'!$A:$E,5,FALSE)</f>
        <v>31/08/2021</v>
      </c>
      <c r="F2917" t="str">
        <f>VLOOKUP(NoviaFunds[[#This Row],[Sector]],Sectors[],2,FALSE)</f>
        <v>Japanese Equities</v>
      </c>
    </row>
    <row r="2918" spans="1:6" x14ac:dyDescent="0.2">
      <c r="A2918" t="str">
        <f>'Novia Web Query'!A2914</f>
        <v>GB00B74CQP79</v>
      </c>
      <c r="B2918" t="str">
        <f>VLOOKUP(NoviaFunds[[#This Row],[ISIN]],'Novia Web Query'!$A:$E,2,FALSE)</f>
        <v>M&amp;G Japan I Acc GBP in GB</v>
      </c>
      <c r="C2918" t="str">
        <f>VLOOKUP(NoviaFunds[[#This Row],[ISIN]],'Novia Web Query'!$A:$E,3,FALSE)</f>
        <v>UT Japan</v>
      </c>
      <c r="D2918" s="139">
        <f>VLOOKUP(NoviaFunds[[#This Row],[ISIN]],'Novia Web Query'!$A:$E,4,FALSE)/100</f>
        <v>9.0000000000000011E-3</v>
      </c>
      <c r="E2918" s="3" t="str">
        <f>VLOOKUP(NoviaFunds[[#This Row],[ISIN]],'Novia Web Query'!$A:$E,5,FALSE)</f>
        <v>31/08/2021</v>
      </c>
      <c r="F2918" t="str">
        <f>VLOOKUP(NoviaFunds[[#This Row],[Sector]],Sectors[],2,FALSE)</f>
        <v>Japanese Equities</v>
      </c>
    </row>
    <row r="2919" spans="1:6" x14ac:dyDescent="0.2">
      <c r="A2919" t="str">
        <f>'Novia Web Query'!A2915</f>
        <v>GB00B6Z42S01</v>
      </c>
      <c r="B2919" t="str">
        <f>VLOOKUP(NoviaFunds[[#This Row],[ISIN]],'Novia Web Query'!$A:$E,2,FALSE)</f>
        <v>M&amp;G Japan I Inc GBP TR in GB</v>
      </c>
      <c r="C2919" t="str">
        <f>VLOOKUP(NoviaFunds[[#This Row],[ISIN]],'Novia Web Query'!$A:$E,3,FALSE)</f>
        <v>UT Japan</v>
      </c>
      <c r="D2919" s="139">
        <f>VLOOKUP(NoviaFunds[[#This Row],[ISIN]],'Novia Web Query'!$A:$E,4,FALSE)/100</f>
        <v>9.0000000000000011E-3</v>
      </c>
      <c r="E2919" s="3" t="str">
        <f>VLOOKUP(NoviaFunds[[#This Row],[ISIN]],'Novia Web Query'!$A:$E,5,FALSE)</f>
        <v>31/08/2021</v>
      </c>
      <c r="F2919" t="str">
        <f>VLOOKUP(NoviaFunds[[#This Row],[Sector]],Sectors[],2,FALSE)</f>
        <v>Japanese Equities</v>
      </c>
    </row>
    <row r="2920" spans="1:6" x14ac:dyDescent="0.2">
      <c r="A2920" t="str">
        <f>'Novia Web Query'!A2916</f>
        <v>GB0030939002</v>
      </c>
      <c r="B2920" t="str">
        <f>VLOOKUP(NoviaFunds[[#This Row],[ISIN]],'Novia Web Query'!$A:$E,2,FALSE)</f>
        <v>M&amp;G Japan Smaller Companies A Acc GBP in GB</v>
      </c>
      <c r="C2920" t="str">
        <f>VLOOKUP(NoviaFunds[[#This Row],[ISIN]],'Novia Web Query'!$A:$E,3,FALSE)</f>
        <v>UT Japanese Smaller Companies</v>
      </c>
      <c r="D2920" s="139">
        <f>VLOOKUP(NoviaFunds[[#This Row],[ISIN]],'Novia Web Query'!$A:$E,4,FALSE)/100</f>
        <v>1.3000000000000001E-2</v>
      </c>
      <c r="E2920" s="3" t="str">
        <f>VLOOKUP(NoviaFunds[[#This Row],[ISIN]],'Novia Web Query'!$A:$E,5,FALSE)</f>
        <v>31/08/2021</v>
      </c>
      <c r="F2920" t="str">
        <f>VLOOKUP(NoviaFunds[[#This Row],[Sector]],Sectors[],2,FALSE)</f>
        <v>Japanese Equities</v>
      </c>
    </row>
    <row r="2921" spans="1:6" x14ac:dyDescent="0.2">
      <c r="A2921" t="str">
        <f>'Novia Web Query'!A2917</f>
        <v>GB0030938707</v>
      </c>
      <c r="B2921" t="str">
        <f>VLOOKUP(NoviaFunds[[#This Row],[ISIN]],'Novia Web Query'!$A:$E,2,FALSE)</f>
        <v>M&amp;G Japan Smaller Companies A Inc GBP TR in GB</v>
      </c>
      <c r="C2921" t="str">
        <f>VLOOKUP(NoviaFunds[[#This Row],[ISIN]],'Novia Web Query'!$A:$E,3,FALSE)</f>
        <v>UT Japanese Smaller Companies</v>
      </c>
      <c r="D2921" s="139">
        <f>VLOOKUP(NoviaFunds[[#This Row],[ISIN]],'Novia Web Query'!$A:$E,4,FALSE)/100</f>
        <v>1.3000000000000001E-2</v>
      </c>
      <c r="E2921" s="3" t="str">
        <f>VLOOKUP(NoviaFunds[[#This Row],[ISIN]],'Novia Web Query'!$A:$E,5,FALSE)</f>
        <v>31/08/2021</v>
      </c>
      <c r="F2921" t="str">
        <f>VLOOKUP(NoviaFunds[[#This Row],[Sector]],Sectors[],2,FALSE)</f>
        <v>Japanese Equities</v>
      </c>
    </row>
    <row r="2922" spans="1:6" x14ac:dyDescent="0.2">
      <c r="A2922" t="str">
        <f>'Novia Web Query'!A2918</f>
        <v>GB00B7FGLY29</v>
      </c>
      <c r="B2922" t="str">
        <f>VLOOKUP(NoviaFunds[[#This Row],[ISIN]],'Novia Web Query'!$A:$E,2,FALSE)</f>
        <v>M&amp;G Japan Smaller Companies I Acc GBP in GB</v>
      </c>
      <c r="C2922" t="str">
        <f>VLOOKUP(NoviaFunds[[#This Row],[ISIN]],'Novia Web Query'!$A:$E,3,FALSE)</f>
        <v>UT Japanese Smaller Companies</v>
      </c>
      <c r="D2922" s="139">
        <f>VLOOKUP(NoviaFunds[[#This Row],[ISIN]],'Novia Web Query'!$A:$E,4,FALSE)/100</f>
        <v>9.0000000000000011E-3</v>
      </c>
      <c r="E2922" s="3" t="str">
        <f>VLOOKUP(NoviaFunds[[#This Row],[ISIN]],'Novia Web Query'!$A:$E,5,FALSE)</f>
        <v>31/08/2021</v>
      </c>
      <c r="F2922" t="str">
        <f>VLOOKUP(NoviaFunds[[#This Row],[Sector]],Sectors[],2,FALSE)</f>
        <v>Japanese Equities</v>
      </c>
    </row>
    <row r="2923" spans="1:6" x14ac:dyDescent="0.2">
      <c r="A2923" t="str">
        <f>'Novia Web Query'!A2919</f>
        <v>GB00B62S8P46</v>
      </c>
      <c r="B2923" t="str">
        <f>VLOOKUP(NoviaFunds[[#This Row],[ISIN]],'Novia Web Query'!$A:$E,2,FALSE)</f>
        <v>M&amp;G Japan Smaller Companies I Inc GBP TR in GB</v>
      </c>
      <c r="C2923" t="str">
        <f>VLOOKUP(NoviaFunds[[#This Row],[ISIN]],'Novia Web Query'!$A:$E,3,FALSE)</f>
        <v>UT Japanese Smaller Companies</v>
      </c>
      <c r="D2923" s="139">
        <f>VLOOKUP(NoviaFunds[[#This Row],[ISIN]],'Novia Web Query'!$A:$E,4,FALSE)/100</f>
        <v>9.0000000000000011E-3</v>
      </c>
      <c r="E2923" s="3" t="str">
        <f>VLOOKUP(NoviaFunds[[#This Row],[ISIN]],'Novia Web Query'!$A:$E,5,FALSE)</f>
        <v>31/08/2021</v>
      </c>
      <c r="F2923" t="str">
        <f>VLOOKUP(NoviaFunds[[#This Row],[Sector]],Sectors[],2,FALSE)</f>
        <v>Japanese Equities</v>
      </c>
    </row>
    <row r="2924" spans="1:6" x14ac:dyDescent="0.2">
      <c r="A2924" t="str">
        <f>'Novia Web Query'!A2920</f>
        <v>GB0031956682</v>
      </c>
      <c r="B2924" t="str">
        <f>VLOOKUP(NoviaFunds[[#This Row],[ISIN]],'Novia Web Query'!$A:$E,2,FALSE)</f>
        <v>M&amp;G Japan Smaller Companies X Acc GBP in GB</v>
      </c>
      <c r="C2924" t="str">
        <f>VLOOKUP(NoviaFunds[[#This Row],[ISIN]],'Novia Web Query'!$A:$E,3,FALSE)</f>
        <v>UT Japanese Smaller Companies</v>
      </c>
      <c r="D2924" s="139">
        <f>VLOOKUP(NoviaFunds[[#This Row],[ISIN]],'Novia Web Query'!$A:$E,4,FALSE)/100</f>
        <v>1.3000000000000001E-2</v>
      </c>
      <c r="E2924" s="3" t="str">
        <f>VLOOKUP(NoviaFunds[[#This Row],[ISIN]],'Novia Web Query'!$A:$E,5,FALSE)</f>
        <v>31/08/2021</v>
      </c>
      <c r="F2924" t="str">
        <f>VLOOKUP(NoviaFunds[[#This Row],[Sector]],Sectors[],2,FALSE)</f>
        <v>Japanese Equities</v>
      </c>
    </row>
    <row r="2925" spans="1:6" x14ac:dyDescent="0.2">
      <c r="A2925" t="str">
        <f>'Novia Web Query'!A2921</f>
        <v>GB0031960700</v>
      </c>
      <c r="B2925" t="str">
        <f>VLOOKUP(NoviaFunds[[#This Row],[ISIN]],'Novia Web Query'!$A:$E,2,FALSE)</f>
        <v>M&amp;G Managed Growth A Acc GBP in GB</v>
      </c>
      <c r="C2925" t="str">
        <f>VLOOKUP(NoviaFunds[[#This Row],[ISIN]],'Novia Web Query'!$A:$E,3,FALSE)</f>
        <v>UT Flexible Investment</v>
      </c>
      <c r="D2925" s="139">
        <f>VLOOKUP(NoviaFunds[[#This Row],[ISIN]],'Novia Web Query'!$A:$E,4,FALSE)/100</f>
        <v>1.0500000000000001E-2</v>
      </c>
      <c r="E2925" s="3" t="str">
        <f>VLOOKUP(NoviaFunds[[#This Row],[ISIN]],'Novia Web Query'!$A:$E,5,FALSE)</f>
        <v>30/04/2021</v>
      </c>
      <c r="F2925" t="str">
        <f>VLOOKUP(NoviaFunds[[#This Row],[Sector]],Sectors[],2,FALSE)</f>
        <v>Flexible</v>
      </c>
    </row>
    <row r="2926" spans="1:6" x14ac:dyDescent="0.2">
      <c r="A2926" t="str">
        <f>'Novia Web Query'!A2922</f>
        <v>GB0031960692</v>
      </c>
      <c r="B2926" t="str">
        <f>VLOOKUP(NoviaFunds[[#This Row],[ISIN]],'Novia Web Query'!$A:$E,2,FALSE)</f>
        <v>M&amp;G Managed Growth A Inc GBP TR in GB</v>
      </c>
      <c r="C2926" t="str">
        <f>VLOOKUP(NoviaFunds[[#This Row],[ISIN]],'Novia Web Query'!$A:$E,3,FALSE)</f>
        <v>UT Flexible Investment</v>
      </c>
      <c r="D2926" s="139">
        <f>VLOOKUP(NoviaFunds[[#This Row],[ISIN]],'Novia Web Query'!$A:$E,4,FALSE)/100</f>
        <v>1.0500000000000001E-2</v>
      </c>
      <c r="E2926" s="3" t="str">
        <f>VLOOKUP(NoviaFunds[[#This Row],[ISIN]],'Novia Web Query'!$A:$E,5,FALSE)</f>
        <v>30/04/2021</v>
      </c>
      <c r="F2926" t="str">
        <f>VLOOKUP(NoviaFunds[[#This Row],[Sector]],Sectors[],2,FALSE)</f>
        <v>Flexible</v>
      </c>
    </row>
    <row r="2927" spans="1:6" x14ac:dyDescent="0.2">
      <c r="A2927" t="str">
        <f>'Novia Web Query'!A2923</f>
        <v>GB00B7K52D01</v>
      </c>
      <c r="B2927" t="str">
        <f>VLOOKUP(NoviaFunds[[#This Row],[ISIN]],'Novia Web Query'!$A:$E,2,FALSE)</f>
        <v>M&amp;G Managed Growth I Acc GBP TR in GB</v>
      </c>
      <c r="C2927" t="str">
        <f>VLOOKUP(NoviaFunds[[#This Row],[ISIN]],'Novia Web Query'!$A:$E,3,FALSE)</f>
        <v>UT Flexible Investment</v>
      </c>
      <c r="D2927" s="139">
        <f>VLOOKUP(NoviaFunds[[#This Row],[ISIN]],'Novia Web Query'!$A:$E,4,FALSE)/100</f>
        <v>6.5000000000000006E-3</v>
      </c>
      <c r="E2927" s="3" t="str">
        <f>VLOOKUP(NoviaFunds[[#This Row],[ISIN]],'Novia Web Query'!$A:$E,5,FALSE)</f>
        <v>30/04/2021</v>
      </c>
      <c r="F2927" t="str">
        <f>VLOOKUP(NoviaFunds[[#This Row],[Sector]],Sectors[],2,FALSE)</f>
        <v>Flexible</v>
      </c>
    </row>
    <row r="2928" spans="1:6" x14ac:dyDescent="0.2">
      <c r="A2928" t="str">
        <f>'Novia Web Query'!A2924</f>
        <v>GB00B7GTLH32</v>
      </c>
      <c r="B2928" t="str">
        <f>VLOOKUP(NoviaFunds[[#This Row],[ISIN]],'Novia Web Query'!$A:$E,2,FALSE)</f>
        <v>M&amp;G Managed Growth I Inc GBP TR in GB</v>
      </c>
      <c r="C2928" t="str">
        <f>VLOOKUP(NoviaFunds[[#This Row],[ISIN]],'Novia Web Query'!$A:$E,3,FALSE)</f>
        <v>UT Flexible Investment</v>
      </c>
      <c r="D2928" s="139">
        <f>VLOOKUP(NoviaFunds[[#This Row],[ISIN]],'Novia Web Query'!$A:$E,4,FALSE)/100</f>
        <v>6.5000000000000006E-3</v>
      </c>
      <c r="E2928" s="3" t="str">
        <f>VLOOKUP(NoviaFunds[[#This Row],[ISIN]],'Novia Web Query'!$A:$E,5,FALSE)</f>
        <v>30/04/2021</v>
      </c>
      <c r="F2928" t="str">
        <f>VLOOKUP(NoviaFunds[[#This Row],[Sector]],Sectors[],2,FALSE)</f>
        <v>Flexible</v>
      </c>
    </row>
    <row r="2929" spans="1:6" x14ac:dyDescent="0.2">
      <c r="A2929" t="str">
        <f>'Novia Web Query'!A2925</f>
        <v>GB0031617003</v>
      </c>
      <c r="B2929" t="str">
        <f>VLOOKUP(NoviaFunds[[#This Row],[ISIN]],'Novia Web Query'!$A:$E,2,FALSE)</f>
        <v>M&amp;G Managed Growth X Inc GBP TR in GB</v>
      </c>
      <c r="C2929" t="str">
        <f>VLOOKUP(NoviaFunds[[#This Row],[ISIN]],'Novia Web Query'!$A:$E,3,FALSE)</f>
        <v>UT Flexible Investment</v>
      </c>
      <c r="D2929" s="139">
        <f>VLOOKUP(NoviaFunds[[#This Row],[ISIN]],'Novia Web Query'!$A:$E,4,FALSE)/100</f>
        <v>1.0500000000000001E-2</v>
      </c>
      <c r="E2929" s="3" t="str">
        <f>VLOOKUP(NoviaFunds[[#This Row],[ISIN]],'Novia Web Query'!$A:$E,5,FALSE)</f>
        <v>30/04/2021</v>
      </c>
      <c r="F2929" t="str">
        <f>VLOOKUP(NoviaFunds[[#This Row],[Sector]],Sectors[],2,FALSE)</f>
        <v>Flexible</v>
      </c>
    </row>
    <row r="2930" spans="1:6" x14ac:dyDescent="0.2">
      <c r="A2930" t="str">
        <f>'Novia Web Query'!A2926</f>
        <v>GB0030926843</v>
      </c>
      <c r="B2930" t="str">
        <f>VLOOKUP(NoviaFunds[[#This Row],[ISIN]],'Novia Web Query'!$A:$E,2,FALSE)</f>
        <v>M&amp;G North American Dividend A Acc GBP in GB</v>
      </c>
      <c r="C2930" t="str">
        <f>VLOOKUP(NoviaFunds[[#This Row],[ISIN]],'Novia Web Query'!$A:$E,3,FALSE)</f>
        <v>UT North America</v>
      </c>
      <c r="D2930" s="139">
        <f>VLOOKUP(NoviaFunds[[#This Row],[ISIN]],'Novia Web Query'!$A:$E,4,FALSE)/100</f>
        <v>9.4999999999999998E-3</v>
      </c>
      <c r="E2930" s="3" t="str">
        <f>VLOOKUP(NoviaFunds[[#This Row],[ISIN]],'Novia Web Query'!$A:$E,5,FALSE)</f>
        <v>31/08/2021</v>
      </c>
      <c r="F2930" t="str">
        <f>VLOOKUP(NoviaFunds[[#This Row],[Sector]],Sectors[],2,FALSE)</f>
        <v>USA Equities</v>
      </c>
    </row>
    <row r="2931" spans="1:6" x14ac:dyDescent="0.2">
      <c r="A2931" t="str">
        <f>'Novia Web Query'!A2927</f>
        <v>GB0030926736</v>
      </c>
      <c r="B2931" t="str">
        <f>VLOOKUP(NoviaFunds[[#This Row],[ISIN]],'Novia Web Query'!$A:$E,2,FALSE)</f>
        <v>M&amp;G North American Dividend A Inc GBP TR in GB</v>
      </c>
      <c r="C2931" t="str">
        <f>VLOOKUP(NoviaFunds[[#This Row],[ISIN]],'Novia Web Query'!$A:$E,3,FALSE)</f>
        <v>UT North America</v>
      </c>
      <c r="D2931" s="139">
        <f>VLOOKUP(NoviaFunds[[#This Row],[ISIN]],'Novia Web Query'!$A:$E,4,FALSE)/100</f>
        <v>9.4999999999999998E-3</v>
      </c>
      <c r="E2931" s="3" t="str">
        <f>VLOOKUP(NoviaFunds[[#This Row],[ISIN]],'Novia Web Query'!$A:$E,5,FALSE)</f>
        <v>31/08/2021</v>
      </c>
      <c r="F2931" t="str">
        <f>VLOOKUP(NoviaFunds[[#This Row],[Sector]],Sectors[],2,FALSE)</f>
        <v>USA Equities</v>
      </c>
    </row>
    <row r="2932" spans="1:6" x14ac:dyDescent="0.2">
      <c r="A2932" t="str">
        <f>'Novia Web Query'!A2928</f>
        <v>GB00B7565G26</v>
      </c>
      <c r="B2932" t="str">
        <f>VLOOKUP(NoviaFunds[[#This Row],[ISIN]],'Novia Web Query'!$A:$E,2,FALSE)</f>
        <v>M&amp;G North American Dividend I Acc GBP in GB</v>
      </c>
      <c r="C2932" t="str">
        <f>VLOOKUP(NoviaFunds[[#This Row],[ISIN]],'Novia Web Query'!$A:$E,3,FALSE)</f>
        <v>UT North America</v>
      </c>
      <c r="D2932" s="139">
        <f>VLOOKUP(NoviaFunds[[#This Row],[ISIN]],'Novia Web Query'!$A:$E,4,FALSE)/100</f>
        <v>5.5000000000000005E-3</v>
      </c>
      <c r="E2932" s="3" t="str">
        <f>VLOOKUP(NoviaFunds[[#This Row],[ISIN]],'Novia Web Query'!$A:$E,5,FALSE)</f>
        <v>31/08/2021</v>
      </c>
      <c r="F2932" t="str">
        <f>VLOOKUP(NoviaFunds[[#This Row],[Sector]],Sectors[],2,FALSE)</f>
        <v>USA Equities</v>
      </c>
    </row>
    <row r="2933" spans="1:6" x14ac:dyDescent="0.2">
      <c r="A2933" t="str">
        <f>'Novia Web Query'!A2929</f>
        <v>GB00B7F5Y731</v>
      </c>
      <c r="B2933" t="str">
        <f>VLOOKUP(NoviaFunds[[#This Row],[ISIN]],'Novia Web Query'!$A:$E,2,FALSE)</f>
        <v>M&amp;G North American Dividend I Inc GBP TR in GB</v>
      </c>
      <c r="C2933" t="str">
        <f>VLOOKUP(NoviaFunds[[#This Row],[ISIN]],'Novia Web Query'!$A:$E,3,FALSE)</f>
        <v>UT North America</v>
      </c>
      <c r="D2933" s="139">
        <f>VLOOKUP(NoviaFunds[[#This Row],[ISIN]],'Novia Web Query'!$A:$E,4,FALSE)/100</f>
        <v>5.5000000000000005E-3</v>
      </c>
      <c r="E2933" s="3" t="str">
        <f>VLOOKUP(NoviaFunds[[#This Row],[ISIN]],'Novia Web Query'!$A:$E,5,FALSE)</f>
        <v>31/08/2021</v>
      </c>
      <c r="F2933" t="str">
        <f>VLOOKUP(NoviaFunds[[#This Row],[Sector]],Sectors[],2,FALSE)</f>
        <v>USA Equities</v>
      </c>
    </row>
    <row r="2934" spans="1:6" x14ac:dyDescent="0.2">
      <c r="A2934" t="str">
        <f>'Novia Web Query'!A2930</f>
        <v>GB00BG03XY55</v>
      </c>
      <c r="B2934" t="str">
        <f>VLOOKUP(NoviaFunds[[#This Row],[ISIN]],'Novia Web Query'!$A:$E,2,FALSE)</f>
        <v>M&amp;G North American Dividend PP Acc GBP in GB**</v>
      </c>
      <c r="C2934" t="str">
        <f>VLOOKUP(NoviaFunds[[#This Row],[ISIN]],'Novia Web Query'!$A:$E,3,FALSE)</f>
        <v>UT North America</v>
      </c>
      <c r="D2934" s="139">
        <f>VLOOKUP(NoviaFunds[[#This Row],[ISIN]],'Novia Web Query'!$A:$E,4,FALSE)/100</f>
        <v>4.5000000000000005E-3</v>
      </c>
      <c r="E2934" s="3" t="str">
        <f>VLOOKUP(NoviaFunds[[#This Row],[ISIN]],'Novia Web Query'!$A:$E,5,FALSE)</f>
        <v>31/08/2021</v>
      </c>
      <c r="F2934" t="str">
        <f>VLOOKUP(NoviaFunds[[#This Row],[Sector]],Sectors[],2,FALSE)</f>
        <v>USA Equities</v>
      </c>
    </row>
    <row r="2935" spans="1:6" x14ac:dyDescent="0.2">
      <c r="A2935" t="str">
        <f>'Novia Web Query'!A2931</f>
        <v>GB0031950008</v>
      </c>
      <c r="B2935" t="str">
        <f>VLOOKUP(NoviaFunds[[#This Row],[ISIN]],'Novia Web Query'!$A:$E,2,FALSE)</f>
        <v>M&amp;G North American Dividend X Acc GBP in GB</v>
      </c>
      <c r="C2935" t="str">
        <f>VLOOKUP(NoviaFunds[[#This Row],[ISIN]],'Novia Web Query'!$A:$E,3,FALSE)</f>
        <v>UT North America</v>
      </c>
      <c r="D2935" s="139">
        <f>VLOOKUP(NoviaFunds[[#This Row],[ISIN]],'Novia Web Query'!$A:$E,4,FALSE)/100</f>
        <v>9.4999999999999998E-3</v>
      </c>
      <c r="E2935" s="3" t="str">
        <f>VLOOKUP(NoviaFunds[[#This Row],[ISIN]],'Novia Web Query'!$A:$E,5,FALSE)</f>
        <v>31/08/2021</v>
      </c>
      <c r="F2935" t="str">
        <f>VLOOKUP(NoviaFunds[[#This Row],[Sector]],Sectors[],2,FALSE)</f>
        <v>USA Equities</v>
      </c>
    </row>
    <row r="2936" spans="1:6" x14ac:dyDescent="0.2">
      <c r="A2936" t="str">
        <f>'Novia Web Query'!A2932</f>
        <v>GB0031949661</v>
      </c>
      <c r="B2936" t="str">
        <f>VLOOKUP(NoviaFunds[[#This Row],[ISIN]],'Novia Web Query'!$A:$E,2,FALSE)</f>
        <v>M&amp;G North American Dividend X Inc GBP TR in GB</v>
      </c>
      <c r="C2936" t="str">
        <f>VLOOKUP(NoviaFunds[[#This Row],[ISIN]],'Novia Web Query'!$A:$E,3,FALSE)</f>
        <v>UT North America</v>
      </c>
      <c r="D2936" s="139">
        <f>VLOOKUP(NoviaFunds[[#This Row],[ISIN]],'Novia Web Query'!$A:$E,4,FALSE)/100</f>
        <v>9.4999999999999998E-3</v>
      </c>
      <c r="E2936" s="3" t="str">
        <f>VLOOKUP(NoviaFunds[[#This Row],[ISIN]],'Novia Web Query'!$A:$E,5,FALSE)</f>
        <v>31/08/2021</v>
      </c>
      <c r="F2936" t="str">
        <f>VLOOKUP(NoviaFunds[[#This Row],[Sector]],Sectors[],2,FALSE)</f>
        <v>USA Equities</v>
      </c>
    </row>
    <row r="2937" spans="1:6" x14ac:dyDescent="0.2">
      <c r="A2937" t="str">
        <f>'Novia Web Query'!A2933</f>
        <v>GB00B0BHJC45</v>
      </c>
      <c r="B2937" t="str">
        <f>VLOOKUP(NoviaFunds[[#This Row],[ISIN]],'Novia Web Query'!$A:$E,2,FALSE)</f>
        <v>M&amp;G North American Value A Inc GBP TR in GB</v>
      </c>
      <c r="C2937" t="str">
        <f>VLOOKUP(NoviaFunds[[#This Row],[ISIN]],'Novia Web Query'!$A:$E,3,FALSE)</f>
        <v>UT North America</v>
      </c>
      <c r="D2937" s="139">
        <f>VLOOKUP(NoviaFunds[[#This Row],[ISIN]],'Novia Web Query'!$A:$E,4,FALSE)/100</f>
        <v>9.4999999999999998E-3</v>
      </c>
      <c r="E2937" s="3" t="str">
        <f>VLOOKUP(NoviaFunds[[#This Row],[ISIN]],'Novia Web Query'!$A:$E,5,FALSE)</f>
        <v>31/08/2021</v>
      </c>
      <c r="F2937" t="str">
        <f>VLOOKUP(NoviaFunds[[#This Row],[Sector]],Sectors[],2,FALSE)</f>
        <v>USA Equities</v>
      </c>
    </row>
    <row r="2938" spans="1:6" x14ac:dyDescent="0.2">
      <c r="A2938" t="str">
        <f>'Novia Web Query'!A2934</f>
        <v>GB00B61S4242</v>
      </c>
      <c r="B2938" t="str">
        <f>VLOOKUP(NoviaFunds[[#This Row],[ISIN]],'Novia Web Query'!$A:$E,2,FALSE)</f>
        <v>M&amp;G North American Value I Acc GBP in GB</v>
      </c>
      <c r="C2938" t="str">
        <f>VLOOKUP(NoviaFunds[[#This Row],[ISIN]],'Novia Web Query'!$A:$E,3,FALSE)</f>
        <v>UT North America</v>
      </c>
      <c r="D2938" s="139">
        <f>VLOOKUP(NoviaFunds[[#This Row],[ISIN]],'Novia Web Query'!$A:$E,4,FALSE)/100</f>
        <v>5.5000000000000005E-3</v>
      </c>
      <c r="E2938" s="3" t="str">
        <f>VLOOKUP(NoviaFunds[[#This Row],[ISIN]],'Novia Web Query'!$A:$E,5,FALSE)</f>
        <v>31/08/2021</v>
      </c>
      <c r="F2938" t="str">
        <f>VLOOKUP(NoviaFunds[[#This Row],[Sector]],Sectors[],2,FALSE)</f>
        <v>USA Equities</v>
      </c>
    </row>
    <row r="2939" spans="1:6" x14ac:dyDescent="0.2">
      <c r="A2939" t="str">
        <f>'Novia Web Query'!A2935</f>
        <v>GB00B77CF027</v>
      </c>
      <c r="B2939" t="str">
        <f>VLOOKUP(NoviaFunds[[#This Row],[ISIN]],'Novia Web Query'!$A:$E,2,FALSE)</f>
        <v>M&amp;G North American Value I Inc GBP TR in GB</v>
      </c>
      <c r="C2939" t="str">
        <f>VLOOKUP(NoviaFunds[[#This Row],[ISIN]],'Novia Web Query'!$A:$E,3,FALSE)</f>
        <v>UT North America</v>
      </c>
      <c r="D2939" s="139">
        <f>VLOOKUP(NoviaFunds[[#This Row],[ISIN]],'Novia Web Query'!$A:$E,4,FALSE)/100</f>
        <v>5.5000000000000005E-3</v>
      </c>
      <c r="E2939" s="3" t="str">
        <f>VLOOKUP(NoviaFunds[[#This Row],[ISIN]],'Novia Web Query'!$A:$E,5,FALSE)</f>
        <v>31/08/2021</v>
      </c>
      <c r="F2939" t="str">
        <f>VLOOKUP(NoviaFunds[[#This Row],[Sector]],Sectors[],2,FALSE)</f>
        <v>USA Equities</v>
      </c>
    </row>
    <row r="2940" spans="1:6" x14ac:dyDescent="0.2">
      <c r="A2940" t="str">
        <f>'Novia Web Query'!A2936</f>
        <v>GB00B1H05155</v>
      </c>
      <c r="B2940" t="str">
        <f>VLOOKUP(NoviaFunds[[#This Row],[ISIN]],'Novia Web Query'!$A:$E,2,FALSE)</f>
        <v>M&amp;G Optimal Income A Acc GBP in GB</v>
      </c>
      <c r="C2940" t="str">
        <f>VLOOKUP(NoviaFunds[[#This Row],[ISIN]],'Novia Web Query'!$A:$E,3,FALSE)</f>
        <v>UT Sterling Strategic Bond</v>
      </c>
      <c r="D2940" s="139">
        <f>VLOOKUP(NoviaFunds[[#This Row],[ISIN]],'Novia Web Query'!$A:$E,4,FALSE)/100</f>
        <v>1.01E-2</v>
      </c>
      <c r="E2940" s="3" t="str">
        <f>VLOOKUP(NoviaFunds[[#This Row],[ISIN]],'Novia Web Query'!$A:$E,5,FALSE)</f>
        <v>15/02/2021</v>
      </c>
      <c r="F2940" t="str">
        <f>VLOOKUP(NoviaFunds[[#This Row],[Sector]],Sectors[],2,FALSE)</f>
        <v>Other Bonds</v>
      </c>
    </row>
    <row r="2941" spans="1:6" x14ac:dyDescent="0.2">
      <c r="A2941" t="str">
        <f>'Novia Web Query'!A2937</f>
        <v>GB00B1H05049</v>
      </c>
      <c r="B2941" t="str">
        <f>VLOOKUP(NoviaFunds[[#This Row],[ISIN]],'Novia Web Query'!$A:$E,2,FALSE)</f>
        <v>M&amp;G Optimal Income A Inc GBP TR in GB</v>
      </c>
      <c r="C2941" t="str">
        <f>VLOOKUP(NoviaFunds[[#This Row],[ISIN]],'Novia Web Query'!$A:$E,3,FALSE)</f>
        <v>UT Sterling Strategic Bond</v>
      </c>
      <c r="D2941" s="139">
        <f>VLOOKUP(NoviaFunds[[#This Row],[ISIN]],'Novia Web Query'!$A:$E,4,FALSE)/100</f>
        <v>1.01E-2</v>
      </c>
      <c r="E2941" s="3" t="str">
        <f>VLOOKUP(NoviaFunds[[#This Row],[ISIN]],'Novia Web Query'!$A:$E,5,FALSE)</f>
        <v>15/02/2021</v>
      </c>
      <c r="F2941" t="str">
        <f>VLOOKUP(NoviaFunds[[#This Row],[Sector]],Sectors[],2,FALSE)</f>
        <v>Other Bonds</v>
      </c>
    </row>
    <row r="2942" spans="1:6" x14ac:dyDescent="0.2">
      <c r="A2942" t="str">
        <f>'Novia Web Query'!A2938</f>
        <v>GB00B1H05718</v>
      </c>
      <c r="B2942" t="str">
        <f>VLOOKUP(NoviaFunds[[#This Row],[ISIN]],'Novia Web Query'!$A:$E,2,FALSE)</f>
        <v>M&amp;G Optimal Income Inst Acc GBP in GB</v>
      </c>
      <c r="C2942" t="str">
        <f>VLOOKUP(NoviaFunds[[#This Row],[ISIN]],'Novia Web Query'!$A:$E,3,FALSE)</f>
        <v>UT Sterling Strategic Bond</v>
      </c>
      <c r="D2942" s="139">
        <f>VLOOKUP(NoviaFunds[[#This Row],[ISIN]],'Novia Web Query'!$A:$E,4,FALSE)/100</f>
        <v>6.0999999999999995E-3</v>
      </c>
      <c r="E2942" s="3" t="str">
        <f>VLOOKUP(NoviaFunds[[#This Row],[ISIN]],'Novia Web Query'!$A:$E,5,FALSE)</f>
        <v>15/02/2021</v>
      </c>
      <c r="F2942" t="str">
        <f>VLOOKUP(NoviaFunds[[#This Row],[Sector]],Sectors[],2,FALSE)</f>
        <v>Other Bonds</v>
      </c>
    </row>
    <row r="2943" spans="1:6" x14ac:dyDescent="0.2">
      <c r="A2943" t="str">
        <f>'Novia Web Query'!A2939</f>
        <v>GB00B1H05601</v>
      </c>
      <c r="B2943" t="str">
        <f>VLOOKUP(NoviaFunds[[#This Row],[ISIN]],'Novia Web Query'!$A:$E,2,FALSE)</f>
        <v>M&amp;G Optimal Income Inst Inc GBP TR in GB</v>
      </c>
      <c r="C2943" t="str">
        <f>VLOOKUP(NoviaFunds[[#This Row],[ISIN]],'Novia Web Query'!$A:$E,3,FALSE)</f>
        <v>UT Sterling Strategic Bond</v>
      </c>
      <c r="D2943" s="139">
        <f>VLOOKUP(NoviaFunds[[#This Row],[ISIN]],'Novia Web Query'!$A:$E,4,FALSE)/100</f>
        <v>6.0999999999999995E-3</v>
      </c>
      <c r="E2943" s="3" t="str">
        <f>VLOOKUP(NoviaFunds[[#This Row],[ISIN]],'Novia Web Query'!$A:$E,5,FALSE)</f>
        <v>15/02/2021</v>
      </c>
      <c r="F2943" t="str">
        <f>VLOOKUP(NoviaFunds[[#This Row],[Sector]],Sectors[],2,FALSE)</f>
        <v>Other Bonds</v>
      </c>
    </row>
    <row r="2944" spans="1:6" x14ac:dyDescent="0.2">
      <c r="A2944" t="str">
        <f>'Novia Web Query'!A2940</f>
        <v>GB00B7FM9R94</v>
      </c>
      <c r="B2944" t="str">
        <f>VLOOKUP(NoviaFunds[[#This Row],[ISIN]],'Novia Web Query'!$A:$E,2,FALSE)</f>
        <v>M&amp;G Optimal Income R Acc GBP in GB</v>
      </c>
      <c r="C2944" t="str">
        <f>VLOOKUP(NoviaFunds[[#This Row],[ISIN]],'Novia Web Query'!$A:$E,3,FALSE)</f>
        <v>UT Sterling Strategic Bond</v>
      </c>
      <c r="D2944" s="139">
        <f>VLOOKUP(NoviaFunds[[#This Row],[ISIN]],'Novia Web Query'!$A:$E,4,FALSE)/100</f>
        <v>8.6E-3</v>
      </c>
      <c r="E2944" s="3" t="str">
        <f>VLOOKUP(NoviaFunds[[#This Row],[ISIN]],'Novia Web Query'!$A:$E,5,FALSE)</f>
        <v>15/02/2021</v>
      </c>
      <c r="F2944" t="str">
        <f>VLOOKUP(NoviaFunds[[#This Row],[Sector]],Sectors[],2,FALSE)</f>
        <v>Other Bonds</v>
      </c>
    </row>
    <row r="2945" spans="1:6" x14ac:dyDescent="0.2">
      <c r="A2945" t="str">
        <f>'Novia Web Query'!A2941</f>
        <v>GB00B76FNM05</v>
      </c>
      <c r="B2945" t="str">
        <f>VLOOKUP(NoviaFunds[[#This Row],[ISIN]],'Novia Web Query'!$A:$E,2,FALSE)</f>
        <v>M&amp;G Optimal Income R Inc GBP TR in GB</v>
      </c>
      <c r="C2945" t="str">
        <f>VLOOKUP(NoviaFunds[[#This Row],[ISIN]],'Novia Web Query'!$A:$E,3,FALSE)</f>
        <v>UT Sterling Strategic Bond</v>
      </c>
      <c r="D2945" s="139">
        <f>VLOOKUP(NoviaFunds[[#This Row],[ISIN]],'Novia Web Query'!$A:$E,4,FALSE)/100</f>
        <v>8.6E-3</v>
      </c>
      <c r="E2945" s="3" t="str">
        <f>VLOOKUP(NoviaFunds[[#This Row],[ISIN]],'Novia Web Query'!$A:$E,5,FALSE)</f>
        <v>15/02/2021</v>
      </c>
      <c r="F2945" t="str">
        <f>VLOOKUP(NoviaFunds[[#This Row],[Sector]],Sectors[],2,FALSE)</f>
        <v>Other Bonds</v>
      </c>
    </row>
    <row r="2946" spans="1:6" x14ac:dyDescent="0.2">
      <c r="A2946" t="str">
        <f>'Novia Web Query'!A2942</f>
        <v>GB00B1H05379</v>
      </c>
      <c r="B2946" t="str">
        <f>VLOOKUP(NoviaFunds[[#This Row],[ISIN]],'Novia Web Query'!$A:$E,2,FALSE)</f>
        <v>M&amp;G Optimal Income X Inc GBP TR in GB</v>
      </c>
      <c r="C2946" t="str">
        <f>VLOOKUP(NoviaFunds[[#This Row],[ISIN]],'Novia Web Query'!$A:$E,3,FALSE)</f>
        <v>UT Sterling Strategic Bond</v>
      </c>
      <c r="D2946" s="139">
        <f>VLOOKUP(NoviaFunds[[#This Row],[ISIN]],'Novia Web Query'!$A:$E,4,FALSE)/100</f>
        <v>1.01E-2</v>
      </c>
      <c r="E2946" s="3" t="str">
        <f>VLOOKUP(NoviaFunds[[#This Row],[ISIN]],'Novia Web Query'!$A:$E,5,FALSE)</f>
        <v>15/02/2021</v>
      </c>
      <c r="F2946" t="str">
        <f>VLOOKUP(NoviaFunds[[#This Row],[Sector]],Sectors[],2,FALSE)</f>
        <v>Other Bonds</v>
      </c>
    </row>
    <row r="2947" spans="1:6" x14ac:dyDescent="0.2">
      <c r="A2947" t="str">
        <f>'Novia Web Query'!A2943</f>
        <v>GB0030929631</v>
      </c>
      <c r="B2947" t="str">
        <f>VLOOKUP(NoviaFunds[[#This Row],[ISIN]],'Novia Web Query'!$A:$E,2,FALSE)</f>
        <v>M&amp;G Pan European Select Smaller Companies A Acc GBP in GB</v>
      </c>
      <c r="C2947" t="str">
        <f>VLOOKUP(NoviaFunds[[#This Row],[ISIN]],'Novia Web Query'!$A:$E,3,FALSE)</f>
        <v>UT European Smaller Companies</v>
      </c>
      <c r="D2947" s="139">
        <f>VLOOKUP(NoviaFunds[[#This Row],[ISIN]],'Novia Web Query'!$A:$E,4,FALSE)/100</f>
        <v>1.2500000000000001E-2</v>
      </c>
      <c r="E2947" s="3" t="str">
        <f>VLOOKUP(NoviaFunds[[#This Row],[ISIN]],'Novia Web Query'!$A:$E,5,FALSE)</f>
        <v>31/08/2021</v>
      </c>
      <c r="F2947" t="str">
        <f>VLOOKUP(NoviaFunds[[#This Row],[Sector]],Sectors[],2,FALSE)</f>
        <v>European Equities</v>
      </c>
    </row>
    <row r="2948" spans="1:6" x14ac:dyDescent="0.2">
      <c r="A2948" t="str">
        <f>'Novia Web Query'!A2944</f>
        <v>GB0030929524</v>
      </c>
      <c r="B2948" t="str">
        <f>VLOOKUP(NoviaFunds[[#This Row],[ISIN]],'Novia Web Query'!$A:$E,2,FALSE)</f>
        <v>M&amp;G Pan European Select Smaller Companies A Inc GBP TR in GB</v>
      </c>
      <c r="C2948" t="str">
        <f>VLOOKUP(NoviaFunds[[#This Row],[ISIN]],'Novia Web Query'!$A:$E,3,FALSE)</f>
        <v>UT European Smaller Companies</v>
      </c>
      <c r="D2948" s="139">
        <f>VLOOKUP(NoviaFunds[[#This Row],[ISIN]],'Novia Web Query'!$A:$E,4,FALSE)/100</f>
        <v>1.2500000000000001E-2</v>
      </c>
      <c r="E2948" s="3" t="str">
        <f>VLOOKUP(NoviaFunds[[#This Row],[ISIN]],'Novia Web Query'!$A:$E,5,FALSE)</f>
        <v>31/08/2021</v>
      </c>
      <c r="F2948" t="str">
        <f>VLOOKUP(NoviaFunds[[#This Row],[Sector]],Sectors[],2,FALSE)</f>
        <v>European Equities</v>
      </c>
    </row>
    <row r="2949" spans="1:6" x14ac:dyDescent="0.2">
      <c r="A2949" t="str">
        <f>'Novia Web Query'!A2945</f>
        <v>GB00B7J8PS69</v>
      </c>
      <c r="B2949" t="str">
        <f>VLOOKUP(NoviaFunds[[#This Row],[ISIN]],'Novia Web Query'!$A:$E,2,FALSE)</f>
        <v>M&amp;G Pan European Select Smaller Companies I Acc GBP in GB</v>
      </c>
      <c r="C2949" t="str">
        <f>VLOOKUP(NoviaFunds[[#This Row],[ISIN]],'Novia Web Query'!$A:$E,3,FALSE)</f>
        <v>UT European Smaller Companies</v>
      </c>
      <c r="D2949" s="139">
        <f>VLOOKUP(NoviaFunds[[#This Row],[ISIN]],'Novia Web Query'!$A:$E,4,FALSE)/100</f>
        <v>8.5000000000000006E-3</v>
      </c>
      <c r="E2949" s="3" t="str">
        <f>VLOOKUP(NoviaFunds[[#This Row],[ISIN]],'Novia Web Query'!$A:$E,5,FALSE)</f>
        <v>31/08/2021</v>
      </c>
      <c r="F2949" t="str">
        <f>VLOOKUP(NoviaFunds[[#This Row],[Sector]],Sectors[],2,FALSE)</f>
        <v>European Equities</v>
      </c>
    </row>
    <row r="2950" spans="1:6" x14ac:dyDescent="0.2">
      <c r="A2950" t="str">
        <f>'Novia Web Query'!A2946</f>
        <v>GB00B7FHDW79</v>
      </c>
      <c r="B2950" t="str">
        <f>VLOOKUP(NoviaFunds[[#This Row],[ISIN]],'Novia Web Query'!$A:$E,2,FALSE)</f>
        <v>M&amp;G Pan European Select Smaller Companies I Inc GBP TR in GB</v>
      </c>
      <c r="C2950" t="str">
        <f>VLOOKUP(NoviaFunds[[#This Row],[ISIN]],'Novia Web Query'!$A:$E,3,FALSE)</f>
        <v>UT European Smaller Companies</v>
      </c>
      <c r="D2950" s="139">
        <f>VLOOKUP(NoviaFunds[[#This Row],[ISIN]],'Novia Web Query'!$A:$E,4,FALSE)/100</f>
        <v>8.5000000000000006E-3</v>
      </c>
      <c r="E2950" s="3" t="str">
        <f>VLOOKUP(NoviaFunds[[#This Row],[ISIN]],'Novia Web Query'!$A:$E,5,FALSE)</f>
        <v>31/08/2021</v>
      </c>
      <c r="F2950" t="str">
        <f>VLOOKUP(NoviaFunds[[#This Row],[Sector]],Sectors[],2,FALSE)</f>
        <v>European Equities</v>
      </c>
    </row>
    <row r="2951" spans="1:6" x14ac:dyDescent="0.2">
      <c r="A2951" t="str">
        <f>'Novia Web Query'!A2947</f>
        <v>GB00BG886B02</v>
      </c>
      <c r="B2951" t="str">
        <f>VLOOKUP(NoviaFunds[[#This Row],[ISIN]],'Novia Web Query'!$A:$E,2,FALSE)</f>
        <v>M&amp;G Positive Impact I Acc in GB</v>
      </c>
      <c r="C2951" t="str">
        <f>VLOOKUP(NoviaFunds[[#This Row],[ISIN]],'Novia Web Query'!$A:$E,3,FALSE)</f>
        <v>UT Global</v>
      </c>
      <c r="D2951" s="139">
        <f>VLOOKUP(NoviaFunds[[#This Row],[ISIN]],'Novia Web Query'!$A:$E,4,FALSE)/100</f>
        <v>6.9999999999999993E-3</v>
      </c>
      <c r="E2951" s="3" t="str">
        <f>VLOOKUP(NoviaFunds[[#This Row],[ISIN]],'Novia Web Query'!$A:$E,5,FALSE)</f>
        <v>30/09/2021</v>
      </c>
      <c r="F2951" t="str">
        <f>VLOOKUP(NoviaFunds[[#This Row],[Sector]],Sectors[],2,FALSE)</f>
        <v>Other Equities</v>
      </c>
    </row>
    <row r="2952" spans="1:6" x14ac:dyDescent="0.2">
      <c r="A2952" t="str">
        <f>'Novia Web Query'!A2948</f>
        <v>GB00BG886C19</v>
      </c>
      <c r="B2952" t="str">
        <f>VLOOKUP(NoviaFunds[[#This Row],[ISIN]],'Novia Web Query'!$A:$E,2,FALSE)</f>
        <v>M&amp;G Positive Impact I Inc TR in GB</v>
      </c>
      <c r="C2952" t="str">
        <f>VLOOKUP(NoviaFunds[[#This Row],[ISIN]],'Novia Web Query'!$A:$E,3,FALSE)</f>
        <v>UT Global</v>
      </c>
      <c r="D2952" s="139">
        <f>VLOOKUP(NoviaFunds[[#This Row],[ISIN]],'Novia Web Query'!$A:$E,4,FALSE)/100</f>
        <v>6.9999999999999993E-3</v>
      </c>
      <c r="E2952" s="3" t="str">
        <f>VLOOKUP(NoviaFunds[[#This Row],[ISIN]],'Novia Web Query'!$A:$E,5,FALSE)</f>
        <v>30/09/2021</v>
      </c>
      <c r="F2952" t="str">
        <f>VLOOKUP(NoviaFunds[[#This Row],[Sector]],Sectors[],2,FALSE)</f>
        <v>Other Equities</v>
      </c>
    </row>
    <row r="2953" spans="1:6" x14ac:dyDescent="0.2">
      <c r="A2953" t="str">
        <f>'Novia Web Query'!A2949</f>
        <v>GB00BG886D26</v>
      </c>
      <c r="B2953" t="str">
        <f>VLOOKUP(NoviaFunds[[#This Row],[ISIN]],'Novia Web Query'!$A:$E,2,FALSE)</f>
        <v>M&amp;G Positive Impact L Acc in GB</v>
      </c>
      <c r="C2953" t="str">
        <f>VLOOKUP(NoviaFunds[[#This Row],[ISIN]],'Novia Web Query'!$A:$E,3,FALSE)</f>
        <v>UT Global</v>
      </c>
      <c r="D2953" s="139">
        <f>VLOOKUP(NoviaFunds[[#This Row],[ISIN]],'Novia Web Query'!$A:$E,4,FALSE)/100</f>
        <v>5.0000000000000001E-3</v>
      </c>
      <c r="E2953" s="3" t="str">
        <f>VLOOKUP(NoviaFunds[[#This Row],[ISIN]],'Novia Web Query'!$A:$E,5,FALSE)</f>
        <v>30/09/2021</v>
      </c>
      <c r="F2953" t="str">
        <f>VLOOKUP(NoviaFunds[[#This Row],[Sector]],Sectors[],2,FALSE)</f>
        <v>Other Equities</v>
      </c>
    </row>
    <row r="2954" spans="1:6" x14ac:dyDescent="0.2">
      <c r="A2954" t="str">
        <f>'Novia Web Query'!A2950</f>
        <v>GB00BG886F40</v>
      </c>
      <c r="B2954" t="str">
        <f>VLOOKUP(NoviaFunds[[#This Row],[ISIN]],'Novia Web Query'!$A:$E,2,FALSE)</f>
        <v>M&amp;G Positive Impact L Inc TR in GB</v>
      </c>
      <c r="C2954" t="str">
        <f>VLOOKUP(NoviaFunds[[#This Row],[ISIN]],'Novia Web Query'!$A:$E,3,FALSE)</f>
        <v>UT Global</v>
      </c>
      <c r="D2954" s="139">
        <f>VLOOKUP(NoviaFunds[[#This Row],[ISIN]],'Novia Web Query'!$A:$E,4,FALSE)/100</f>
        <v>5.0000000000000001E-3</v>
      </c>
      <c r="E2954" s="3" t="str">
        <f>VLOOKUP(NoviaFunds[[#This Row],[ISIN]],'Novia Web Query'!$A:$E,5,FALSE)</f>
        <v>30/09/2021</v>
      </c>
      <c r="F2954" t="str">
        <f>VLOOKUP(NoviaFunds[[#This Row],[Sector]],Sectors[],2,FALSE)</f>
        <v>Other Equities</v>
      </c>
    </row>
    <row r="2955" spans="1:6" x14ac:dyDescent="0.2">
      <c r="A2955" t="str">
        <f>'Novia Web Query'!A2951</f>
        <v>GB00BG03Y751</v>
      </c>
      <c r="B2955" t="str">
        <f>VLOOKUP(NoviaFunds[[#This Row],[ISIN]],'Novia Web Query'!$A:$E,2,FALSE)</f>
        <v>M&amp;G Positive Impact PP Acc GBP in GB**</v>
      </c>
      <c r="C2955" t="str">
        <f>VLOOKUP(NoviaFunds[[#This Row],[ISIN]],'Novia Web Query'!$A:$E,3,FALSE)</f>
        <v>UT Global</v>
      </c>
      <c r="D2955" s="139">
        <f>VLOOKUP(NoviaFunds[[#This Row],[ISIN]],'Novia Web Query'!$A:$E,4,FALSE)/100</f>
        <v>6.0000000000000001E-3</v>
      </c>
      <c r="E2955" s="3" t="str">
        <f>VLOOKUP(NoviaFunds[[#This Row],[ISIN]],'Novia Web Query'!$A:$E,5,FALSE)</f>
        <v>30/09/2021</v>
      </c>
      <c r="F2955" t="str">
        <f>VLOOKUP(NoviaFunds[[#This Row],[Sector]],Sectors[],2,FALSE)</f>
        <v>Other Equities</v>
      </c>
    </row>
    <row r="2956" spans="1:6" x14ac:dyDescent="0.2">
      <c r="A2956" t="str">
        <f>'Novia Web Query'!A2952</f>
        <v>GB0031289217</v>
      </c>
      <c r="B2956" t="str">
        <f>VLOOKUP(NoviaFunds[[#This Row],[ISIN]],'Novia Web Query'!$A:$E,2,FALSE)</f>
        <v>M&amp;G Recovery A Acc GBP in GB</v>
      </c>
      <c r="C2956" t="str">
        <f>VLOOKUP(NoviaFunds[[#This Row],[ISIN]],'Novia Web Query'!$A:$E,3,FALSE)</f>
        <v>UT UK All Companies</v>
      </c>
      <c r="D2956" s="139">
        <f>VLOOKUP(NoviaFunds[[#This Row],[ISIN]],'Novia Web Query'!$A:$E,4,FALSE)/100</f>
        <v>1.0800000000000001E-2</v>
      </c>
      <c r="E2956" s="3" t="str">
        <f>VLOOKUP(NoviaFunds[[#This Row],[ISIN]],'Novia Web Query'!$A:$E,5,FALSE)</f>
        <v>15/02/2021</v>
      </c>
      <c r="F2956" t="str">
        <f>VLOOKUP(NoviaFunds[[#This Row],[Sector]],Sectors[],2,FALSE)</f>
        <v>UK Equities</v>
      </c>
    </row>
    <row r="2957" spans="1:6" x14ac:dyDescent="0.2">
      <c r="A2957" t="str">
        <f>'Novia Web Query'!A2953</f>
        <v>GB0031289100</v>
      </c>
      <c r="B2957" t="str">
        <f>VLOOKUP(NoviaFunds[[#This Row],[ISIN]],'Novia Web Query'!$A:$E,2,FALSE)</f>
        <v>M&amp;G Recovery A Inc GBP TR in GB</v>
      </c>
      <c r="C2957" t="str">
        <f>VLOOKUP(NoviaFunds[[#This Row],[ISIN]],'Novia Web Query'!$A:$E,3,FALSE)</f>
        <v>UT UK All Companies</v>
      </c>
      <c r="D2957" s="139">
        <f>VLOOKUP(NoviaFunds[[#This Row],[ISIN]],'Novia Web Query'!$A:$E,4,FALSE)/100</f>
        <v>1.0800000000000001E-2</v>
      </c>
      <c r="E2957" s="3" t="str">
        <f>VLOOKUP(NoviaFunds[[#This Row],[ISIN]],'Novia Web Query'!$A:$E,5,FALSE)</f>
        <v>15/02/2021</v>
      </c>
      <c r="F2957" t="str">
        <f>VLOOKUP(NoviaFunds[[#This Row],[Sector]],Sectors[],2,FALSE)</f>
        <v>UK Equities</v>
      </c>
    </row>
    <row r="2958" spans="1:6" x14ac:dyDescent="0.2">
      <c r="A2958" t="str">
        <f>'Novia Web Query'!A2954</f>
        <v>GB00B4X1L373</v>
      </c>
      <c r="B2958" t="str">
        <f>VLOOKUP(NoviaFunds[[#This Row],[ISIN]],'Novia Web Query'!$A:$E,2,FALSE)</f>
        <v>M&amp;G Recovery I Acc GBP in GB</v>
      </c>
      <c r="C2958" t="str">
        <f>VLOOKUP(NoviaFunds[[#This Row],[ISIN]],'Novia Web Query'!$A:$E,3,FALSE)</f>
        <v>UT UK All Companies</v>
      </c>
      <c r="D2958" s="139">
        <f>VLOOKUP(NoviaFunds[[#This Row],[ISIN]],'Novia Web Query'!$A:$E,4,FALSE)/100</f>
        <v>6.8000000000000005E-3</v>
      </c>
      <c r="E2958" s="3" t="str">
        <f>VLOOKUP(NoviaFunds[[#This Row],[ISIN]],'Novia Web Query'!$A:$E,5,FALSE)</f>
        <v>15/02/2021</v>
      </c>
      <c r="F2958" t="str">
        <f>VLOOKUP(NoviaFunds[[#This Row],[Sector]],Sectors[],2,FALSE)</f>
        <v>UK Equities</v>
      </c>
    </row>
    <row r="2959" spans="1:6" x14ac:dyDescent="0.2">
      <c r="A2959" t="str">
        <f>'Novia Web Query'!A2955</f>
        <v>GB00B4VSCB59</v>
      </c>
      <c r="B2959" t="str">
        <f>VLOOKUP(NoviaFunds[[#This Row],[ISIN]],'Novia Web Query'!$A:$E,2,FALSE)</f>
        <v>M&amp;G Recovery I Inc GBP TR in GB</v>
      </c>
      <c r="C2959" t="str">
        <f>VLOOKUP(NoviaFunds[[#This Row],[ISIN]],'Novia Web Query'!$A:$E,3,FALSE)</f>
        <v>UT UK All Companies</v>
      </c>
      <c r="D2959" s="139">
        <f>VLOOKUP(NoviaFunds[[#This Row],[ISIN]],'Novia Web Query'!$A:$E,4,FALSE)/100</f>
        <v>6.8000000000000005E-3</v>
      </c>
      <c r="E2959" s="3" t="str">
        <f>VLOOKUP(NoviaFunds[[#This Row],[ISIN]],'Novia Web Query'!$A:$E,5,FALSE)</f>
        <v>15/02/2021</v>
      </c>
      <c r="F2959" t="str">
        <f>VLOOKUP(NoviaFunds[[#This Row],[Sector]],Sectors[],2,FALSE)</f>
        <v>UK Equities</v>
      </c>
    </row>
    <row r="2960" spans="1:6" x14ac:dyDescent="0.2">
      <c r="A2960" t="str">
        <f>'Novia Web Query'!A2956</f>
        <v>GB0031959702</v>
      </c>
      <c r="B2960" t="str">
        <f>VLOOKUP(NoviaFunds[[#This Row],[ISIN]],'Novia Web Query'!$A:$E,2,FALSE)</f>
        <v>M&amp;G Recovery X Acc GBP in GB</v>
      </c>
      <c r="C2960" t="str">
        <f>VLOOKUP(NoviaFunds[[#This Row],[ISIN]],'Novia Web Query'!$A:$E,3,FALSE)</f>
        <v>UT UK All Companies</v>
      </c>
      <c r="D2960" s="139">
        <f>VLOOKUP(NoviaFunds[[#This Row],[ISIN]],'Novia Web Query'!$A:$E,4,FALSE)/100</f>
        <v>1.0800000000000001E-2</v>
      </c>
      <c r="E2960" s="3" t="str">
        <f>VLOOKUP(NoviaFunds[[#This Row],[ISIN]],'Novia Web Query'!$A:$E,5,FALSE)</f>
        <v>15/02/2021</v>
      </c>
      <c r="F2960" t="str">
        <f>VLOOKUP(NoviaFunds[[#This Row],[Sector]],Sectors[],2,FALSE)</f>
        <v>UK Equities</v>
      </c>
    </row>
    <row r="2961" spans="1:6" x14ac:dyDescent="0.2">
      <c r="A2961" t="str">
        <f>'Novia Web Query'!A2957</f>
        <v>GB0031959694</v>
      </c>
      <c r="B2961" t="str">
        <f>VLOOKUP(NoviaFunds[[#This Row],[ISIN]],'Novia Web Query'!$A:$E,2,FALSE)</f>
        <v>M&amp;G Recovery X Inc GBP TR in GB</v>
      </c>
      <c r="C2961" t="str">
        <f>VLOOKUP(NoviaFunds[[#This Row],[ISIN]],'Novia Web Query'!$A:$E,3,FALSE)</f>
        <v>UT UK All Companies</v>
      </c>
      <c r="D2961" s="139">
        <f>VLOOKUP(NoviaFunds[[#This Row],[ISIN]],'Novia Web Query'!$A:$E,4,FALSE)/100</f>
        <v>1.0800000000000001E-2</v>
      </c>
      <c r="E2961" s="3" t="str">
        <f>VLOOKUP(NoviaFunds[[#This Row],[ISIN]],'Novia Web Query'!$A:$E,5,FALSE)</f>
        <v>15/02/2021</v>
      </c>
      <c r="F2961" t="str">
        <f>VLOOKUP(NoviaFunds[[#This Row],[Sector]],Sectors[],2,FALSE)</f>
        <v>UK Equities</v>
      </c>
    </row>
    <row r="2962" spans="1:6" x14ac:dyDescent="0.2">
      <c r="A2962" t="str">
        <f>'Novia Web Query'!A2958</f>
        <v>GB0031110397</v>
      </c>
      <c r="B2962" t="str">
        <f>VLOOKUP(NoviaFunds[[#This Row],[ISIN]],'Novia Web Query'!$A:$E,2,FALSE)</f>
        <v>M&amp;G Short Dated Corporate Bond A Inc GBP TR in GB</v>
      </c>
      <c r="C2962" t="str">
        <f>VLOOKUP(NoviaFunds[[#This Row],[ISIN]],'Novia Web Query'!$A:$E,3,FALSE)</f>
        <v>UT Sterling Corporate Bond</v>
      </c>
      <c r="D2962" s="139">
        <f>VLOOKUP(NoviaFunds[[#This Row],[ISIN]],'Novia Web Query'!$A:$E,4,FALSE)/100</f>
        <v>5.0000000000000001E-3</v>
      </c>
      <c r="E2962" s="3" t="str">
        <f>VLOOKUP(NoviaFunds[[#This Row],[ISIN]],'Novia Web Query'!$A:$E,5,FALSE)</f>
        <v>31/05/2021</v>
      </c>
      <c r="F2962" t="str">
        <f>VLOOKUP(NoviaFunds[[#This Row],[Sector]],Sectors[],2,FALSE)</f>
        <v>Sterling Corporate Bonds</v>
      </c>
    </row>
    <row r="2963" spans="1:6" x14ac:dyDescent="0.2">
      <c r="A2963" t="str">
        <f>'Novia Web Query'!A2959</f>
        <v>GB00B8JXBQ82</v>
      </c>
      <c r="B2963" t="str">
        <f>VLOOKUP(NoviaFunds[[#This Row],[ISIN]],'Novia Web Query'!$A:$E,2,FALSE)</f>
        <v>M&amp;G Short Dated Corporate Bond I GBP TR in GB</v>
      </c>
      <c r="C2963" t="str">
        <f>VLOOKUP(NoviaFunds[[#This Row],[ISIN]],'Novia Web Query'!$A:$E,3,FALSE)</f>
        <v>UT Sterling Corporate Bond</v>
      </c>
      <c r="D2963" s="139">
        <f>VLOOKUP(NoviaFunds[[#This Row],[ISIN]],'Novia Web Query'!$A:$E,4,FALSE)/100</f>
        <v>2.5000000000000001E-3</v>
      </c>
      <c r="E2963" s="3" t="str">
        <f>VLOOKUP(NoviaFunds[[#This Row],[ISIN]],'Novia Web Query'!$A:$E,5,FALSE)</f>
        <v>15/02/2021</v>
      </c>
      <c r="F2963" t="str">
        <f>VLOOKUP(NoviaFunds[[#This Row],[Sector]],Sectors[],2,FALSE)</f>
        <v>Sterling Corporate Bonds</v>
      </c>
    </row>
    <row r="2964" spans="1:6" x14ac:dyDescent="0.2">
      <c r="A2964" t="str">
        <f>'Novia Web Query'!A2960</f>
        <v>GB0031289431</v>
      </c>
      <c r="B2964" t="str">
        <f>VLOOKUP(NoviaFunds[[#This Row],[ISIN]],'Novia Web Query'!$A:$E,2,FALSE)</f>
        <v>M&amp;G Smaller Companies A Acc GBP in GB</v>
      </c>
      <c r="C2964" t="str">
        <f>VLOOKUP(NoviaFunds[[#This Row],[ISIN]],'Novia Web Query'!$A:$E,3,FALSE)</f>
        <v>UT UK Smaller Companies</v>
      </c>
      <c r="D2964" s="139">
        <f>VLOOKUP(NoviaFunds[[#This Row],[ISIN]],'Novia Web Query'!$A:$E,4,FALSE)/100</f>
        <v>1.2500000000000001E-2</v>
      </c>
      <c r="E2964" s="3" t="str">
        <f>VLOOKUP(NoviaFunds[[#This Row],[ISIN]],'Novia Web Query'!$A:$E,5,FALSE)</f>
        <v>15/02/2021</v>
      </c>
      <c r="F2964" t="str">
        <f>VLOOKUP(NoviaFunds[[#This Row],[Sector]],Sectors[],2,FALSE)</f>
        <v>UK Equities</v>
      </c>
    </row>
    <row r="2965" spans="1:6" x14ac:dyDescent="0.2">
      <c r="A2965" t="str">
        <f>'Novia Web Query'!A2961</f>
        <v>GB0031289324</v>
      </c>
      <c r="B2965" t="str">
        <f>VLOOKUP(NoviaFunds[[#This Row],[ISIN]],'Novia Web Query'!$A:$E,2,FALSE)</f>
        <v>M&amp;G Smaller Companies A Inc GBP TR in GB</v>
      </c>
      <c r="C2965" t="str">
        <f>VLOOKUP(NoviaFunds[[#This Row],[ISIN]],'Novia Web Query'!$A:$E,3,FALSE)</f>
        <v>UT UK Smaller Companies</v>
      </c>
      <c r="D2965" s="139">
        <f>VLOOKUP(NoviaFunds[[#This Row],[ISIN]],'Novia Web Query'!$A:$E,4,FALSE)/100</f>
        <v>1.2500000000000001E-2</v>
      </c>
      <c r="E2965" s="3" t="str">
        <f>VLOOKUP(NoviaFunds[[#This Row],[ISIN]],'Novia Web Query'!$A:$E,5,FALSE)</f>
        <v>15/02/2021</v>
      </c>
      <c r="F2965" t="str">
        <f>VLOOKUP(NoviaFunds[[#This Row],[Sector]],Sectors[],2,FALSE)</f>
        <v>UK Equities</v>
      </c>
    </row>
    <row r="2966" spans="1:6" x14ac:dyDescent="0.2">
      <c r="A2966" t="str">
        <f>'Novia Web Query'!A2962</f>
        <v>GB00B75DFL82</v>
      </c>
      <c r="B2966" t="str">
        <f>VLOOKUP(NoviaFunds[[#This Row],[ISIN]],'Novia Web Query'!$A:$E,2,FALSE)</f>
        <v>M&amp;G Smaller Companies I Acc GBP in GB</v>
      </c>
      <c r="C2966" t="str">
        <f>VLOOKUP(NoviaFunds[[#This Row],[ISIN]],'Novia Web Query'!$A:$E,3,FALSE)</f>
        <v>UT UK Smaller Companies</v>
      </c>
      <c r="D2966" s="139">
        <f>VLOOKUP(NoviaFunds[[#This Row],[ISIN]],'Novia Web Query'!$A:$E,4,FALSE)/100</f>
        <v>8.5000000000000006E-3</v>
      </c>
      <c r="E2966" s="3" t="str">
        <f>VLOOKUP(NoviaFunds[[#This Row],[ISIN]],'Novia Web Query'!$A:$E,5,FALSE)</f>
        <v>30/06/2021</v>
      </c>
      <c r="F2966" t="str">
        <f>VLOOKUP(NoviaFunds[[#This Row],[Sector]],Sectors[],2,FALSE)</f>
        <v>UK Equities</v>
      </c>
    </row>
    <row r="2967" spans="1:6" x14ac:dyDescent="0.2">
      <c r="A2967" t="str">
        <f>'Novia Web Query'!A2963</f>
        <v>GB00B7N1NG56</v>
      </c>
      <c r="B2967" t="str">
        <f>VLOOKUP(NoviaFunds[[#This Row],[ISIN]],'Novia Web Query'!$A:$E,2,FALSE)</f>
        <v>M&amp;G Smaller Companies I Inc GBP TR in GB</v>
      </c>
      <c r="C2967" t="str">
        <f>VLOOKUP(NoviaFunds[[#This Row],[ISIN]],'Novia Web Query'!$A:$E,3,FALSE)</f>
        <v>UT UK Smaller Companies</v>
      </c>
      <c r="D2967" s="139">
        <f>VLOOKUP(NoviaFunds[[#This Row],[ISIN]],'Novia Web Query'!$A:$E,4,FALSE)/100</f>
        <v>8.5000000000000006E-3</v>
      </c>
      <c r="E2967" s="3" t="str">
        <f>VLOOKUP(NoviaFunds[[#This Row],[ISIN]],'Novia Web Query'!$A:$E,5,FALSE)</f>
        <v>30/06/2021</v>
      </c>
      <c r="F2967" t="str">
        <f>VLOOKUP(NoviaFunds[[#This Row],[Sector]],Sectors[],2,FALSE)</f>
        <v>UK Equities</v>
      </c>
    </row>
    <row r="2968" spans="1:6" x14ac:dyDescent="0.2">
      <c r="A2968" t="str">
        <f>'Novia Web Query'!A2964</f>
        <v>GB0033828137</v>
      </c>
      <c r="B2968" t="str">
        <f>VLOOKUP(NoviaFunds[[#This Row],[ISIN]],'Novia Web Query'!$A:$E,2,FALSE)</f>
        <v>M&amp;G Strategic Corporate Bond A Acc GBP in GB</v>
      </c>
      <c r="C2968" t="str">
        <f>VLOOKUP(NoviaFunds[[#This Row],[ISIN]],'Novia Web Query'!$A:$E,3,FALSE)</f>
        <v>UT Sterling Corporate Bond</v>
      </c>
      <c r="D2968" s="139">
        <f>VLOOKUP(NoviaFunds[[#This Row],[ISIN]],'Novia Web Query'!$A:$E,4,FALSE)/100</f>
        <v>8.1000000000000013E-3</v>
      </c>
      <c r="E2968" s="3" t="str">
        <f>VLOOKUP(NoviaFunds[[#This Row],[ISIN]],'Novia Web Query'!$A:$E,5,FALSE)</f>
        <v>31/08/2021</v>
      </c>
      <c r="F2968" t="str">
        <f>VLOOKUP(NoviaFunds[[#This Row],[Sector]],Sectors[],2,FALSE)</f>
        <v>Sterling Corporate Bonds</v>
      </c>
    </row>
    <row r="2969" spans="1:6" x14ac:dyDescent="0.2">
      <c r="A2969" t="str">
        <f>'Novia Web Query'!A2965</f>
        <v>GB0033828020</v>
      </c>
      <c r="B2969" t="str">
        <f>VLOOKUP(NoviaFunds[[#This Row],[ISIN]],'Novia Web Query'!$A:$E,2,FALSE)</f>
        <v>M&amp;G Strategic Corporate Bond A Inc GBP TR in GB</v>
      </c>
      <c r="C2969" t="str">
        <f>VLOOKUP(NoviaFunds[[#This Row],[ISIN]],'Novia Web Query'!$A:$E,3,FALSE)</f>
        <v>UT Sterling Corporate Bond</v>
      </c>
      <c r="D2969" s="139">
        <f>VLOOKUP(NoviaFunds[[#This Row],[ISIN]],'Novia Web Query'!$A:$E,4,FALSE)/100</f>
        <v>8.1000000000000013E-3</v>
      </c>
      <c r="E2969" s="3" t="str">
        <f>VLOOKUP(NoviaFunds[[#This Row],[ISIN]],'Novia Web Query'!$A:$E,5,FALSE)</f>
        <v>31/08/2021</v>
      </c>
      <c r="F2969" t="str">
        <f>VLOOKUP(NoviaFunds[[#This Row],[Sector]],Sectors[],2,FALSE)</f>
        <v>Sterling Corporate Bonds</v>
      </c>
    </row>
    <row r="2970" spans="1:6" x14ac:dyDescent="0.2">
      <c r="A2970" t="str">
        <f>'Novia Web Query'!A2966</f>
        <v>GB00B7J4YT87</v>
      </c>
      <c r="B2970" t="str">
        <f>VLOOKUP(NoviaFunds[[#This Row],[ISIN]],'Novia Web Query'!$A:$E,2,FALSE)</f>
        <v>M&amp;G Strategic Corporate Bond I Acc GBP in GB</v>
      </c>
      <c r="C2970" t="str">
        <f>VLOOKUP(NoviaFunds[[#This Row],[ISIN]],'Novia Web Query'!$A:$E,3,FALSE)</f>
        <v>UT Sterling Corporate Bond</v>
      </c>
      <c r="D2970" s="139">
        <f>VLOOKUP(NoviaFunds[[#This Row],[ISIN]],'Novia Web Query'!$A:$E,4,FALSE)/100</f>
        <v>4.0999999999999995E-3</v>
      </c>
      <c r="E2970" s="3" t="str">
        <f>VLOOKUP(NoviaFunds[[#This Row],[ISIN]],'Novia Web Query'!$A:$E,5,FALSE)</f>
        <v>31/08/2021</v>
      </c>
      <c r="F2970" t="str">
        <f>VLOOKUP(NoviaFunds[[#This Row],[Sector]],Sectors[],2,FALSE)</f>
        <v>Sterling Corporate Bonds</v>
      </c>
    </row>
    <row r="2971" spans="1:6" x14ac:dyDescent="0.2">
      <c r="A2971" t="str">
        <f>'Novia Web Query'!A2967</f>
        <v>GB00B6VTPZ79</v>
      </c>
      <c r="B2971" t="str">
        <f>VLOOKUP(NoviaFunds[[#This Row],[ISIN]],'Novia Web Query'!$A:$E,2,FALSE)</f>
        <v>M&amp;G Strategic Corporate Bond I Inc GBP TR in GB</v>
      </c>
      <c r="C2971" t="str">
        <f>VLOOKUP(NoviaFunds[[#This Row],[ISIN]],'Novia Web Query'!$A:$E,3,FALSE)</f>
        <v>UT Sterling Corporate Bond</v>
      </c>
      <c r="D2971" s="139">
        <f>VLOOKUP(NoviaFunds[[#This Row],[ISIN]],'Novia Web Query'!$A:$E,4,FALSE)/100</f>
        <v>4.0999999999999995E-3</v>
      </c>
      <c r="E2971" s="3" t="str">
        <f>VLOOKUP(NoviaFunds[[#This Row],[ISIN]],'Novia Web Query'!$A:$E,5,FALSE)</f>
        <v>31/08/2021</v>
      </c>
      <c r="F2971" t="str">
        <f>VLOOKUP(NoviaFunds[[#This Row],[Sector]],Sectors[],2,FALSE)</f>
        <v>Sterling Corporate Bonds</v>
      </c>
    </row>
    <row r="2972" spans="1:6" x14ac:dyDescent="0.2">
      <c r="A2972" t="str">
        <f>'Novia Web Query'!A2968</f>
        <v>GB0033828350</v>
      </c>
      <c r="B2972" t="str">
        <f>VLOOKUP(NoviaFunds[[#This Row],[ISIN]],'Novia Web Query'!$A:$E,2,FALSE)</f>
        <v>M&amp;G Strategic Corporate Bond X Acc GBP in GB</v>
      </c>
      <c r="C2972" t="str">
        <f>VLOOKUP(NoviaFunds[[#This Row],[ISIN]],'Novia Web Query'!$A:$E,3,FALSE)</f>
        <v>UT Sterling Corporate Bond</v>
      </c>
      <c r="D2972" s="139">
        <f>VLOOKUP(NoviaFunds[[#This Row],[ISIN]],'Novia Web Query'!$A:$E,4,FALSE)/100</f>
        <v>8.1000000000000013E-3</v>
      </c>
      <c r="E2972" s="3" t="str">
        <f>VLOOKUP(NoviaFunds[[#This Row],[ISIN]],'Novia Web Query'!$A:$E,5,FALSE)</f>
        <v>31/08/2021</v>
      </c>
      <c r="F2972" t="str">
        <f>VLOOKUP(NoviaFunds[[#This Row],[Sector]],Sectors[],2,FALSE)</f>
        <v>Sterling Corporate Bonds</v>
      </c>
    </row>
    <row r="2973" spans="1:6" x14ac:dyDescent="0.2">
      <c r="A2973" t="str">
        <f>'Novia Web Query'!A2969</f>
        <v>GB0033828244</v>
      </c>
      <c r="B2973" t="str">
        <f>VLOOKUP(NoviaFunds[[#This Row],[ISIN]],'Novia Web Query'!$A:$E,2,FALSE)</f>
        <v>M&amp;G Strategic Corporate Bond X Inc GBP TR in GB</v>
      </c>
      <c r="C2973" t="str">
        <f>VLOOKUP(NoviaFunds[[#This Row],[ISIN]],'Novia Web Query'!$A:$E,3,FALSE)</f>
        <v>UT Sterling Corporate Bond</v>
      </c>
      <c r="D2973" s="139">
        <f>VLOOKUP(NoviaFunds[[#This Row],[ISIN]],'Novia Web Query'!$A:$E,4,FALSE)/100</f>
        <v>8.1000000000000013E-3</v>
      </c>
      <c r="E2973" s="3" t="str">
        <f>VLOOKUP(NoviaFunds[[#This Row],[ISIN]],'Novia Web Query'!$A:$E,5,FALSE)</f>
        <v>31/08/2021</v>
      </c>
      <c r="F2973" t="str">
        <f>VLOOKUP(NoviaFunds[[#This Row],[Sector]],Sectors[],2,FALSE)</f>
        <v>Sterling Corporate Bonds</v>
      </c>
    </row>
    <row r="2974" spans="1:6" x14ac:dyDescent="0.2">
      <c r="A2974" t="str">
        <f>'Novia Web Query'!A2970</f>
        <v>GB0031107468</v>
      </c>
      <c r="B2974" t="str">
        <f>VLOOKUP(NoviaFunds[[#This Row],[ISIN]],'Novia Web Query'!$A:$E,2,FALSE)</f>
        <v>M&amp;G UK Income Distribution A Acc GBP in GB</v>
      </c>
      <c r="C2974" t="str">
        <f>VLOOKUP(NoviaFunds[[#This Row],[ISIN]],'Novia Web Query'!$A:$E,3,FALSE)</f>
        <v>UT Flexible Investment</v>
      </c>
      <c r="D2974" s="139">
        <f>VLOOKUP(NoviaFunds[[#This Row],[ISIN]],'Novia Web Query'!$A:$E,4,FALSE)/100</f>
        <v>1.1000000000000001E-2</v>
      </c>
      <c r="E2974" s="3" t="str">
        <f>VLOOKUP(NoviaFunds[[#This Row],[ISIN]],'Novia Web Query'!$A:$E,5,FALSE)</f>
        <v>15/02/2021</v>
      </c>
      <c r="F2974" t="str">
        <f>VLOOKUP(NoviaFunds[[#This Row],[Sector]],Sectors[],2,FALSE)</f>
        <v>Flexible</v>
      </c>
    </row>
    <row r="2975" spans="1:6" x14ac:dyDescent="0.2">
      <c r="A2975" t="str">
        <f>'Novia Web Query'!A2971</f>
        <v>GB0031107021</v>
      </c>
      <c r="B2975" t="str">
        <f>VLOOKUP(NoviaFunds[[#This Row],[ISIN]],'Novia Web Query'!$A:$E,2,FALSE)</f>
        <v>M&amp;G UK Income Distribution A Inc GBP TR in GB</v>
      </c>
      <c r="C2975" t="str">
        <f>VLOOKUP(NoviaFunds[[#This Row],[ISIN]],'Novia Web Query'!$A:$E,3,FALSE)</f>
        <v>UT Flexible Investment</v>
      </c>
      <c r="D2975" s="139">
        <f>VLOOKUP(NoviaFunds[[#This Row],[ISIN]],'Novia Web Query'!$A:$E,4,FALSE)/100</f>
        <v>1.1000000000000001E-2</v>
      </c>
      <c r="E2975" s="3" t="str">
        <f>VLOOKUP(NoviaFunds[[#This Row],[ISIN]],'Novia Web Query'!$A:$E,5,FALSE)</f>
        <v>15/02/2021</v>
      </c>
      <c r="F2975" t="str">
        <f>VLOOKUP(NoviaFunds[[#This Row],[Sector]],Sectors[],2,FALSE)</f>
        <v>Flexible</v>
      </c>
    </row>
    <row r="2976" spans="1:6" x14ac:dyDescent="0.2">
      <c r="A2976" t="str">
        <f>'Novia Web Query'!A2972</f>
        <v>GB00B7C4NQ54</v>
      </c>
      <c r="B2976" t="str">
        <f>VLOOKUP(NoviaFunds[[#This Row],[ISIN]],'Novia Web Query'!$A:$E,2,FALSE)</f>
        <v>M&amp;G UK Income Distribution Sterling I Acc in GB</v>
      </c>
      <c r="C2976" t="str">
        <f>VLOOKUP(NoviaFunds[[#This Row],[ISIN]],'Novia Web Query'!$A:$E,3,FALSE)</f>
        <v>UT Flexible Investment</v>
      </c>
      <c r="D2976" s="139">
        <f>VLOOKUP(NoviaFunds[[#This Row],[ISIN]],'Novia Web Query'!$A:$E,4,FALSE)/100</f>
        <v>6.9999999999999993E-3</v>
      </c>
      <c r="E2976" s="3" t="str">
        <f>VLOOKUP(NoviaFunds[[#This Row],[ISIN]],'Novia Web Query'!$A:$E,5,FALSE)</f>
        <v>31/05/2021</v>
      </c>
      <c r="F2976" t="str">
        <f>VLOOKUP(NoviaFunds[[#This Row],[Sector]],Sectors[],2,FALSE)</f>
        <v>Flexible</v>
      </c>
    </row>
    <row r="2977" spans="1:6" x14ac:dyDescent="0.2">
      <c r="A2977" t="str">
        <f>'Novia Web Query'!A2973</f>
        <v>GB00B70D5799</v>
      </c>
      <c r="B2977" t="str">
        <f>VLOOKUP(NoviaFunds[[#This Row],[ISIN]],'Novia Web Query'!$A:$E,2,FALSE)</f>
        <v>M&amp;G UK Income Distribution Sterling I Inc TR in GB</v>
      </c>
      <c r="C2977" t="str">
        <f>VLOOKUP(NoviaFunds[[#This Row],[ISIN]],'Novia Web Query'!$A:$E,3,FALSE)</f>
        <v>UT Flexible Investment</v>
      </c>
      <c r="D2977" s="139">
        <f>VLOOKUP(NoviaFunds[[#This Row],[ISIN]],'Novia Web Query'!$A:$E,4,FALSE)/100</f>
        <v>6.9999999999999993E-3</v>
      </c>
      <c r="E2977" s="3" t="str">
        <f>VLOOKUP(NoviaFunds[[#This Row],[ISIN]],'Novia Web Query'!$A:$E,5,FALSE)</f>
        <v>31/05/2021</v>
      </c>
      <c r="F2977" t="str">
        <f>VLOOKUP(NoviaFunds[[#This Row],[Sector]],Sectors[],2,FALSE)</f>
        <v>Flexible</v>
      </c>
    </row>
    <row r="2978" spans="1:6" x14ac:dyDescent="0.2">
      <c r="A2978" t="str">
        <f>'Novia Web Query'!A2974</f>
        <v>GB0031957094</v>
      </c>
      <c r="B2978" t="str">
        <f>VLOOKUP(NoviaFunds[[#This Row],[ISIN]],'Novia Web Query'!$A:$E,2,FALSE)</f>
        <v>M&amp;G UK Income Distribution X Acc GBP in GB</v>
      </c>
      <c r="C2978" t="str">
        <f>VLOOKUP(NoviaFunds[[#This Row],[ISIN]],'Novia Web Query'!$A:$E,3,FALSE)</f>
        <v>UT Flexible Investment</v>
      </c>
      <c r="D2978" s="139">
        <f>VLOOKUP(NoviaFunds[[#This Row],[ISIN]],'Novia Web Query'!$A:$E,4,FALSE)/100</f>
        <v>1.1000000000000001E-2</v>
      </c>
      <c r="E2978" s="3" t="str">
        <f>VLOOKUP(NoviaFunds[[#This Row],[ISIN]],'Novia Web Query'!$A:$E,5,FALSE)</f>
        <v>15/02/2021</v>
      </c>
      <c r="F2978" t="str">
        <f>VLOOKUP(NoviaFunds[[#This Row],[Sector]],Sectors[],2,FALSE)</f>
        <v>Flexible</v>
      </c>
    </row>
    <row r="2979" spans="1:6" x14ac:dyDescent="0.2">
      <c r="A2979" t="str">
        <f>'Novia Web Query'!A2975</f>
        <v>GB00B44VX079</v>
      </c>
      <c r="B2979" t="str">
        <f>VLOOKUP(NoviaFunds[[#This Row],[ISIN]],'Novia Web Query'!$A:$E,2,FALSE)</f>
        <v>M&amp;G UK Inflation Linked Corporate Bond A Acc in GB</v>
      </c>
      <c r="C2979" t="str">
        <f>VLOOKUP(NoviaFunds[[#This Row],[ISIN]],'Novia Web Query'!$A:$E,3,FALSE)</f>
        <v>UT Sterling Strategic Bond</v>
      </c>
      <c r="D2979" s="139">
        <f>VLOOKUP(NoviaFunds[[#This Row],[ISIN]],'Novia Web Query'!$A:$E,4,FALSE)/100</f>
        <v>8.3000000000000001E-3</v>
      </c>
      <c r="E2979" s="3" t="str">
        <f>VLOOKUP(NoviaFunds[[#This Row],[ISIN]],'Novia Web Query'!$A:$E,5,FALSE)</f>
        <v>13/07/2021</v>
      </c>
      <c r="F2979" t="str">
        <f>VLOOKUP(NoviaFunds[[#This Row],[Sector]],Sectors[],2,FALSE)</f>
        <v>Other Bonds</v>
      </c>
    </row>
    <row r="2980" spans="1:6" x14ac:dyDescent="0.2">
      <c r="A2980" t="str">
        <f>'Novia Web Query'!A2976</f>
        <v>GB00B3WZMB82</v>
      </c>
      <c r="B2980" t="str">
        <f>VLOOKUP(NoviaFunds[[#This Row],[ISIN]],'Novia Web Query'!$A:$E,2,FALSE)</f>
        <v>M&amp;G UK Inflation Linked Corporate Bond A Inc TR in GB</v>
      </c>
      <c r="C2980" t="str">
        <f>VLOOKUP(NoviaFunds[[#This Row],[ISIN]],'Novia Web Query'!$A:$E,3,FALSE)</f>
        <v>UT Sterling Strategic Bond</v>
      </c>
      <c r="D2980" s="139">
        <f>VLOOKUP(NoviaFunds[[#This Row],[ISIN]],'Novia Web Query'!$A:$E,4,FALSE)/100</f>
        <v>8.3000000000000001E-3</v>
      </c>
      <c r="E2980" s="3" t="str">
        <f>VLOOKUP(NoviaFunds[[#This Row],[ISIN]],'Novia Web Query'!$A:$E,5,FALSE)</f>
        <v>13/07/2021</v>
      </c>
      <c r="F2980" t="str">
        <f>VLOOKUP(NoviaFunds[[#This Row],[Sector]],Sectors[],2,FALSE)</f>
        <v>Other Bonds</v>
      </c>
    </row>
    <row r="2981" spans="1:6" x14ac:dyDescent="0.2">
      <c r="A2981" t="str">
        <f>'Novia Web Query'!A2977</f>
        <v>GB00B460GC50</v>
      </c>
      <c r="B2981" t="str">
        <f>VLOOKUP(NoviaFunds[[#This Row],[ISIN]],'Novia Web Query'!$A:$E,2,FALSE)</f>
        <v>M&amp;G UK Inflation Linked Corporate Bond I Acc in GB</v>
      </c>
      <c r="C2981" t="str">
        <f>VLOOKUP(NoviaFunds[[#This Row],[ISIN]],'Novia Web Query'!$A:$E,3,FALSE)</f>
        <v>UT Sterling Strategic Bond</v>
      </c>
      <c r="D2981" s="139">
        <f>VLOOKUP(NoviaFunds[[#This Row],[ISIN]],'Novia Web Query'!$A:$E,4,FALSE)/100</f>
        <v>4.3E-3</v>
      </c>
      <c r="E2981" s="3" t="str">
        <f>VLOOKUP(NoviaFunds[[#This Row],[ISIN]],'Novia Web Query'!$A:$E,5,FALSE)</f>
        <v>13/07/2021</v>
      </c>
      <c r="F2981" t="str">
        <f>VLOOKUP(NoviaFunds[[#This Row],[Sector]],Sectors[],2,FALSE)</f>
        <v>Other Bonds</v>
      </c>
    </row>
    <row r="2982" spans="1:6" x14ac:dyDescent="0.2">
      <c r="A2982" t="str">
        <f>'Novia Web Query'!A2978</f>
        <v>GB00B44JC482</v>
      </c>
      <c r="B2982" t="str">
        <f>VLOOKUP(NoviaFunds[[#This Row],[ISIN]],'Novia Web Query'!$A:$E,2,FALSE)</f>
        <v>M&amp;G UK Inflation Linked Corporate Bond I Inc TR in GB</v>
      </c>
      <c r="C2982" t="str">
        <f>VLOOKUP(NoviaFunds[[#This Row],[ISIN]],'Novia Web Query'!$A:$E,3,FALSE)</f>
        <v>UT Sterling Strategic Bond</v>
      </c>
      <c r="D2982" s="139">
        <f>VLOOKUP(NoviaFunds[[#This Row],[ISIN]],'Novia Web Query'!$A:$E,4,FALSE)/100</f>
        <v>4.3E-3</v>
      </c>
      <c r="E2982" s="3" t="str">
        <f>VLOOKUP(NoviaFunds[[#This Row],[ISIN]],'Novia Web Query'!$A:$E,5,FALSE)</f>
        <v>13/07/2021</v>
      </c>
      <c r="F2982" t="str">
        <f>VLOOKUP(NoviaFunds[[#This Row],[Sector]],Sectors[],2,FALSE)</f>
        <v>Other Bonds</v>
      </c>
    </row>
    <row r="2983" spans="1:6" x14ac:dyDescent="0.2">
      <c r="A2983" t="str">
        <f>'Novia Web Query'!A2979</f>
        <v>GB0031111817</v>
      </c>
      <c r="B2983" t="str">
        <f>VLOOKUP(NoviaFunds[[#This Row],[ISIN]],'Novia Web Query'!$A:$E,2,FALSE)</f>
        <v>M&amp;G UK Select A Acc GBP in GB</v>
      </c>
      <c r="C2983" t="str">
        <f>VLOOKUP(NoviaFunds[[#This Row],[ISIN]],'Novia Web Query'!$A:$E,3,FALSE)</f>
        <v>UT UK All Companies</v>
      </c>
      <c r="D2983" s="139">
        <f>VLOOKUP(NoviaFunds[[#This Row],[ISIN]],'Novia Web Query'!$A:$E,4,FALSE)/100</f>
        <v>1.1000000000000001E-2</v>
      </c>
      <c r="E2983" s="3" t="str">
        <f>VLOOKUP(NoviaFunds[[#This Row],[ISIN]],'Novia Web Query'!$A:$E,5,FALSE)</f>
        <v>15/02/2021</v>
      </c>
      <c r="F2983" t="str">
        <f>VLOOKUP(NoviaFunds[[#This Row],[Sector]],Sectors[],2,FALSE)</f>
        <v>UK Equities</v>
      </c>
    </row>
    <row r="2984" spans="1:6" x14ac:dyDescent="0.2">
      <c r="A2984" t="str">
        <f>'Novia Web Query'!A2980</f>
        <v>GB0031111700</v>
      </c>
      <c r="B2984" t="str">
        <f>VLOOKUP(NoviaFunds[[#This Row],[ISIN]],'Novia Web Query'!$A:$E,2,FALSE)</f>
        <v>M&amp;G UK Select A Inc GBP TR in GB</v>
      </c>
      <c r="C2984" t="str">
        <f>VLOOKUP(NoviaFunds[[#This Row],[ISIN]],'Novia Web Query'!$A:$E,3,FALSE)</f>
        <v>UT UK All Companies</v>
      </c>
      <c r="D2984" s="139">
        <f>VLOOKUP(NoviaFunds[[#This Row],[ISIN]],'Novia Web Query'!$A:$E,4,FALSE)/100</f>
        <v>1.1000000000000001E-2</v>
      </c>
      <c r="E2984" s="3" t="str">
        <f>VLOOKUP(NoviaFunds[[#This Row],[ISIN]],'Novia Web Query'!$A:$E,5,FALSE)</f>
        <v>15/02/2021</v>
      </c>
      <c r="F2984" t="str">
        <f>VLOOKUP(NoviaFunds[[#This Row],[Sector]],Sectors[],2,FALSE)</f>
        <v>UK Equities</v>
      </c>
    </row>
    <row r="2985" spans="1:6" x14ac:dyDescent="0.2">
      <c r="A2985" t="str">
        <f>'Novia Web Query'!A2981</f>
        <v>GB00B6677B69</v>
      </c>
      <c r="B2985" t="str">
        <f>VLOOKUP(NoviaFunds[[#This Row],[ISIN]],'Novia Web Query'!$A:$E,2,FALSE)</f>
        <v>M&amp;G UK Select I Acc GBP in GB</v>
      </c>
      <c r="C2985" t="str">
        <f>VLOOKUP(NoviaFunds[[#This Row],[ISIN]],'Novia Web Query'!$A:$E,3,FALSE)</f>
        <v>UT UK All Companies</v>
      </c>
      <c r="D2985" s="139">
        <f>VLOOKUP(NoviaFunds[[#This Row],[ISIN]],'Novia Web Query'!$A:$E,4,FALSE)/100</f>
        <v>6.9999999999999993E-3</v>
      </c>
      <c r="E2985" s="3" t="str">
        <f>VLOOKUP(NoviaFunds[[#This Row],[ISIN]],'Novia Web Query'!$A:$E,5,FALSE)</f>
        <v>31/05/2021</v>
      </c>
      <c r="F2985" t="str">
        <f>VLOOKUP(NoviaFunds[[#This Row],[Sector]],Sectors[],2,FALSE)</f>
        <v>UK Equities</v>
      </c>
    </row>
    <row r="2986" spans="1:6" x14ac:dyDescent="0.2">
      <c r="A2986" t="str">
        <f>'Novia Web Query'!A2982</f>
        <v>GB00B3R2HL98</v>
      </c>
      <c r="B2986" t="str">
        <f>VLOOKUP(NoviaFunds[[#This Row],[ISIN]],'Novia Web Query'!$A:$E,2,FALSE)</f>
        <v>M&amp;G UK Select I Inc GBP TR in GB</v>
      </c>
      <c r="C2986" t="str">
        <f>VLOOKUP(NoviaFunds[[#This Row],[ISIN]],'Novia Web Query'!$A:$E,3,FALSE)</f>
        <v>UT UK All Companies</v>
      </c>
      <c r="D2986" s="139">
        <f>VLOOKUP(NoviaFunds[[#This Row],[ISIN]],'Novia Web Query'!$A:$E,4,FALSE)/100</f>
        <v>6.9999999999999993E-3</v>
      </c>
      <c r="E2986" s="3" t="str">
        <f>VLOOKUP(NoviaFunds[[#This Row],[ISIN]],'Novia Web Query'!$A:$E,5,FALSE)</f>
        <v>31/05/2021</v>
      </c>
      <c r="F2986" t="str">
        <f>VLOOKUP(NoviaFunds[[#This Row],[Sector]],Sectors[],2,FALSE)</f>
        <v>UK Equities</v>
      </c>
    </row>
    <row r="2987" spans="1:6" x14ac:dyDescent="0.2">
      <c r="A2987" t="str">
        <f>'Novia Web Query'!A2983</f>
        <v>GB00B62XW350</v>
      </c>
      <c r="B2987" t="str">
        <f>VLOOKUP(NoviaFunds[[#This Row],[ISIN]],'Novia Web Query'!$A:$E,2,FALSE)</f>
        <v>M&amp;G UK Select R Acc GBP in GB</v>
      </c>
      <c r="C2987" t="str">
        <f>VLOOKUP(NoviaFunds[[#This Row],[ISIN]],'Novia Web Query'!$A:$E,3,FALSE)</f>
        <v>UT UK All Companies</v>
      </c>
      <c r="D2987" s="139">
        <f>VLOOKUP(NoviaFunds[[#This Row],[ISIN]],'Novia Web Query'!$A:$E,4,FALSE)/100</f>
        <v>9.4999999999999998E-3</v>
      </c>
      <c r="E2987" s="3" t="str">
        <f>VLOOKUP(NoviaFunds[[#This Row],[ISIN]],'Novia Web Query'!$A:$E,5,FALSE)</f>
        <v>31/05/2021</v>
      </c>
      <c r="F2987" t="str">
        <f>VLOOKUP(NoviaFunds[[#This Row],[Sector]],Sectors[],2,FALSE)</f>
        <v>UK Equities</v>
      </c>
    </row>
    <row r="2988" spans="1:6" x14ac:dyDescent="0.2">
      <c r="A2988" t="str">
        <f>'Novia Web Query'!A2984</f>
        <v>GB0031957987</v>
      </c>
      <c r="B2988" t="str">
        <f>VLOOKUP(NoviaFunds[[#This Row],[ISIN]],'Novia Web Query'!$A:$E,2,FALSE)</f>
        <v>M&amp;G UK Select X Acc GBP in GB</v>
      </c>
      <c r="C2988" t="str">
        <f>VLOOKUP(NoviaFunds[[#This Row],[ISIN]],'Novia Web Query'!$A:$E,3,FALSE)</f>
        <v>UT UK All Companies</v>
      </c>
      <c r="D2988" s="139">
        <f>VLOOKUP(NoviaFunds[[#This Row],[ISIN]],'Novia Web Query'!$A:$E,4,FALSE)/100</f>
        <v>1.1000000000000001E-2</v>
      </c>
      <c r="E2988" s="3" t="str">
        <f>VLOOKUP(NoviaFunds[[#This Row],[ISIN]],'Novia Web Query'!$A:$E,5,FALSE)</f>
        <v>15/02/2021</v>
      </c>
      <c r="F2988" t="str">
        <f>VLOOKUP(NoviaFunds[[#This Row],[Sector]],Sectors[],2,FALSE)</f>
        <v>UK Equities</v>
      </c>
    </row>
    <row r="2989" spans="1:6" x14ac:dyDescent="0.2">
      <c r="A2989" t="str">
        <f>'Novia Web Query'!A2985</f>
        <v>GB00B1VNF546</v>
      </c>
      <c r="B2989" t="str">
        <f>VLOOKUP(NoviaFunds[[#This Row],[ISIN]],'Novia Web Query'!$A:$E,2,FALSE)</f>
        <v>Man Balanced Managed A Ret Acc in GB</v>
      </c>
      <c r="C2989" t="str">
        <f>VLOOKUP(NoviaFunds[[#This Row],[ISIN]],'Novia Web Query'!$A:$E,3,FALSE)</f>
        <v>UT Mixed Investment 40-85% Shares</v>
      </c>
      <c r="D2989" s="139">
        <f>VLOOKUP(NoviaFunds[[#This Row],[ISIN]],'Novia Web Query'!$A:$E,4,FALSE)/100</f>
        <v>1.6500000000000001E-2</v>
      </c>
      <c r="E2989" s="3" t="str">
        <f>VLOOKUP(NoviaFunds[[#This Row],[ISIN]],'Novia Web Query'!$A:$E,5,FALSE)</f>
        <v>30/04/2021</v>
      </c>
      <c r="F2989" t="str">
        <f>VLOOKUP(NoviaFunds[[#This Row],[Sector]],Sectors[],2,FALSE)</f>
        <v>Mixed 40%-85%</v>
      </c>
    </row>
    <row r="2990" spans="1:6" x14ac:dyDescent="0.2">
      <c r="A2990" t="str">
        <f>'Novia Web Query'!A2986</f>
        <v>GB00B87M3166</v>
      </c>
      <c r="B2990" t="str">
        <f>VLOOKUP(NoviaFunds[[#This Row],[ISIN]],'Novia Web Query'!$A:$E,2,FALSE)</f>
        <v>Man Balanced Managed C Professional in GB</v>
      </c>
      <c r="C2990" t="str">
        <f>VLOOKUP(NoviaFunds[[#This Row],[ISIN]],'Novia Web Query'!$A:$E,3,FALSE)</f>
        <v>UT Mixed Investment 40-85% Shares</v>
      </c>
      <c r="D2990" s="139">
        <f>VLOOKUP(NoviaFunds[[#This Row],[ISIN]],'Novia Web Query'!$A:$E,4,FALSE)/100</f>
        <v>9.0000000000000011E-3</v>
      </c>
      <c r="E2990" s="3" t="str">
        <f>VLOOKUP(NoviaFunds[[#This Row],[ISIN]],'Novia Web Query'!$A:$E,5,FALSE)</f>
        <v>30/04/2021</v>
      </c>
      <c r="F2990" t="str">
        <f>VLOOKUP(NoviaFunds[[#This Row],[Sector]],Sectors[],2,FALSE)</f>
        <v>Mixed 40%-85%</v>
      </c>
    </row>
    <row r="2991" spans="1:6" x14ac:dyDescent="0.2">
      <c r="A2991" t="str">
        <f>'Novia Web Query'!A2987</f>
        <v>GB00B1VNF652</v>
      </c>
      <c r="B2991" t="str">
        <f>VLOOKUP(NoviaFunds[[#This Row],[ISIN]],'Novia Web Query'!$A:$E,2,FALSE)</f>
        <v>Man Stockmarket Managed A Ret Acc in GB</v>
      </c>
      <c r="C2991" t="str">
        <f>VLOOKUP(NoviaFunds[[#This Row],[ISIN]],'Novia Web Query'!$A:$E,3,FALSE)</f>
        <v>UT Flexible Investment</v>
      </c>
      <c r="D2991" s="139">
        <f>VLOOKUP(NoviaFunds[[#This Row],[ISIN]],'Novia Web Query'!$A:$E,4,FALSE)/100</f>
        <v>1.6500000000000001E-2</v>
      </c>
      <c r="E2991" s="3" t="str">
        <f>VLOOKUP(NoviaFunds[[#This Row],[ISIN]],'Novia Web Query'!$A:$E,5,FALSE)</f>
        <v>30/04/2021</v>
      </c>
      <c r="F2991" t="str">
        <f>VLOOKUP(NoviaFunds[[#This Row],[Sector]],Sectors[],2,FALSE)</f>
        <v>Flexible</v>
      </c>
    </row>
    <row r="2992" spans="1:6" x14ac:dyDescent="0.2">
      <c r="A2992" t="str">
        <f>'Novia Web Query'!A2988</f>
        <v>GB00B7X6MB80</v>
      </c>
      <c r="B2992" t="str">
        <f>VLOOKUP(NoviaFunds[[#This Row],[ISIN]],'Novia Web Query'!$A:$E,2,FALSE)</f>
        <v>Man Stockmarket Managed C Professional in GB</v>
      </c>
      <c r="C2992" t="str">
        <f>VLOOKUP(NoviaFunds[[#This Row],[ISIN]],'Novia Web Query'!$A:$E,3,FALSE)</f>
        <v>UT Flexible Investment</v>
      </c>
      <c r="D2992" s="139">
        <f>VLOOKUP(NoviaFunds[[#This Row],[ISIN]],'Novia Web Query'!$A:$E,4,FALSE)/100</f>
        <v>9.0000000000000011E-3</v>
      </c>
      <c r="E2992" s="3" t="str">
        <f>VLOOKUP(NoviaFunds[[#This Row],[ISIN]],'Novia Web Query'!$A:$E,5,FALSE)</f>
        <v>30/04/2021</v>
      </c>
      <c r="F2992" t="str">
        <f>VLOOKUP(NoviaFunds[[#This Row],[Sector]],Sectors[],2,FALSE)</f>
        <v>Flexible</v>
      </c>
    </row>
    <row r="2993" spans="1:6" x14ac:dyDescent="0.2">
      <c r="A2993" t="str">
        <f>'Novia Web Query'!A2989</f>
        <v>GB00B0119370</v>
      </c>
      <c r="B2993" t="str">
        <f>VLOOKUP(NoviaFunds[[#This Row],[ISIN]],'Novia Web Query'!$A:$E,2,FALSE)</f>
        <v>Man GLG Continental European Growth A in GB</v>
      </c>
      <c r="C2993" t="str">
        <f>VLOOKUP(NoviaFunds[[#This Row],[ISIN]],'Novia Web Query'!$A:$E,3,FALSE)</f>
        <v>UT Europe Excluding UK</v>
      </c>
      <c r="D2993" s="139">
        <f>VLOOKUP(NoviaFunds[[#This Row],[ISIN]],'Novia Web Query'!$A:$E,4,FALSE)/100</f>
        <v>1.6500000000000001E-2</v>
      </c>
      <c r="E2993" s="3" t="str">
        <f>VLOOKUP(NoviaFunds[[#This Row],[ISIN]],'Novia Web Query'!$A:$E,5,FALSE)</f>
        <v>31/05/2020</v>
      </c>
      <c r="F2993" t="str">
        <f>VLOOKUP(NoviaFunds[[#This Row],[Sector]],Sectors[],2,FALSE)</f>
        <v>European Equities</v>
      </c>
    </row>
    <row r="2994" spans="1:6" x14ac:dyDescent="0.2">
      <c r="A2994" t="str">
        <f>'Novia Web Query'!A2990</f>
        <v>GB00B0119487</v>
      </c>
      <c r="B2994" t="str">
        <f>VLOOKUP(NoviaFunds[[#This Row],[ISIN]],'Novia Web Query'!$A:$E,2,FALSE)</f>
        <v>Man GLG Continental European Growth C Professional in GB</v>
      </c>
      <c r="C2994" t="str">
        <f>VLOOKUP(NoviaFunds[[#This Row],[ISIN]],'Novia Web Query'!$A:$E,3,FALSE)</f>
        <v>UT Europe Excluding UK</v>
      </c>
      <c r="D2994" s="139">
        <f>VLOOKUP(NoviaFunds[[#This Row],[ISIN]],'Novia Web Query'!$A:$E,4,FALSE)/100</f>
        <v>9.0000000000000011E-3</v>
      </c>
      <c r="E2994" s="3" t="str">
        <f>VLOOKUP(NoviaFunds[[#This Row],[ISIN]],'Novia Web Query'!$A:$E,5,FALSE)</f>
        <v>31/05/2020</v>
      </c>
      <c r="F2994" t="str">
        <f>VLOOKUP(NoviaFunds[[#This Row],[Sector]],Sectors[],2,FALSE)</f>
        <v>European Equities</v>
      </c>
    </row>
    <row r="2995" spans="1:6" x14ac:dyDescent="0.2">
      <c r="A2995" t="str">
        <f>'Novia Web Query'!A2991</f>
        <v>GB00BYNRH370</v>
      </c>
      <c r="B2995" t="str">
        <f>VLOOKUP(NoviaFunds[[#This Row],[ISIN]],'Novia Web Query'!$A:$E,2,FALSE)</f>
        <v>Man GLG Continental European Growth CH Hedged Professional in GB</v>
      </c>
      <c r="C2995" t="str">
        <f>VLOOKUP(NoviaFunds[[#This Row],[ISIN]],'Novia Web Query'!$A:$E,3,FALSE)</f>
        <v>UT Europe Excluding UK</v>
      </c>
      <c r="D2995" s="139">
        <f>VLOOKUP(NoviaFunds[[#This Row],[ISIN]],'Novia Web Query'!$A:$E,4,FALSE)/100</f>
        <v>9.0000000000000011E-3</v>
      </c>
      <c r="E2995" s="3" t="str">
        <f>VLOOKUP(NoviaFunds[[#This Row],[ISIN]],'Novia Web Query'!$A:$E,5,FALSE)</f>
        <v>31/05/2020</v>
      </c>
      <c r="F2995" t="str">
        <f>VLOOKUP(NoviaFunds[[#This Row],[Sector]],Sectors[],2,FALSE)</f>
        <v>European Equities</v>
      </c>
    </row>
    <row r="2996" spans="1:6" x14ac:dyDescent="0.2">
      <c r="A2996" t="str">
        <f>'Novia Web Query'!A2992</f>
        <v>GB00BD9G3L18</v>
      </c>
      <c r="B2996" t="str">
        <f>VLOOKUP(NoviaFunds[[#This Row],[ISIN]],'Novia Web Query'!$A:$E,2,FALSE)</f>
        <v>Man GLG European Alpha Income CH Professional Hedged in GB</v>
      </c>
      <c r="C2996" t="str">
        <f>VLOOKUP(NoviaFunds[[#This Row],[ISIN]],'Novia Web Query'!$A:$E,3,FALSE)</f>
        <v>UT Europe Excluding UK</v>
      </c>
      <c r="D2996" s="139">
        <f>VLOOKUP(NoviaFunds[[#This Row],[ISIN]],'Novia Web Query'!$A:$E,4,FALSE)/100</f>
        <v>9.0000000000000011E-3</v>
      </c>
      <c r="E2996" s="3" t="str">
        <f>VLOOKUP(NoviaFunds[[#This Row],[ISIN]],'Novia Web Query'!$A:$E,5,FALSE)</f>
        <v>31/05/2020</v>
      </c>
      <c r="F2996" t="str">
        <f>VLOOKUP(NoviaFunds[[#This Row],[Sector]],Sectors[],2,FALSE)</f>
        <v>European Equities</v>
      </c>
    </row>
    <row r="2997" spans="1:6" x14ac:dyDescent="0.2">
      <c r="A2997" t="str">
        <f>'Novia Web Query'!A2993</f>
        <v>GB00BD9G3M25</v>
      </c>
      <c r="B2997" t="str">
        <f>VLOOKUP(NoviaFunds[[#This Row],[ISIN]],'Novia Web Query'!$A:$E,2,FALSE)</f>
        <v>Man GLG European Alpha Income D Professional TR in GB</v>
      </c>
      <c r="C2997" t="str">
        <f>VLOOKUP(NoviaFunds[[#This Row],[ISIN]],'Novia Web Query'!$A:$E,3,FALSE)</f>
        <v>UT Europe Excluding UK</v>
      </c>
      <c r="D2997" s="139">
        <f>VLOOKUP(NoviaFunds[[#This Row],[ISIN]],'Novia Web Query'!$A:$E,4,FALSE)/100</f>
        <v>9.0000000000000011E-3</v>
      </c>
      <c r="E2997" s="3" t="str">
        <f>VLOOKUP(NoviaFunds[[#This Row],[ISIN]],'Novia Web Query'!$A:$E,5,FALSE)</f>
        <v>31/05/2020</v>
      </c>
      <c r="F2997" t="str">
        <f>VLOOKUP(NoviaFunds[[#This Row],[Sector]],Sectors[],2,FALSE)</f>
        <v>European Equities</v>
      </c>
    </row>
    <row r="2998" spans="1:6" x14ac:dyDescent="0.2">
      <c r="A2998" t="str">
        <f>'Novia Web Query'!A2994</f>
        <v>GB00BJK3W271</v>
      </c>
      <c r="B2998" t="str">
        <f>VLOOKUP(NoviaFunds[[#This Row],[ISIN]],'Novia Web Query'!$A:$E,2,FALSE)</f>
        <v>Man GLG High Yield Opportunities Professional D TR in GB</v>
      </c>
      <c r="C2998" t="str">
        <f>VLOOKUP(NoviaFunds[[#This Row],[ISIN]],'Novia Web Query'!$A:$E,3,FALSE)</f>
        <v>UT Sterling High Yield</v>
      </c>
      <c r="D2998" s="139">
        <f>VLOOKUP(NoviaFunds[[#This Row],[ISIN]],'Novia Web Query'!$A:$E,4,FALSE)/100</f>
        <v>7.4999999999999997E-3</v>
      </c>
      <c r="E2998" s="3" t="str">
        <f>VLOOKUP(NoviaFunds[[#This Row],[ISIN]],'Novia Web Query'!$A:$E,5,FALSE)</f>
        <v>10/08/2020</v>
      </c>
      <c r="F2998" t="str">
        <f>VLOOKUP(NoviaFunds[[#This Row],[Sector]],Sectors[],2,FALSE)</f>
        <v>High Yield</v>
      </c>
    </row>
    <row r="2999" spans="1:6" x14ac:dyDescent="0.2">
      <c r="A2999" t="str">
        <f>'Novia Web Query'!A2995</f>
        <v>GB00B0117994</v>
      </c>
      <c r="B2999" t="str">
        <f>VLOOKUP(NoviaFunds[[#This Row],[ISIN]],'Novia Web Query'!$A:$E,2,FALSE)</f>
        <v>Man GLG Income A Ret Acc in GB</v>
      </c>
      <c r="C2999" t="str">
        <f>VLOOKUP(NoviaFunds[[#This Row],[ISIN]],'Novia Web Query'!$A:$E,3,FALSE)</f>
        <v>UT UK Equity Income</v>
      </c>
      <c r="D2999" s="139">
        <f>VLOOKUP(NoviaFunds[[#This Row],[ISIN]],'Novia Web Query'!$A:$E,4,FALSE)/100</f>
        <v>1.6500000000000001E-2</v>
      </c>
      <c r="E2999" s="3" t="str">
        <f>VLOOKUP(NoviaFunds[[#This Row],[ISIN]],'Novia Web Query'!$A:$E,5,FALSE)</f>
        <v>28/02/2021</v>
      </c>
      <c r="F2999" t="str">
        <f>VLOOKUP(NoviaFunds[[#This Row],[Sector]],Sectors[],2,FALSE)</f>
        <v>UK Equities</v>
      </c>
    </row>
    <row r="3000" spans="1:6" x14ac:dyDescent="0.2">
      <c r="A3000" t="str">
        <f>'Novia Web Query'!A2996</f>
        <v>GB00B0117B11</v>
      </c>
      <c r="B3000" t="str">
        <f>VLOOKUP(NoviaFunds[[#This Row],[ISIN]],'Novia Web Query'!$A:$E,2,FALSE)</f>
        <v>Man GLG Income B Ret Inc TR in GB</v>
      </c>
      <c r="C3000" t="str">
        <f>VLOOKUP(NoviaFunds[[#This Row],[ISIN]],'Novia Web Query'!$A:$E,3,FALSE)</f>
        <v>UT UK Equity Income</v>
      </c>
      <c r="D3000" s="139">
        <f>VLOOKUP(NoviaFunds[[#This Row],[ISIN]],'Novia Web Query'!$A:$E,4,FALSE)/100</f>
        <v>1.6500000000000001E-2</v>
      </c>
      <c r="E3000" s="3" t="str">
        <f>VLOOKUP(NoviaFunds[[#This Row],[ISIN]],'Novia Web Query'!$A:$E,5,FALSE)</f>
        <v>28/02/2021</v>
      </c>
      <c r="F3000" t="str">
        <f>VLOOKUP(NoviaFunds[[#This Row],[Sector]],Sectors[],2,FALSE)</f>
        <v>UK Equities</v>
      </c>
    </row>
    <row r="3001" spans="1:6" x14ac:dyDescent="0.2">
      <c r="A3001" t="str">
        <f>'Novia Web Query'!A2997</f>
        <v>GB00B0117C28</v>
      </c>
      <c r="B3001" t="str">
        <f>VLOOKUP(NoviaFunds[[#This Row],[ISIN]],'Novia Web Query'!$A:$E,2,FALSE)</f>
        <v>Man GLG Income C Professional Acc in GB</v>
      </c>
      <c r="C3001" t="str">
        <f>VLOOKUP(NoviaFunds[[#This Row],[ISIN]],'Novia Web Query'!$A:$E,3,FALSE)</f>
        <v>UT UK Equity Income</v>
      </c>
      <c r="D3001" s="139">
        <f>VLOOKUP(NoviaFunds[[#This Row],[ISIN]],'Novia Web Query'!$A:$E,4,FALSE)/100</f>
        <v>9.0000000000000011E-3</v>
      </c>
      <c r="E3001" s="3" t="str">
        <f>VLOOKUP(NoviaFunds[[#This Row],[ISIN]],'Novia Web Query'!$A:$E,5,FALSE)</f>
        <v>28/02/2021</v>
      </c>
      <c r="F3001" t="str">
        <f>VLOOKUP(NoviaFunds[[#This Row],[Sector]],Sectors[],2,FALSE)</f>
        <v>UK Equities</v>
      </c>
    </row>
    <row r="3002" spans="1:6" x14ac:dyDescent="0.2">
      <c r="A3002" t="str">
        <f>'Novia Web Query'!A2998</f>
        <v>GB00B0117D35</v>
      </c>
      <c r="B3002" t="str">
        <f>VLOOKUP(NoviaFunds[[#This Row],[ISIN]],'Novia Web Query'!$A:$E,2,FALSE)</f>
        <v>Man GLG Income D Professional Inc TR in GB**</v>
      </c>
      <c r="C3002" t="str">
        <f>VLOOKUP(NoviaFunds[[#This Row],[ISIN]],'Novia Web Query'!$A:$E,3,FALSE)</f>
        <v>UT UK Equity Income</v>
      </c>
      <c r="D3002" s="139">
        <f>VLOOKUP(NoviaFunds[[#This Row],[ISIN]],'Novia Web Query'!$A:$E,4,FALSE)/100</f>
        <v>9.0000000000000011E-3</v>
      </c>
      <c r="E3002" s="3" t="str">
        <f>VLOOKUP(NoviaFunds[[#This Row],[ISIN]],'Novia Web Query'!$A:$E,5,FALSE)</f>
        <v>28/02/2021</v>
      </c>
      <c r="F3002" t="str">
        <f>VLOOKUP(NoviaFunds[[#This Row],[Sector]],Sectors[],2,FALSE)</f>
        <v>UK Equities</v>
      </c>
    </row>
    <row r="3003" spans="1:6" x14ac:dyDescent="0.2">
      <c r="A3003" t="str">
        <f>'Novia Web Query'!A2999</f>
        <v>GB00B0119933</v>
      </c>
      <c r="B3003" t="str">
        <f>VLOOKUP(NoviaFunds[[#This Row],[ISIN]],'Novia Web Query'!$A:$E,2,FALSE)</f>
        <v>Man GLG Japan Core Alpha A Ret Acc in GB</v>
      </c>
      <c r="C3003" t="str">
        <f>VLOOKUP(NoviaFunds[[#This Row],[ISIN]],'Novia Web Query'!$A:$E,3,FALSE)</f>
        <v>UT Japan</v>
      </c>
      <c r="D3003" s="139">
        <f>VLOOKUP(NoviaFunds[[#This Row],[ISIN]],'Novia Web Query'!$A:$E,4,FALSE)/100</f>
        <v>1.6500000000000001E-2</v>
      </c>
      <c r="E3003" s="3" t="str">
        <f>VLOOKUP(NoviaFunds[[#This Row],[ISIN]],'Novia Web Query'!$A:$E,5,FALSE)</f>
        <v>31/05/2020</v>
      </c>
      <c r="F3003" t="str">
        <f>VLOOKUP(NoviaFunds[[#This Row],[Sector]],Sectors[],2,FALSE)</f>
        <v>Japanese Equities</v>
      </c>
    </row>
    <row r="3004" spans="1:6" x14ac:dyDescent="0.2">
      <c r="A3004" t="str">
        <f>'Novia Web Query'!A3000</f>
        <v>GB00B3F46Y30</v>
      </c>
      <c r="B3004" t="str">
        <f>VLOOKUP(NoviaFunds[[#This Row],[ISIN]],'Novia Web Query'!$A:$E,2,FALSE)</f>
        <v>Man GLG Japan Core Alpha B Ret Inc TR in GB</v>
      </c>
      <c r="C3004" t="str">
        <f>VLOOKUP(NoviaFunds[[#This Row],[ISIN]],'Novia Web Query'!$A:$E,3,FALSE)</f>
        <v>UT Japan</v>
      </c>
      <c r="D3004" s="139">
        <f>VLOOKUP(NoviaFunds[[#This Row],[ISIN]],'Novia Web Query'!$A:$E,4,FALSE)/100</f>
        <v>1.6500000000000001E-2</v>
      </c>
      <c r="E3004" s="3" t="str">
        <f>VLOOKUP(NoviaFunds[[#This Row],[ISIN]],'Novia Web Query'!$A:$E,5,FALSE)</f>
        <v>31/05/2020</v>
      </c>
      <c r="F3004" t="str">
        <f>VLOOKUP(NoviaFunds[[#This Row],[Sector]],Sectors[],2,FALSE)</f>
        <v>Japanese Equities</v>
      </c>
    </row>
    <row r="3005" spans="1:6" x14ac:dyDescent="0.2">
      <c r="A3005" t="str">
        <f>'Novia Web Query'!A3001</f>
        <v>GB00B0119B50</v>
      </c>
      <c r="B3005" t="str">
        <f>VLOOKUP(NoviaFunds[[#This Row],[ISIN]],'Novia Web Query'!$A:$E,2,FALSE)</f>
        <v>Man GLG Japan Core Alpha C Professional Acc in GB</v>
      </c>
      <c r="C3005" t="str">
        <f>VLOOKUP(NoviaFunds[[#This Row],[ISIN]],'Novia Web Query'!$A:$E,3,FALSE)</f>
        <v>UT Japan</v>
      </c>
      <c r="D3005" s="139">
        <f>VLOOKUP(NoviaFunds[[#This Row],[ISIN]],'Novia Web Query'!$A:$E,4,FALSE)/100</f>
        <v>9.0000000000000011E-3</v>
      </c>
      <c r="E3005" s="3" t="str">
        <f>VLOOKUP(NoviaFunds[[#This Row],[ISIN]],'Novia Web Query'!$A:$E,5,FALSE)</f>
        <v>31/05/2020</v>
      </c>
      <c r="F3005" t="str">
        <f>VLOOKUP(NoviaFunds[[#This Row],[Sector]],Sectors[],2,FALSE)</f>
        <v>Japanese Equities</v>
      </c>
    </row>
    <row r="3006" spans="1:6" x14ac:dyDescent="0.2">
      <c r="A3006" t="str">
        <f>'Novia Web Query'!A3002</f>
        <v>GB00B3F47512</v>
      </c>
      <c r="B3006" t="str">
        <f>VLOOKUP(NoviaFunds[[#This Row],[ISIN]],'Novia Web Query'!$A:$E,2,FALSE)</f>
        <v>Man GLG Japan Core Alpha D Professional Inc TR in GB**</v>
      </c>
      <c r="C3006" t="str">
        <f>VLOOKUP(NoviaFunds[[#This Row],[ISIN]],'Novia Web Query'!$A:$E,3,FALSE)</f>
        <v>UT Japan</v>
      </c>
      <c r="D3006" s="139">
        <f>VLOOKUP(NoviaFunds[[#This Row],[ISIN]],'Novia Web Query'!$A:$E,4,FALSE)/100</f>
        <v>9.0000000000000011E-3</v>
      </c>
      <c r="E3006" s="3" t="str">
        <f>VLOOKUP(NoviaFunds[[#This Row],[ISIN]],'Novia Web Query'!$A:$E,5,FALSE)</f>
        <v>31/05/2020</v>
      </c>
      <c r="F3006" t="str">
        <f>VLOOKUP(NoviaFunds[[#This Row],[Sector]],Sectors[],2,FALSE)</f>
        <v>Japanese Equities</v>
      </c>
    </row>
    <row r="3007" spans="1:6" x14ac:dyDescent="0.2">
      <c r="A3007" t="str">
        <f>'Novia Web Query'!A3003</f>
        <v>GB00B6Y0WT01</v>
      </c>
      <c r="B3007" t="str">
        <f>VLOOKUP(NoviaFunds[[#This Row],[ISIN]],'Novia Web Query'!$A:$E,2,FALSE)</f>
        <v>Man GLG Strategic Bond A Ret Acc TR in GB</v>
      </c>
      <c r="C3007" t="str">
        <f>VLOOKUP(NoviaFunds[[#This Row],[ISIN]],'Novia Web Query'!$A:$E,3,FALSE)</f>
        <v>UT Sterling Strategic Bond</v>
      </c>
      <c r="D3007" s="139">
        <f>VLOOKUP(NoviaFunds[[#This Row],[ISIN]],'Novia Web Query'!$A:$E,4,FALSE)/100</f>
        <v>1.3999999999999999E-2</v>
      </c>
      <c r="E3007" s="3" t="str">
        <f>VLOOKUP(NoviaFunds[[#This Row],[ISIN]],'Novia Web Query'!$A:$E,5,FALSE)</f>
        <v>30/06/2020</v>
      </c>
      <c r="F3007" t="str">
        <f>VLOOKUP(NoviaFunds[[#This Row],[Sector]],Sectors[],2,FALSE)</f>
        <v>Other Bonds</v>
      </c>
    </row>
    <row r="3008" spans="1:6" x14ac:dyDescent="0.2">
      <c r="A3008" t="str">
        <f>'Novia Web Query'!A3004</f>
        <v>GB00B731HR48</v>
      </c>
      <c r="B3008" t="str">
        <f>VLOOKUP(NoviaFunds[[#This Row],[ISIN]],'Novia Web Query'!$A:$E,2,FALSE)</f>
        <v>Man GLG Strategic Bond B Ret Inc TR in GB</v>
      </c>
      <c r="C3008" t="str">
        <f>VLOOKUP(NoviaFunds[[#This Row],[ISIN]],'Novia Web Query'!$A:$E,3,FALSE)</f>
        <v>UT Sterling Strategic Bond</v>
      </c>
      <c r="D3008" s="139">
        <f>VLOOKUP(NoviaFunds[[#This Row],[ISIN]],'Novia Web Query'!$A:$E,4,FALSE)/100</f>
        <v>1.3999999999999999E-2</v>
      </c>
      <c r="E3008" s="3" t="str">
        <f>VLOOKUP(NoviaFunds[[#This Row],[ISIN]],'Novia Web Query'!$A:$E,5,FALSE)</f>
        <v>30/06/2020</v>
      </c>
      <c r="F3008" t="str">
        <f>VLOOKUP(NoviaFunds[[#This Row],[Sector]],Sectors[],2,FALSE)</f>
        <v>Other Bonds</v>
      </c>
    </row>
    <row r="3009" spans="1:6" x14ac:dyDescent="0.2">
      <c r="A3009" t="str">
        <f>'Novia Web Query'!A3005</f>
        <v>GB00B581V620</v>
      </c>
      <c r="B3009" t="str">
        <f>VLOOKUP(NoviaFunds[[#This Row],[ISIN]],'Novia Web Query'!$A:$E,2,FALSE)</f>
        <v>Man GLG Strategic Bond C Professional Acc TR in GB</v>
      </c>
      <c r="C3009" t="str">
        <f>VLOOKUP(NoviaFunds[[#This Row],[ISIN]],'Novia Web Query'!$A:$E,3,FALSE)</f>
        <v>UT Sterling Strategic Bond</v>
      </c>
      <c r="D3009" s="139">
        <f>VLOOKUP(NoviaFunds[[#This Row],[ISIN]],'Novia Web Query'!$A:$E,4,FALSE)/100</f>
        <v>6.5000000000000006E-3</v>
      </c>
      <c r="E3009" s="3" t="str">
        <f>VLOOKUP(NoviaFunds[[#This Row],[ISIN]],'Novia Web Query'!$A:$E,5,FALSE)</f>
        <v>30/06/2020</v>
      </c>
      <c r="F3009" t="str">
        <f>VLOOKUP(NoviaFunds[[#This Row],[Sector]],Sectors[],2,FALSE)</f>
        <v>Other Bonds</v>
      </c>
    </row>
    <row r="3010" spans="1:6" x14ac:dyDescent="0.2">
      <c r="A3010" t="str">
        <f>'Novia Web Query'!A3006</f>
        <v>GB00B6Y0Z240</v>
      </c>
      <c r="B3010" t="str">
        <f>VLOOKUP(NoviaFunds[[#This Row],[ISIN]],'Novia Web Query'!$A:$E,2,FALSE)</f>
        <v>Man GLG Strategic Bond D Professional Inc TR in GB</v>
      </c>
      <c r="C3010" t="str">
        <f>VLOOKUP(NoviaFunds[[#This Row],[ISIN]],'Novia Web Query'!$A:$E,3,FALSE)</f>
        <v>UT Sterling Strategic Bond</v>
      </c>
      <c r="D3010" s="139">
        <f>VLOOKUP(NoviaFunds[[#This Row],[ISIN]],'Novia Web Query'!$A:$E,4,FALSE)/100</f>
        <v>6.5000000000000006E-3</v>
      </c>
      <c r="E3010" s="3" t="str">
        <f>VLOOKUP(NoviaFunds[[#This Row],[ISIN]],'Novia Web Query'!$A:$E,5,FALSE)</f>
        <v>30/06/2020</v>
      </c>
      <c r="F3010" t="str">
        <f>VLOOKUP(NoviaFunds[[#This Row],[Sector]],Sectors[],2,FALSE)</f>
        <v>Other Bonds</v>
      </c>
    </row>
    <row r="3011" spans="1:6" x14ac:dyDescent="0.2">
      <c r="A3011" t="str">
        <f>'Novia Web Query'!A3007</f>
        <v>GB00BFH3NC99</v>
      </c>
      <c r="B3011" t="str">
        <f>VLOOKUP(NoviaFunds[[#This Row],[ISIN]],'Novia Web Query'!$A:$E,2,FALSE)</f>
        <v>Man GLG Undervalued Assets Professional C Acc in GB</v>
      </c>
      <c r="C3011" t="str">
        <f>VLOOKUP(NoviaFunds[[#This Row],[ISIN]],'Novia Web Query'!$A:$E,3,FALSE)</f>
        <v>UT UK All Companies</v>
      </c>
      <c r="D3011" s="139">
        <f>VLOOKUP(NoviaFunds[[#This Row],[ISIN]],'Novia Web Query'!$A:$E,4,FALSE)/100</f>
        <v>9.0000000000000011E-3</v>
      </c>
      <c r="E3011" s="3" t="str">
        <f>VLOOKUP(NoviaFunds[[#This Row],[ISIN]],'Novia Web Query'!$A:$E,5,FALSE)</f>
        <v>28/02/2021</v>
      </c>
      <c r="F3011" t="str">
        <f>VLOOKUP(NoviaFunds[[#This Row],[Sector]],Sectors[],2,FALSE)</f>
        <v>UK Equities</v>
      </c>
    </row>
    <row r="3012" spans="1:6" x14ac:dyDescent="0.2">
      <c r="A3012" t="str">
        <f>'Novia Web Query'!A3008</f>
        <v>GB00BFH3NB82</v>
      </c>
      <c r="B3012" t="str">
        <f>VLOOKUP(NoviaFunds[[#This Row],[ISIN]],'Novia Web Query'!$A:$E,2,FALSE)</f>
        <v>Man GLG Undervalued Assets Professional D Inc TR in GB</v>
      </c>
      <c r="C3012" t="str">
        <f>VLOOKUP(NoviaFunds[[#This Row],[ISIN]],'Novia Web Query'!$A:$E,3,FALSE)</f>
        <v>UT UK All Companies</v>
      </c>
      <c r="D3012" s="139">
        <f>VLOOKUP(NoviaFunds[[#This Row],[ISIN]],'Novia Web Query'!$A:$E,4,FALSE)/100</f>
        <v>9.0000000000000011E-3</v>
      </c>
      <c r="E3012" s="3" t="str">
        <f>VLOOKUP(NoviaFunds[[#This Row],[ISIN]],'Novia Web Query'!$A:$E,5,FALSE)</f>
        <v>28/02/2021</v>
      </c>
      <c r="F3012" t="str">
        <f>VLOOKUP(NoviaFunds[[#This Row],[Sector]],Sectors[],2,FALSE)</f>
        <v>UK Equities</v>
      </c>
    </row>
    <row r="3013" spans="1:6" x14ac:dyDescent="0.2">
      <c r="A3013" t="str">
        <f>'Novia Web Query'!A3009</f>
        <v>GB0007021685</v>
      </c>
      <c r="B3013" t="str">
        <f>VLOOKUP(NoviaFunds[[#This Row],[ISIN]],'Novia Web Query'!$A:$E,2,FALSE)</f>
        <v>Margetts International Strategy Acc in GB</v>
      </c>
      <c r="C3013" t="str">
        <f>VLOOKUP(NoviaFunds[[#This Row],[ISIN]],'Novia Web Query'!$A:$E,3,FALSE)</f>
        <v>UT Global</v>
      </c>
      <c r="D3013" s="139">
        <f>VLOOKUP(NoviaFunds[[#This Row],[ISIN]],'Novia Web Query'!$A:$E,4,FALSE)/100</f>
        <v>2.06E-2</v>
      </c>
      <c r="E3013" s="3" t="str">
        <f>VLOOKUP(NoviaFunds[[#This Row],[ISIN]],'Novia Web Query'!$A:$E,5,FALSE)</f>
        <v>31/01/2021</v>
      </c>
      <c r="F3013" t="str">
        <f>VLOOKUP(NoviaFunds[[#This Row],[Sector]],Sectors[],2,FALSE)</f>
        <v>Other Equities</v>
      </c>
    </row>
    <row r="3014" spans="1:6" x14ac:dyDescent="0.2">
      <c r="A3014" t="str">
        <f>'Novia Web Query'!A3010</f>
        <v>GB00B8FN1Z15</v>
      </c>
      <c r="B3014" t="str">
        <f>VLOOKUP(NoviaFunds[[#This Row],[ISIN]],'Novia Web Query'!$A:$E,2,FALSE)</f>
        <v>Margetts International Strategy R Acc in GB</v>
      </c>
      <c r="C3014" t="str">
        <f>VLOOKUP(NoviaFunds[[#This Row],[ISIN]],'Novia Web Query'!$A:$E,3,FALSE)</f>
        <v>UT Global</v>
      </c>
      <c r="D3014" s="139">
        <f>VLOOKUP(NoviaFunds[[#This Row],[ISIN]],'Novia Web Query'!$A:$E,4,FALSE)/100</f>
        <v>1.2800000000000001E-2</v>
      </c>
      <c r="E3014" s="3" t="str">
        <f>VLOOKUP(NoviaFunds[[#This Row],[ISIN]],'Novia Web Query'!$A:$E,5,FALSE)</f>
        <v>31/01/2021</v>
      </c>
      <c r="F3014" t="str">
        <f>VLOOKUP(NoviaFunds[[#This Row],[Sector]],Sectors[],2,FALSE)</f>
        <v>Other Equities</v>
      </c>
    </row>
    <row r="3015" spans="1:6" x14ac:dyDescent="0.2">
      <c r="A3015" t="str">
        <f>'Novia Web Query'!A3011</f>
        <v>GB00B7HJSF95</v>
      </c>
      <c r="B3015" t="str">
        <f>VLOOKUP(NoviaFunds[[#This Row],[ISIN]],'Novia Web Query'!$A:$E,2,FALSE)</f>
        <v>Margetts MGTS Sentinel Enterprise B Acc in GB</v>
      </c>
      <c r="C3015" t="str">
        <f>VLOOKUP(NoviaFunds[[#This Row],[ISIN]],'Novia Web Query'!$A:$E,3,FALSE)</f>
        <v>UT Flexible Investment</v>
      </c>
      <c r="D3015" s="139">
        <f>VLOOKUP(NoviaFunds[[#This Row],[ISIN]],'Novia Web Query'!$A:$E,4,FALSE)/100</f>
        <v>8.1000000000000013E-3</v>
      </c>
      <c r="E3015" s="3" t="str">
        <f>VLOOKUP(NoviaFunds[[#This Row],[ISIN]],'Novia Web Query'!$A:$E,5,FALSE)</f>
        <v>31/01/2021</v>
      </c>
      <c r="F3015" t="str">
        <f>VLOOKUP(NoviaFunds[[#This Row],[Sector]],Sectors[],2,FALSE)</f>
        <v>Flexible</v>
      </c>
    </row>
    <row r="3016" spans="1:6" x14ac:dyDescent="0.2">
      <c r="A3016" t="str">
        <f>'Novia Web Query'!A3012</f>
        <v>GB0032469974</v>
      </c>
      <c r="B3016" t="str">
        <f>VLOOKUP(NoviaFunds[[#This Row],[ISIN]],'Novia Web Query'!$A:$E,2,FALSE)</f>
        <v>Margetts Opes Growth Acc in GB</v>
      </c>
      <c r="C3016" t="str">
        <f>VLOOKUP(NoviaFunds[[#This Row],[ISIN]],'Novia Web Query'!$A:$E,3,FALSE)</f>
        <v>UT Global</v>
      </c>
      <c r="D3016" s="139">
        <f>VLOOKUP(NoviaFunds[[#This Row],[ISIN]],'Novia Web Query'!$A:$E,4,FALSE)/100</f>
        <v>2.2000000000000002E-2</v>
      </c>
      <c r="E3016" s="3" t="str">
        <f>VLOOKUP(NoviaFunds[[#This Row],[ISIN]],'Novia Web Query'!$A:$E,5,FALSE)</f>
        <v>31/01/2021</v>
      </c>
      <c r="F3016" t="str">
        <f>VLOOKUP(NoviaFunds[[#This Row],[Sector]],Sectors[],2,FALSE)</f>
        <v>Other Equities</v>
      </c>
    </row>
    <row r="3017" spans="1:6" x14ac:dyDescent="0.2">
      <c r="A3017" t="str">
        <f>'Novia Web Query'!A3013</f>
        <v>GB00B4XW1411</v>
      </c>
      <c r="B3017" t="str">
        <f>VLOOKUP(NoviaFunds[[#This Row],[ISIN]],'Novia Web Query'!$A:$E,2,FALSE)</f>
        <v>Margetts Opes Growth R Acc in GB</v>
      </c>
      <c r="C3017" t="str">
        <f>VLOOKUP(NoviaFunds[[#This Row],[ISIN]],'Novia Web Query'!$A:$E,3,FALSE)</f>
        <v>UT Global</v>
      </c>
      <c r="D3017" s="139">
        <f>VLOOKUP(NoviaFunds[[#This Row],[ISIN]],'Novia Web Query'!$A:$E,4,FALSE)/100</f>
        <v>1.44E-2</v>
      </c>
      <c r="E3017" s="3" t="str">
        <f>VLOOKUP(NoviaFunds[[#This Row],[ISIN]],'Novia Web Query'!$A:$E,5,FALSE)</f>
        <v>02/11/2021</v>
      </c>
      <c r="F3017" t="str">
        <f>VLOOKUP(NoviaFunds[[#This Row],[Sector]],Sectors[],2,FALSE)</f>
        <v>Other Equities</v>
      </c>
    </row>
    <row r="3018" spans="1:6" x14ac:dyDescent="0.2">
      <c r="A3018" t="str">
        <f>'Novia Web Query'!A3014</f>
        <v>GB0032469867</v>
      </c>
      <c r="B3018" t="str">
        <f>VLOOKUP(NoviaFunds[[#This Row],[ISIN]],'Novia Web Query'!$A:$E,2,FALSE)</f>
        <v>Margetts Opes Income Acc in GB</v>
      </c>
      <c r="C3018" t="str">
        <f>VLOOKUP(NoviaFunds[[#This Row],[ISIN]],'Novia Web Query'!$A:$E,3,FALSE)</f>
        <v>UT Flexible Investment</v>
      </c>
      <c r="D3018" s="139">
        <f>VLOOKUP(NoviaFunds[[#This Row],[ISIN]],'Novia Web Query'!$A:$E,4,FALSE)/100</f>
        <v>2.1400000000000002E-2</v>
      </c>
      <c r="E3018" s="3" t="str">
        <f>VLOOKUP(NoviaFunds[[#This Row],[ISIN]],'Novia Web Query'!$A:$E,5,FALSE)</f>
        <v>31/01/2021</v>
      </c>
      <c r="F3018" t="str">
        <f>VLOOKUP(NoviaFunds[[#This Row],[Sector]],Sectors[],2,FALSE)</f>
        <v>Flexible</v>
      </c>
    </row>
    <row r="3019" spans="1:6" x14ac:dyDescent="0.2">
      <c r="A3019" t="str">
        <f>'Novia Web Query'!A3015</f>
        <v>GB0032469750</v>
      </c>
      <c r="B3019" t="str">
        <f>VLOOKUP(NoviaFunds[[#This Row],[ISIN]],'Novia Web Query'!$A:$E,2,FALSE)</f>
        <v>Margetts Opes Income Inc TR in GB</v>
      </c>
      <c r="C3019" t="str">
        <f>VLOOKUP(NoviaFunds[[#This Row],[ISIN]],'Novia Web Query'!$A:$E,3,FALSE)</f>
        <v>UT Flexible Investment</v>
      </c>
      <c r="D3019" s="139">
        <f>VLOOKUP(NoviaFunds[[#This Row],[ISIN]],'Novia Web Query'!$A:$E,4,FALSE)/100</f>
        <v>2.1400000000000002E-2</v>
      </c>
      <c r="E3019" s="3" t="str">
        <f>VLOOKUP(NoviaFunds[[#This Row],[ISIN]],'Novia Web Query'!$A:$E,5,FALSE)</f>
        <v>31/01/2021</v>
      </c>
      <c r="F3019" t="str">
        <f>VLOOKUP(NoviaFunds[[#This Row],[Sector]],Sectors[],2,FALSE)</f>
        <v>Flexible</v>
      </c>
    </row>
    <row r="3020" spans="1:6" x14ac:dyDescent="0.2">
      <c r="A3020" t="str">
        <f>'Novia Web Query'!A3016</f>
        <v>GB00B8K7MQ61</v>
      </c>
      <c r="B3020" t="str">
        <f>VLOOKUP(NoviaFunds[[#This Row],[ISIN]],'Novia Web Query'!$A:$E,2,FALSE)</f>
        <v>Margetts Opes Income R Acc in GB</v>
      </c>
      <c r="C3020" t="str">
        <f>VLOOKUP(NoviaFunds[[#This Row],[ISIN]],'Novia Web Query'!$A:$E,3,FALSE)</f>
        <v>UT Flexible Investment</v>
      </c>
      <c r="D3020" s="139">
        <f>VLOOKUP(NoviaFunds[[#This Row],[ISIN]],'Novia Web Query'!$A:$E,4,FALSE)/100</f>
        <v>1.34E-2</v>
      </c>
      <c r="E3020" s="3" t="str">
        <f>VLOOKUP(NoviaFunds[[#This Row],[ISIN]],'Novia Web Query'!$A:$E,5,FALSE)</f>
        <v>02/11/2021</v>
      </c>
      <c r="F3020" t="str">
        <f>VLOOKUP(NoviaFunds[[#This Row],[Sector]],Sectors[],2,FALSE)</f>
        <v>Flexible</v>
      </c>
    </row>
    <row r="3021" spans="1:6" x14ac:dyDescent="0.2">
      <c r="A3021" t="str">
        <f>'Novia Web Query'!A3017</f>
        <v>GB00B83VP222</v>
      </c>
      <c r="B3021" t="str">
        <f>VLOOKUP(NoviaFunds[[#This Row],[ISIN]],'Novia Web Query'!$A:$E,2,FALSE)</f>
        <v>Margetts Opes Income R Inc TR in GB</v>
      </c>
      <c r="C3021" t="str">
        <f>VLOOKUP(NoviaFunds[[#This Row],[ISIN]],'Novia Web Query'!$A:$E,3,FALSE)</f>
        <v>UT Flexible Investment</v>
      </c>
      <c r="D3021" s="139">
        <f>VLOOKUP(NoviaFunds[[#This Row],[ISIN]],'Novia Web Query'!$A:$E,4,FALSE)/100</f>
        <v>1.34E-2</v>
      </c>
      <c r="E3021" s="3" t="str">
        <f>VLOOKUP(NoviaFunds[[#This Row],[ISIN]],'Novia Web Query'!$A:$E,5,FALSE)</f>
        <v>02/11/2021</v>
      </c>
      <c r="F3021" t="str">
        <f>VLOOKUP(NoviaFunds[[#This Row],[Sector]],Sectors[],2,FALSE)</f>
        <v>Flexible</v>
      </c>
    </row>
    <row r="3022" spans="1:6" x14ac:dyDescent="0.2">
      <c r="A3022" t="str">
        <f>'Novia Web Query'!A3018</f>
        <v>GB0007938490</v>
      </c>
      <c r="B3022" t="str">
        <f>VLOOKUP(NoviaFunds[[#This Row],[ISIN]],'Novia Web Query'!$A:$E,2,FALSE)</f>
        <v>Margetts Providence Strategy Acc in GB</v>
      </c>
      <c r="C3022" t="str">
        <f>VLOOKUP(NoviaFunds[[#This Row],[ISIN]],'Novia Web Query'!$A:$E,3,FALSE)</f>
        <v>UT Mixed Investment 20-60% Shares</v>
      </c>
      <c r="D3022" s="139">
        <f>VLOOKUP(NoviaFunds[[#This Row],[ISIN]],'Novia Web Query'!$A:$E,4,FALSE)/100</f>
        <v>2.0299999999999999E-2</v>
      </c>
      <c r="E3022" s="3" t="str">
        <f>VLOOKUP(NoviaFunds[[#This Row],[ISIN]],'Novia Web Query'!$A:$E,5,FALSE)</f>
        <v>31/01/2021</v>
      </c>
      <c r="F3022" t="str">
        <f>VLOOKUP(NoviaFunds[[#This Row],[Sector]],Sectors[],2,FALSE)</f>
        <v>Mixed 20%-60%</v>
      </c>
    </row>
    <row r="3023" spans="1:6" x14ac:dyDescent="0.2">
      <c r="A3023" t="str">
        <f>'Novia Web Query'!A3019</f>
        <v>GB0007938276</v>
      </c>
      <c r="B3023" t="str">
        <f>VLOOKUP(NoviaFunds[[#This Row],[ISIN]],'Novia Web Query'!$A:$E,2,FALSE)</f>
        <v>Margetts Providence Strategy Inc TR in GB</v>
      </c>
      <c r="C3023" t="str">
        <f>VLOOKUP(NoviaFunds[[#This Row],[ISIN]],'Novia Web Query'!$A:$E,3,FALSE)</f>
        <v>UT Mixed Investment 20-60% Shares</v>
      </c>
      <c r="D3023" s="139">
        <f>VLOOKUP(NoviaFunds[[#This Row],[ISIN]],'Novia Web Query'!$A:$E,4,FALSE)/100</f>
        <v>2.0299999999999999E-2</v>
      </c>
      <c r="E3023" s="3" t="str">
        <f>VLOOKUP(NoviaFunds[[#This Row],[ISIN]],'Novia Web Query'!$A:$E,5,FALSE)</f>
        <v>31/01/2021</v>
      </c>
      <c r="F3023" t="str">
        <f>VLOOKUP(NoviaFunds[[#This Row],[Sector]],Sectors[],2,FALSE)</f>
        <v>Mixed 20%-60%</v>
      </c>
    </row>
    <row r="3024" spans="1:6" x14ac:dyDescent="0.2">
      <c r="A3024" t="str">
        <f>'Novia Web Query'!A3020</f>
        <v>GB00B4VR6328</v>
      </c>
      <c r="B3024" t="str">
        <f>VLOOKUP(NoviaFunds[[#This Row],[ISIN]],'Novia Web Query'!$A:$E,2,FALSE)</f>
        <v>Margetts Providence Strategy R Acc in GB</v>
      </c>
      <c r="C3024" t="str">
        <f>VLOOKUP(NoviaFunds[[#This Row],[ISIN]],'Novia Web Query'!$A:$E,3,FALSE)</f>
        <v>UT Mixed Investment 20-60% Shares</v>
      </c>
      <c r="D3024" s="139">
        <f>VLOOKUP(NoviaFunds[[#This Row],[ISIN]],'Novia Web Query'!$A:$E,4,FALSE)/100</f>
        <v>1.2500000000000001E-2</v>
      </c>
      <c r="E3024" s="3" t="str">
        <f>VLOOKUP(NoviaFunds[[#This Row],[ISIN]],'Novia Web Query'!$A:$E,5,FALSE)</f>
        <v>31/01/2021</v>
      </c>
      <c r="F3024" t="str">
        <f>VLOOKUP(NoviaFunds[[#This Row],[Sector]],Sectors[],2,FALSE)</f>
        <v>Mixed 20%-60%</v>
      </c>
    </row>
    <row r="3025" spans="1:6" x14ac:dyDescent="0.2">
      <c r="A3025" t="str">
        <f>'Novia Web Query'!A3021</f>
        <v>GB00B7TRY424</v>
      </c>
      <c r="B3025" t="str">
        <f>VLOOKUP(NoviaFunds[[#This Row],[ISIN]],'Novia Web Query'!$A:$E,2,FALSE)</f>
        <v>Margetts Providence Strategy R Inc TR in GB</v>
      </c>
      <c r="C3025" t="str">
        <f>VLOOKUP(NoviaFunds[[#This Row],[ISIN]],'Novia Web Query'!$A:$E,3,FALSE)</f>
        <v>UT Mixed Investment 20-60% Shares</v>
      </c>
      <c r="D3025" s="139">
        <f>VLOOKUP(NoviaFunds[[#This Row],[ISIN]],'Novia Web Query'!$A:$E,4,FALSE)/100</f>
        <v>1.2500000000000001E-2</v>
      </c>
      <c r="E3025" s="3" t="str">
        <f>VLOOKUP(NoviaFunds[[#This Row],[ISIN]],'Novia Web Query'!$A:$E,5,FALSE)</f>
        <v>31/01/2021</v>
      </c>
      <c r="F3025" t="str">
        <f>VLOOKUP(NoviaFunds[[#This Row],[Sector]],Sectors[],2,FALSE)</f>
        <v>Mixed 20%-60%</v>
      </c>
    </row>
    <row r="3026" spans="1:6" x14ac:dyDescent="0.2">
      <c r="A3026" t="str">
        <f>'Novia Web Query'!A3022</f>
        <v>GB00BJ7JPB83</v>
      </c>
      <c r="B3026" t="str">
        <f>VLOOKUP(NoviaFunds[[#This Row],[ISIN]],'Novia Web Query'!$A:$E,2,FALSE)</f>
        <v>Margetts Providence Strategy S Acc in GB</v>
      </c>
      <c r="C3026" t="str">
        <f>VLOOKUP(NoviaFunds[[#This Row],[ISIN]],'Novia Web Query'!$A:$E,3,FALSE)</f>
        <v>UT Mixed Investment 20-60% Shares</v>
      </c>
      <c r="D3026" s="139">
        <f>VLOOKUP(NoviaFunds[[#This Row],[ISIN]],'Novia Web Query'!$A:$E,4,FALSE)/100</f>
        <v>8.5000000000000006E-3</v>
      </c>
      <c r="E3026" s="3" t="str">
        <f>VLOOKUP(NoviaFunds[[#This Row],[ISIN]],'Novia Web Query'!$A:$E,5,FALSE)</f>
        <v>31/01/2021</v>
      </c>
      <c r="F3026" t="str">
        <f>VLOOKUP(NoviaFunds[[#This Row],[Sector]],Sectors[],2,FALSE)</f>
        <v>Mixed 20%-60%</v>
      </c>
    </row>
    <row r="3027" spans="1:6" x14ac:dyDescent="0.2">
      <c r="A3027" t="str">
        <f>'Novia Web Query'!A3023</f>
        <v>GB0006584097</v>
      </c>
      <c r="B3027" t="str">
        <f>VLOOKUP(NoviaFunds[[#This Row],[ISIN]],'Novia Web Query'!$A:$E,2,FALSE)</f>
        <v>Margetts Select Strategy Acc in GB</v>
      </c>
      <c r="C3027" t="str">
        <f>VLOOKUP(NoviaFunds[[#This Row],[ISIN]],'Novia Web Query'!$A:$E,3,FALSE)</f>
        <v>UT Mixed Investment 40-85% Shares</v>
      </c>
      <c r="D3027" s="139">
        <f>VLOOKUP(NoviaFunds[[#This Row],[ISIN]],'Novia Web Query'!$A:$E,4,FALSE)/100</f>
        <v>2.0400000000000001E-2</v>
      </c>
      <c r="E3027" s="3" t="str">
        <f>VLOOKUP(NoviaFunds[[#This Row],[ISIN]],'Novia Web Query'!$A:$E,5,FALSE)</f>
        <v>31/01/2021</v>
      </c>
      <c r="F3027" t="str">
        <f>VLOOKUP(NoviaFunds[[#This Row],[Sector]],Sectors[],2,FALSE)</f>
        <v>Mixed 40%-85%</v>
      </c>
    </row>
    <row r="3028" spans="1:6" x14ac:dyDescent="0.2">
      <c r="A3028" t="str">
        <f>'Novia Web Query'!A3024</f>
        <v>GB00B8K0B575</v>
      </c>
      <c r="B3028" t="str">
        <f>VLOOKUP(NoviaFunds[[#This Row],[ISIN]],'Novia Web Query'!$A:$E,2,FALSE)</f>
        <v>Margetts Select Strategy R Acc in GB</v>
      </c>
      <c r="C3028" t="str">
        <f>VLOOKUP(NoviaFunds[[#This Row],[ISIN]],'Novia Web Query'!$A:$E,3,FALSE)</f>
        <v>UT Mixed Investment 40-85% Shares</v>
      </c>
      <c r="D3028" s="139">
        <f>VLOOKUP(NoviaFunds[[#This Row],[ISIN]],'Novia Web Query'!$A:$E,4,FALSE)/100</f>
        <v>1.26E-2</v>
      </c>
      <c r="E3028" s="3" t="str">
        <f>VLOOKUP(NoviaFunds[[#This Row],[ISIN]],'Novia Web Query'!$A:$E,5,FALSE)</f>
        <v>31/01/2021</v>
      </c>
      <c r="F3028" t="str">
        <f>VLOOKUP(NoviaFunds[[#This Row],[Sector]],Sectors[],2,FALSE)</f>
        <v>Mixed 40%-85%</v>
      </c>
    </row>
    <row r="3029" spans="1:6" x14ac:dyDescent="0.2">
      <c r="A3029" t="str">
        <f>'Novia Web Query'!A3025</f>
        <v>GB0007938383</v>
      </c>
      <c r="B3029" t="str">
        <f>VLOOKUP(NoviaFunds[[#This Row],[ISIN]],'Novia Web Query'!$A:$E,2,FALSE)</f>
        <v>Margetts Venture Strategy Acc in GB</v>
      </c>
      <c r="C3029" t="str">
        <f>VLOOKUP(NoviaFunds[[#This Row],[ISIN]],'Novia Web Query'!$A:$E,3,FALSE)</f>
        <v>UT Flexible Investment</v>
      </c>
      <c r="D3029" s="139">
        <f>VLOOKUP(NoviaFunds[[#This Row],[ISIN]],'Novia Web Query'!$A:$E,4,FALSE)/100</f>
        <v>2.12E-2</v>
      </c>
      <c r="E3029" s="3" t="str">
        <f>VLOOKUP(NoviaFunds[[#This Row],[ISIN]],'Novia Web Query'!$A:$E,5,FALSE)</f>
        <v>31/01/2021</v>
      </c>
      <c r="F3029" t="str">
        <f>VLOOKUP(NoviaFunds[[#This Row],[Sector]],Sectors[],2,FALSE)</f>
        <v>Flexible</v>
      </c>
    </row>
    <row r="3030" spans="1:6" x14ac:dyDescent="0.2">
      <c r="A3030" t="str">
        <f>'Novia Web Query'!A3026</f>
        <v>GB00B6VBDR16</v>
      </c>
      <c r="B3030" t="str">
        <f>VLOOKUP(NoviaFunds[[#This Row],[ISIN]],'Novia Web Query'!$A:$E,2,FALSE)</f>
        <v>Margetts Venture Strategy R Acc in GB</v>
      </c>
      <c r="C3030" t="str">
        <f>VLOOKUP(NoviaFunds[[#This Row],[ISIN]],'Novia Web Query'!$A:$E,3,FALSE)</f>
        <v>UT Flexible Investment</v>
      </c>
      <c r="D3030" s="139">
        <f>VLOOKUP(NoviaFunds[[#This Row],[ISIN]],'Novia Web Query'!$A:$E,4,FALSE)/100</f>
        <v>1.34E-2</v>
      </c>
      <c r="E3030" s="3" t="str">
        <f>VLOOKUP(NoviaFunds[[#This Row],[ISIN]],'Novia Web Query'!$A:$E,5,FALSE)</f>
        <v>31/01/2021</v>
      </c>
      <c r="F3030" t="str">
        <f>VLOOKUP(NoviaFunds[[#This Row],[Sector]],Sectors[],2,FALSE)</f>
        <v>Flexible</v>
      </c>
    </row>
    <row r="3031" spans="1:6" x14ac:dyDescent="0.2">
      <c r="A3031" t="str">
        <f>'Novia Web Query'!A3027</f>
        <v>GB00B7RRJ163</v>
      </c>
      <c r="B3031" t="str">
        <f>VLOOKUP(NoviaFunds[[#This Row],[ISIN]],'Novia Web Query'!$A:$E,2,FALSE)</f>
        <v>McInroy &amp; Wood Balanced Personal TR in GB</v>
      </c>
      <c r="C3031" t="str">
        <f>VLOOKUP(NoviaFunds[[#This Row],[ISIN]],'Novia Web Query'!$A:$E,3,FALSE)</f>
        <v>UT Mixed Investment 40-85% Shares</v>
      </c>
      <c r="D3031" s="139">
        <f>VLOOKUP(NoviaFunds[[#This Row],[ISIN]],'Novia Web Query'!$A:$E,4,FALSE)/100</f>
        <v>1.15E-2</v>
      </c>
      <c r="E3031" s="3" t="str">
        <f>VLOOKUP(NoviaFunds[[#This Row],[ISIN]],'Novia Web Query'!$A:$E,5,FALSE)</f>
        <v>10/10/2019</v>
      </c>
      <c r="F3031" t="str">
        <f>VLOOKUP(NoviaFunds[[#This Row],[Sector]],Sectors[],2,FALSE)</f>
        <v>Mixed 40%-85%</v>
      </c>
    </row>
    <row r="3032" spans="1:6" x14ac:dyDescent="0.2">
      <c r="A3032" t="str">
        <f>'Novia Web Query'!A3028</f>
        <v>GB00B7SKS407</v>
      </c>
      <c r="B3032" t="str">
        <f>VLOOKUP(NoviaFunds[[#This Row],[ISIN]],'Novia Web Query'!$A:$E,2,FALSE)</f>
        <v>McInroy &amp; Wood Emerging Markets Personal TR in GB</v>
      </c>
      <c r="C3032" t="str">
        <f>VLOOKUP(NoviaFunds[[#This Row],[ISIN]],'Novia Web Query'!$A:$E,3,FALSE)</f>
        <v>UT Specialist</v>
      </c>
      <c r="D3032" s="139">
        <f>VLOOKUP(NoviaFunds[[#This Row],[ISIN]],'Novia Web Query'!$A:$E,4,FALSE)/100</f>
        <v>1.29E-2</v>
      </c>
      <c r="E3032" s="3" t="str">
        <f>VLOOKUP(NoviaFunds[[#This Row],[ISIN]],'Novia Web Query'!$A:$E,5,FALSE)</f>
        <v>10/10/2019</v>
      </c>
      <c r="F3032" t="str">
        <f>VLOOKUP(NoviaFunds[[#This Row],[Sector]],Sectors[],2,FALSE)</f>
        <v>Specialist</v>
      </c>
    </row>
    <row r="3033" spans="1:6" x14ac:dyDescent="0.2">
      <c r="A3033" t="str">
        <f>'Novia Web Query'!A3029</f>
        <v>GB00B8KQRW41</v>
      </c>
      <c r="B3033" t="str">
        <f>VLOOKUP(NoviaFunds[[#This Row],[ISIN]],'Novia Web Query'!$A:$E,2,FALSE)</f>
        <v>McInroy &amp; Wood Income Personal TR in GB</v>
      </c>
      <c r="C3033" t="str">
        <f>VLOOKUP(NoviaFunds[[#This Row],[ISIN]],'Novia Web Query'!$A:$E,3,FALSE)</f>
        <v>UT Mixed Investment 40-85% Shares</v>
      </c>
      <c r="D3033" s="139">
        <f>VLOOKUP(NoviaFunds[[#This Row],[ISIN]],'Novia Web Query'!$A:$E,4,FALSE)/100</f>
        <v>1.1399999999999999E-2</v>
      </c>
      <c r="E3033" s="3" t="str">
        <f>VLOOKUP(NoviaFunds[[#This Row],[ISIN]],'Novia Web Query'!$A:$E,5,FALSE)</f>
        <v>10/10/2019</v>
      </c>
      <c r="F3033" t="str">
        <f>VLOOKUP(NoviaFunds[[#This Row],[Sector]],Sectors[],2,FALSE)</f>
        <v>Mixed 40%-85%</v>
      </c>
    </row>
    <row r="3034" spans="1:6" x14ac:dyDescent="0.2">
      <c r="A3034" t="str">
        <f>'Novia Web Query'!A3030</f>
        <v>GB00B8NC4D98</v>
      </c>
      <c r="B3034" t="str">
        <f>VLOOKUP(NoviaFunds[[#This Row],[ISIN]],'Novia Web Query'!$A:$E,2,FALSE)</f>
        <v>McInroy &amp; Wood Smaller Companies Personal TR in GB</v>
      </c>
      <c r="C3034" t="str">
        <f>VLOOKUP(NoviaFunds[[#This Row],[ISIN]],'Novia Web Query'!$A:$E,3,FALSE)</f>
        <v>UT Global</v>
      </c>
      <c r="D3034" s="139">
        <f>VLOOKUP(NoviaFunds[[#This Row],[ISIN]],'Novia Web Query'!$A:$E,4,FALSE)/100</f>
        <v>1.15E-2</v>
      </c>
      <c r="E3034" s="3" t="str">
        <f>VLOOKUP(NoviaFunds[[#This Row],[ISIN]],'Novia Web Query'!$A:$E,5,FALSE)</f>
        <v>10/10/2019</v>
      </c>
      <c r="F3034" t="str">
        <f>VLOOKUP(NoviaFunds[[#This Row],[Sector]],Sectors[],2,FALSE)</f>
        <v>Other Equities</v>
      </c>
    </row>
    <row r="3035" spans="1:6" x14ac:dyDescent="0.2">
      <c r="A3035" t="str">
        <f>'Novia Web Query'!A3031</f>
        <v>GB00B1XG9045</v>
      </c>
      <c r="B3035" t="str">
        <f>VLOOKUP(NoviaFunds[[#This Row],[ISIN]],'Novia Web Query'!$A:$E,2,FALSE)</f>
        <v>Merian UK Equity Income I Acc GBP in GB</v>
      </c>
      <c r="C3035" t="str">
        <f>VLOOKUP(NoviaFunds[[#This Row],[ISIN]],'Novia Web Query'!$A:$E,3,FALSE)</f>
        <v>UT UK Equity Income</v>
      </c>
      <c r="D3035" s="139">
        <f>VLOOKUP(NoviaFunds[[#This Row],[ISIN]],'Novia Web Query'!$A:$E,4,FALSE)/100</f>
        <v>9.0000000000000011E-3</v>
      </c>
      <c r="E3035" s="3" t="str">
        <f>VLOOKUP(NoviaFunds[[#This Row],[ISIN]],'Novia Web Query'!$A:$E,5,FALSE)</f>
        <v>30/09/2020</v>
      </c>
      <c r="F3035" t="str">
        <f>VLOOKUP(NoviaFunds[[#This Row],[Sector]],Sectors[],2,FALSE)</f>
        <v>UK Equities</v>
      </c>
    </row>
    <row r="3036" spans="1:6" x14ac:dyDescent="0.2">
      <c r="A3036" t="str">
        <f>'Novia Web Query'!A3032</f>
        <v>GB00B1XG9151</v>
      </c>
      <c r="B3036" t="str">
        <f>VLOOKUP(NoviaFunds[[#This Row],[ISIN]],'Novia Web Query'!$A:$E,2,FALSE)</f>
        <v>Merian UK Equity Income I Inc GBP TR in GB</v>
      </c>
      <c r="C3036" t="str">
        <f>VLOOKUP(NoviaFunds[[#This Row],[ISIN]],'Novia Web Query'!$A:$E,3,FALSE)</f>
        <v>UT UK Equity Income</v>
      </c>
      <c r="D3036" s="139">
        <f>VLOOKUP(NoviaFunds[[#This Row],[ISIN]],'Novia Web Query'!$A:$E,4,FALSE)/100</f>
        <v>9.0000000000000011E-3</v>
      </c>
      <c r="E3036" s="3" t="str">
        <f>VLOOKUP(NoviaFunds[[#This Row],[ISIN]],'Novia Web Query'!$A:$E,5,FALSE)</f>
        <v>30/09/2020</v>
      </c>
      <c r="F3036" t="str">
        <f>VLOOKUP(NoviaFunds[[#This Row],[Sector]],Sectors[],2,FALSE)</f>
        <v>UK Equities</v>
      </c>
    </row>
    <row r="3037" spans="1:6" x14ac:dyDescent="0.2">
      <c r="A3037" t="str">
        <f>'Novia Web Query'!A3033</f>
        <v>GB00B1XG7551</v>
      </c>
      <c r="B3037" t="str">
        <f>VLOOKUP(NoviaFunds[[#This Row],[ISIN]],'Novia Web Query'!$A:$E,2,FALSE)</f>
        <v>Merian UK Equity Income L Acc GBP in GB</v>
      </c>
      <c r="C3037" t="str">
        <f>VLOOKUP(NoviaFunds[[#This Row],[ISIN]],'Novia Web Query'!$A:$E,3,FALSE)</f>
        <v>UT UK Equity Income</v>
      </c>
      <c r="D3037" s="139">
        <f>VLOOKUP(NoviaFunds[[#This Row],[ISIN]],'Novia Web Query'!$A:$E,4,FALSE)/100</f>
        <v>1.6500000000000001E-2</v>
      </c>
      <c r="E3037" s="3" t="str">
        <f>VLOOKUP(NoviaFunds[[#This Row],[ISIN]],'Novia Web Query'!$A:$E,5,FALSE)</f>
        <v>30/09/2020</v>
      </c>
      <c r="F3037" t="str">
        <f>VLOOKUP(NoviaFunds[[#This Row],[Sector]],Sectors[],2,FALSE)</f>
        <v>UK Equities</v>
      </c>
    </row>
    <row r="3038" spans="1:6" x14ac:dyDescent="0.2">
      <c r="A3038" t="str">
        <f>'Novia Web Query'!A3034</f>
        <v>GB00BYXGFX03</v>
      </c>
      <c r="B3038" t="str">
        <f>VLOOKUP(NoviaFunds[[#This Row],[ISIN]],'Novia Web Query'!$A:$E,2,FALSE)</f>
        <v>MGTS AFH DA Asia ex Japan Equity R in GB</v>
      </c>
      <c r="C3038" t="str">
        <f>VLOOKUP(NoviaFunds[[#This Row],[ISIN]],'Novia Web Query'!$A:$E,3,FALSE)</f>
        <v>UT Asia Pacific Excluding Japan</v>
      </c>
      <c r="D3038" s="139">
        <f>VLOOKUP(NoviaFunds[[#This Row],[ISIN]],'Novia Web Query'!$A:$E,4,FALSE)/100</f>
        <v>9.4999999999999998E-3</v>
      </c>
      <c r="E3038" s="3" t="str">
        <f>VLOOKUP(NoviaFunds[[#This Row],[ISIN]],'Novia Web Query'!$A:$E,5,FALSE)</f>
        <v>31/01/2021</v>
      </c>
      <c r="F3038" t="str">
        <f>VLOOKUP(NoviaFunds[[#This Row],[Sector]],Sectors[],2,FALSE)</f>
        <v>Asia Pacific</v>
      </c>
    </row>
    <row r="3039" spans="1:6" x14ac:dyDescent="0.2">
      <c r="A3039" t="str">
        <f>'Novia Web Query'!A3035</f>
        <v>GB00BYXG9P08</v>
      </c>
      <c r="B3039" t="str">
        <f>VLOOKUP(NoviaFunds[[#This Row],[ISIN]],'Novia Web Query'!$A:$E,2,FALSE)</f>
        <v>MGTS AFH DA European Equity R in GB</v>
      </c>
      <c r="C3039" t="str">
        <f>VLOOKUP(NoviaFunds[[#This Row],[ISIN]],'Novia Web Query'!$A:$E,3,FALSE)</f>
        <v>UT Europe Excluding UK</v>
      </c>
      <c r="D3039" s="139">
        <f>VLOOKUP(NoviaFunds[[#This Row],[ISIN]],'Novia Web Query'!$A:$E,4,FALSE)/100</f>
        <v>1.01E-2</v>
      </c>
      <c r="E3039" s="3" t="str">
        <f>VLOOKUP(NoviaFunds[[#This Row],[ISIN]],'Novia Web Query'!$A:$E,5,FALSE)</f>
        <v>31/01/2021</v>
      </c>
      <c r="F3039" t="str">
        <f>VLOOKUP(NoviaFunds[[#This Row],[Sector]],Sectors[],2,FALSE)</f>
        <v>European Equities</v>
      </c>
    </row>
    <row r="3040" spans="1:6" x14ac:dyDescent="0.2">
      <c r="A3040" t="str">
        <f>'Novia Web Query'!A3036</f>
        <v>GB00BYXG9R22</v>
      </c>
      <c r="B3040" t="str">
        <f>VLOOKUP(NoviaFunds[[#This Row],[ISIN]],'Novia Web Query'!$A:$E,2,FALSE)</f>
        <v>MGTS AFH DA Global Emerging Markets Equity R in GB</v>
      </c>
      <c r="C3040" t="str">
        <f>VLOOKUP(NoviaFunds[[#This Row],[ISIN]],'Novia Web Query'!$A:$E,3,FALSE)</f>
        <v>UT Global Emerging Markets</v>
      </c>
      <c r="D3040" s="139">
        <f>VLOOKUP(NoviaFunds[[#This Row],[ISIN]],'Novia Web Query'!$A:$E,4,FALSE)/100</f>
        <v>1.24E-2</v>
      </c>
      <c r="E3040" s="3" t="str">
        <f>VLOOKUP(NoviaFunds[[#This Row],[ISIN]],'Novia Web Query'!$A:$E,5,FALSE)</f>
        <v>31/01/2021</v>
      </c>
      <c r="F3040" t="str">
        <f>VLOOKUP(NoviaFunds[[#This Row],[Sector]],Sectors[],2,FALSE)</f>
        <v>Emerging Markets</v>
      </c>
    </row>
    <row r="3041" spans="1:6" x14ac:dyDescent="0.2">
      <c r="A3041" t="str">
        <f>'Novia Web Query'!A3037</f>
        <v>GB00BYXG9T46</v>
      </c>
      <c r="B3041" t="str">
        <f>VLOOKUP(NoviaFunds[[#This Row],[ISIN]],'Novia Web Query'!$A:$E,2,FALSE)</f>
        <v>MGTS AFH DA North American Equity R in GB</v>
      </c>
      <c r="C3041" t="str">
        <f>VLOOKUP(NoviaFunds[[#This Row],[ISIN]],'Novia Web Query'!$A:$E,3,FALSE)</f>
        <v>UT North America</v>
      </c>
      <c r="D3041" s="139">
        <f>VLOOKUP(NoviaFunds[[#This Row],[ISIN]],'Novia Web Query'!$A:$E,4,FALSE)/100</f>
        <v>9.3999999999999986E-3</v>
      </c>
      <c r="E3041" s="3" t="str">
        <f>VLOOKUP(NoviaFunds[[#This Row],[ISIN]],'Novia Web Query'!$A:$E,5,FALSE)</f>
        <v>31/01/2021</v>
      </c>
      <c r="F3041" t="str">
        <f>VLOOKUP(NoviaFunds[[#This Row],[Sector]],Sectors[],2,FALSE)</f>
        <v>USA Equities</v>
      </c>
    </row>
    <row r="3042" spans="1:6" x14ac:dyDescent="0.2">
      <c r="A3042" t="str">
        <f>'Novia Web Query'!A3038</f>
        <v>GB00BFMYTC97</v>
      </c>
      <c r="B3042" t="str">
        <f>VLOOKUP(NoviaFunds[[#This Row],[ISIN]],'Novia Web Query'!$A:$E,2,FALSE)</f>
        <v>MGTS AFH DA UK Alpha R in GB</v>
      </c>
      <c r="C3042" t="str">
        <f>VLOOKUP(NoviaFunds[[#This Row],[ISIN]],'Novia Web Query'!$A:$E,3,FALSE)</f>
        <v>UT UK All Companies</v>
      </c>
      <c r="D3042" s="139">
        <f>VLOOKUP(NoviaFunds[[#This Row],[ISIN]],'Novia Web Query'!$A:$E,4,FALSE)/100</f>
        <v>8.5000000000000006E-3</v>
      </c>
      <c r="E3042" s="3" t="str">
        <f>VLOOKUP(NoviaFunds[[#This Row],[ISIN]],'Novia Web Query'!$A:$E,5,FALSE)</f>
        <v>31/01/2021</v>
      </c>
      <c r="F3042" t="str">
        <f>VLOOKUP(NoviaFunds[[#This Row],[Sector]],Sectors[],2,FALSE)</f>
        <v>UK Equities</v>
      </c>
    </row>
    <row r="3043" spans="1:6" x14ac:dyDescent="0.2">
      <c r="A3043" t="str">
        <f>'Novia Web Query'!A3039</f>
        <v>GB00BKX8BB88</v>
      </c>
      <c r="B3043" t="str">
        <f>VLOOKUP(NoviaFunds[[#This Row],[ISIN]],'Novia Web Query'!$A:$E,2,FALSE)</f>
        <v>MGTS AFH DA UK Equity R Acc in GB</v>
      </c>
      <c r="C3043" t="str">
        <f>VLOOKUP(NoviaFunds[[#This Row],[ISIN]],'Novia Web Query'!$A:$E,3,FALSE)</f>
        <v>UT UK All Companies</v>
      </c>
      <c r="D3043" s="139">
        <f>VLOOKUP(NoviaFunds[[#This Row],[ISIN]],'Novia Web Query'!$A:$E,4,FALSE)/100</f>
        <v>8.5000000000000006E-3</v>
      </c>
      <c r="E3043" s="3" t="str">
        <f>VLOOKUP(NoviaFunds[[#This Row],[ISIN]],'Novia Web Query'!$A:$E,5,FALSE)</f>
        <v>31/01/2021</v>
      </c>
      <c r="F3043" t="str">
        <f>VLOOKUP(NoviaFunds[[#This Row],[Sector]],Sectors[],2,FALSE)</f>
        <v>UK Equities</v>
      </c>
    </row>
    <row r="3044" spans="1:6" x14ac:dyDescent="0.2">
      <c r="A3044" t="str">
        <f>'Novia Web Query'!A3040</f>
        <v>GB00BYXG9W74</v>
      </c>
      <c r="B3044" t="str">
        <f>VLOOKUP(NoviaFunds[[#This Row],[ISIN]],'Novia Web Query'!$A:$E,2,FALSE)</f>
        <v>MGTS AFH DA UK Multi-Cap Growth R in GB</v>
      </c>
      <c r="C3044" t="str">
        <f>VLOOKUP(NoviaFunds[[#This Row],[ISIN]],'Novia Web Query'!$A:$E,3,FALSE)</f>
        <v>UT UK All Companies</v>
      </c>
      <c r="D3044" s="139">
        <f>VLOOKUP(NoviaFunds[[#This Row],[ISIN]],'Novia Web Query'!$A:$E,4,FALSE)/100</f>
        <v>4.4000000000000003E-3</v>
      </c>
      <c r="E3044" s="3" t="str">
        <f>VLOOKUP(NoviaFunds[[#This Row],[ISIN]],'Novia Web Query'!$A:$E,5,FALSE)</f>
        <v>31/01/2021</v>
      </c>
      <c r="F3044" t="str">
        <f>VLOOKUP(NoviaFunds[[#This Row],[Sector]],Sectors[],2,FALSE)</f>
        <v>UK Equities</v>
      </c>
    </row>
    <row r="3045" spans="1:6" x14ac:dyDescent="0.2">
      <c r="A3045" t="str">
        <f>'Novia Web Query'!A3041</f>
        <v>GB00BYXG9Y98</v>
      </c>
      <c r="B3045" t="str">
        <f>VLOOKUP(NoviaFunds[[#This Row],[ISIN]],'Novia Web Query'!$A:$E,2,FALSE)</f>
        <v>MGTS AFH DA UK Smaller Companies R in GB</v>
      </c>
      <c r="C3045" t="str">
        <f>VLOOKUP(NoviaFunds[[#This Row],[ISIN]],'Novia Web Query'!$A:$E,3,FALSE)</f>
        <v>UT UK Smaller Companies</v>
      </c>
      <c r="D3045" s="139">
        <f>VLOOKUP(NoviaFunds[[#This Row],[ISIN]],'Novia Web Query'!$A:$E,4,FALSE)/100</f>
        <v>8.5000000000000006E-3</v>
      </c>
      <c r="E3045" s="3" t="str">
        <f>VLOOKUP(NoviaFunds[[#This Row],[ISIN]],'Novia Web Query'!$A:$E,5,FALSE)</f>
        <v>31/01/2021</v>
      </c>
      <c r="F3045" t="str">
        <f>VLOOKUP(NoviaFunds[[#This Row],[Sector]],Sectors[],2,FALSE)</f>
        <v>UK Equities</v>
      </c>
    </row>
    <row r="3046" spans="1:6" x14ac:dyDescent="0.2">
      <c r="A3046" t="str">
        <f>'Novia Web Query'!A3042</f>
        <v>GB00B5MGGT18</v>
      </c>
      <c r="B3046" t="str">
        <f>VLOOKUP(NoviaFunds[[#This Row],[ISIN]],'Novia Web Query'!$A:$E,2,FALSE)</f>
        <v>MGTS AFH Tactical Core Acc in GB</v>
      </c>
      <c r="C3046" t="str">
        <f>VLOOKUP(NoviaFunds[[#This Row],[ISIN]],'Novia Web Query'!$A:$E,3,FALSE)</f>
        <v>UT Unclassified</v>
      </c>
      <c r="D3046" s="139">
        <f>VLOOKUP(NoviaFunds[[#This Row],[ISIN]],'Novia Web Query'!$A:$E,4,FALSE)/100</f>
        <v>1.6500000000000001E-2</v>
      </c>
      <c r="E3046" s="3" t="str">
        <f>VLOOKUP(NoviaFunds[[#This Row],[ISIN]],'Novia Web Query'!$A:$E,5,FALSE)</f>
        <v>31/01/2021</v>
      </c>
      <c r="F3046" t="str">
        <f>VLOOKUP(NoviaFunds[[#This Row],[Sector]],Sectors[],2,FALSE)</f>
        <v>Unclassified</v>
      </c>
    </row>
    <row r="3047" spans="1:6" x14ac:dyDescent="0.2">
      <c r="A3047" t="str">
        <f>'Novia Web Query'!A3043</f>
        <v>GB00B5M92V43</v>
      </c>
      <c r="B3047" t="str">
        <f>VLOOKUP(NoviaFunds[[#This Row],[ISIN]],'Novia Web Query'!$A:$E,2,FALSE)</f>
        <v>MGTS AFH Tactical Core Inc TR in GB</v>
      </c>
      <c r="C3047" t="str">
        <f>VLOOKUP(NoviaFunds[[#This Row],[ISIN]],'Novia Web Query'!$A:$E,3,FALSE)</f>
        <v>UT Unclassified</v>
      </c>
      <c r="D3047" s="139">
        <f>VLOOKUP(NoviaFunds[[#This Row],[ISIN]],'Novia Web Query'!$A:$E,4,FALSE)/100</f>
        <v>1.6500000000000001E-2</v>
      </c>
      <c r="E3047" s="3" t="str">
        <f>VLOOKUP(NoviaFunds[[#This Row],[ISIN]],'Novia Web Query'!$A:$E,5,FALSE)</f>
        <v>31/01/2021</v>
      </c>
      <c r="F3047" t="str">
        <f>VLOOKUP(NoviaFunds[[#This Row],[Sector]],Sectors[],2,FALSE)</f>
        <v>Unclassified</v>
      </c>
    </row>
    <row r="3048" spans="1:6" x14ac:dyDescent="0.2">
      <c r="A3048" t="str">
        <f>'Novia Web Query'!A3044</f>
        <v>GB00B8KTVT88</v>
      </c>
      <c r="B3048" t="str">
        <f>VLOOKUP(NoviaFunds[[#This Row],[ISIN]],'Novia Web Query'!$A:$E,2,FALSE)</f>
        <v>MGTS AFH Tactical Core R Acc in GB</v>
      </c>
      <c r="C3048" t="str">
        <f>VLOOKUP(NoviaFunds[[#This Row],[ISIN]],'Novia Web Query'!$A:$E,3,FALSE)</f>
        <v>UT Unclassified</v>
      </c>
      <c r="D3048" s="139">
        <f>VLOOKUP(NoviaFunds[[#This Row],[ISIN]],'Novia Web Query'!$A:$E,4,FALSE)/100</f>
        <v>8.5000000000000006E-3</v>
      </c>
      <c r="E3048" s="3" t="str">
        <f>VLOOKUP(NoviaFunds[[#This Row],[ISIN]],'Novia Web Query'!$A:$E,5,FALSE)</f>
        <v>31/01/2021</v>
      </c>
      <c r="F3048" t="str">
        <f>VLOOKUP(NoviaFunds[[#This Row],[Sector]],Sectors[],2,FALSE)</f>
        <v>Unclassified</v>
      </c>
    </row>
    <row r="3049" spans="1:6" x14ac:dyDescent="0.2">
      <c r="A3049" t="str">
        <f>'Novia Web Query'!A3045</f>
        <v>GB00B8K9HG76</v>
      </c>
      <c r="B3049" t="str">
        <f>VLOOKUP(NoviaFunds[[#This Row],[ISIN]],'Novia Web Query'!$A:$E,2,FALSE)</f>
        <v>MGTS AFH Tactical Core R Inc TR in GB</v>
      </c>
      <c r="C3049" t="str">
        <f>VLOOKUP(NoviaFunds[[#This Row],[ISIN]],'Novia Web Query'!$A:$E,3,FALSE)</f>
        <v>UT Unclassified</v>
      </c>
      <c r="D3049" s="139">
        <f>VLOOKUP(NoviaFunds[[#This Row],[ISIN]],'Novia Web Query'!$A:$E,4,FALSE)/100</f>
        <v>8.5000000000000006E-3</v>
      </c>
      <c r="E3049" s="3" t="str">
        <f>VLOOKUP(NoviaFunds[[#This Row],[ISIN]],'Novia Web Query'!$A:$E,5,FALSE)</f>
        <v>31/01/2021</v>
      </c>
      <c r="F3049" t="str">
        <f>VLOOKUP(NoviaFunds[[#This Row],[Sector]],Sectors[],2,FALSE)</f>
        <v>Unclassified</v>
      </c>
    </row>
    <row r="3050" spans="1:6" x14ac:dyDescent="0.2">
      <c r="A3050" t="str">
        <f>'Novia Web Query'!A3046</f>
        <v>GB00BMT7VM45</v>
      </c>
      <c r="B3050" t="str">
        <f>VLOOKUP(NoviaFunds[[#This Row],[ISIN]],'Novia Web Query'!$A:$E,2,FALSE)</f>
        <v>MGTS Clarion Explorer Portfolio P Acc in GB**</v>
      </c>
      <c r="C3050" t="str">
        <f>VLOOKUP(NoviaFunds[[#This Row],[ISIN]],'Novia Web Query'!$A:$E,3,FALSE)</f>
        <v>UT Flexible Investment</v>
      </c>
      <c r="D3050" s="139">
        <f>VLOOKUP(NoviaFunds[[#This Row],[ISIN]],'Novia Web Query'!$A:$E,4,FALSE)/100</f>
        <v>1.37E-2</v>
      </c>
      <c r="E3050" s="3" t="str">
        <f>VLOOKUP(NoviaFunds[[#This Row],[ISIN]],'Novia Web Query'!$A:$E,5,FALSE)</f>
        <v>31/01/2021</v>
      </c>
      <c r="F3050" t="str">
        <f>VLOOKUP(NoviaFunds[[#This Row],[Sector]],Sectors[],2,FALSE)</f>
        <v>Flexible</v>
      </c>
    </row>
    <row r="3051" spans="1:6" x14ac:dyDescent="0.2">
      <c r="A3051" t="str">
        <f>'Novia Web Query'!A3047</f>
        <v>GB00BMT7VL38</v>
      </c>
      <c r="B3051" t="str">
        <f>VLOOKUP(NoviaFunds[[#This Row],[ISIN]],'Novia Web Query'!$A:$E,2,FALSE)</f>
        <v>MGTS Clarion Explorer Portfolio P Inc TR in GB**</v>
      </c>
      <c r="C3051" t="str">
        <f>VLOOKUP(NoviaFunds[[#This Row],[ISIN]],'Novia Web Query'!$A:$E,3,FALSE)</f>
        <v>UT Flexible Investment</v>
      </c>
      <c r="D3051" s="139">
        <f>VLOOKUP(NoviaFunds[[#This Row],[ISIN]],'Novia Web Query'!$A:$E,4,FALSE)/100</f>
        <v>1.37E-2</v>
      </c>
      <c r="E3051" s="3" t="str">
        <f>VLOOKUP(NoviaFunds[[#This Row],[ISIN]],'Novia Web Query'!$A:$E,5,FALSE)</f>
        <v>31/01/2021</v>
      </c>
      <c r="F3051" t="str">
        <f>VLOOKUP(NoviaFunds[[#This Row],[Sector]],Sectors[],2,FALSE)</f>
        <v>Flexible</v>
      </c>
    </row>
    <row r="3052" spans="1:6" x14ac:dyDescent="0.2">
      <c r="A3052" t="str">
        <f>'Novia Web Query'!A3048</f>
        <v>GB00B3D61351</v>
      </c>
      <c r="B3052" t="str">
        <f>VLOOKUP(NoviaFunds[[#This Row],[ISIN]],'Novia Web Query'!$A:$E,2,FALSE)</f>
        <v>MGTS Clarion Explorer Portfolio R Acc in GB</v>
      </c>
      <c r="C3052" t="str">
        <f>VLOOKUP(NoviaFunds[[#This Row],[ISIN]],'Novia Web Query'!$A:$E,3,FALSE)</f>
        <v>UT Flexible Investment</v>
      </c>
      <c r="D3052" s="139">
        <f>VLOOKUP(NoviaFunds[[#This Row],[ISIN]],'Novia Web Query'!$A:$E,4,FALSE)/100</f>
        <v>1.77E-2</v>
      </c>
      <c r="E3052" s="3" t="str">
        <f>VLOOKUP(NoviaFunds[[#This Row],[ISIN]],'Novia Web Query'!$A:$E,5,FALSE)</f>
        <v>31/01/2021</v>
      </c>
      <c r="F3052" t="str">
        <f>VLOOKUP(NoviaFunds[[#This Row],[Sector]],Sectors[],2,FALSE)</f>
        <v>Flexible</v>
      </c>
    </row>
    <row r="3053" spans="1:6" x14ac:dyDescent="0.2">
      <c r="A3053" t="str">
        <f>'Novia Web Query'!A3049</f>
        <v>GB00B3D61245</v>
      </c>
      <c r="B3053" t="str">
        <f>VLOOKUP(NoviaFunds[[#This Row],[ISIN]],'Novia Web Query'!$A:$E,2,FALSE)</f>
        <v>MGTS Clarion Explorer Portfolio R Inc TR in GB</v>
      </c>
      <c r="C3053" t="str">
        <f>VLOOKUP(NoviaFunds[[#This Row],[ISIN]],'Novia Web Query'!$A:$E,3,FALSE)</f>
        <v>UT Flexible Investment</v>
      </c>
      <c r="D3053" s="139">
        <f>VLOOKUP(NoviaFunds[[#This Row],[ISIN]],'Novia Web Query'!$A:$E,4,FALSE)/100</f>
        <v>1.77E-2</v>
      </c>
      <c r="E3053" s="3" t="str">
        <f>VLOOKUP(NoviaFunds[[#This Row],[ISIN]],'Novia Web Query'!$A:$E,5,FALSE)</f>
        <v>31/01/2021</v>
      </c>
      <c r="F3053" t="str">
        <f>VLOOKUP(NoviaFunds[[#This Row],[Sector]],Sectors[],2,FALSE)</f>
        <v>Flexible</v>
      </c>
    </row>
    <row r="3054" spans="1:6" x14ac:dyDescent="0.2">
      <c r="A3054" t="str">
        <f>'Novia Web Query'!A3050</f>
        <v>GB00BMT7VK21</v>
      </c>
      <c r="B3054" t="str">
        <f>VLOOKUP(NoviaFunds[[#This Row],[ISIN]],'Novia Web Query'!$A:$E,2,FALSE)</f>
        <v>MGTS Clarion Meridian Portfolio P Acc in GB**</v>
      </c>
      <c r="C3054" t="str">
        <f>VLOOKUP(NoviaFunds[[#This Row],[ISIN]],'Novia Web Query'!$A:$E,3,FALSE)</f>
        <v>UT Mixed Investment 40-85% Shares</v>
      </c>
      <c r="D3054" s="139">
        <f>VLOOKUP(NoviaFunds[[#This Row],[ISIN]],'Novia Web Query'!$A:$E,4,FALSE)/100</f>
        <v>1.3100000000000001E-2</v>
      </c>
      <c r="E3054" s="3" t="str">
        <f>VLOOKUP(NoviaFunds[[#This Row],[ISIN]],'Novia Web Query'!$A:$E,5,FALSE)</f>
        <v>31/01/2021</v>
      </c>
      <c r="F3054" t="str">
        <f>VLOOKUP(NoviaFunds[[#This Row],[Sector]],Sectors[],2,FALSE)</f>
        <v>Mixed 40%-85%</v>
      </c>
    </row>
    <row r="3055" spans="1:6" x14ac:dyDescent="0.2">
      <c r="A3055" t="str">
        <f>'Novia Web Query'!A3051</f>
        <v>GB00BMT7VJ16</v>
      </c>
      <c r="B3055" t="str">
        <f>VLOOKUP(NoviaFunds[[#This Row],[ISIN]],'Novia Web Query'!$A:$E,2,FALSE)</f>
        <v>MGTS Clarion Meridian Portfolio P Inc TR in GB**</v>
      </c>
      <c r="C3055" t="str">
        <f>VLOOKUP(NoviaFunds[[#This Row],[ISIN]],'Novia Web Query'!$A:$E,3,FALSE)</f>
        <v>UT Mixed Investment 40-85% Shares</v>
      </c>
      <c r="D3055" s="139">
        <f>VLOOKUP(NoviaFunds[[#This Row],[ISIN]],'Novia Web Query'!$A:$E,4,FALSE)/100</f>
        <v>1.3100000000000001E-2</v>
      </c>
      <c r="E3055" s="3" t="str">
        <f>VLOOKUP(NoviaFunds[[#This Row],[ISIN]],'Novia Web Query'!$A:$E,5,FALSE)</f>
        <v>31/01/2021</v>
      </c>
      <c r="F3055" t="str">
        <f>VLOOKUP(NoviaFunds[[#This Row],[Sector]],Sectors[],2,FALSE)</f>
        <v>Mixed 40%-85%</v>
      </c>
    </row>
    <row r="3056" spans="1:6" x14ac:dyDescent="0.2">
      <c r="A3056" t="str">
        <f>'Novia Web Query'!A3052</f>
        <v>GB00B2QKC562</v>
      </c>
      <c r="B3056" t="str">
        <f>VLOOKUP(NoviaFunds[[#This Row],[ISIN]],'Novia Web Query'!$A:$E,2,FALSE)</f>
        <v>MGTS Clarion Meridian Portfolio R Acc in GB</v>
      </c>
      <c r="C3056" t="str">
        <f>VLOOKUP(NoviaFunds[[#This Row],[ISIN]],'Novia Web Query'!$A:$E,3,FALSE)</f>
        <v>UT Mixed Investment 40-85% Shares</v>
      </c>
      <c r="D3056" s="139">
        <f>VLOOKUP(NoviaFunds[[#This Row],[ISIN]],'Novia Web Query'!$A:$E,4,FALSE)/100</f>
        <v>1.7100000000000001E-2</v>
      </c>
      <c r="E3056" s="3" t="str">
        <f>VLOOKUP(NoviaFunds[[#This Row],[ISIN]],'Novia Web Query'!$A:$E,5,FALSE)</f>
        <v>31/01/2021</v>
      </c>
      <c r="F3056" t="str">
        <f>VLOOKUP(NoviaFunds[[#This Row],[Sector]],Sectors[],2,FALSE)</f>
        <v>Mixed 40%-85%</v>
      </c>
    </row>
    <row r="3057" spans="1:6" x14ac:dyDescent="0.2">
      <c r="A3057" t="str">
        <f>'Novia Web Query'!A3053</f>
        <v>GB00B2QKC455</v>
      </c>
      <c r="B3057" t="str">
        <f>VLOOKUP(NoviaFunds[[#This Row],[ISIN]],'Novia Web Query'!$A:$E,2,FALSE)</f>
        <v>MGTS Clarion Meridian Portfolio R Inc TR in GB</v>
      </c>
      <c r="C3057" t="str">
        <f>VLOOKUP(NoviaFunds[[#This Row],[ISIN]],'Novia Web Query'!$A:$E,3,FALSE)</f>
        <v>UT Mixed Investment 40-85% Shares</v>
      </c>
      <c r="D3057" s="139">
        <f>VLOOKUP(NoviaFunds[[#This Row],[ISIN]],'Novia Web Query'!$A:$E,4,FALSE)/100</f>
        <v>1.7100000000000001E-2</v>
      </c>
      <c r="E3057" s="3" t="str">
        <f>VLOOKUP(NoviaFunds[[#This Row],[ISIN]],'Novia Web Query'!$A:$E,5,FALSE)</f>
        <v>31/01/2021</v>
      </c>
      <c r="F3057" t="str">
        <f>VLOOKUP(NoviaFunds[[#This Row],[Sector]],Sectors[],2,FALSE)</f>
        <v>Mixed 40%-85%</v>
      </c>
    </row>
    <row r="3058" spans="1:6" x14ac:dyDescent="0.2">
      <c r="A3058" t="str">
        <f>'Novia Web Query'!A3054</f>
        <v>GB00BMT82F76</v>
      </c>
      <c r="B3058" t="str">
        <f>VLOOKUP(NoviaFunds[[#This Row],[ISIN]],'Novia Web Query'!$A:$E,2,FALSE)</f>
        <v>MGTS Clarion Navigator Portfolio P Acc in GB</v>
      </c>
      <c r="C3058" t="str">
        <f>VLOOKUP(NoviaFunds[[#This Row],[ISIN]],'Novia Web Query'!$A:$E,3,FALSE)</f>
        <v>UT Mixed Investment 40-85% Shares</v>
      </c>
      <c r="D3058" s="139">
        <f>VLOOKUP(NoviaFunds[[#This Row],[ISIN]],'Novia Web Query'!$A:$E,4,FALSE)/100</f>
        <v>1.3500000000000002E-2</v>
      </c>
      <c r="E3058" s="3" t="str">
        <f>VLOOKUP(NoviaFunds[[#This Row],[ISIN]],'Novia Web Query'!$A:$E,5,FALSE)</f>
        <v>31/01/2021</v>
      </c>
      <c r="F3058" t="str">
        <f>VLOOKUP(NoviaFunds[[#This Row],[Sector]],Sectors[],2,FALSE)</f>
        <v>Mixed 40%-85%</v>
      </c>
    </row>
    <row r="3059" spans="1:6" x14ac:dyDescent="0.2">
      <c r="A3059" t="str">
        <f>'Novia Web Query'!A3055</f>
        <v>GB00BMT82D52</v>
      </c>
      <c r="B3059" t="str">
        <f>VLOOKUP(NoviaFunds[[#This Row],[ISIN]],'Novia Web Query'!$A:$E,2,FALSE)</f>
        <v>MGTS Clarion Navigator Portfolio P Inc TR in GB</v>
      </c>
      <c r="C3059" t="str">
        <f>VLOOKUP(NoviaFunds[[#This Row],[ISIN]],'Novia Web Query'!$A:$E,3,FALSE)</f>
        <v>UT Mixed Investment 40-85% Shares</v>
      </c>
      <c r="D3059" s="139">
        <f>VLOOKUP(NoviaFunds[[#This Row],[ISIN]],'Novia Web Query'!$A:$E,4,FALSE)/100</f>
        <v>1.3500000000000002E-2</v>
      </c>
      <c r="E3059" s="3" t="str">
        <f>VLOOKUP(NoviaFunds[[#This Row],[ISIN]],'Novia Web Query'!$A:$E,5,FALSE)</f>
        <v>31/01/2021</v>
      </c>
      <c r="F3059" t="str">
        <f>VLOOKUP(NoviaFunds[[#This Row],[Sector]],Sectors[],2,FALSE)</f>
        <v>Mixed 40%-85%</v>
      </c>
    </row>
    <row r="3060" spans="1:6" x14ac:dyDescent="0.2">
      <c r="A3060" t="str">
        <f>'Novia Web Query'!A3056</f>
        <v>GB00BMT82H90</v>
      </c>
      <c r="B3060" t="str">
        <f>VLOOKUP(NoviaFunds[[#This Row],[ISIN]],'Novia Web Query'!$A:$E,2,FALSE)</f>
        <v>MGTS Clarion Prudence Portfolio P Acc in GB**</v>
      </c>
      <c r="C3060" t="str">
        <f>VLOOKUP(NoviaFunds[[#This Row],[ISIN]],'Novia Web Query'!$A:$E,3,FALSE)</f>
        <v>UT Mixed Investment 20-60% Shares</v>
      </c>
      <c r="D3060" s="139">
        <f>VLOOKUP(NoviaFunds[[#This Row],[ISIN]],'Novia Web Query'!$A:$E,4,FALSE)/100</f>
        <v>1.23E-2</v>
      </c>
      <c r="E3060" s="3" t="str">
        <f>VLOOKUP(NoviaFunds[[#This Row],[ISIN]],'Novia Web Query'!$A:$E,5,FALSE)</f>
        <v>31/01/2021</v>
      </c>
      <c r="F3060" t="str">
        <f>VLOOKUP(NoviaFunds[[#This Row],[Sector]],Sectors[],2,FALSE)</f>
        <v>Mixed 20%-60%</v>
      </c>
    </row>
    <row r="3061" spans="1:6" x14ac:dyDescent="0.2">
      <c r="A3061" t="str">
        <f>'Novia Web Query'!A3057</f>
        <v>GB00BMT82G83</v>
      </c>
      <c r="B3061" t="str">
        <f>VLOOKUP(NoviaFunds[[#This Row],[ISIN]],'Novia Web Query'!$A:$E,2,FALSE)</f>
        <v>MGTS Clarion Prudence Portfolio P Inc TR in GB**</v>
      </c>
      <c r="C3061" t="str">
        <f>VLOOKUP(NoviaFunds[[#This Row],[ISIN]],'Novia Web Query'!$A:$E,3,FALSE)</f>
        <v>UT Mixed Investment 20-60% Shares</v>
      </c>
      <c r="D3061" s="139">
        <f>VLOOKUP(NoviaFunds[[#This Row],[ISIN]],'Novia Web Query'!$A:$E,4,FALSE)/100</f>
        <v>1.23E-2</v>
      </c>
      <c r="E3061" s="3" t="str">
        <f>VLOOKUP(NoviaFunds[[#This Row],[ISIN]],'Novia Web Query'!$A:$E,5,FALSE)</f>
        <v>31/01/2021</v>
      </c>
      <c r="F3061" t="str">
        <f>VLOOKUP(NoviaFunds[[#This Row],[Sector]],Sectors[],2,FALSE)</f>
        <v>Mixed 20%-60%</v>
      </c>
    </row>
    <row r="3062" spans="1:6" x14ac:dyDescent="0.2">
      <c r="A3062" t="str">
        <f>'Novia Web Query'!A3058</f>
        <v>GB00B2QKC349</v>
      </c>
      <c r="B3062" t="str">
        <f>VLOOKUP(NoviaFunds[[#This Row],[ISIN]],'Novia Web Query'!$A:$E,2,FALSE)</f>
        <v>MGTS Clarion Prudence Portfolio R Acc in GB</v>
      </c>
      <c r="C3062" t="str">
        <f>VLOOKUP(NoviaFunds[[#This Row],[ISIN]],'Novia Web Query'!$A:$E,3,FALSE)</f>
        <v>UT Mixed Investment 20-60% Shares</v>
      </c>
      <c r="D3062" s="139">
        <f>VLOOKUP(NoviaFunds[[#This Row],[ISIN]],'Novia Web Query'!$A:$E,4,FALSE)/100</f>
        <v>1.6299999999999999E-2</v>
      </c>
      <c r="E3062" s="3" t="str">
        <f>VLOOKUP(NoviaFunds[[#This Row],[ISIN]],'Novia Web Query'!$A:$E,5,FALSE)</f>
        <v>31/01/2021</v>
      </c>
      <c r="F3062" t="str">
        <f>VLOOKUP(NoviaFunds[[#This Row],[Sector]],Sectors[],2,FALSE)</f>
        <v>Mixed 20%-60%</v>
      </c>
    </row>
    <row r="3063" spans="1:6" x14ac:dyDescent="0.2">
      <c r="A3063" t="str">
        <f>'Novia Web Query'!A3059</f>
        <v>GB00B2QKC232</v>
      </c>
      <c r="B3063" t="str">
        <f>VLOOKUP(NoviaFunds[[#This Row],[ISIN]],'Novia Web Query'!$A:$E,2,FALSE)</f>
        <v>MGTS Clarion Prudence Portfolio R Inc TR in GB</v>
      </c>
      <c r="C3063" t="str">
        <f>VLOOKUP(NoviaFunds[[#This Row],[ISIN]],'Novia Web Query'!$A:$E,3,FALSE)</f>
        <v>UT Mixed Investment 20-60% Shares</v>
      </c>
      <c r="D3063" s="139">
        <f>VLOOKUP(NoviaFunds[[#This Row],[ISIN]],'Novia Web Query'!$A:$E,4,FALSE)/100</f>
        <v>1.6299999999999999E-2</v>
      </c>
      <c r="E3063" s="3" t="str">
        <f>VLOOKUP(NoviaFunds[[#This Row],[ISIN]],'Novia Web Query'!$A:$E,5,FALSE)</f>
        <v>31/01/2021</v>
      </c>
      <c r="F3063" t="str">
        <f>VLOOKUP(NoviaFunds[[#This Row],[Sector]],Sectors[],2,FALSE)</f>
        <v>Mixed 20%-60%</v>
      </c>
    </row>
    <row r="3064" spans="1:6" x14ac:dyDescent="0.2">
      <c r="A3064" t="str">
        <f>'Novia Web Query'!A3060</f>
        <v>GB00B3D1MQ06</v>
      </c>
      <c r="B3064" t="str">
        <f>VLOOKUP(NoviaFunds[[#This Row],[ISIN]],'Novia Web Query'!$A:$E,2,FALSE)</f>
        <v>MGTS Future Money Dynamic Growth Acc in GB</v>
      </c>
      <c r="C3064" t="str">
        <f>VLOOKUP(NoviaFunds[[#This Row],[ISIN]],'Novia Web Query'!$A:$E,3,FALSE)</f>
        <v>UT Mixed Investment 40-85% Shares</v>
      </c>
      <c r="D3064" s="139">
        <f>VLOOKUP(NoviaFunds[[#This Row],[ISIN]],'Novia Web Query'!$A:$E,4,FALSE)/100</f>
        <v>2.1499999999999998E-2</v>
      </c>
      <c r="E3064" s="3" t="str">
        <f>VLOOKUP(NoviaFunds[[#This Row],[ISIN]],'Novia Web Query'!$A:$E,5,FALSE)</f>
        <v>23/03/2021</v>
      </c>
      <c r="F3064" t="str">
        <f>VLOOKUP(NoviaFunds[[#This Row],[Sector]],Sectors[],2,FALSE)</f>
        <v>Mixed 40%-85%</v>
      </c>
    </row>
    <row r="3065" spans="1:6" x14ac:dyDescent="0.2">
      <c r="A3065" t="str">
        <f>'Novia Web Query'!A3061</f>
        <v>GB00B8FFPK05</v>
      </c>
      <c r="B3065" t="str">
        <f>VLOOKUP(NoviaFunds[[#This Row],[ISIN]],'Novia Web Query'!$A:$E,2,FALSE)</f>
        <v>MGTS Future Money Dynamic Growth R Acc in GB</v>
      </c>
      <c r="C3065" t="str">
        <f>VLOOKUP(NoviaFunds[[#This Row],[ISIN]],'Novia Web Query'!$A:$E,3,FALSE)</f>
        <v>UT Mixed Investment 40-85% Shares</v>
      </c>
      <c r="D3065" s="139">
        <f>VLOOKUP(NoviaFunds[[#This Row],[ISIN]],'Novia Web Query'!$A:$E,4,FALSE)/100</f>
        <v>1.3999999999999999E-2</v>
      </c>
      <c r="E3065" s="3" t="str">
        <f>VLOOKUP(NoviaFunds[[#This Row],[ISIN]],'Novia Web Query'!$A:$E,5,FALSE)</f>
        <v>23/03/2021</v>
      </c>
      <c r="F3065" t="str">
        <f>VLOOKUP(NoviaFunds[[#This Row],[Sector]],Sectors[],2,FALSE)</f>
        <v>Mixed 40%-85%</v>
      </c>
    </row>
    <row r="3066" spans="1:6" x14ac:dyDescent="0.2">
      <c r="A3066" t="str">
        <f>'Novia Web Query'!A3062</f>
        <v>GB00BBL4SX65</v>
      </c>
      <c r="B3066" t="str">
        <f>VLOOKUP(NoviaFunds[[#This Row],[ISIN]],'Novia Web Query'!$A:$E,2,FALSE)</f>
        <v>MGTS Future Money Dynamic Growth R Inc TR in GB</v>
      </c>
      <c r="C3066" t="str">
        <f>VLOOKUP(NoviaFunds[[#This Row],[ISIN]],'Novia Web Query'!$A:$E,3,FALSE)</f>
        <v>UT Mixed Investment 40-85% Shares</v>
      </c>
      <c r="D3066" s="139">
        <f>VLOOKUP(NoviaFunds[[#This Row],[ISIN]],'Novia Web Query'!$A:$E,4,FALSE)/100</f>
        <v>1.3999999999999999E-2</v>
      </c>
      <c r="E3066" s="3" t="str">
        <f>VLOOKUP(NoviaFunds[[#This Row],[ISIN]],'Novia Web Query'!$A:$E,5,FALSE)</f>
        <v>23/03/2021</v>
      </c>
      <c r="F3066" t="str">
        <f>VLOOKUP(NoviaFunds[[#This Row],[Sector]],Sectors[],2,FALSE)</f>
        <v>Mixed 40%-85%</v>
      </c>
    </row>
    <row r="3067" spans="1:6" x14ac:dyDescent="0.2">
      <c r="A3067" t="str">
        <f>'Novia Web Query'!A3063</f>
        <v>GB00B3D1MS20</v>
      </c>
      <c r="B3067" t="str">
        <f>VLOOKUP(NoviaFunds[[#This Row],[ISIN]],'Novia Web Query'!$A:$E,2,FALSE)</f>
        <v>MGTS Future Money Income Acc in GB</v>
      </c>
      <c r="C3067" t="str">
        <f>VLOOKUP(NoviaFunds[[#This Row],[ISIN]],'Novia Web Query'!$A:$E,3,FALSE)</f>
        <v>UT Mixed Investment 20-60% Shares</v>
      </c>
      <c r="D3067" s="139">
        <f>VLOOKUP(NoviaFunds[[#This Row],[ISIN]],'Novia Web Query'!$A:$E,4,FALSE)/100</f>
        <v>2.23E-2</v>
      </c>
      <c r="E3067" s="3" t="str">
        <f>VLOOKUP(NoviaFunds[[#This Row],[ISIN]],'Novia Web Query'!$A:$E,5,FALSE)</f>
        <v>23/03/2021</v>
      </c>
      <c r="F3067" t="str">
        <f>VLOOKUP(NoviaFunds[[#This Row],[Sector]],Sectors[],2,FALSE)</f>
        <v>Mixed 20%-60%</v>
      </c>
    </row>
    <row r="3068" spans="1:6" x14ac:dyDescent="0.2">
      <c r="A3068" t="str">
        <f>'Novia Web Query'!A3064</f>
        <v>GB00B3D1MR13</v>
      </c>
      <c r="B3068" t="str">
        <f>VLOOKUP(NoviaFunds[[#This Row],[ISIN]],'Novia Web Query'!$A:$E,2,FALSE)</f>
        <v>MGTS Future Money Income Inc TR in GB</v>
      </c>
      <c r="C3068" t="str">
        <f>VLOOKUP(NoviaFunds[[#This Row],[ISIN]],'Novia Web Query'!$A:$E,3,FALSE)</f>
        <v>UT Mixed Investment 20-60% Shares</v>
      </c>
      <c r="D3068" s="139">
        <f>VLOOKUP(NoviaFunds[[#This Row],[ISIN]],'Novia Web Query'!$A:$E,4,FALSE)/100</f>
        <v>2.23E-2</v>
      </c>
      <c r="E3068" s="3" t="str">
        <f>VLOOKUP(NoviaFunds[[#This Row],[ISIN]],'Novia Web Query'!$A:$E,5,FALSE)</f>
        <v>23/03/2021</v>
      </c>
      <c r="F3068" t="str">
        <f>VLOOKUP(NoviaFunds[[#This Row],[Sector]],Sectors[],2,FALSE)</f>
        <v>Mixed 20%-60%</v>
      </c>
    </row>
    <row r="3069" spans="1:6" x14ac:dyDescent="0.2">
      <c r="A3069" t="str">
        <f>'Novia Web Query'!A3065</f>
        <v>GB00B8KBJC34</v>
      </c>
      <c r="B3069" t="str">
        <f>VLOOKUP(NoviaFunds[[#This Row],[ISIN]],'Novia Web Query'!$A:$E,2,FALSE)</f>
        <v>MGTS Future Money Income R Acc in GB</v>
      </c>
      <c r="C3069" t="str">
        <f>VLOOKUP(NoviaFunds[[#This Row],[ISIN]],'Novia Web Query'!$A:$E,3,FALSE)</f>
        <v>UT Mixed Investment 20-60% Shares</v>
      </c>
      <c r="D3069" s="139">
        <f>VLOOKUP(NoviaFunds[[#This Row],[ISIN]],'Novia Web Query'!$A:$E,4,FALSE)/100</f>
        <v>1.4800000000000001E-2</v>
      </c>
      <c r="E3069" s="3" t="str">
        <f>VLOOKUP(NoviaFunds[[#This Row],[ISIN]],'Novia Web Query'!$A:$E,5,FALSE)</f>
        <v>23/03/2021</v>
      </c>
      <c r="F3069" t="str">
        <f>VLOOKUP(NoviaFunds[[#This Row],[Sector]],Sectors[],2,FALSE)</f>
        <v>Mixed 20%-60%</v>
      </c>
    </row>
    <row r="3070" spans="1:6" x14ac:dyDescent="0.2">
      <c r="A3070" t="str">
        <f>'Novia Web Query'!A3066</f>
        <v>GB00B5MFQ093</v>
      </c>
      <c r="B3070" t="str">
        <f>VLOOKUP(NoviaFunds[[#This Row],[ISIN]],'Novia Web Query'!$A:$E,2,FALSE)</f>
        <v>MGTS Future Money Income R Inc TR in GB</v>
      </c>
      <c r="C3070" t="str">
        <f>VLOOKUP(NoviaFunds[[#This Row],[ISIN]],'Novia Web Query'!$A:$E,3,FALSE)</f>
        <v>UT Mixed Investment 20-60% Shares</v>
      </c>
      <c r="D3070" s="139">
        <f>VLOOKUP(NoviaFunds[[#This Row],[ISIN]],'Novia Web Query'!$A:$E,4,FALSE)/100</f>
        <v>1.4800000000000001E-2</v>
      </c>
      <c r="E3070" s="3" t="str">
        <f>VLOOKUP(NoviaFunds[[#This Row],[ISIN]],'Novia Web Query'!$A:$E,5,FALSE)</f>
        <v>23/03/2021</v>
      </c>
      <c r="F3070" t="str">
        <f>VLOOKUP(NoviaFunds[[#This Row],[Sector]],Sectors[],2,FALSE)</f>
        <v>Mixed 20%-60%</v>
      </c>
    </row>
    <row r="3071" spans="1:6" x14ac:dyDescent="0.2">
      <c r="A3071" t="str">
        <f>'Novia Web Query'!A3067</f>
        <v>GB00B3D1MP98</v>
      </c>
      <c r="B3071" t="str">
        <f>VLOOKUP(NoviaFunds[[#This Row],[ISIN]],'Novia Web Query'!$A:$E,2,FALSE)</f>
        <v>MGTS Future Money Real Growth Acc in GB</v>
      </c>
      <c r="C3071" t="str">
        <f>VLOOKUP(NoviaFunds[[#This Row],[ISIN]],'Novia Web Query'!$A:$E,3,FALSE)</f>
        <v>UT Mixed Investment 20-60% Shares</v>
      </c>
      <c r="D3071" s="139">
        <f>VLOOKUP(NoviaFunds[[#This Row],[ISIN]],'Novia Web Query'!$A:$E,4,FALSE)/100</f>
        <v>2.1000000000000001E-2</v>
      </c>
      <c r="E3071" s="3" t="str">
        <f>VLOOKUP(NoviaFunds[[#This Row],[ISIN]],'Novia Web Query'!$A:$E,5,FALSE)</f>
        <v>23/03/2021</v>
      </c>
      <c r="F3071" t="str">
        <f>VLOOKUP(NoviaFunds[[#This Row],[Sector]],Sectors[],2,FALSE)</f>
        <v>Mixed 20%-60%</v>
      </c>
    </row>
    <row r="3072" spans="1:6" x14ac:dyDescent="0.2">
      <c r="A3072" t="str">
        <f>'Novia Web Query'!A3068</f>
        <v>GB00B7WPBV97</v>
      </c>
      <c r="B3072" t="str">
        <f>VLOOKUP(NoviaFunds[[#This Row],[ISIN]],'Novia Web Query'!$A:$E,2,FALSE)</f>
        <v>MGTS Future Money Real Growth R Acc in GB</v>
      </c>
      <c r="C3072" t="str">
        <f>VLOOKUP(NoviaFunds[[#This Row],[ISIN]],'Novia Web Query'!$A:$E,3,FALSE)</f>
        <v>UT Mixed Investment 20-60% Shares</v>
      </c>
      <c r="D3072" s="139">
        <f>VLOOKUP(NoviaFunds[[#This Row],[ISIN]],'Novia Web Query'!$A:$E,4,FALSE)/100</f>
        <v>1.3500000000000002E-2</v>
      </c>
      <c r="E3072" s="3" t="str">
        <f>VLOOKUP(NoviaFunds[[#This Row],[ISIN]],'Novia Web Query'!$A:$E,5,FALSE)</f>
        <v>23/03/2021</v>
      </c>
      <c r="F3072" t="str">
        <f>VLOOKUP(NoviaFunds[[#This Row],[Sector]],Sectors[],2,FALSE)</f>
        <v>Mixed 20%-60%</v>
      </c>
    </row>
    <row r="3073" spans="1:6" x14ac:dyDescent="0.2">
      <c r="A3073" t="str">
        <f>'Novia Web Query'!A3069</f>
        <v>GB00BBL4SY72</v>
      </c>
      <c r="B3073" t="str">
        <f>VLOOKUP(NoviaFunds[[#This Row],[ISIN]],'Novia Web Query'!$A:$E,2,FALSE)</f>
        <v>MGTS Future Money Real Growth R Inc TR in GB</v>
      </c>
      <c r="C3073" t="str">
        <f>VLOOKUP(NoviaFunds[[#This Row],[ISIN]],'Novia Web Query'!$A:$E,3,FALSE)</f>
        <v>UT Mixed Investment 20-60% Shares</v>
      </c>
      <c r="D3073" s="139">
        <f>VLOOKUP(NoviaFunds[[#This Row],[ISIN]],'Novia Web Query'!$A:$E,4,FALSE)/100</f>
        <v>1.3500000000000002E-2</v>
      </c>
      <c r="E3073" s="3" t="str">
        <f>VLOOKUP(NoviaFunds[[#This Row],[ISIN]],'Novia Web Query'!$A:$E,5,FALSE)</f>
        <v>23/03/2021</v>
      </c>
      <c r="F3073" t="str">
        <f>VLOOKUP(NoviaFunds[[#This Row],[Sector]],Sectors[],2,FALSE)</f>
        <v>Mixed 20%-60%</v>
      </c>
    </row>
    <row r="3074" spans="1:6" x14ac:dyDescent="0.2">
      <c r="A3074" t="str">
        <f>'Novia Web Query'!A3070</f>
        <v>GB00B3D1MN74</v>
      </c>
      <c r="B3074" t="str">
        <f>VLOOKUP(NoviaFunds[[#This Row],[ISIN]],'Novia Web Query'!$A:$E,2,FALSE)</f>
        <v>MGTS Future Money Real Value Acc in GB</v>
      </c>
      <c r="C3074" t="str">
        <f>VLOOKUP(NoviaFunds[[#This Row],[ISIN]],'Novia Web Query'!$A:$E,3,FALSE)</f>
        <v>UT Mixed Investment 20-60% Shares</v>
      </c>
      <c r="D3074" s="139">
        <f>VLOOKUP(NoviaFunds[[#This Row],[ISIN]],'Novia Web Query'!$A:$E,4,FALSE)/100</f>
        <v>2.0499999999999997E-2</v>
      </c>
      <c r="E3074" s="3" t="str">
        <f>VLOOKUP(NoviaFunds[[#This Row],[ISIN]],'Novia Web Query'!$A:$E,5,FALSE)</f>
        <v>23/03/2021</v>
      </c>
      <c r="F3074" t="str">
        <f>VLOOKUP(NoviaFunds[[#This Row],[Sector]],Sectors[],2,FALSE)</f>
        <v>Mixed 20%-60%</v>
      </c>
    </row>
    <row r="3075" spans="1:6" x14ac:dyDescent="0.2">
      <c r="A3075" t="str">
        <f>'Novia Web Query'!A3071</f>
        <v>GB00B89JN484</v>
      </c>
      <c r="B3075" t="str">
        <f>VLOOKUP(NoviaFunds[[#This Row],[ISIN]],'Novia Web Query'!$A:$E,2,FALSE)</f>
        <v>MGTS Future Money Real Value R Acc in GB</v>
      </c>
      <c r="C3075" t="str">
        <f>VLOOKUP(NoviaFunds[[#This Row],[ISIN]],'Novia Web Query'!$A:$E,3,FALSE)</f>
        <v>UT Mixed Investment 20-60% Shares</v>
      </c>
      <c r="D3075" s="139">
        <f>VLOOKUP(NoviaFunds[[#This Row],[ISIN]],'Novia Web Query'!$A:$E,4,FALSE)/100</f>
        <v>1.1299999999999999E-2</v>
      </c>
      <c r="E3075" s="3" t="str">
        <f>VLOOKUP(NoviaFunds[[#This Row],[ISIN]],'Novia Web Query'!$A:$E,5,FALSE)</f>
        <v>23/03/2021</v>
      </c>
      <c r="F3075" t="str">
        <f>VLOOKUP(NoviaFunds[[#This Row],[Sector]],Sectors[],2,FALSE)</f>
        <v>Mixed 20%-60%</v>
      </c>
    </row>
    <row r="3076" spans="1:6" x14ac:dyDescent="0.2">
      <c r="A3076" t="str">
        <f>'Novia Web Query'!A3072</f>
        <v>GB00BBL4SZ89</v>
      </c>
      <c r="B3076" t="str">
        <f>VLOOKUP(NoviaFunds[[#This Row],[ISIN]],'Novia Web Query'!$A:$E,2,FALSE)</f>
        <v>MGTS Future Money Real Value R Inc TR in GB</v>
      </c>
      <c r="C3076" t="str">
        <f>VLOOKUP(NoviaFunds[[#This Row],[ISIN]],'Novia Web Query'!$A:$E,3,FALSE)</f>
        <v>UT Mixed Investment 20-60% Shares</v>
      </c>
      <c r="D3076" s="139">
        <f>VLOOKUP(NoviaFunds[[#This Row],[ISIN]],'Novia Web Query'!$A:$E,4,FALSE)/100</f>
        <v>1.1299999999999999E-2</v>
      </c>
      <c r="E3076" s="3" t="str">
        <f>VLOOKUP(NoviaFunds[[#This Row],[ISIN]],'Novia Web Query'!$A:$E,5,FALSE)</f>
        <v>23/03/2021</v>
      </c>
      <c r="F3076" t="str">
        <f>VLOOKUP(NoviaFunds[[#This Row],[Sector]],Sectors[],2,FALSE)</f>
        <v>Mixed 20%-60%</v>
      </c>
    </row>
    <row r="3077" spans="1:6" x14ac:dyDescent="0.2">
      <c r="A3077" t="str">
        <f>'Novia Web Query'!A3073</f>
        <v>GB00BD8R5D15</v>
      </c>
      <c r="B3077" t="str">
        <f>VLOOKUP(NoviaFunds[[#This Row],[ISIN]],'Novia Web Query'!$A:$E,2,FALSE)</f>
        <v>MGTS IBOSS 1 R Acc GBP in GB</v>
      </c>
      <c r="C3077" t="str">
        <f>VLOOKUP(NoviaFunds[[#This Row],[ISIN]],'Novia Web Query'!$A:$E,3,FALSE)</f>
        <v>UT Mixed Investment 0-35% Shares</v>
      </c>
      <c r="D3077" s="139">
        <f>VLOOKUP(NoviaFunds[[#This Row],[ISIN]],'Novia Web Query'!$A:$E,4,FALSE)/100</f>
        <v>8.6999999999999994E-3</v>
      </c>
      <c r="E3077" s="3" t="str">
        <f>VLOOKUP(NoviaFunds[[#This Row],[ISIN]],'Novia Web Query'!$A:$E,5,FALSE)</f>
        <v>31/01/2021</v>
      </c>
      <c r="F3077" t="str">
        <f>VLOOKUP(NoviaFunds[[#This Row],[Sector]],Sectors[],2,FALSE)</f>
        <v>Mixed 0%-35%</v>
      </c>
    </row>
    <row r="3078" spans="1:6" x14ac:dyDescent="0.2">
      <c r="A3078" t="str">
        <f>'Novia Web Query'!A3074</f>
        <v>GB00BD8R5F39</v>
      </c>
      <c r="B3078" t="str">
        <f>VLOOKUP(NoviaFunds[[#This Row],[ISIN]],'Novia Web Query'!$A:$E,2,FALSE)</f>
        <v>MGTS IBOSS 1 R Inc GBP TR in GB</v>
      </c>
      <c r="C3078" t="str">
        <f>VLOOKUP(NoviaFunds[[#This Row],[ISIN]],'Novia Web Query'!$A:$E,3,FALSE)</f>
        <v>UT Mixed Investment 0-35% Shares</v>
      </c>
      <c r="D3078" s="139">
        <f>VLOOKUP(NoviaFunds[[#This Row],[ISIN]],'Novia Web Query'!$A:$E,4,FALSE)/100</f>
        <v>8.6999999999999994E-3</v>
      </c>
      <c r="E3078" s="3" t="str">
        <f>VLOOKUP(NoviaFunds[[#This Row],[ISIN]],'Novia Web Query'!$A:$E,5,FALSE)</f>
        <v>31/01/2021</v>
      </c>
      <c r="F3078" t="str">
        <f>VLOOKUP(NoviaFunds[[#This Row],[Sector]],Sectors[],2,FALSE)</f>
        <v>Mixed 0%-35%</v>
      </c>
    </row>
    <row r="3079" spans="1:6" x14ac:dyDescent="0.2">
      <c r="A3079" t="str">
        <f>'Novia Web Query'!A3075</f>
        <v>GB00BD8R5G46</v>
      </c>
      <c r="B3079" t="str">
        <f>VLOOKUP(NoviaFunds[[#This Row],[ISIN]],'Novia Web Query'!$A:$E,2,FALSE)</f>
        <v>MGTS IBOSS 2 R Acc GBP in GB</v>
      </c>
      <c r="C3079" t="str">
        <f>VLOOKUP(NoviaFunds[[#This Row],[ISIN]],'Novia Web Query'!$A:$E,3,FALSE)</f>
        <v>UT Mixed Investment 20-60% Shares</v>
      </c>
      <c r="D3079" s="139">
        <f>VLOOKUP(NoviaFunds[[#This Row],[ISIN]],'Novia Web Query'!$A:$E,4,FALSE)/100</f>
        <v>8.8999999999999999E-3</v>
      </c>
      <c r="E3079" s="3" t="str">
        <f>VLOOKUP(NoviaFunds[[#This Row],[ISIN]],'Novia Web Query'!$A:$E,5,FALSE)</f>
        <v>31/01/2021</v>
      </c>
      <c r="F3079" t="str">
        <f>VLOOKUP(NoviaFunds[[#This Row],[Sector]],Sectors[],2,FALSE)</f>
        <v>Mixed 20%-60%</v>
      </c>
    </row>
    <row r="3080" spans="1:6" x14ac:dyDescent="0.2">
      <c r="A3080" t="str">
        <f>'Novia Web Query'!A3076</f>
        <v>GB00BD8R5H52</v>
      </c>
      <c r="B3080" t="str">
        <f>VLOOKUP(NoviaFunds[[#This Row],[ISIN]],'Novia Web Query'!$A:$E,2,FALSE)</f>
        <v>MGTS IBOSS 2 R Inc GBP TR in GB</v>
      </c>
      <c r="C3080" t="str">
        <f>VLOOKUP(NoviaFunds[[#This Row],[ISIN]],'Novia Web Query'!$A:$E,3,FALSE)</f>
        <v>UT Mixed Investment 20-60% Shares</v>
      </c>
      <c r="D3080" s="139">
        <f>VLOOKUP(NoviaFunds[[#This Row],[ISIN]],'Novia Web Query'!$A:$E,4,FALSE)/100</f>
        <v>8.8999999999999999E-3</v>
      </c>
      <c r="E3080" s="3" t="str">
        <f>VLOOKUP(NoviaFunds[[#This Row],[ISIN]],'Novia Web Query'!$A:$E,5,FALSE)</f>
        <v>31/01/2021</v>
      </c>
      <c r="F3080" t="str">
        <f>VLOOKUP(NoviaFunds[[#This Row],[Sector]],Sectors[],2,FALSE)</f>
        <v>Mixed 20%-60%</v>
      </c>
    </row>
    <row r="3081" spans="1:6" x14ac:dyDescent="0.2">
      <c r="A3081" t="str">
        <f>'Novia Web Query'!A3077</f>
        <v>GB00BD8R5J76</v>
      </c>
      <c r="B3081" t="str">
        <f>VLOOKUP(NoviaFunds[[#This Row],[ISIN]],'Novia Web Query'!$A:$E,2,FALSE)</f>
        <v>MGTS IBOSS 4 R Acc GBP in GB</v>
      </c>
      <c r="C3081" t="str">
        <f>VLOOKUP(NoviaFunds[[#This Row],[ISIN]],'Novia Web Query'!$A:$E,3,FALSE)</f>
        <v>UT Mixed Investment 40-85% Shares</v>
      </c>
      <c r="D3081" s="139">
        <f>VLOOKUP(NoviaFunds[[#This Row],[ISIN]],'Novia Web Query'!$A:$E,4,FALSE)/100</f>
        <v>9.300000000000001E-3</v>
      </c>
      <c r="E3081" s="3" t="str">
        <f>VLOOKUP(NoviaFunds[[#This Row],[ISIN]],'Novia Web Query'!$A:$E,5,FALSE)</f>
        <v>31/01/2021</v>
      </c>
      <c r="F3081" t="str">
        <f>VLOOKUP(NoviaFunds[[#This Row],[Sector]],Sectors[],2,FALSE)</f>
        <v>Mixed 40%-85%</v>
      </c>
    </row>
    <row r="3082" spans="1:6" x14ac:dyDescent="0.2">
      <c r="A3082" t="str">
        <f>'Novia Web Query'!A3078</f>
        <v>GB00BD8R5K81</v>
      </c>
      <c r="B3082" t="str">
        <f>VLOOKUP(NoviaFunds[[#This Row],[ISIN]],'Novia Web Query'!$A:$E,2,FALSE)</f>
        <v>MGTS IBOSS 6 R Acc GBP in GB</v>
      </c>
      <c r="C3082" t="str">
        <f>VLOOKUP(NoviaFunds[[#This Row],[ISIN]],'Novia Web Query'!$A:$E,3,FALSE)</f>
        <v>UT Flexible Investment</v>
      </c>
      <c r="D3082" s="139">
        <f>VLOOKUP(NoviaFunds[[#This Row],[ISIN]],'Novia Web Query'!$A:$E,4,FALSE)/100</f>
        <v>9.8999999999999991E-3</v>
      </c>
      <c r="E3082" s="3" t="str">
        <f>VLOOKUP(NoviaFunds[[#This Row],[ISIN]],'Novia Web Query'!$A:$E,5,FALSE)</f>
        <v>31/01/2021</v>
      </c>
      <c r="F3082" t="str">
        <f>VLOOKUP(NoviaFunds[[#This Row],[Sector]],Sectors[],2,FALSE)</f>
        <v>Flexible</v>
      </c>
    </row>
    <row r="3083" spans="1:6" x14ac:dyDescent="0.2">
      <c r="A3083" t="str">
        <f>'Novia Web Query'!A3079</f>
        <v>GB00BFMWYT51</v>
      </c>
      <c r="B3083" t="str">
        <f>VLOOKUP(NoviaFunds[[#This Row],[ISIN]],'Novia Web Query'!$A:$E,2,FALSE)</f>
        <v>MGTS St Johns Balanced Retail Acc in GB</v>
      </c>
      <c r="C3083" t="str">
        <f>VLOOKUP(NoviaFunds[[#This Row],[ISIN]],'Novia Web Query'!$A:$E,3,FALSE)</f>
        <v>UT Mixed Investment 20-60% Shares</v>
      </c>
      <c r="D3083" s="139">
        <f>VLOOKUP(NoviaFunds[[#This Row],[ISIN]],'Novia Web Query'!$A:$E,4,FALSE)/100</f>
        <v>8.199999999999999E-3</v>
      </c>
      <c r="E3083" s="3" t="str">
        <f>VLOOKUP(NoviaFunds[[#This Row],[ISIN]],'Novia Web Query'!$A:$E,5,FALSE)</f>
        <v>19/04/2021</v>
      </c>
      <c r="F3083" t="str">
        <f>VLOOKUP(NoviaFunds[[#This Row],[Sector]],Sectors[],2,FALSE)</f>
        <v>Mixed 20%-60%</v>
      </c>
    </row>
    <row r="3084" spans="1:6" x14ac:dyDescent="0.2">
      <c r="A3084" t="str">
        <f>'Novia Web Query'!A3080</f>
        <v>GB00BFMWYV73</v>
      </c>
      <c r="B3084" t="str">
        <f>VLOOKUP(NoviaFunds[[#This Row],[ISIN]],'Novia Web Query'!$A:$E,2,FALSE)</f>
        <v>MGTS St Johns Balanced Retail Inc TR in GB</v>
      </c>
      <c r="C3084" t="str">
        <f>VLOOKUP(NoviaFunds[[#This Row],[ISIN]],'Novia Web Query'!$A:$E,3,FALSE)</f>
        <v>UT Mixed Investment 20-60% Shares</v>
      </c>
      <c r="D3084" s="139">
        <f>VLOOKUP(NoviaFunds[[#This Row],[ISIN]],'Novia Web Query'!$A:$E,4,FALSE)/100</f>
        <v>8.199999999999999E-3</v>
      </c>
      <c r="E3084" s="3" t="str">
        <f>VLOOKUP(NoviaFunds[[#This Row],[ISIN]],'Novia Web Query'!$A:$E,5,FALSE)</f>
        <v>19/04/2021</v>
      </c>
      <c r="F3084" t="str">
        <f>VLOOKUP(NoviaFunds[[#This Row],[Sector]],Sectors[],2,FALSE)</f>
        <v>Mixed 20%-60%</v>
      </c>
    </row>
    <row r="3085" spans="1:6" x14ac:dyDescent="0.2">
      <c r="A3085" t="str">
        <f>'Novia Web Query'!A3081</f>
        <v>GB00BFMWYR38</v>
      </c>
      <c r="B3085" t="str">
        <f>VLOOKUP(NoviaFunds[[#This Row],[ISIN]],'Novia Web Query'!$A:$E,2,FALSE)</f>
        <v>MGTS St Johns Cautious Retail Acc in GB</v>
      </c>
      <c r="C3085" t="str">
        <f>VLOOKUP(NoviaFunds[[#This Row],[ISIN]],'Novia Web Query'!$A:$E,3,FALSE)</f>
        <v>UT Mixed Investment 0-35% Shares</v>
      </c>
      <c r="D3085" s="139">
        <f>VLOOKUP(NoviaFunds[[#This Row],[ISIN]],'Novia Web Query'!$A:$E,4,FALSE)/100</f>
        <v>8.0000000000000002E-3</v>
      </c>
      <c r="E3085" s="3" t="str">
        <f>VLOOKUP(NoviaFunds[[#This Row],[ISIN]],'Novia Web Query'!$A:$E,5,FALSE)</f>
        <v>19/04/2021</v>
      </c>
      <c r="F3085" t="str">
        <f>VLOOKUP(NoviaFunds[[#This Row],[Sector]],Sectors[],2,FALSE)</f>
        <v>Mixed 0%-35%</v>
      </c>
    </row>
    <row r="3086" spans="1:6" x14ac:dyDescent="0.2">
      <c r="A3086" t="str">
        <f>'Novia Web Query'!A3082</f>
        <v>GB00BFMWYS45</v>
      </c>
      <c r="B3086" t="str">
        <f>VLOOKUP(NoviaFunds[[#This Row],[ISIN]],'Novia Web Query'!$A:$E,2,FALSE)</f>
        <v>MGTS St Johns Cautious Retail Inc TR in GB</v>
      </c>
      <c r="C3086" t="str">
        <f>VLOOKUP(NoviaFunds[[#This Row],[ISIN]],'Novia Web Query'!$A:$E,3,FALSE)</f>
        <v>UT Mixed Investment 0-35% Shares</v>
      </c>
      <c r="D3086" s="139">
        <f>VLOOKUP(NoviaFunds[[#This Row],[ISIN]],'Novia Web Query'!$A:$E,4,FALSE)/100</f>
        <v>8.0000000000000002E-3</v>
      </c>
      <c r="E3086" s="3" t="str">
        <f>VLOOKUP(NoviaFunds[[#This Row],[ISIN]],'Novia Web Query'!$A:$E,5,FALSE)</f>
        <v>19/04/2021</v>
      </c>
      <c r="F3086" t="str">
        <f>VLOOKUP(NoviaFunds[[#This Row],[Sector]],Sectors[],2,FALSE)</f>
        <v>Mixed 0%-35%</v>
      </c>
    </row>
    <row r="3087" spans="1:6" x14ac:dyDescent="0.2">
      <c r="A3087" t="str">
        <f>'Novia Web Query'!A3083</f>
        <v>GB00BFMWYW80</v>
      </c>
      <c r="B3087" t="str">
        <f>VLOOKUP(NoviaFunds[[#This Row],[ISIN]],'Novia Web Query'!$A:$E,2,FALSE)</f>
        <v>MGTS St Johns Growth Retail Acc in GB</v>
      </c>
      <c r="C3087" t="str">
        <f>VLOOKUP(NoviaFunds[[#This Row],[ISIN]],'Novia Web Query'!$A:$E,3,FALSE)</f>
        <v>UT Mixed Investment 40-85% Shares</v>
      </c>
      <c r="D3087" s="139">
        <f>VLOOKUP(NoviaFunds[[#This Row],[ISIN]],'Novia Web Query'!$A:$E,4,FALSE)/100</f>
        <v>8.3999999999999995E-3</v>
      </c>
      <c r="E3087" s="3" t="str">
        <f>VLOOKUP(NoviaFunds[[#This Row],[ISIN]],'Novia Web Query'!$A:$E,5,FALSE)</f>
        <v>19/04/2021</v>
      </c>
      <c r="F3087" t="str">
        <f>VLOOKUP(NoviaFunds[[#This Row],[Sector]],Sectors[],2,FALSE)</f>
        <v>Mixed 40%-85%</v>
      </c>
    </row>
    <row r="3088" spans="1:6" x14ac:dyDescent="0.2">
      <c r="A3088" t="str">
        <f>'Novia Web Query'!A3084</f>
        <v>GB00BFXCLK49</v>
      </c>
      <c r="B3088" t="str">
        <f>VLOOKUP(NoviaFunds[[#This Row],[ISIN]],'Novia Web Query'!$A:$E,2,FALSE)</f>
        <v>MGTS St Johns Growth Retail Inc TR in GB</v>
      </c>
      <c r="C3088" t="str">
        <f>VLOOKUP(NoviaFunds[[#This Row],[ISIN]],'Novia Web Query'!$A:$E,3,FALSE)</f>
        <v>UT Mixed Investment 40-85% Shares</v>
      </c>
      <c r="D3088" s="139">
        <f>VLOOKUP(NoviaFunds[[#This Row],[ISIN]],'Novia Web Query'!$A:$E,4,FALSE)/100</f>
        <v>8.3999999999999995E-3</v>
      </c>
      <c r="E3088" s="3" t="str">
        <f>VLOOKUP(NoviaFunds[[#This Row],[ISIN]],'Novia Web Query'!$A:$E,5,FALSE)</f>
        <v>19/04/2021</v>
      </c>
      <c r="F3088" t="str">
        <f>VLOOKUP(NoviaFunds[[#This Row],[Sector]],Sectors[],2,FALSE)</f>
        <v>Mixed 40%-85%</v>
      </c>
    </row>
    <row r="3089" spans="1:6" x14ac:dyDescent="0.2">
      <c r="A3089" t="str">
        <f>'Novia Web Query'!A3085</f>
        <v>GB00BJFDXM99</v>
      </c>
      <c r="B3089" t="str">
        <f>VLOOKUP(NoviaFunds[[#This Row],[ISIN]],'Novia Web Query'!$A:$E,2,FALSE)</f>
        <v>MGTS St Johns Property Authorised Trust Acc in GB</v>
      </c>
      <c r="C3089" t="str">
        <f>VLOOKUP(NoviaFunds[[#This Row],[ISIN]],'Novia Web Query'!$A:$E,3,FALSE)</f>
        <v>UT UK Direct Property</v>
      </c>
      <c r="D3089" s="139">
        <f>VLOOKUP(NoviaFunds[[#This Row],[ISIN]],'Novia Web Query'!$A:$E,4,FALSE)/100</f>
        <v>1.26E-2</v>
      </c>
      <c r="E3089" s="3" t="str">
        <f>VLOOKUP(NoviaFunds[[#This Row],[ISIN]],'Novia Web Query'!$A:$E,5,FALSE)</f>
        <v>31/01/2021</v>
      </c>
      <c r="F3089" t="e">
        <f>VLOOKUP(NoviaFunds[[#This Row],[Sector]],Sectors[],2,FALSE)</f>
        <v>#N/A</v>
      </c>
    </row>
    <row r="3090" spans="1:6" x14ac:dyDescent="0.2">
      <c r="A3090" t="str">
        <f>'Novia Web Query'!A3086</f>
        <v>GB00BJFDXN07</v>
      </c>
      <c r="B3090" t="str">
        <f>VLOOKUP(NoviaFunds[[#This Row],[ISIN]],'Novia Web Query'!$A:$E,2,FALSE)</f>
        <v>MGTS St Johns Property Authorised Trust Inc TR in GB</v>
      </c>
      <c r="C3090" t="str">
        <f>VLOOKUP(NoviaFunds[[#This Row],[ISIN]],'Novia Web Query'!$A:$E,3,FALSE)</f>
        <v>UT UK Direct Property</v>
      </c>
      <c r="D3090" s="139">
        <f>VLOOKUP(NoviaFunds[[#This Row],[ISIN]],'Novia Web Query'!$A:$E,4,FALSE)/100</f>
        <v>1.26E-2</v>
      </c>
      <c r="E3090" s="3" t="str">
        <f>VLOOKUP(NoviaFunds[[#This Row],[ISIN]],'Novia Web Query'!$A:$E,5,FALSE)</f>
        <v>31/01/2021</v>
      </c>
      <c r="F3090" t="e">
        <f>VLOOKUP(NoviaFunds[[#This Row],[Sector]],Sectors[],2,FALSE)</f>
        <v>#N/A</v>
      </c>
    </row>
    <row r="3091" spans="1:6" x14ac:dyDescent="0.2">
      <c r="A3091" t="str">
        <f>'Novia Web Query'!A3087</f>
        <v>GB00BLF9RQ38</v>
      </c>
      <c r="B3091" t="str">
        <f>VLOOKUP(NoviaFunds[[#This Row],[ISIN]],'Novia Web Query'!$A:$E,2,FALSE)</f>
        <v>MI Brewin Dolphin Voyager Max 40% Equity A Acc in GB</v>
      </c>
      <c r="C3091" t="str">
        <f>VLOOKUP(NoviaFunds[[#This Row],[ISIN]],'Novia Web Query'!$A:$E,3,FALSE)</f>
        <v>UT Mixed Investment 0-35% Shares</v>
      </c>
      <c r="D3091" s="139">
        <f>VLOOKUP(NoviaFunds[[#This Row],[ISIN]],'Novia Web Query'!$A:$E,4,FALSE)/100</f>
        <v>7.3000000000000001E-3</v>
      </c>
      <c r="E3091" s="3" t="str">
        <f>VLOOKUP(NoviaFunds[[#This Row],[ISIN]],'Novia Web Query'!$A:$E,5,FALSE)</f>
        <v>05/10/2021</v>
      </c>
      <c r="F3091" t="str">
        <f>VLOOKUP(NoviaFunds[[#This Row],[Sector]],Sectors[],2,FALSE)</f>
        <v>Mixed 0%-35%</v>
      </c>
    </row>
    <row r="3092" spans="1:6" x14ac:dyDescent="0.2">
      <c r="A3092" t="str">
        <f>'Novia Web Query'!A3088</f>
        <v>GB00BLF9TN47</v>
      </c>
      <c r="B3092" t="str">
        <f>VLOOKUP(NoviaFunds[[#This Row],[ISIN]],'Novia Web Query'!$A:$E,2,FALSE)</f>
        <v>MI Brewin Dolphin Voyager Max 40% Equity A Inc TR in GB</v>
      </c>
      <c r="C3092" t="str">
        <f>VLOOKUP(NoviaFunds[[#This Row],[ISIN]],'Novia Web Query'!$A:$E,3,FALSE)</f>
        <v>UT Mixed Investment 0-35% Shares</v>
      </c>
      <c r="D3092" s="139">
        <f>VLOOKUP(NoviaFunds[[#This Row],[ISIN]],'Novia Web Query'!$A:$E,4,FALSE)/100</f>
        <v>7.3000000000000001E-3</v>
      </c>
      <c r="E3092" s="3" t="str">
        <f>VLOOKUP(NoviaFunds[[#This Row],[ISIN]],'Novia Web Query'!$A:$E,5,FALSE)</f>
        <v>05/10/2021</v>
      </c>
      <c r="F3092" t="str">
        <f>VLOOKUP(NoviaFunds[[#This Row],[Sector]],Sectors[],2,FALSE)</f>
        <v>Mixed 0%-35%</v>
      </c>
    </row>
    <row r="3093" spans="1:6" x14ac:dyDescent="0.2">
      <c r="A3093" t="str">
        <f>'Novia Web Query'!A3089</f>
        <v>GB00BLF9TP60</v>
      </c>
      <c r="B3093" t="str">
        <f>VLOOKUP(NoviaFunds[[#This Row],[ISIN]],'Novia Web Query'!$A:$E,2,FALSE)</f>
        <v>MI Brewin Dolphin Voyager Max 40% Equity B Acc in GB</v>
      </c>
      <c r="C3093" t="str">
        <f>VLOOKUP(NoviaFunds[[#This Row],[ISIN]],'Novia Web Query'!$A:$E,3,FALSE)</f>
        <v>UT Mixed Investment 0-35% Shares</v>
      </c>
      <c r="D3093" s="139">
        <f>VLOOKUP(NoviaFunds[[#This Row],[ISIN]],'Novia Web Query'!$A:$E,4,FALSE)/100</f>
        <v>6.3E-3</v>
      </c>
      <c r="E3093" s="3" t="str">
        <f>VLOOKUP(NoviaFunds[[#This Row],[ISIN]],'Novia Web Query'!$A:$E,5,FALSE)</f>
        <v>05/10/2021</v>
      </c>
      <c r="F3093" t="str">
        <f>VLOOKUP(NoviaFunds[[#This Row],[Sector]],Sectors[],2,FALSE)</f>
        <v>Mixed 0%-35%</v>
      </c>
    </row>
    <row r="3094" spans="1:6" x14ac:dyDescent="0.2">
      <c r="A3094" t="str">
        <f>'Novia Web Query'!A3090</f>
        <v>GB00BLF9TQ77</v>
      </c>
      <c r="B3094" t="str">
        <f>VLOOKUP(NoviaFunds[[#This Row],[ISIN]],'Novia Web Query'!$A:$E,2,FALSE)</f>
        <v>MI Brewin Dolphin Voyager Max 40% Equity B Inc TR in GB</v>
      </c>
      <c r="C3094" t="str">
        <f>VLOOKUP(NoviaFunds[[#This Row],[ISIN]],'Novia Web Query'!$A:$E,3,FALSE)</f>
        <v>UT Mixed Investment 0-35% Shares</v>
      </c>
      <c r="D3094" s="139">
        <f>VLOOKUP(NoviaFunds[[#This Row],[ISIN]],'Novia Web Query'!$A:$E,4,FALSE)/100</f>
        <v>6.3E-3</v>
      </c>
      <c r="E3094" s="3" t="str">
        <f>VLOOKUP(NoviaFunds[[#This Row],[ISIN]],'Novia Web Query'!$A:$E,5,FALSE)</f>
        <v>05/10/2021</v>
      </c>
      <c r="F3094" t="str">
        <f>VLOOKUP(NoviaFunds[[#This Row],[Sector]],Sectors[],2,FALSE)</f>
        <v>Mixed 0%-35%</v>
      </c>
    </row>
    <row r="3095" spans="1:6" x14ac:dyDescent="0.2">
      <c r="A3095" t="str">
        <f>'Novia Web Query'!A3091</f>
        <v>GB00BLF9TW38</v>
      </c>
      <c r="B3095" t="str">
        <f>VLOOKUP(NoviaFunds[[#This Row],[ISIN]],'Novia Web Query'!$A:$E,2,FALSE)</f>
        <v>MI Brewin Dolphin Voyager Max 60% Equity A Acc in GB</v>
      </c>
      <c r="C3095" t="str">
        <f>VLOOKUP(NoviaFunds[[#This Row],[ISIN]],'Novia Web Query'!$A:$E,3,FALSE)</f>
        <v>UT Mixed Investment 20-60% Shares</v>
      </c>
      <c r="D3095" s="139">
        <f>VLOOKUP(NoviaFunds[[#This Row],[ISIN]],'Novia Web Query'!$A:$E,4,FALSE)/100</f>
        <v>7.7000000000000002E-3</v>
      </c>
      <c r="E3095" s="3" t="str">
        <f>VLOOKUP(NoviaFunds[[#This Row],[ISIN]],'Novia Web Query'!$A:$E,5,FALSE)</f>
        <v>05/10/2021</v>
      </c>
      <c r="F3095" t="str">
        <f>VLOOKUP(NoviaFunds[[#This Row],[Sector]],Sectors[],2,FALSE)</f>
        <v>Mixed 20%-60%</v>
      </c>
    </row>
    <row r="3096" spans="1:6" x14ac:dyDescent="0.2">
      <c r="A3096" t="str">
        <f>'Novia Web Query'!A3092</f>
        <v>GB00BLF9TX45</v>
      </c>
      <c r="B3096" t="str">
        <f>VLOOKUP(NoviaFunds[[#This Row],[ISIN]],'Novia Web Query'!$A:$E,2,FALSE)</f>
        <v>MI Brewin Dolphin Voyager Max 60% Equity A Inc TR in GB</v>
      </c>
      <c r="C3096" t="str">
        <f>VLOOKUP(NoviaFunds[[#This Row],[ISIN]],'Novia Web Query'!$A:$E,3,FALSE)</f>
        <v>UT Mixed Investment 20-60% Shares</v>
      </c>
      <c r="D3096" s="139">
        <f>VLOOKUP(NoviaFunds[[#This Row],[ISIN]],'Novia Web Query'!$A:$E,4,FALSE)/100</f>
        <v>7.7000000000000002E-3</v>
      </c>
      <c r="E3096" s="3" t="str">
        <f>VLOOKUP(NoviaFunds[[#This Row],[ISIN]],'Novia Web Query'!$A:$E,5,FALSE)</f>
        <v>05/10/2021</v>
      </c>
      <c r="F3096" t="str">
        <f>VLOOKUP(NoviaFunds[[#This Row],[Sector]],Sectors[],2,FALSE)</f>
        <v>Mixed 20%-60%</v>
      </c>
    </row>
    <row r="3097" spans="1:6" x14ac:dyDescent="0.2">
      <c r="A3097" t="str">
        <f>'Novia Web Query'!A3093</f>
        <v>GB00BLF9TY51</v>
      </c>
      <c r="B3097" t="str">
        <f>VLOOKUP(NoviaFunds[[#This Row],[ISIN]],'Novia Web Query'!$A:$E,2,FALSE)</f>
        <v>MI Brewin Dolphin Voyager Max 60% Equity B Acc in GB</v>
      </c>
      <c r="C3097" t="str">
        <f>VLOOKUP(NoviaFunds[[#This Row],[ISIN]],'Novia Web Query'!$A:$E,3,FALSE)</f>
        <v>UT Mixed Investment 20-60% Shares</v>
      </c>
      <c r="D3097" s="139">
        <f>VLOOKUP(NoviaFunds[[#This Row],[ISIN]],'Novia Web Query'!$A:$E,4,FALSE)/100</f>
        <v>6.7000000000000002E-3</v>
      </c>
      <c r="E3097" s="3" t="str">
        <f>VLOOKUP(NoviaFunds[[#This Row],[ISIN]],'Novia Web Query'!$A:$E,5,FALSE)</f>
        <v>05/10/2021</v>
      </c>
      <c r="F3097" t="str">
        <f>VLOOKUP(NoviaFunds[[#This Row],[Sector]],Sectors[],2,FALSE)</f>
        <v>Mixed 20%-60%</v>
      </c>
    </row>
    <row r="3098" spans="1:6" x14ac:dyDescent="0.2">
      <c r="A3098" t="str">
        <f>'Novia Web Query'!A3094</f>
        <v>GB00BLF9TZ68</v>
      </c>
      <c r="B3098" t="str">
        <f>VLOOKUP(NoviaFunds[[#This Row],[ISIN]],'Novia Web Query'!$A:$E,2,FALSE)</f>
        <v>MI Brewin Dolphin Voyager Max 60% Equity B Inc TR in GB</v>
      </c>
      <c r="C3098" t="str">
        <f>VLOOKUP(NoviaFunds[[#This Row],[ISIN]],'Novia Web Query'!$A:$E,3,FALSE)</f>
        <v>UT Mixed Investment 20-60% Shares</v>
      </c>
      <c r="D3098" s="139">
        <f>VLOOKUP(NoviaFunds[[#This Row],[ISIN]],'Novia Web Query'!$A:$E,4,FALSE)/100</f>
        <v>6.7000000000000002E-3</v>
      </c>
      <c r="E3098" s="3" t="str">
        <f>VLOOKUP(NoviaFunds[[#This Row],[ISIN]],'Novia Web Query'!$A:$E,5,FALSE)</f>
        <v>05/10/2021</v>
      </c>
      <c r="F3098" t="str">
        <f>VLOOKUP(NoviaFunds[[#This Row],[Sector]],Sectors[],2,FALSE)</f>
        <v>Mixed 20%-60%</v>
      </c>
    </row>
    <row r="3099" spans="1:6" x14ac:dyDescent="0.2">
      <c r="A3099" t="str">
        <f>'Novia Web Query'!A3095</f>
        <v>GB00BLF9V059</v>
      </c>
      <c r="B3099" t="str">
        <f>VLOOKUP(NoviaFunds[[#This Row],[ISIN]],'Novia Web Query'!$A:$E,2,FALSE)</f>
        <v>MI Brewin Dolphin Voyager Max 70% Equity A Acc in GB</v>
      </c>
      <c r="C3099" t="str">
        <f>VLOOKUP(NoviaFunds[[#This Row],[ISIN]],'Novia Web Query'!$A:$E,3,FALSE)</f>
        <v>UT Mixed Investment 20-60% Shares</v>
      </c>
      <c r="D3099" s="139">
        <f>VLOOKUP(NoviaFunds[[#This Row],[ISIN]],'Novia Web Query'!$A:$E,4,FALSE)/100</f>
        <v>8.0000000000000002E-3</v>
      </c>
      <c r="E3099" s="3" t="str">
        <f>VLOOKUP(NoviaFunds[[#This Row],[ISIN]],'Novia Web Query'!$A:$E,5,FALSE)</f>
        <v>05/10/2021</v>
      </c>
      <c r="F3099" t="str">
        <f>VLOOKUP(NoviaFunds[[#This Row],[Sector]],Sectors[],2,FALSE)</f>
        <v>Mixed 20%-60%</v>
      </c>
    </row>
    <row r="3100" spans="1:6" x14ac:dyDescent="0.2">
      <c r="A3100" t="str">
        <f>'Novia Web Query'!A3096</f>
        <v>GB00BLF9V166</v>
      </c>
      <c r="B3100" t="str">
        <f>VLOOKUP(NoviaFunds[[#This Row],[ISIN]],'Novia Web Query'!$A:$E,2,FALSE)</f>
        <v>MI Brewin Dolphin Voyager Max 70% Equity A Inc TR in GB</v>
      </c>
      <c r="C3100" t="str">
        <f>VLOOKUP(NoviaFunds[[#This Row],[ISIN]],'Novia Web Query'!$A:$E,3,FALSE)</f>
        <v>UT Mixed Investment 20-60% Shares</v>
      </c>
      <c r="D3100" s="139">
        <f>VLOOKUP(NoviaFunds[[#This Row],[ISIN]],'Novia Web Query'!$A:$E,4,FALSE)/100</f>
        <v>8.0000000000000002E-3</v>
      </c>
      <c r="E3100" s="3" t="str">
        <f>VLOOKUP(NoviaFunds[[#This Row],[ISIN]],'Novia Web Query'!$A:$E,5,FALSE)</f>
        <v>05/10/2021</v>
      </c>
      <c r="F3100" t="str">
        <f>VLOOKUP(NoviaFunds[[#This Row],[Sector]],Sectors[],2,FALSE)</f>
        <v>Mixed 20%-60%</v>
      </c>
    </row>
    <row r="3101" spans="1:6" x14ac:dyDescent="0.2">
      <c r="A3101" t="str">
        <f>'Novia Web Query'!A3097</f>
        <v>GB00BLF9V273</v>
      </c>
      <c r="B3101" t="str">
        <f>VLOOKUP(NoviaFunds[[#This Row],[ISIN]],'Novia Web Query'!$A:$E,2,FALSE)</f>
        <v>MI Brewin Dolphin Voyager Max 70% Equity B Acc in GB</v>
      </c>
      <c r="C3101" t="str">
        <f>VLOOKUP(NoviaFunds[[#This Row],[ISIN]],'Novia Web Query'!$A:$E,3,FALSE)</f>
        <v>UT Mixed Investment 20-60% Shares</v>
      </c>
      <c r="D3101" s="139">
        <f>VLOOKUP(NoviaFunds[[#This Row],[ISIN]],'Novia Web Query'!$A:$E,4,FALSE)/100</f>
        <v>6.9999999999999993E-3</v>
      </c>
      <c r="E3101" s="3" t="str">
        <f>VLOOKUP(NoviaFunds[[#This Row],[ISIN]],'Novia Web Query'!$A:$E,5,FALSE)</f>
        <v>05/10/2021</v>
      </c>
      <c r="F3101" t="str">
        <f>VLOOKUP(NoviaFunds[[#This Row],[Sector]],Sectors[],2,FALSE)</f>
        <v>Mixed 20%-60%</v>
      </c>
    </row>
    <row r="3102" spans="1:6" x14ac:dyDescent="0.2">
      <c r="A3102" t="str">
        <f>'Novia Web Query'!A3098</f>
        <v>GB00BLF9V380</v>
      </c>
      <c r="B3102" t="str">
        <f>VLOOKUP(NoviaFunds[[#This Row],[ISIN]],'Novia Web Query'!$A:$E,2,FALSE)</f>
        <v>MI Brewin Dolphin Voyager Max 70% Equity B Inc TR in GB</v>
      </c>
      <c r="C3102" t="str">
        <f>VLOOKUP(NoviaFunds[[#This Row],[ISIN]],'Novia Web Query'!$A:$E,3,FALSE)</f>
        <v>UT Mixed Investment 20-60% Shares</v>
      </c>
      <c r="D3102" s="139">
        <f>VLOOKUP(NoviaFunds[[#This Row],[ISIN]],'Novia Web Query'!$A:$E,4,FALSE)/100</f>
        <v>6.9999999999999993E-3</v>
      </c>
      <c r="E3102" s="3" t="str">
        <f>VLOOKUP(NoviaFunds[[#This Row],[ISIN]],'Novia Web Query'!$A:$E,5,FALSE)</f>
        <v>05/10/2021</v>
      </c>
      <c r="F3102" t="str">
        <f>VLOOKUP(NoviaFunds[[#This Row],[Sector]],Sectors[],2,FALSE)</f>
        <v>Mixed 20%-60%</v>
      </c>
    </row>
    <row r="3103" spans="1:6" x14ac:dyDescent="0.2">
      <c r="A3103" t="str">
        <f>'Novia Web Query'!A3099</f>
        <v>GB00BLF9V497</v>
      </c>
      <c r="B3103" t="str">
        <f>VLOOKUP(NoviaFunds[[#This Row],[ISIN]],'Novia Web Query'!$A:$E,2,FALSE)</f>
        <v>MI Brewin Dolphin Voyager Max 80% Equity A Acc in GB</v>
      </c>
      <c r="C3103" t="str">
        <f>VLOOKUP(NoviaFunds[[#This Row],[ISIN]],'Novia Web Query'!$A:$E,3,FALSE)</f>
        <v>UT Mixed Investment 40-85% Shares</v>
      </c>
      <c r="D3103" s="139">
        <f>VLOOKUP(NoviaFunds[[#This Row],[ISIN]],'Novia Web Query'!$A:$E,4,FALSE)/100</f>
        <v>7.7000000000000002E-3</v>
      </c>
      <c r="E3103" s="3" t="str">
        <f>VLOOKUP(NoviaFunds[[#This Row],[ISIN]],'Novia Web Query'!$A:$E,5,FALSE)</f>
        <v>05/10/2021</v>
      </c>
      <c r="F3103" t="str">
        <f>VLOOKUP(NoviaFunds[[#This Row],[Sector]],Sectors[],2,FALSE)</f>
        <v>Mixed 40%-85%</v>
      </c>
    </row>
    <row r="3104" spans="1:6" x14ac:dyDescent="0.2">
      <c r="A3104" t="str">
        <f>'Novia Web Query'!A3100</f>
        <v>GB00BLF9V505</v>
      </c>
      <c r="B3104" t="str">
        <f>VLOOKUP(NoviaFunds[[#This Row],[ISIN]],'Novia Web Query'!$A:$E,2,FALSE)</f>
        <v>MI Brewin Dolphin Voyager Max 80% Equity A Inc TR in GB</v>
      </c>
      <c r="C3104" t="str">
        <f>VLOOKUP(NoviaFunds[[#This Row],[ISIN]],'Novia Web Query'!$A:$E,3,FALSE)</f>
        <v>UT Mixed Investment 40-85% Shares</v>
      </c>
      <c r="D3104" s="139">
        <f>VLOOKUP(NoviaFunds[[#This Row],[ISIN]],'Novia Web Query'!$A:$E,4,FALSE)/100</f>
        <v>7.7000000000000002E-3</v>
      </c>
      <c r="E3104" s="3" t="str">
        <f>VLOOKUP(NoviaFunds[[#This Row],[ISIN]],'Novia Web Query'!$A:$E,5,FALSE)</f>
        <v>05/10/2021</v>
      </c>
      <c r="F3104" t="str">
        <f>VLOOKUP(NoviaFunds[[#This Row],[Sector]],Sectors[],2,FALSE)</f>
        <v>Mixed 40%-85%</v>
      </c>
    </row>
    <row r="3105" spans="1:6" x14ac:dyDescent="0.2">
      <c r="A3105" t="str">
        <f>'Novia Web Query'!A3101</f>
        <v>GB00BLF9V612</v>
      </c>
      <c r="B3105" t="str">
        <f>VLOOKUP(NoviaFunds[[#This Row],[ISIN]],'Novia Web Query'!$A:$E,2,FALSE)</f>
        <v>MI Brewin Dolphin Voyager Max 80% Equity B Acc in GB</v>
      </c>
      <c r="C3105" t="str">
        <f>VLOOKUP(NoviaFunds[[#This Row],[ISIN]],'Novia Web Query'!$A:$E,3,FALSE)</f>
        <v>UT Mixed Investment 40-85% Shares</v>
      </c>
      <c r="D3105" s="139">
        <f>VLOOKUP(NoviaFunds[[#This Row],[ISIN]],'Novia Web Query'!$A:$E,4,FALSE)/100</f>
        <v>6.7000000000000002E-3</v>
      </c>
      <c r="E3105" s="3" t="str">
        <f>VLOOKUP(NoviaFunds[[#This Row],[ISIN]],'Novia Web Query'!$A:$E,5,FALSE)</f>
        <v>05/10/2021</v>
      </c>
      <c r="F3105" t="str">
        <f>VLOOKUP(NoviaFunds[[#This Row],[Sector]],Sectors[],2,FALSE)</f>
        <v>Mixed 40%-85%</v>
      </c>
    </row>
    <row r="3106" spans="1:6" x14ac:dyDescent="0.2">
      <c r="A3106" t="str">
        <f>'Novia Web Query'!A3102</f>
        <v>GB00BLF9V729</v>
      </c>
      <c r="B3106" t="str">
        <f>VLOOKUP(NoviaFunds[[#This Row],[ISIN]],'Novia Web Query'!$A:$E,2,FALSE)</f>
        <v>MI Brewin Dolphin Voyager Max 80% Equity B Inc TR in GB</v>
      </c>
      <c r="C3106" t="str">
        <f>VLOOKUP(NoviaFunds[[#This Row],[ISIN]],'Novia Web Query'!$A:$E,3,FALSE)</f>
        <v>UT Mixed Investment 40-85% Shares</v>
      </c>
      <c r="D3106" s="139">
        <f>VLOOKUP(NoviaFunds[[#This Row],[ISIN]],'Novia Web Query'!$A:$E,4,FALSE)/100</f>
        <v>6.7000000000000002E-3</v>
      </c>
      <c r="E3106" s="3" t="str">
        <f>VLOOKUP(NoviaFunds[[#This Row],[ISIN]],'Novia Web Query'!$A:$E,5,FALSE)</f>
        <v>05/10/2021</v>
      </c>
      <c r="F3106" t="str">
        <f>VLOOKUP(NoviaFunds[[#This Row],[Sector]],Sectors[],2,FALSE)</f>
        <v>Mixed 40%-85%</v>
      </c>
    </row>
    <row r="3107" spans="1:6" x14ac:dyDescent="0.2">
      <c r="A3107" t="str">
        <f>'Novia Web Query'!A3103</f>
        <v>GB00BLF9V836</v>
      </c>
      <c r="B3107" t="str">
        <f>VLOOKUP(NoviaFunds[[#This Row],[ISIN]],'Novia Web Query'!$A:$E,2,FALSE)</f>
        <v>MI Brewin Dolphin Voyager Max 90% Equity A Acc in GB</v>
      </c>
      <c r="C3107" t="str">
        <f>VLOOKUP(NoviaFunds[[#This Row],[ISIN]],'Novia Web Query'!$A:$E,3,FALSE)</f>
        <v>UT Flexible Investment</v>
      </c>
      <c r="D3107" s="139">
        <f>VLOOKUP(NoviaFunds[[#This Row],[ISIN]],'Novia Web Query'!$A:$E,4,FALSE)/100</f>
        <v>7.7000000000000002E-3</v>
      </c>
      <c r="E3107" s="3" t="str">
        <f>VLOOKUP(NoviaFunds[[#This Row],[ISIN]],'Novia Web Query'!$A:$E,5,FALSE)</f>
        <v>11/10/2021</v>
      </c>
      <c r="F3107" t="str">
        <f>VLOOKUP(NoviaFunds[[#This Row],[Sector]],Sectors[],2,FALSE)</f>
        <v>Flexible</v>
      </c>
    </row>
    <row r="3108" spans="1:6" x14ac:dyDescent="0.2">
      <c r="A3108" t="str">
        <f>'Novia Web Query'!A3104</f>
        <v>GB00BLF9V943</v>
      </c>
      <c r="B3108" t="str">
        <f>VLOOKUP(NoviaFunds[[#This Row],[ISIN]],'Novia Web Query'!$A:$E,2,FALSE)</f>
        <v>MI Brewin Dolphin Voyager Max 90% Equity A Inc TR in GB</v>
      </c>
      <c r="C3108" t="str">
        <f>VLOOKUP(NoviaFunds[[#This Row],[ISIN]],'Novia Web Query'!$A:$E,3,FALSE)</f>
        <v>UT Flexible Investment</v>
      </c>
      <c r="D3108" s="139">
        <f>VLOOKUP(NoviaFunds[[#This Row],[ISIN]],'Novia Web Query'!$A:$E,4,FALSE)/100</f>
        <v>7.7000000000000002E-3</v>
      </c>
      <c r="E3108" s="3" t="str">
        <f>VLOOKUP(NoviaFunds[[#This Row],[ISIN]],'Novia Web Query'!$A:$E,5,FALSE)</f>
        <v>11/10/2021</v>
      </c>
      <c r="F3108" t="str">
        <f>VLOOKUP(NoviaFunds[[#This Row],[Sector]],Sectors[],2,FALSE)</f>
        <v>Flexible</v>
      </c>
    </row>
    <row r="3109" spans="1:6" x14ac:dyDescent="0.2">
      <c r="A3109" t="str">
        <f>'Novia Web Query'!A3105</f>
        <v>GB00BLF9VB62</v>
      </c>
      <c r="B3109" t="str">
        <f>VLOOKUP(NoviaFunds[[#This Row],[ISIN]],'Novia Web Query'!$A:$E,2,FALSE)</f>
        <v>MI Brewin Dolphin Voyager Max 90% Equity B Acc in GB</v>
      </c>
      <c r="C3109" t="str">
        <f>VLOOKUP(NoviaFunds[[#This Row],[ISIN]],'Novia Web Query'!$A:$E,3,FALSE)</f>
        <v>UT Flexible Investment</v>
      </c>
      <c r="D3109" s="139">
        <f>VLOOKUP(NoviaFunds[[#This Row],[ISIN]],'Novia Web Query'!$A:$E,4,FALSE)/100</f>
        <v>6.7000000000000002E-3</v>
      </c>
      <c r="E3109" s="3" t="str">
        <f>VLOOKUP(NoviaFunds[[#This Row],[ISIN]],'Novia Web Query'!$A:$E,5,FALSE)</f>
        <v>11/10/2021</v>
      </c>
      <c r="F3109" t="str">
        <f>VLOOKUP(NoviaFunds[[#This Row],[Sector]],Sectors[],2,FALSE)</f>
        <v>Flexible</v>
      </c>
    </row>
    <row r="3110" spans="1:6" x14ac:dyDescent="0.2">
      <c r="A3110" t="str">
        <f>'Novia Web Query'!A3106</f>
        <v>GB00BLF9VC79</v>
      </c>
      <c r="B3110" t="str">
        <f>VLOOKUP(NoviaFunds[[#This Row],[ISIN]],'Novia Web Query'!$A:$E,2,FALSE)</f>
        <v>MI Brewin Dolphin Voyager Max 90% Equity B Inc TR in GB</v>
      </c>
      <c r="C3110" t="str">
        <f>VLOOKUP(NoviaFunds[[#This Row],[ISIN]],'Novia Web Query'!$A:$E,3,FALSE)</f>
        <v>UT Flexible Investment</v>
      </c>
      <c r="D3110" s="139">
        <f>VLOOKUP(NoviaFunds[[#This Row],[ISIN]],'Novia Web Query'!$A:$E,4,FALSE)/100</f>
        <v>6.7000000000000002E-3</v>
      </c>
      <c r="E3110" s="3" t="str">
        <f>VLOOKUP(NoviaFunds[[#This Row],[ISIN]],'Novia Web Query'!$A:$E,5,FALSE)</f>
        <v>11/10/2021</v>
      </c>
      <c r="F3110" t="str">
        <f>VLOOKUP(NoviaFunds[[#This Row],[Sector]],Sectors[],2,FALSE)</f>
        <v>Flexible</v>
      </c>
    </row>
    <row r="3111" spans="1:6" x14ac:dyDescent="0.2">
      <c r="A3111" t="str">
        <f>'Novia Web Query'!A3107</f>
        <v>GB00B09DHH53</v>
      </c>
      <c r="B3111" t="str">
        <f>VLOOKUP(NoviaFunds[[#This Row],[ISIN]],'Novia Web Query'!$A:$E,2,FALSE)</f>
        <v>MI Charles Stanley Equity A Acc in GB</v>
      </c>
      <c r="C3111" t="str">
        <f>VLOOKUP(NoviaFunds[[#This Row],[ISIN]],'Novia Web Query'!$A:$E,3,FALSE)</f>
        <v>UT UK All Companies</v>
      </c>
      <c r="D3111" s="139">
        <f>VLOOKUP(NoviaFunds[[#This Row],[ISIN]],'Novia Web Query'!$A:$E,4,FALSE)/100</f>
        <v>2E-3</v>
      </c>
      <c r="E3111" s="3" t="str">
        <f>VLOOKUP(NoviaFunds[[#This Row],[ISIN]],'Novia Web Query'!$A:$E,5,FALSE)</f>
        <v>01/10/2021</v>
      </c>
      <c r="F3111" t="str">
        <f>VLOOKUP(NoviaFunds[[#This Row],[Sector]],Sectors[],2,FALSE)</f>
        <v>UK Equities</v>
      </c>
    </row>
    <row r="3112" spans="1:6" x14ac:dyDescent="0.2">
      <c r="A3112" t="str">
        <f>'Novia Web Query'!A3108</f>
        <v>GB00B09CC449</v>
      </c>
      <c r="B3112" t="str">
        <f>VLOOKUP(NoviaFunds[[#This Row],[ISIN]],'Novia Web Query'!$A:$E,2,FALSE)</f>
        <v>MI Charles Stanley Equity A Inc TR in GB</v>
      </c>
      <c r="C3112" t="str">
        <f>VLOOKUP(NoviaFunds[[#This Row],[ISIN]],'Novia Web Query'!$A:$E,3,FALSE)</f>
        <v>UT UK All Companies</v>
      </c>
      <c r="D3112" s="139">
        <f>VLOOKUP(NoviaFunds[[#This Row],[ISIN]],'Novia Web Query'!$A:$E,4,FALSE)/100</f>
        <v>2E-3</v>
      </c>
      <c r="E3112" s="3" t="str">
        <f>VLOOKUP(NoviaFunds[[#This Row],[ISIN]],'Novia Web Query'!$A:$E,5,FALSE)</f>
        <v>01/10/2021</v>
      </c>
      <c r="F3112" t="str">
        <f>VLOOKUP(NoviaFunds[[#This Row],[Sector]],Sectors[],2,FALSE)</f>
        <v>UK Equities</v>
      </c>
    </row>
    <row r="3113" spans="1:6" x14ac:dyDescent="0.2">
      <c r="A3113" t="str">
        <f>'Novia Web Query'!A3109</f>
        <v>GB00B93NZH07</v>
      </c>
      <c r="B3113" t="str">
        <f>VLOOKUP(NoviaFunds[[#This Row],[ISIN]],'Novia Web Query'!$A:$E,2,FALSE)</f>
        <v>MI Charles Stanley Equity B Acc in GB**</v>
      </c>
      <c r="C3113" t="str">
        <f>VLOOKUP(NoviaFunds[[#This Row],[ISIN]],'Novia Web Query'!$A:$E,3,FALSE)</f>
        <v>UT UK All Companies</v>
      </c>
      <c r="D3113" s="139">
        <f>VLOOKUP(NoviaFunds[[#This Row],[ISIN]],'Novia Web Query'!$A:$E,4,FALSE)/100</f>
        <v>9.4999999999999998E-3</v>
      </c>
      <c r="E3113" s="3" t="str">
        <f>VLOOKUP(NoviaFunds[[#This Row],[ISIN]],'Novia Web Query'!$A:$E,5,FALSE)</f>
        <v>01/10/2021</v>
      </c>
      <c r="F3113" t="str">
        <f>VLOOKUP(NoviaFunds[[#This Row],[Sector]],Sectors[],2,FALSE)</f>
        <v>UK Equities</v>
      </c>
    </row>
    <row r="3114" spans="1:6" x14ac:dyDescent="0.2">
      <c r="A3114" t="str">
        <f>'Novia Web Query'!A3110</f>
        <v>GB00B93Q5805</v>
      </c>
      <c r="B3114" t="str">
        <f>VLOOKUP(NoviaFunds[[#This Row],[ISIN]],'Novia Web Query'!$A:$E,2,FALSE)</f>
        <v>MI Charles Stanley Equity B Inc TR in GB</v>
      </c>
      <c r="C3114" t="str">
        <f>VLOOKUP(NoviaFunds[[#This Row],[ISIN]],'Novia Web Query'!$A:$E,3,FALSE)</f>
        <v>UT UK All Companies</v>
      </c>
      <c r="D3114" s="139">
        <f>VLOOKUP(NoviaFunds[[#This Row],[ISIN]],'Novia Web Query'!$A:$E,4,FALSE)/100</f>
        <v>9.4999999999999998E-3</v>
      </c>
      <c r="E3114" s="3" t="str">
        <f>VLOOKUP(NoviaFunds[[#This Row],[ISIN]],'Novia Web Query'!$A:$E,5,FALSE)</f>
        <v>01/10/2021</v>
      </c>
      <c r="F3114" t="str">
        <f>VLOOKUP(NoviaFunds[[#This Row],[Sector]],Sectors[],2,FALSE)</f>
        <v>UK Equities</v>
      </c>
    </row>
    <row r="3115" spans="1:6" x14ac:dyDescent="0.2">
      <c r="A3115" t="str">
        <f>'Novia Web Query'!A3111</f>
        <v>GB00B09CC332</v>
      </c>
      <c r="B3115" t="str">
        <f>VLOOKUP(NoviaFunds[[#This Row],[ISIN]],'Novia Web Query'!$A:$E,2,FALSE)</f>
        <v>MI Charles Stanley Monthly High Income A Acc in GB</v>
      </c>
      <c r="C3115" t="str">
        <f>VLOOKUP(NoviaFunds[[#This Row],[ISIN]],'Novia Web Query'!$A:$E,3,FALSE)</f>
        <v>UT Mixed Investment 0-35% Shares</v>
      </c>
      <c r="D3115" s="139">
        <f>VLOOKUP(NoviaFunds[[#This Row],[ISIN]],'Novia Web Query'!$A:$E,4,FALSE)/100</f>
        <v>1.0800000000000001E-2</v>
      </c>
      <c r="E3115" s="3" t="str">
        <f>VLOOKUP(NoviaFunds[[#This Row],[ISIN]],'Novia Web Query'!$A:$E,5,FALSE)</f>
        <v>01/10/2021</v>
      </c>
      <c r="F3115" t="str">
        <f>VLOOKUP(NoviaFunds[[#This Row],[Sector]],Sectors[],2,FALSE)</f>
        <v>Mixed 0%-35%</v>
      </c>
    </row>
    <row r="3116" spans="1:6" x14ac:dyDescent="0.2">
      <c r="A3116" t="str">
        <f>'Novia Web Query'!A3112</f>
        <v>GB00B09CC118</v>
      </c>
      <c r="B3116" t="str">
        <f>VLOOKUP(NoviaFunds[[#This Row],[ISIN]],'Novia Web Query'!$A:$E,2,FALSE)</f>
        <v>MI Charles Stanley Monthly High Income A Inc TR in GB</v>
      </c>
      <c r="C3116" t="str">
        <f>VLOOKUP(NoviaFunds[[#This Row],[ISIN]],'Novia Web Query'!$A:$E,3,FALSE)</f>
        <v>UT Mixed Investment 0-35% Shares</v>
      </c>
      <c r="D3116" s="139">
        <f>VLOOKUP(NoviaFunds[[#This Row],[ISIN]],'Novia Web Query'!$A:$E,4,FALSE)/100</f>
        <v>1.0800000000000001E-2</v>
      </c>
      <c r="E3116" s="3" t="str">
        <f>VLOOKUP(NoviaFunds[[#This Row],[ISIN]],'Novia Web Query'!$A:$E,5,FALSE)</f>
        <v>01/10/2021</v>
      </c>
      <c r="F3116" t="str">
        <f>VLOOKUP(NoviaFunds[[#This Row],[Sector]],Sectors[],2,FALSE)</f>
        <v>Mixed 0%-35%</v>
      </c>
    </row>
    <row r="3117" spans="1:6" x14ac:dyDescent="0.2">
      <c r="A3117" t="str">
        <f>'Novia Web Query'!A3113</f>
        <v>GB00B92V3044</v>
      </c>
      <c r="B3117" t="str">
        <f>VLOOKUP(NoviaFunds[[#This Row],[ISIN]],'Novia Web Query'!$A:$E,2,FALSE)</f>
        <v>MI Charles Stanley Monthly High Income C Acc in GB</v>
      </c>
      <c r="C3117" t="str">
        <f>VLOOKUP(NoviaFunds[[#This Row],[ISIN]],'Novia Web Query'!$A:$E,3,FALSE)</f>
        <v>UT Mixed Investment 0-35% Shares</v>
      </c>
      <c r="D3117" s="139">
        <f>VLOOKUP(NoviaFunds[[#This Row],[ISIN]],'Novia Web Query'!$A:$E,4,FALSE)/100</f>
        <v>8.3000000000000001E-3</v>
      </c>
      <c r="E3117" s="3" t="str">
        <f>VLOOKUP(NoviaFunds[[#This Row],[ISIN]],'Novia Web Query'!$A:$E,5,FALSE)</f>
        <v>01/10/2021</v>
      </c>
      <c r="F3117" t="str">
        <f>VLOOKUP(NoviaFunds[[#This Row],[Sector]],Sectors[],2,FALSE)</f>
        <v>Mixed 0%-35%</v>
      </c>
    </row>
    <row r="3118" spans="1:6" x14ac:dyDescent="0.2">
      <c r="A3118" t="str">
        <f>'Novia Web Query'!A3114</f>
        <v>GB00B92V3267</v>
      </c>
      <c r="B3118" t="str">
        <f>VLOOKUP(NoviaFunds[[#This Row],[ISIN]],'Novia Web Query'!$A:$E,2,FALSE)</f>
        <v>MI Charles Stanley Monthly High Income C Inc TR in GB</v>
      </c>
      <c r="C3118" t="str">
        <f>VLOOKUP(NoviaFunds[[#This Row],[ISIN]],'Novia Web Query'!$A:$E,3,FALSE)</f>
        <v>UT Mixed Investment 0-35% Shares</v>
      </c>
      <c r="D3118" s="139">
        <f>VLOOKUP(NoviaFunds[[#This Row],[ISIN]],'Novia Web Query'!$A:$E,4,FALSE)/100</f>
        <v>8.3000000000000001E-3</v>
      </c>
      <c r="E3118" s="3" t="str">
        <f>VLOOKUP(NoviaFunds[[#This Row],[ISIN]],'Novia Web Query'!$A:$E,5,FALSE)</f>
        <v>01/10/2021</v>
      </c>
      <c r="F3118" t="str">
        <f>VLOOKUP(NoviaFunds[[#This Row],[Sector]],Sectors[],2,FALSE)</f>
        <v>Mixed 0%-35%</v>
      </c>
    </row>
    <row r="3119" spans="1:6" x14ac:dyDescent="0.2">
      <c r="A3119" t="str">
        <f>'Novia Web Query'!A3115</f>
        <v>GB00BD89MM52</v>
      </c>
      <c r="B3119" t="str">
        <f>VLOOKUP(NoviaFunds[[#This Row],[ISIN]],'Novia Web Query'!$A:$E,2,FALSE)</f>
        <v>MI Charles Stanley Multi Asset Adventurous A Acc in GB</v>
      </c>
      <c r="C3119" t="str">
        <f>VLOOKUP(NoviaFunds[[#This Row],[ISIN]],'Novia Web Query'!$A:$E,3,FALSE)</f>
        <v>UT Flexible Investment</v>
      </c>
      <c r="D3119" s="139">
        <f>VLOOKUP(NoviaFunds[[#This Row],[ISIN]],'Novia Web Query'!$A:$E,4,FALSE)/100</f>
        <v>6.8000000000000005E-3</v>
      </c>
      <c r="E3119" s="3" t="str">
        <f>VLOOKUP(NoviaFunds[[#This Row],[ISIN]],'Novia Web Query'!$A:$E,5,FALSE)</f>
        <v>09/07/2021</v>
      </c>
      <c r="F3119" t="str">
        <f>VLOOKUP(NoviaFunds[[#This Row],[Sector]],Sectors[],2,FALSE)</f>
        <v>Flexible</v>
      </c>
    </row>
    <row r="3120" spans="1:6" x14ac:dyDescent="0.2">
      <c r="A3120" t="str">
        <f>'Novia Web Query'!A3116</f>
        <v>GB00BD89ML46</v>
      </c>
      <c r="B3120" t="str">
        <f>VLOOKUP(NoviaFunds[[#This Row],[ISIN]],'Novia Web Query'!$A:$E,2,FALSE)</f>
        <v>MI Charles Stanley Multi Asset Adventurous A Inc TR in GB</v>
      </c>
      <c r="C3120" t="str">
        <f>VLOOKUP(NoviaFunds[[#This Row],[ISIN]],'Novia Web Query'!$A:$E,3,FALSE)</f>
        <v>UT Flexible Investment</v>
      </c>
      <c r="D3120" s="139">
        <f>VLOOKUP(NoviaFunds[[#This Row],[ISIN]],'Novia Web Query'!$A:$E,4,FALSE)/100</f>
        <v>6.8000000000000005E-3</v>
      </c>
      <c r="E3120" s="3" t="str">
        <f>VLOOKUP(NoviaFunds[[#This Row],[ISIN]],'Novia Web Query'!$A:$E,5,FALSE)</f>
        <v>09/07/2021</v>
      </c>
      <c r="F3120" t="str">
        <f>VLOOKUP(NoviaFunds[[#This Row],[Sector]],Sectors[],2,FALSE)</f>
        <v>Flexible</v>
      </c>
    </row>
    <row r="3121" spans="1:6" x14ac:dyDescent="0.2">
      <c r="A3121" t="str">
        <f>'Novia Web Query'!A3117</f>
        <v>GB00BD89MF85</v>
      </c>
      <c r="B3121" t="str">
        <f>VLOOKUP(NoviaFunds[[#This Row],[ISIN]],'Novia Web Query'!$A:$E,2,FALSE)</f>
        <v>MI Charles Stanley Multi Asset Cautious A Acc in GB</v>
      </c>
      <c r="C3121" t="str">
        <f>VLOOKUP(NoviaFunds[[#This Row],[ISIN]],'Novia Web Query'!$A:$E,3,FALSE)</f>
        <v>UT Mixed Investment 20-60% Shares</v>
      </c>
      <c r="D3121" s="139">
        <f>VLOOKUP(NoviaFunds[[#This Row],[ISIN]],'Novia Web Query'!$A:$E,4,FALSE)/100</f>
        <v>6.6E-3</v>
      </c>
      <c r="E3121" s="3" t="str">
        <f>VLOOKUP(NoviaFunds[[#This Row],[ISIN]],'Novia Web Query'!$A:$E,5,FALSE)</f>
        <v>09/07/2021</v>
      </c>
      <c r="F3121" t="str">
        <f>VLOOKUP(NoviaFunds[[#This Row],[Sector]],Sectors[],2,FALSE)</f>
        <v>Mixed 20%-60%</v>
      </c>
    </row>
    <row r="3122" spans="1:6" x14ac:dyDescent="0.2">
      <c r="A3122" t="str">
        <f>'Novia Web Query'!A3118</f>
        <v>GB00BD89MD61</v>
      </c>
      <c r="B3122" t="str">
        <f>VLOOKUP(NoviaFunds[[#This Row],[ISIN]],'Novia Web Query'!$A:$E,2,FALSE)</f>
        <v>MI Charles Stanley Multi Asset Cautious A Inc TR in GB</v>
      </c>
      <c r="C3122" t="str">
        <f>VLOOKUP(NoviaFunds[[#This Row],[ISIN]],'Novia Web Query'!$A:$E,3,FALSE)</f>
        <v>UT Mixed Investment 20-60% Shares</v>
      </c>
      <c r="D3122" s="139">
        <f>VLOOKUP(NoviaFunds[[#This Row],[ISIN]],'Novia Web Query'!$A:$E,4,FALSE)/100</f>
        <v>6.6E-3</v>
      </c>
      <c r="E3122" s="3" t="str">
        <f>VLOOKUP(NoviaFunds[[#This Row],[ISIN]],'Novia Web Query'!$A:$E,5,FALSE)</f>
        <v>09/07/2021</v>
      </c>
      <c r="F3122" t="str">
        <f>VLOOKUP(NoviaFunds[[#This Row],[Sector]],Sectors[],2,FALSE)</f>
        <v>Mixed 20%-60%</v>
      </c>
    </row>
    <row r="3123" spans="1:6" x14ac:dyDescent="0.2">
      <c r="A3123" t="str">
        <f>'Novia Web Query'!A3119</f>
        <v>GB00BD89MK39</v>
      </c>
      <c r="B3123" t="str">
        <f>VLOOKUP(NoviaFunds[[#This Row],[ISIN]],'Novia Web Query'!$A:$E,2,FALSE)</f>
        <v>MI Charles Stanley Multi Asset Growth A Acc in GB</v>
      </c>
      <c r="C3123" t="str">
        <f>VLOOKUP(NoviaFunds[[#This Row],[ISIN]],'Novia Web Query'!$A:$E,3,FALSE)</f>
        <v>UT Mixed Investment 40-85% Shares</v>
      </c>
      <c r="D3123" s="139">
        <f>VLOOKUP(NoviaFunds[[#This Row],[ISIN]],'Novia Web Query'!$A:$E,4,FALSE)/100</f>
        <v>6.6E-3</v>
      </c>
      <c r="E3123" s="3" t="str">
        <f>VLOOKUP(NoviaFunds[[#This Row],[ISIN]],'Novia Web Query'!$A:$E,5,FALSE)</f>
        <v>09/07/2021</v>
      </c>
      <c r="F3123" t="str">
        <f>VLOOKUP(NoviaFunds[[#This Row],[Sector]],Sectors[],2,FALSE)</f>
        <v>Mixed 40%-85%</v>
      </c>
    </row>
    <row r="3124" spans="1:6" x14ac:dyDescent="0.2">
      <c r="A3124" t="str">
        <f>'Novia Web Query'!A3120</f>
        <v>GB00BD89MJ24</v>
      </c>
      <c r="B3124" t="str">
        <f>VLOOKUP(NoviaFunds[[#This Row],[ISIN]],'Novia Web Query'!$A:$E,2,FALSE)</f>
        <v>MI Charles Stanley Multi Asset Growth A Inc TR in GB</v>
      </c>
      <c r="C3124" t="str">
        <f>VLOOKUP(NoviaFunds[[#This Row],[ISIN]],'Novia Web Query'!$A:$E,3,FALSE)</f>
        <v>UT Mixed Investment 40-85% Shares</v>
      </c>
      <c r="D3124" s="139">
        <f>VLOOKUP(NoviaFunds[[#This Row],[ISIN]],'Novia Web Query'!$A:$E,4,FALSE)/100</f>
        <v>6.6E-3</v>
      </c>
      <c r="E3124" s="3" t="str">
        <f>VLOOKUP(NoviaFunds[[#This Row],[ISIN]],'Novia Web Query'!$A:$E,5,FALSE)</f>
        <v>09/07/2021</v>
      </c>
      <c r="F3124" t="str">
        <f>VLOOKUP(NoviaFunds[[#This Row],[Sector]],Sectors[],2,FALSE)</f>
        <v>Mixed 40%-85%</v>
      </c>
    </row>
    <row r="3125" spans="1:6" x14ac:dyDescent="0.2">
      <c r="A3125" t="str">
        <f>'Novia Web Query'!A3121</f>
        <v>GB00B61FYV40</v>
      </c>
      <c r="B3125" t="str">
        <f>VLOOKUP(NoviaFunds[[#This Row],[ISIN]],'Novia Web Query'!$A:$E,2,FALSE)</f>
        <v>MI Charles Stanley Multi Asset Growth B Acc in GB</v>
      </c>
      <c r="C3125" t="str">
        <f>VLOOKUP(NoviaFunds[[#This Row],[ISIN]],'Novia Web Query'!$A:$E,3,FALSE)</f>
        <v>UT Mixed Investment 40-85% Shares</v>
      </c>
      <c r="D3125" s="139">
        <f>VLOOKUP(NoviaFunds[[#This Row],[ISIN]],'Novia Web Query'!$A:$E,4,FALSE)/100</f>
        <v>6.6E-3</v>
      </c>
      <c r="E3125" s="3" t="str">
        <f>VLOOKUP(NoviaFunds[[#This Row],[ISIN]],'Novia Web Query'!$A:$E,5,FALSE)</f>
        <v>09/07/2021</v>
      </c>
      <c r="F3125" t="str">
        <f>VLOOKUP(NoviaFunds[[#This Row],[Sector]],Sectors[],2,FALSE)</f>
        <v>Mixed 40%-85%</v>
      </c>
    </row>
    <row r="3126" spans="1:6" x14ac:dyDescent="0.2">
      <c r="A3126" t="str">
        <f>'Novia Web Query'!A3122</f>
        <v>GB00BD89MH00</v>
      </c>
      <c r="B3126" t="str">
        <f>VLOOKUP(NoviaFunds[[#This Row],[ISIN]],'Novia Web Query'!$A:$E,2,FALSE)</f>
        <v>MI Charles Stanley Multi Asset Moderate A Acc in GB</v>
      </c>
      <c r="C3126" t="str">
        <f>VLOOKUP(NoviaFunds[[#This Row],[ISIN]],'Novia Web Query'!$A:$E,3,FALSE)</f>
        <v>UT Mixed Investment 40-85% Shares</v>
      </c>
      <c r="D3126" s="139">
        <f>VLOOKUP(NoviaFunds[[#This Row],[ISIN]],'Novia Web Query'!$A:$E,4,FALSE)/100</f>
        <v>6.7000000000000002E-3</v>
      </c>
      <c r="E3126" s="3" t="str">
        <f>VLOOKUP(NoviaFunds[[#This Row],[ISIN]],'Novia Web Query'!$A:$E,5,FALSE)</f>
        <v>09/07/2021</v>
      </c>
      <c r="F3126" t="str">
        <f>VLOOKUP(NoviaFunds[[#This Row],[Sector]],Sectors[],2,FALSE)</f>
        <v>Mixed 40%-85%</v>
      </c>
    </row>
    <row r="3127" spans="1:6" x14ac:dyDescent="0.2">
      <c r="A3127" t="str">
        <f>'Novia Web Query'!A3123</f>
        <v>GB00BD89MG92</v>
      </c>
      <c r="B3127" t="str">
        <f>VLOOKUP(NoviaFunds[[#This Row],[ISIN]],'Novia Web Query'!$A:$E,2,FALSE)</f>
        <v>MI Charles Stanley Multi Asset Moderate A Inc TR in GB</v>
      </c>
      <c r="C3127" t="str">
        <f>VLOOKUP(NoviaFunds[[#This Row],[ISIN]],'Novia Web Query'!$A:$E,3,FALSE)</f>
        <v>UT Mixed Investment 40-85% Shares</v>
      </c>
      <c r="D3127" s="139">
        <f>VLOOKUP(NoviaFunds[[#This Row],[ISIN]],'Novia Web Query'!$A:$E,4,FALSE)/100</f>
        <v>6.7000000000000002E-3</v>
      </c>
      <c r="E3127" s="3" t="str">
        <f>VLOOKUP(NoviaFunds[[#This Row],[ISIN]],'Novia Web Query'!$A:$E,5,FALSE)</f>
        <v>09/07/2021</v>
      </c>
      <c r="F3127" t="str">
        <f>VLOOKUP(NoviaFunds[[#This Row],[Sector]],Sectors[],2,FALSE)</f>
        <v>Mixed 40%-85%</v>
      </c>
    </row>
    <row r="3128" spans="1:6" x14ac:dyDescent="0.2">
      <c r="A3128" t="str">
        <f>'Novia Web Query'!A3124</f>
        <v>GB00B3F2K236</v>
      </c>
      <c r="B3128" t="str">
        <f>VLOOKUP(NoviaFunds[[#This Row],[ISIN]],'Novia Web Query'!$A:$E,2,FALSE)</f>
        <v>MI Charles Stanley UK &amp; International Growth A Acc in GB</v>
      </c>
      <c r="C3128" t="str">
        <f>VLOOKUP(NoviaFunds[[#This Row],[ISIN]],'Novia Web Query'!$A:$E,3,FALSE)</f>
        <v>UT Global</v>
      </c>
      <c r="D3128" s="139">
        <f>VLOOKUP(NoviaFunds[[#This Row],[ISIN]],'Novia Web Query'!$A:$E,4,FALSE)/100</f>
        <v>1.44E-2</v>
      </c>
      <c r="E3128" s="3" t="str">
        <f>VLOOKUP(NoviaFunds[[#This Row],[ISIN]],'Novia Web Query'!$A:$E,5,FALSE)</f>
        <v>01/10/2021</v>
      </c>
      <c r="F3128" t="str">
        <f>VLOOKUP(NoviaFunds[[#This Row],[Sector]],Sectors[],2,FALSE)</f>
        <v>Other Equities</v>
      </c>
    </row>
    <row r="3129" spans="1:6" x14ac:dyDescent="0.2">
      <c r="A3129" t="str">
        <f>'Novia Web Query'!A3125</f>
        <v>GB00BFNL2P39</v>
      </c>
      <c r="B3129" t="str">
        <f>VLOOKUP(NoviaFunds[[#This Row],[ISIN]],'Novia Web Query'!$A:$E,2,FALSE)</f>
        <v>MI Chelverton European Select B Acc in GB</v>
      </c>
      <c r="C3129" t="str">
        <f>VLOOKUP(NoviaFunds[[#This Row],[ISIN]],'Novia Web Query'!$A:$E,3,FALSE)</f>
        <v>UT Europe Excluding UK</v>
      </c>
      <c r="D3129" s="139">
        <f>VLOOKUP(NoviaFunds[[#This Row],[ISIN]],'Novia Web Query'!$A:$E,4,FALSE)/100</f>
        <v>0.01</v>
      </c>
      <c r="E3129" s="3" t="str">
        <f>VLOOKUP(NoviaFunds[[#This Row],[ISIN]],'Novia Web Query'!$A:$E,5,FALSE)</f>
        <v>15/09/2021</v>
      </c>
      <c r="F3129" t="str">
        <f>VLOOKUP(NoviaFunds[[#This Row],[Sector]],Sectors[],2,FALSE)</f>
        <v>European Equities</v>
      </c>
    </row>
    <row r="3130" spans="1:6" x14ac:dyDescent="0.2">
      <c r="A3130" t="str">
        <f>'Novia Web Query'!A3126</f>
        <v>GB00BFNL2N15</v>
      </c>
      <c r="B3130" t="str">
        <f>VLOOKUP(NoviaFunds[[#This Row],[ISIN]],'Novia Web Query'!$A:$E,2,FALSE)</f>
        <v>MI Chelverton European Select B Inc TR in GB</v>
      </c>
      <c r="C3130" t="str">
        <f>VLOOKUP(NoviaFunds[[#This Row],[ISIN]],'Novia Web Query'!$A:$E,3,FALSE)</f>
        <v>UT Europe Excluding UK</v>
      </c>
      <c r="D3130" s="139">
        <f>VLOOKUP(NoviaFunds[[#This Row],[ISIN]],'Novia Web Query'!$A:$E,4,FALSE)/100</f>
        <v>0.01</v>
      </c>
      <c r="E3130" s="3" t="str">
        <f>VLOOKUP(NoviaFunds[[#This Row],[ISIN]],'Novia Web Query'!$A:$E,5,FALSE)</f>
        <v>15/09/2021</v>
      </c>
      <c r="F3130" t="str">
        <f>VLOOKUP(NoviaFunds[[#This Row],[Sector]],Sectors[],2,FALSE)</f>
        <v>European Equities</v>
      </c>
    </row>
    <row r="3131" spans="1:6" x14ac:dyDescent="0.2">
      <c r="A3131" t="str">
        <f>'Novia Web Query'!A3127</f>
        <v>GB00BP855B75</v>
      </c>
      <c r="B3131" t="str">
        <f>VLOOKUP(NoviaFunds[[#This Row],[ISIN]],'Novia Web Query'!$A:$E,2,FALSE)</f>
        <v>MI Chelverton UK Equity Growth B Acc in GB</v>
      </c>
      <c r="C3131" t="str">
        <f>VLOOKUP(NoviaFunds[[#This Row],[ISIN]],'Novia Web Query'!$A:$E,3,FALSE)</f>
        <v>UT UK All Companies</v>
      </c>
      <c r="D3131" s="139">
        <f>VLOOKUP(NoviaFunds[[#This Row],[ISIN]],'Novia Web Query'!$A:$E,4,FALSE)/100</f>
        <v>8.3000000000000001E-3</v>
      </c>
      <c r="E3131" s="3" t="str">
        <f>VLOOKUP(NoviaFunds[[#This Row],[ISIN]],'Novia Web Query'!$A:$E,5,FALSE)</f>
        <v>31/08/2021</v>
      </c>
      <c r="F3131" t="str">
        <f>VLOOKUP(NoviaFunds[[#This Row],[Sector]],Sectors[],2,FALSE)</f>
        <v>UK Equities</v>
      </c>
    </row>
    <row r="3132" spans="1:6" x14ac:dyDescent="0.2">
      <c r="A3132" t="str">
        <f>'Novia Web Query'!A3128</f>
        <v>GB00BP855954</v>
      </c>
      <c r="B3132" t="str">
        <f>VLOOKUP(NoviaFunds[[#This Row],[ISIN]],'Novia Web Query'!$A:$E,2,FALSE)</f>
        <v>MI Chelverton UK Equity Growth B Inc TR in GB</v>
      </c>
      <c r="C3132" t="str">
        <f>VLOOKUP(NoviaFunds[[#This Row],[ISIN]],'Novia Web Query'!$A:$E,3,FALSE)</f>
        <v>UT UK All Companies</v>
      </c>
      <c r="D3132" s="139">
        <f>VLOOKUP(NoviaFunds[[#This Row],[ISIN]],'Novia Web Query'!$A:$E,4,FALSE)/100</f>
        <v>8.3000000000000001E-3</v>
      </c>
      <c r="E3132" s="3" t="str">
        <f>VLOOKUP(NoviaFunds[[#This Row],[ISIN]],'Novia Web Query'!$A:$E,5,FALSE)</f>
        <v>31/08/2021</v>
      </c>
      <c r="F3132" t="str">
        <f>VLOOKUP(NoviaFunds[[#This Row],[Sector]],Sectors[],2,FALSE)</f>
        <v>UK Equities</v>
      </c>
    </row>
    <row r="3133" spans="1:6" x14ac:dyDescent="0.2">
      <c r="A3133" t="str">
        <f>'Novia Web Query'!A3129</f>
        <v>GB00B1Y9J463</v>
      </c>
      <c r="B3133" t="str">
        <f>VLOOKUP(NoviaFunds[[#This Row],[ISIN]],'Novia Web Query'!$A:$E,2,FALSE)</f>
        <v>MI Chelverton UK Equity Income A Acc in GB</v>
      </c>
      <c r="C3133" t="str">
        <f>VLOOKUP(NoviaFunds[[#This Row],[ISIN]],'Novia Web Query'!$A:$E,3,FALSE)</f>
        <v>UT UK Equity Income</v>
      </c>
      <c r="D3133" s="139">
        <f>VLOOKUP(NoviaFunds[[#This Row],[ISIN]],'Novia Web Query'!$A:$E,4,FALSE)/100</f>
        <v>1.6299999999999999E-2</v>
      </c>
      <c r="E3133" s="3" t="str">
        <f>VLOOKUP(NoviaFunds[[#This Row],[ISIN]],'Novia Web Query'!$A:$E,5,FALSE)</f>
        <v>31/08/2021</v>
      </c>
      <c r="F3133" t="str">
        <f>VLOOKUP(NoviaFunds[[#This Row],[Sector]],Sectors[],2,FALSE)</f>
        <v>UK Equities</v>
      </c>
    </row>
    <row r="3134" spans="1:6" x14ac:dyDescent="0.2">
      <c r="A3134" t="str">
        <f>'Novia Web Query'!A3130</f>
        <v>GB00B1FD6244</v>
      </c>
      <c r="B3134" t="str">
        <f>VLOOKUP(NoviaFunds[[#This Row],[ISIN]],'Novia Web Query'!$A:$E,2,FALSE)</f>
        <v>MI Chelverton UK Equity Income A Inc TR in GB</v>
      </c>
      <c r="C3134" t="str">
        <f>VLOOKUP(NoviaFunds[[#This Row],[ISIN]],'Novia Web Query'!$A:$E,3,FALSE)</f>
        <v>UT UK Equity Income</v>
      </c>
      <c r="D3134" s="139">
        <f>VLOOKUP(NoviaFunds[[#This Row],[ISIN]],'Novia Web Query'!$A:$E,4,FALSE)/100</f>
        <v>1.6299999999999999E-2</v>
      </c>
      <c r="E3134" s="3" t="str">
        <f>VLOOKUP(NoviaFunds[[#This Row],[ISIN]],'Novia Web Query'!$A:$E,5,FALSE)</f>
        <v>31/08/2021</v>
      </c>
      <c r="F3134" t="str">
        <f>VLOOKUP(NoviaFunds[[#This Row],[Sector]],Sectors[],2,FALSE)</f>
        <v>UK Equities</v>
      </c>
    </row>
    <row r="3135" spans="1:6" x14ac:dyDescent="0.2">
      <c r="A3135" t="str">
        <f>'Novia Web Query'!A3131</f>
        <v>GB00B1Y9J570</v>
      </c>
      <c r="B3135" t="str">
        <f>VLOOKUP(NoviaFunds[[#This Row],[ISIN]],'Novia Web Query'!$A:$E,2,FALSE)</f>
        <v>MI Chelverton UK Equity Income B Acc TR in GB**</v>
      </c>
      <c r="C3135" t="str">
        <f>VLOOKUP(NoviaFunds[[#This Row],[ISIN]],'Novia Web Query'!$A:$E,3,FALSE)</f>
        <v>UT UK Equity Income</v>
      </c>
      <c r="D3135" s="139">
        <f>VLOOKUP(NoviaFunds[[#This Row],[ISIN]],'Novia Web Query'!$A:$E,4,FALSE)/100</f>
        <v>8.8000000000000005E-3</v>
      </c>
      <c r="E3135" s="3" t="str">
        <f>VLOOKUP(NoviaFunds[[#This Row],[ISIN]],'Novia Web Query'!$A:$E,5,FALSE)</f>
        <v>31/08/2021</v>
      </c>
      <c r="F3135" t="str">
        <f>VLOOKUP(NoviaFunds[[#This Row],[Sector]],Sectors[],2,FALSE)</f>
        <v>UK Equities</v>
      </c>
    </row>
    <row r="3136" spans="1:6" x14ac:dyDescent="0.2">
      <c r="A3136" t="str">
        <f>'Novia Web Query'!A3132</f>
        <v>GB00B1FD6467</v>
      </c>
      <c r="B3136" t="str">
        <f>VLOOKUP(NoviaFunds[[#This Row],[ISIN]],'Novia Web Query'!$A:$E,2,FALSE)</f>
        <v>MI Chelverton UK Equity Income B Inc TR in GB</v>
      </c>
      <c r="C3136" t="str">
        <f>VLOOKUP(NoviaFunds[[#This Row],[ISIN]],'Novia Web Query'!$A:$E,3,FALSE)</f>
        <v>UT UK Equity Income</v>
      </c>
      <c r="D3136" s="139">
        <f>VLOOKUP(NoviaFunds[[#This Row],[ISIN]],'Novia Web Query'!$A:$E,4,FALSE)/100</f>
        <v>8.8000000000000005E-3</v>
      </c>
      <c r="E3136" s="3" t="str">
        <f>VLOOKUP(NoviaFunds[[#This Row],[ISIN]],'Novia Web Query'!$A:$E,5,FALSE)</f>
        <v>31/08/2021</v>
      </c>
      <c r="F3136" t="str">
        <f>VLOOKUP(NoviaFunds[[#This Row],[Sector]],Sectors[],2,FALSE)</f>
        <v>UK Equities</v>
      </c>
    </row>
    <row r="3137" spans="1:6" x14ac:dyDescent="0.2">
      <c r="A3137" t="str">
        <f>'Novia Web Query'!A3133</f>
        <v>GB00BF09MZ03</v>
      </c>
      <c r="B3137" t="str">
        <f>VLOOKUP(NoviaFunds[[#This Row],[ISIN]],'Novia Web Query'!$A:$E,2,FALSE)</f>
        <v>MI Select Managers Bond Institutional Inc TR in GB</v>
      </c>
      <c r="C3137" t="str">
        <f>VLOOKUP(NoviaFunds[[#This Row],[ISIN]],'Novia Web Query'!$A:$E,3,FALSE)</f>
        <v>UT Global Bonds</v>
      </c>
      <c r="D3137" s="139">
        <f>VLOOKUP(NoviaFunds[[#This Row],[ISIN]],'Novia Web Query'!$A:$E,4,FALSE)/100</f>
        <v>2.5000000000000001E-3</v>
      </c>
      <c r="E3137" s="3" t="str">
        <f>VLOOKUP(NoviaFunds[[#This Row],[ISIN]],'Novia Web Query'!$A:$E,5,FALSE)</f>
        <v>01/07/2021</v>
      </c>
      <c r="F3137" t="str">
        <f>VLOOKUP(NoviaFunds[[#This Row],[Sector]],Sectors[],2,FALSE)</f>
        <v>Global Investment Grade</v>
      </c>
    </row>
    <row r="3138" spans="1:6" x14ac:dyDescent="0.2">
      <c r="A3138" t="str">
        <f>'Novia Web Query'!A3134</f>
        <v>GB00BYWVFF80</v>
      </c>
      <c r="B3138" t="str">
        <f>VLOOKUP(NoviaFunds[[#This Row],[ISIN]],'Novia Web Query'!$A:$E,2,FALSE)</f>
        <v>MI Select Managers North American Equity Institutional Inc TR in GB</v>
      </c>
      <c r="C3138" t="str">
        <f>VLOOKUP(NoviaFunds[[#This Row],[ISIN]],'Novia Web Query'!$A:$E,3,FALSE)</f>
        <v>UT North America</v>
      </c>
      <c r="D3138" s="139">
        <f>VLOOKUP(NoviaFunds[[#This Row],[ISIN]],'Novia Web Query'!$A:$E,4,FALSE)/100</f>
        <v>4.4000000000000003E-3</v>
      </c>
      <c r="E3138" s="3" t="str">
        <f>VLOOKUP(NoviaFunds[[#This Row],[ISIN]],'Novia Web Query'!$A:$E,5,FALSE)</f>
        <v>01/07/2021</v>
      </c>
      <c r="F3138" t="str">
        <f>VLOOKUP(NoviaFunds[[#This Row],[Sector]],Sectors[],2,FALSE)</f>
        <v>USA Equities</v>
      </c>
    </row>
    <row r="3139" spans="1:6" x14ac:dyDescent="0.2">
      <c r="A3139" t="str">
        <f>'Novia Web Query'!A3135</f>
        <v>GB00BYWVFC59</v>
      </c>
      <c r="B3139" t="str">
        <f>VLOOKUP(NoviaFunds[[#This Row],[ISIN]],'Novia Web Query'!$A:$E,2,FALSE)</f>
        <v>MI Select Managers UK Equity Income Institutional Inc TR in GB</v>
      </c>
      <c r="C3139" t="str">
        <f>VLOOKUP(NoviaFunds[[#This Row],[ISIN]],'Novia Web Query'!$A:$E,3,FALSE)</f>
        <v>UT UK Equity Income</v>
      </c>
      <c r="D3139" s="139">
        <f>VLOOKUP(NoviaFunds[[#This Row],[ISIN]],'Novia Web Query'!$A:$E,4,FALSE)/100</f>
        <v>5.1999999999999998E-3</v>
      </c>
      <c r="E3139" s="3" t="str">
        <f>VLOOKUP(NoviaFunds[[#This Row],[ISIN]],'Novia Web Query'!$A:$E,5,FALSE)</f>
        <v>01/07/2021</v>
      </c>
      <c r="F3139" t="str">
        <f>VLOOKUP(NoviaFunds[[#This Row],[Sector]],Sectors[],2,FALSE)</f>
        <v>UK Equities</v>
      </c>
    </row>
    <row r="3140" spans="1:6" x14ac:dyDescent="0.2">
      <c r="A3140" t="str">
        <f>'Novia Web Query'!A3136</f>
        <v>GB00BYWVF815</v>
      </c>
      <c r="B3140" t="str">
        <f>VLOOKUP(NoviaFunds[[#This Row],[ISIN]],'Novia Web Query'!$A:$E,2,FALSE)</f>
        <v>MI Select Managers UK Equity Institutional Acc in GB</v>
      </c>
      <c r="C3140" t="str">
        <f>VLOOKUP(NoviaFunds[[#This Row],[ISIN]],'Novia Web Query'!$A:$E,3,FALSE)</f>
        <v>UT UK All Companies</v>
      </c>
      <c r="D3140" s="139">
        <f>VLOOKUP(NoviaFunds[[#This Row],[ISIN]],'Novia Web Query'!$A:$E,4,FALSE)/100</f>
        <v>4.5999999999999999E-3</v>
      </c>
      <c r="E3140" s="3" t="str">
        <f>VLOOKUP(NoviaFunds[[#This Row],[ISIN]],'Novia Web Query'!$A:$E,5,FALSE)</f>
        <v>01/07/2021</v>
      </c>
      <c r="F3140" t="str">
        <f>VLOOKUP(NoviaFunds[[#This Row],[Sector]],Sectors[],2,FALSE)</f>
        <v>UK Equities</v>
      </c>
    </row>
    <row r="3141" spans="1:6" x14ac:dyDescent="0.2">
      <c r="A3141" t="str">
        <f>'Novia Web Query'!A3137</f>
        <v>GB00BYWVF922</v>
      </c>
      <c r="B3141" t="str">
        <f>VLOOKUP(NoviaFunds[[#This Row],[ISIN]],'Novia Web Query'!$A:$E,2,FALSE)</f>
        <v>MI Select Managers UK Equity Institutional Inc TR in GB</v>
      </c>
      <c r="C3141" t="str">
        <f>VLOOKUP(NoviaFunds[[#This Row],[ISIN]],'Novia Web Query'!$A:$E,3,FALSE)</f>
        <v>UT UK All Companies</v>
      </c>
      <c r="D3141" s="139">
        <f>VLOOKUP(NoviaFunds[[#This Row],[ISIN]],'Novia Web Query'!$A:$E,4,FALSE)/100</f>
        <v>4.5999999999999999E-3</v>
      </c>
      <c r="E3141" s="3" t="str">
        <f>VLOOKUP(NoviaFunds[[#This Row],[ISIN]],'Novia Web Query'!$A:$E,5,FALSE)</f>
        <v>01/07/2021</v>
      </c>
      <c r="F3141" t="str">
        <f>VLOOKUP(NoviaFunds[[#This Row],[Sector]],Sectors[],2,FALSE)</f>
        <v>UK Equities</v>
      </c>
    </row>
    <row r="3142" spans="1:6" x14ac:dyDescent="0.2">
      <c r="A3142" t="str">
        <f>'Novia Web Query'!A3138</f>
        <v>GB00B5TP8W88</v>
      </c>
      <c r="B3142" t="str">
        <f>VLOOKUP(NoviaFunds[[#This Row],[ISIN]],'Novia Web Query'!$A:$E,2,FALSE)</f>
        <v>MI Thornbridge Global Opportunities C Acc in GB</v>
      </c>
      <c r="C3142" t="str">
        <f>VLOOKUP(NoviaFunds[[#This Row],[ISIN]],'Novia Web Query'!$A:$E,3,FALSE)</f>
        <v>UT Global</v>
      </c>
      <c r="D3142" s="139">
        <f>VLOOKUP(NoviaFunds[[#This Row],[ISIN]],'Novia Web Query'!$A:$E,4,FALSE)/100</f>
        <v>1.15E-2</v>
      </c>
      <c r="E3142" s="3" t="str">
        <f>VLOOKUP(NoviaFunds[[#This Row],[ISIN]],'Novia Web Query'!$A:$E,5,FALSE)</f>
        <v>22/10/2021</v>
      </c>
      <c r="F3142" t="str">
        <f>VLOOKUP(NoviaFunds[[#This Row],[Sector]],Sectors[],2,FALSE)</f>
        <v>Other Equities</v>
      </c>
    </row>
    <row r="3143" spans="1:6" x14ac:dyDescent="0.2">
      <c r="A3143" t="str">
        <f>'Novia Web Query'!A3139</f>
        <v>GB00B5SZCM77</v>
      </c>
      <c r="B3143" t="str">
        <f>VLOOKUP(NoviaFunds[[#This Row],[ISIN]],'Novia Web Query'!$A:$E,2,FALSE)</f>
        <v>MI Thornbridge Global Opportunities C Inc TR in GB</v>
      </c>
      <c r="C3143" t="str">
        <f>VLOOKUP(NoviaFunds[[#This Row],[ISIN]],'Novia Web Query'!$A:$E,3,FALSE)</f>
        <v>UT Global</v>
      </c>
      <c r="D3143" s="139">
        <f>VLOOKUP(NoviaFunds[[#This Row],[ISIN]],'Novia Web Query'!$A:$E,4,FALSE)/100</f>
        <v>1.15E-2</v>
      </c>
      <c r="E3143" s="3" t="str">
        <f>VLOOKUP(NoviaFunds[[#This Row],[ISIN]],'Novia Web Query'!$A:$E,5,FALSE)</f>
        <v>22/10/2021</v>
      </c>
      <c r="F3143" t="str">
        <f>VLOOKUP(NoviaFunds[[#This Row],[Sector]],Sectors[],2,FALSE)</f>
        <v>Other Equities</v>
      </c>
    </row>
    <row r="3144" spans="1:6" x14ac:dyDescent="0.2">
      <c r="A3144" t="str">
        <f>'Novia Web Query'!A3140</f>
        <v>GB00B7L5TW76</v>
      </c>
      <c r="B3144" t="str">
        <f>VLOOKUP(NoviaFunds[[#This Row],[ISIN]],'Novia Web Query'!$A:$E,2,FALSE)</f>
        <v>MI Hawksmoor Distribution B Acc GBP in GB</v>
      </c>
      <c r="C3144" t="str">
        <f>VLOOKUP(NoviaFunds[[#This Row],[ISIN]],'Novia Web Query'!$A:$E,3,FALSE)</f>
        <v>UT Mixed Investment 40-85% Shares</v>
      </c>
      <c r="D3144" s="139">
        <f>VLOOKUP(NoviaFunds[[#This Row],[ISIN]],'Novia Web Query'!$A:$E,4,FALSE)/100</f>
        <v>1.6799999999999999E-2</v>
      </c>
      <c r="E3144" s="3" t="str">
        <f>VLOOKUP(NoviaFunds[[#This Row],[ISIN]],'Novia Web Query'!$A:$E,5,FALSE)</f>
        <v>30/04/2021</v>
      </c>
      <c r="F3144" t="str">
        <f>VLOOKUP(NoviaFunds[[#This Row],[Sector]],Sectors[],2,FALSE)</f>
        <v>Mixed 40%-85%</v>
      </c>
    </row>
    <row r="3145" spans="1:6" x14ac:dyDescent="0.2">
      <c r="A3145" t="str">
        <f>'Novia Web Query'!A3141</f>
        <v>GB00B7CPT937</v>
      </c>
      <c r="B3145" t="str">
        <f>VLOOKUP(NoviaFunds[[#This Row],[ISIN]],'Novia Web Query'!$A:$E,2,FALSE)</f>
        <v>MI Hawksmoor Distribution B Inc GBP TR in GB</v>
      </c>
      <c r="C3145" t="str">
        <f>VLOOKUP(NoviaFunds[[#This Row],[ISIN]],'Novia Web Query'!$A:$E,3,FALSE)</f>
        <v>UT Mixed Investment 40-85% Shares</v>
      </c>
      <c r="D3145" s="139">
        <f>VLOOKUP(NoviaFunds[[#This Row],[ISIN]],'Novia Web Query'!$A:$E,4,FALSE)/100</f>
        <v>1.67E-2</v>
      </c>
      <c r="E3145" s="3" t="str">
        <f>VLOOKUP(NoviaFunds[[#This Row],[ISIN]],'Novia Web Query'!$A:$E,5,FALSE)</f>
        <v>30/04/2021</v>
      </c>
      <c r="F3145" t="str">
        <f>VLOOKUP(NoviaFunds[[#This Row],[Sector]],Sectors[],2,FALSE)</f>
        <v>Mixed 40%-85%</v>
      </c>
    </row>
    <row r="3146" spans="1:6" x14ac:dyDescent="0.2">
      <c r="A3146" t="str">
        <f>'Novia Web Query'!A3142</f>
        <v>GB00BJ4GVL48</v>
      </c>
      <c r="B3146" t="str">
        <f>VLOOKUP(NoviaFunds[[#This Row],[ISIN]],'Novia Web Query'!$A:$E,2,FALSE)</f>
        <v>MI Hawksmoor Distribution C Acc in GB</v>
      </c>
      <c r="C3146" t="str">
        <f>VLOOKUP(NoviaFunds[[#This Row],[ISIN]],'Novia Web Query'!$A:$E,3,FALSE)</f>
        <v>UT Mixed Investment 40-85% Shares</v>
      </c>
      <c r="D3146" s="139">
        <f>VLOOKUP(NoviaFunds[[#This Row],[ISIN]],'Novia Web Query'!$A:$E,4,FALSE)/100</f>
        <v>1.43E-2</v>
      </c>
      <c r="E3146" s="3" t="str">
        <f>VLOOKUP(NoviaFunds[[#This Row],[ISIN]],'Novia Web Query'!$A:$E,5,FALSE)</f>
        <v>30/04/2021</v>
      </c>
      <c r="F3146" t="str">
        <f>VLOOKUP(NoviaFunds[[#This Row],[Sector]],Sectors[],2,FALSE)</f>
        <v>Mixed 40%-85%</v>
      </c>
    </row>
    <row r="3147" spans="1:6" x14ac:dyDescent="0.2">
      <c r="A3147" t="str">
        <f>'Novia Web Query'!A3143</f>
        <v>GB00BJ4GVM54</v>
      </c>
      <c r="B3147" t="str">
        <f>VLOOKUP(NoviaFunds[[#This Row],[ISIN]],'Novia Web Query'!$A:$E,2,FALSE)</f>
        <v>MI Hawksmoor Distribution C Inc TR in GB</v>
      </c>
      <c r="C3147" t="str">
        <f>VLOOKUP(NoviaFunds[[#This Row],[ISIN]],'Novia Web Query'!$A:$E,3,FALSE)</f>
        <v>UT Mixed Investment 40-85% Shares</v>
      </c>
      <c r="D3147" s="139">
        <f>VLOOKUP(NoviaFunds[[#This Row],[ISIN]],'Novia Web Query'!$A:$E,4,FALSE)/100</f>
        <v>1.43E-2</v>
      </c>
      <c r="E3147" s="3" t="str">
        <f>VLOOKUP(NoviaFunds[[#This Row],[ISIN]],'Novia Web Query'!$A:$E,5,FALSE)</f>
        <v>30/04/2021</v>
      </c>
      <c r="F3147" t="str">
        <f>VLOOKUP(NoviaFunds[[#This Row],[Sector]],Sectors[],2,FALSE)</f>
        <v>Mixed 40%-85%</v>
      </c>
    </row>
    <row r="3148" spans="1:6" x14ac:dyDescent="0.2">
      <c r="A3148" t="str">
        <f>'Novia Web Query'!A3144</f>
        <v>GB00BG382281</v>
      </c>
      <c r="B3148" t="str">
        <f>VLOOKUP(NoviaFunds[[#This Row],[ISIN]],'Novia Web Query'!$A:$E,2,FALSE)</f>
        <v>MI Hawksmoor Global Opportunities C Acc GBP in GB</v>
      </c>
      <c r="C3148" t="str">
        <f>VLOOKUP(NoviaFunds[[#This Row],[ISIN]],'Novia Web Query'!$A:$E,3,FALSE)</f>
        <v>UT Flexible Investment</v>
      </c>
      <c r="D3148" s="139">
        <f>VLOOKUP(NoviaFunds[[#This Row],[ISIN]],'Novia Web Query'!$A:$E,4,FALSE)/100</f>
        <v>1.46E-2</v>
      </c>
      <c r="E3148" s="3" t="str">
        <f>VLOOKUP(NoviaFunds[[#This Row],[ISIN]],'Novia Web Query'!$A:$E,5,FALSE)</f>
        <v>30/04/2021</v>
      </c>
      <c r="F3148" t="str">
        <f>VLOOKUP(NoviaFunds[[#This Row],[Sector]],Sectors[],2,FALSE)</f>
        <v>Flexible</v>
      </c>
    </row>
    <row r="3149" spans="1:6" x14ac:dyDescent="0.2">
      <c r="A3149" t="str">
        <f>'Novia Web Query'!A3145</f>
        <v>GB00B55SLB18</v>
      </c>
      <c r="B3149" t="str">
        <f>VLOOKUP(NoviaFunds[[#This Row],[ISIN]],'Novia Web Query'!$A:$E,2,FALSE)</f>
        <v>MI Hawksmoor Vanbrugh A Inc GBP TR in GB</v>
      </c>
      <c r="C3149" t="str">
        <f>VLOOKUP(NoviaFunds[[#This Row],[ISIN]],'Novia Web Query'!$A:$E,3,FALSE)</f>
        <v>UT Mixed Investment 20-60% Shares</v>
      </c>
      <c r="D3149" s="139">
        <f>VLOOKUP(NoviaFunds[[#This Row],[ISIN]],'Novia Web Query'!$A:$E,4,FALSE)/100</f>
        <v>2.1299999999999999E-2</v>
      </c>
      <c r="E3149" s="3" t="str">
        <f>VLOOKUP(NoviaFunds[[#This Row],[ISIN]],'Novia Web Query'!$A:$E,5,FALSE)</f>
        <v>30/04/2021</v>
      </c>
      <c r="F3149" t="str">
        <f>VLOOKUP(NoviaFunds[[#This Row],[Sector]],Sectors[],2,FALSE)</f>
        <v>Mixed 20%-60%</v>
      </c>
    </row>
    <row r="3150" spans="1:6" x14ac:dyDescent="0.2">
      <c r="A3150" t="str">
        <f>'Novia Web Query'!A3146</f>
        <v>GB00B55LY991</v>
      </c>
      <c r="B3150" t="str">
        <f>VLOOKUP(NoviaFunds[[#This Row],[ISIN]],'Novia Web Query'!$A:$E,2,FALSE)</f>
        <v>MI Hawksmoor Vanbrugh B Acc GBP TR in GB</v>
      </c>
      <c r="C3150" t="str">
        <f>VLOOKUP(NoviaFunds[[#This Row],[ISIN]],'Novia Web Query'!$A:$E,3,FALSE)</f>
        <v>UT Mixed Investment 20-60% Shares</v>
      </c>
      <c r="D3150" s="139">
        <f>VLOOKUP(NoviaFunds[[#This Row],[ISIN]],'Novia Web Query'!$A:$E,4,FALSE)/100</f>
        <v>1.38E-2</v>
      </c>
      <c r="E3150" s="3" t="str">
        <f>VLOOKUP(NoviaFunds[[#This Row],[ISIN]],'Novia Web Query'!$A:$E,5,FALSE)</f>
        <v>30/04/2021</v>
      </c>
      <c r="F3150" t="str">
        <f>VLOOKUP(NoviaFunds[[#This Row],[Sector]],Sectors[],2,FALSE)</f>
        <v>Mixed 20%-60%</v>
      </c>
    </row>
    <row r="3151" spans="1:6" x14ac:dyDescent="0.2">
      <c r="A3151" t="str">
        <f>'Novia Web Query'!A3147</f>
        <v>GB00B62HV744</v>
      </c>
      <c r="B3151" t="str">
        <f>VLOOKUP(NoviaFunds[[#This Row],[ISIN]],'Novia Web Query'!$A:$E,2,FALSE)</f>
        <v>MI Hawksmoor Vanbrugh B Inc GBP TR in GB</v>
      </c>
      <c r="C3151" t="str">
        <f>VLOOKUP(NoviaFunds[[#This Row],[ISIN]],'Novia Web Query'!$A:$E,3,FALSE)</f>
        <v>UT Mixed Investment 20-60% Shares</v>
      </c>
      <c r="D3151" s="139">
        <f>VLOOKUP(NoviaFunds[[#This Row],[ISIN]],'Novia Web Query'!$A:$E,4,FALSE)/100</f>
        <v>1.6299999999999999E-2</v>
      </c>
      <c r="E3151" s="3" t="str">
        <f>VLOOKUP(NoviaFunds[[#This Row],[ISIN]],'Novia Web Query'!$A:$E,5,FALSE)</f>
        <v>30/04/2021</v>
      </c>
      <c r="F3151" t="str">
        <f>VLOOKUP(NoviaFunds[[#This Row],[Sector]],Sectors[],2,FALSE)</f>
        <v>Mixed 20%-60%</v>
      </c>
    </row>
    <row r="3152" spans="1:6" x14ac:dyDescent="0.2">
      <c r="A3152" t="str">
        <f>'Novia Web Query'!A3148</f>
        <v>GB00BJ4GVQ92</v>
      </c>
      <c r="B3152" t="str">
        <f>VLOOKUP(NoviaFunds[[#This Row],[ISIN]],'Novia Web Query'!$A:$E,2,FALSE)</f>
        <v>MI Hawksmoor Vanbrugh C Acc TR in GB</v>
      </c>
      <c r="C3152" t="str">
        <f>VLOOKUP(NoviaFunds[[#This Row],[ISIN]],'Novia Web Query'!$A:$E,3,FALSE)</f>
        <v>UT Mixed Investment 20-60% Shares</v>
      </c>
      <c r="D3152" s="139">
        <f>VLOOKUP(NoviaFunds[[#This Row],[ISIN]],'Novia Web Query'!$A:$E,4,FALSE)/100</f>
        <v>1.38E-2</v>
      </c>
      <c r="E3152" s="3" t="str">
        <f>VLOOKUP(NoviaFunds[[#This Row],[ISIN]],'Novia Web Query'!$A:$E,5,FALSE)</f>
        <v>30/04/2021</v>
      </c>
      <c r="F3152" t="str">
        <f>VLOOKUP(NoviaFunds[[#This Row],[Sector]],Sectors[],2,FALSE)</f>
        <v>Mixed 20%-60%</v>
      </c>
    </row>
    <row r="3153" spans="1:6" x14ac:dyDescent="0.2">
      <c r="A3153" t="str">
        <f>'Novia Web Query'!A3149</f>
        <v>GB00BJ4GVR00</v>
      </c>
      <c r="B3153" t="str">
        <f>VLOOKUP(NoviaFunds[[#This Row],[ISIN]],'Novia Web Query'!$A:$E,2,FALSE)</f>
        <v>MI Hawksmoor Vanbrugh C Inc TR in GB</v>
      </c>
      <c r="C3153" t="str">
        <f>VLOOKUP(NoviaFunds[[#This Row],[ISIN]],'Novia Web Query'!$A:$E,3,FALSE)</f>
        <v>UT Mixed Investment 20-60% Shares</v>
      </c>
      <c r="D3153" s="139">
        <f>VLOOKUP(NoviaFunds[[#This Row],[ISIN]],'Novia Web Query'!$A:$E,4,FALSE)/100</f>
        <v>1.38E-2</v>
      </c>
      <c r="E3153" s="3" t="str">
        <f>VLOOKUP(NoviaFunds[[#This Row],[ISIN]],'Novia Web Query'!$A:$E,5,FALSE)</f>
        <v>30/04/2021</v>
      </c>
      <c r="F3153" t="str">
        <f>VLOOKUP(NoviaFunds[[#This Row],[Sector]],Sectors[],2,FALSE)</f>
        <v>Mixed 20%-60%</v>
      </c>
    </row>
    <row r="3154" spans="1:6" x14ac:dyDescent="0.2">
      <c r="A3154" t="str">
        <f>'Novia Web Query'!A3150</f>
        <v>GB00B7BZB324</v>
      </c>
      <c r="B3154" t="str">
        <f>VLOOKUP(NoviaFunds[[#This Row],[ISIN]],'Novia Web Query'!$A:$E,2,FALSE)</f>
        <v>MI Somerset Asia Income I Inc TR in GB</v>
      </c>
      <c r="C3154" t="str">
        <f>VLOOKUP(NoviaFunds[[#This Row],[ISIN]],'Novia Web Query'!$A:$E,3,FALSE)</f>
        <v>UT Asia Pacific Excluding Japan</v>
      </c>
      <c r="D3154" s="139">
        <f>VLOOKUP(NoviaFunds[[#This Row],[ISIN]],'Novia Web Query'!$A:$E,4,FALSE)/100</f>
        <v>9.300000000000001E-3</v>
      </c>
      <c r="E3154" s="3" t="str">
        <f>VLOOKUP(NoviaFunds[[#This Row],[ISIN]],'Novia Web Query'!$A:$E,5,FALSE)</f>
        <v>26/08/2021</v>
      </c>
      <c r="F3154" t="str">
        <f>VLOOKUP(NoviaFunds[[#This Row],[Sector]],Sectors[],2,FALSE)</f>
        <v>Asia Pacific</v>
      </c>
    </row>
    <row r="3155" spans="1:6" x14ac:dyDescent="0.2">
      <c r="A3155" t="str">
        <f>'Novia Web Query'!A3151</f>
        <v>GB00B7GXM507</v>
      </c>
      <c r="B3155" t="str">
        <f>VLOOKUP(NoviaFunds[[#This Row],[ISIN]],'Novia Web Query'!$A:$E,2,FALSE)</f>
        <v>MI Somerset Asia Income R Inc TR in GB</v>
      </c>
      <c r="C3155" t="str">
        <f>VLOOKUP(NoviaFunds[[#This Row],[ISIN]],'Novia Web Query'!$A:$E,3,FALSE)</f>
        <v>UT Asia Pacific Excluding Japan</v>
      </c>
      <c r="D3155" s="139">
        <f>VLOOKUP(NoviaFunds[[#This Row],[ISIN]],'Novia Web Query'!$A:$E,4,FALSE)/100</f>
        <v>1.6799999999999999E-2</v>
      </c>
      <c r="E3155" s="3" t="str">
        <f>VLOOKUP(NoviaFunds[[#This Row],[ISIN]],'Novia Web Query'!$A:$E,5,FALSE)</f>
        <v>26/08/2021</v>
      </c>
      <c r="F3155" t="str">
        <f>VLOOKUP(NoviaFunds[[#This Row],[Sector]],Sectors[],2,FALSE)</f>
        <v>Asia Pacific</v>
      </c>
    </row>
    <row r="3156" spans="1:6" x14ac:dyDescent="0.2">
      <c r="A3156" t="str">
        <f>'Novia Web Query'!A3152</f>
        <v>GB00BK5SP702</v>
      </c>
      <c r="B3156" t="str">
        <f>VLOOKUP(NoviaFunds[[#This Row],[ISIN]],'Novia Web Query'!$A:$E,2,FALSE)</f>
        <v>MI Somerset Emerging Markets Discovery A Acc GBP in GB</v>
      </c>
      <c r="C3156" t="str">
        <f>VLOOKUP(NoviaFunds[[#This Row],[ISIN]],'Novia Web Query'!$A:$E,3,FALSE)</f>
        <v>UT Global Emerging Markets</v>
      </c>
      <c r="D3156" s="139">
        <f>VLOOKUP(NoviaFunds[[#This Row],[ISIN]],'Novia Web Query'!$A:$E,4,FALSE)/100</f>
        <v>8.3999999999999995E-3</v>
      </c>
      <c r="E3156" s="3" t="str">
        <f>VLOOKUP(NoviaFunds[[#This Row],[ISIN]],'Novia Web Query'!$A:$E,5,FALSE)</f>
        <v>09/06/2020</v>
      </c>
      <c r="F3156" t="str">
        <f>VLOOKUP(NoviaFunds[[#This Row],[Sector]],Sectors[],2,FALSE)</f>
        <v>Emerging Markets</v>
      </c>
    </row>
    <row r="3157" spans="1:6" x14ac:dyDescent="0.2">
      <c r="A3157" t="str">
        <f>'Novia Web Query'!A3153</f>
        <v>GB00B4Q07115</v>
      </c>
      <c r="B3157" t="str">
        <f>VLOOKUP(NoviaFunds[[#This Row],[ISIN]],'Novia Web Query'!$A:$E,2,FALSE)</f>
        <v>MI Somerset Emerging Markets Dividend Growth A Acc GBP in GB</v>
      </c>
      <c r="C3157" t="str">
        <f>VLOOKUP(NoviaFunds[[#This Row],[ISIN]],'Novia Web Query'!$A:$E,3,FALSE)</f>
        <v>UT Global Emerging Markets</v>
      </c>
      <c r="D3157" s="139">
        <f>VLOOKUP(NoviaFunds[[#This Row],[ISIN]],'Novia Web Query'!$A:$E,4,FALSE)/100</f>
        <v>1.09E-2</v>
      </c>
      <c r="E3157" s="3" t="str">
        <f>VLOOKUP(NoviaFunds[[#This Row],[ISIN]],'Novia Web Query'!$A:$E,5,FALSE)</f>
        <v>04/06/2020</v>
      </c>
      <c r="F3157" t="str">
        <f>VLOOKUP(NoviaFunds[[#This Row],[Sector]],Sectors[],2,FALSE)</f>
        <v>Emerging Markets</v>
      </c>
    </row>
    <row r="3158" spans="1:6" x14ac:dyDescent="0.2">
      <c r="A3158" t="str">
        <f>'Novia Web Query'!A3154</f>
        <v>GB00B4QKMK51</v>
      </c>
      <c r="B3158" t="str">
        <f>VLOOKUP(NoviaFunds[[#This Row],[ISIN]],'Novia Web Query'!$A:$E,2,FALSE)</f>
        <v>MI Somerset Emerging Markets Dividend Growth A Inc GBP TR in GB</v>
      </c>
      <c r="C3158" t="str">
        <f>VLOOKUP(NoviaFunds[[#This Row],[ISIN]],'Novia Web Query'!$A:$E,3,FALSE)</f>
        <v>UT Global Emerging Markets</v>
      </c>
      <c r="D3158" s="139">
        <f>VLOOKUP(NoviaFunds[[#This Row],[ISIN]],'Novia Web Query'!$A:$E,4,FALSE)/100</f>
        <v>1.09E-2</v>
      </c>
      <c r="E3158" s="3" t="str">
        <f>VLOOKUP(NoviaFunds[[#This Row],[ISIN]],'Novia Web Query'!$A:$E,5,FALSE)</f>
        <v>04/06/2020</v>
      </c>
      <c r="F3158" t="str">
        <f>VLOOKUP(NoviaFunds[[#This Row],[Sector]],Sectors[],2,FALSE)</f>
        <v>Emerging Markets</v>
      </c>
    </row>
    <row r="3159" spans="1:6" x14ac:dyDescent="0.2">
      <c r="A3159" t="str">
        <f>'Novia Web Query'!A3155</f>
        <v>GB00B3KL3W60</v>
      </c>
      <c r="B3159" t="str">
        <f>VLOOKUP(NoviaFunds[[#This Row],[ISIN]],'Novia Web Query'!$A:$E,2,FALSE)</f>
        <v>MI Somerset Global Emerging Markets B Acc GBP in GB</v>
      </c>
      <c r="C3159" t="str">
        <f>VLOOKUP(NoviaFunds[[#This Row],[ISIN]],'Novia Web Query'!$A:$E,3,FALSE)</f>
        <v>UT Global Emerging Markets</v>
      </c>
      <c r="D3159" s="139">
        <f>VLOOKUP(NoviaFunds[[#This Row],[ISIN]],'Novia Web Query'!$A:$E,4,FALSE)/100</f>
        <v>9.4999999999999998E-3</v>
      </c>
      <c r="E3159" s="3" t="str">
        <f>VLOOKUP(NoviaFunds[[#This Row],[ISIN]],'Novia Web Query'!$A:$E,5,FALSE)</f>
        <v>09/06/2020</v>
      </c>
      <c r="F3159" t="str">
        <f>VLOOKUP(NoviaFunds[[#This Row],[Sector]],Sectors[],2,FALSE)</f>
        <v>Emerging Markets</v>
      </c>
    </row>
    <row r="3160" spans="1:6" x14ac:dyDescent="0.2">
      <c r="A3160" t="str">
        <f>'Novia Web Query'!A3156</f>
        <v>GB00B4XX5197</v>
      </c>
      <c r="B3160" t="str">
        <f>VLOOKUP(NoviaFunds[[#This Row],[ISIN]],'Novia Web Query'!$A:$E,2,FALSE)</f>
        <v>MI Somerset Global Emerging Markets B Inc GBP TR in GB**</v>
      </c>
      <c r="C3160" t="str">
        <f>VLOOKUP(NoviaFunds[[#This Row],[ISIN]],'Novia Web Query'!$A:$E,3,FALSE)</f>
        <v>UT Global Emerging Markets</v>
      </c>
      <c r="D3160" s="139">
        <f>VLOOKUP(NoviaFunds[[#This Row],[ISIN]],'Novia Web Query'!$A:$E,4,FALSE)/100</f>
        <v>9.4999999999999998E-3</v>
      </c>
      <c r="E3160" s="3" t="str">
        <f>VLOOKUP(NoviaFunds[[#This Row],[ISIN]],'Novia Web Query'!$A:$E,5,FALSE)</f>
        <v>30/06/2020</v>
      </c>
      <c r="F3160" t="str">
        <f>VLOOKUP(NoviaFunds[[#This Row],[Sector]],Sectors[],2,FALSE)</f>
        <v>Emerging Markets</v>
      </c>
    </row>
    <row r="3161" spans="1:6" x14ac:dyDescent="0.2">
      <c r="A3161" t="str">
        <f>'Novia Web Query'!A3157</f>
        <v>GB00BDGNFM03</v>
      </c>
      <c r="B3161" t="str">
        <f>VLOOKUP(NoviaFunds[[#This Row],[ISIN]],'Novia Web Query'!$A:$E,2,FALSE)</f>
        <v>MI Somerset Global Emerging Markets Screened A Acc GBP in GB</v>
      </c>
      <c r="C3161" t="str">
        <f>VLOOKUP(NoviaFunds[[#This Row],[ISIN]],'Novia Web Query'!$A:$E,3,FALSE)</f>
        <v>UT Global Emerging Markets</v>
      </c>
      <c r="D3161" s="139">
        <f>VLOOKUP(NoviaFunds[[#This Row],[ISIN]],'Novia Web Query'!$A:$E,4,FALSE)/100</f>
        <v>9.7999999999999997E-3</v>
      </c>
      <c r="E3161" s="3" t="str">
        <f>VLOOKUP(NoviaFunds[[#This Row],[ISIN]],'Novia Web Query'!$A:$E,5,FALSE)</f>
        <v>30/06/2020</v>
      </c>
      <c r="F3161" t="str">
        <f>VLOOKUP(NoviaFunds[[#This Row],[Sector]],Sectors[],2,FALSE)</f>
        <v>Emerging Markets</v>
      </c>
    </row>
    <row r="3162" spans="1:6" x14ac:dyDescent="0.2">
      <c r="A3162" t="str">
        <f>'Novia Web Query'!A3158</f>
        <v>GB00BF2B0R27</v>
      </c>
      <c r="B3162" t="str">
        <f>VLOOKUP(NoviaFunds[[#This Row],[ISIN]],'Novia Web Query'!$A:$E,2,FALSE)</f>
        <v>Morgan Stanley Global Brands Equity Income F Inc GBP TR in GB**</v>
      </c>
      <c r="C3162" t="str">
        <f>VLOOKUP(NoviaFunds[[#This Row],[ISIN]],'Novia Web Query'!$A:$E,3,FALSE)</f>
        <v>UT Global Equity Income</v>
      </c>
      <c r="D3162" s="139">
        <f>VLOOKUP(NoviaFunds[[#This Row],[ISIN]],'Novia Web Query'!$A:$E,4,FALSE)/100</f>
        <v>6.5000000000000006E-3</v>
      </c>
      <c r="E3162" s="3" t="str">
        <f>VLOOKUP(NoviaFunds[[#This Row],[ISIN]],'Novia Web Query'!$A:$E,5,FALSE)</f>
        <v>18/02/2021</v>
      </c>
      <c r="F3162" t="str">
        <f>VLOOKUP(NoviaFunds[[#This Row],[Sector]],Sectors[],2,FALSE)</f>
        <v>Other Equities</v>
      </c>
    </row>
    <row r="3163" spans="1:6" x14ac:dyDescent="0.2">
      <c r="A3163" t="str">
        <f>'Novia Web Query'!A3159</f>
        <v>GB00BZ4CG420</v>
      </c>
      <c r="B3163" t="str">
        <f>VLOOKUP(NoviaFunds[[#This Row],[ISIN]],'Novia Web Query'!$A:$E,2,FALSE)</f>
        <v>Morgan Stanley Global Brands Equity Income I Acc GBP in GB</v>
      </c>
      <c r="C3163" t="str">
        <f>VLOOKUP(NoviaFunds[[#This Row],[ISIN]],'Novia Web Query'!$A:$E,3,FALSE)</f>
        <v>UT Global Equity Income</v>
      </c>
      <c r="D3163" s="139">
        <f>VLOOKUP(NoviaFunds[[#This Row],[ISIN]],'Novia Web Query'!$A:$E,4,FALSE)/100</f>
        <v>0.01</v>
      </c>
      <c r="E3163" s="3" t="str">
        <f>VLOOKUP(NoviaFunds[[#This Row],[ISIN]],'Novia Web Query'!$A:$E,5,FALSE)</f>
        <v>18/02/2021</v>
      </c>
      <c r="F3163" t="str">
        <f>VLOOKUP(NoviaFunds[[#This Row],[Sector]],Sectors[],2,FALSE)</f>
        <v>Other Equities</v>
      </c>
    </row>
    <row r="3164" spans="1:6" x14ac:dyDescent="0.2">
      <c r="A3164" t="str">
        <f>'Novia Web Query'!A3160</f>
        <v>GB00BZ4CG537</v>
      </c>
      <c r="B3164" t="str">
        <f>VLOOKUP(NoviaFunds[[#This Row],[ISIN]],'Novia Web Query'!$A:$E,2,FALSE)</f>
        <v>Morgan Stanley Global Brands Equity Income I Inc GBP TR in GB</v>
      </c>
      <c r="C3164" t="str">
        <f>VLOOKUP(NoviaFunds[[#This Row],[ISIN]],'Novia Web Query'!$A:$E,3,FALSE)</f>
        <v>UT Global Equity Income</v>
      </c>
      <c r="D3164" s="139">
        <f>VLOOKUP(NoviaFunds[[#This Row],[ISIN]],'Novia Web Query'!$A:$E,4,FALSE)/100</f>
        <v>0.01</v>
      </c>
      <c r="E3164" s="3" t="str">
        <f>VLOOKUP(NoviaFunds[[#This Row],[ISIN]],'Novia Web Query'!$A:$E,5,FALSE)</f>
        <v>18/02/2021</v>
      </c>
      <c r="F3164" t="str">
        <f>VLOOKUP(NoviaFunds[[#This Row],[Sector]],Sectors[],2,FALSE)</f>
        <v>Other Equities</v>
      </c>
    </row>
    <row r="3165" spans="1:6" x14ac:dyDescent="0.2">
      <c r="A3165" t="str">
        <f>'Novia Web Query'!A3161</f>
        <v>GB00BJNQ8J24</v>
      </c>
      <c r="B3165" t="str">
        <f>VLOOKUP(NoviaFunds[[#This Row],[ISIN]],'Novia Web Query'!$A:$E,2,FALSE)</f>
        <v>Morgan Stanley Global Brands I (Portfolio Hedged) Acc in GB</v>
      </c>
      <c r="C3165" t="str">
        <f>VLOOKUP(NoviaFunds[[#This Row],[ISIN]],'Novia Web Query'!$A:$E,3,FALSE)</f>
        <v>UT Global</v>
      </c>
      <c r="D3165" s="139">
        <f>VLOOKUP(NoviaFunds[[#This Row],[ISIN]],'Novia Web Query'!$A:$E,4,FALSE)/100</f>
        <v>9.0000000000000011E-3</v>
      </c>
      <c r="E3165" s="3" t="str">
        <f>VLOOKUP(NoviaFunds[[#This Row],[ISIN]],'Novia Web Query'!$A:$E,5,FALSE)</f>
        <v>18/02/2021</v>
      </c>
      <c r="F3165" t="str">
        <f>VLOOKUP(NoviaFunds[[#This Row],[Sector]],Sectors[],2,FALSE)</f>
        <v>Other Equities</v>
      </c>
    </row>
    <row r="3166" spans="1:6" x14ac:dyDescent="0.2">
      <c r="A3166" t="str">
        <f>'Novia Web Query'!A3162</f>
        <v>GB00BJNQ8K39</v>
      </c>
      <c r="B3166" t="str">
        <f>VLOOKUP(NoviaFunds[[#This Row],[ISIN]],'Novia Web Query'!$A:$E,2,FALSE)</f>
        <v>Morgan Stanley Global Brands I (Portfolio Hedged) Inc TR in GB</v>
      </c>
      <c r="C3166" t="str">
        <f>VLOOKUP(NoviaFunds[[#This Row],[ISIN]],'Novia Web Query'!$A:$E,3,FALSE)</f>
        <v>UT Global</v>
      </c>
      <c r="D3166" s="139">
        <f>VLOOKUP(NoviaFunds[[#This Row],[ISIN]],'Novia Web Query'!$A:$E,4,FALSE)/100</f>
        <v>9.0000000000000011E-3</v>
      </c>
      <c r="E3166" s="3" t="str">
        <f>VLOOKUP(NoviaFunds[[#This Row],[ISIN]],'Novia Web Query'!$A:$E,5,FALSE)</f>
        <v>18/02/2021</v>
      </c>
      <c r="F3166" t="str">
        <f>VLOOKUP(NoviaFunds[[#This Row],[Sector]],Sectors[],2,FALSE)</f>
        <v>Other Equities</v>
      </c>
    </row>
    <row r="3167" spans="1:6" x14ac:dyDescent="0.2">
      <c r="A3167" t="str">
        <f>'Novia Web Query'!A3163</f>
        <v>GB0032482498</v>
      </c>
      <c r="B3167" t="str">
        <f>VLOOKUP(NoviaFunds[[#This Row],[ISIN]],'Novia Web Query'!$A:$E,2,FALSE)</f>
        <v>Morgan Stanley Global Brands Inst Acc in GB</v>
      </c>
      <c r="C3167" t="str">
        <f>VLOOKUP(NoviaFunds[[#This Row],[ISIN]],'Novia Web Query'!$A:$E,3,FALSE)</f>
        <v>UT Global</v>
      </c>
      <c r="D3167" s="139">
        <f>VLOOKUP(NoviaFunds[[#This Row],[ISIN]],'Novia Web Query'!$A:$E,4,FALSE)/100</f>
        <v>9.0000000000000011E-3</v>
      </c>
      <c r="E3167" s="3" t="str">
        <f>VLOOKUP(NoviaFunds[[#This Row],[ISIN]],'Novia Web Query'!$A:$E,5,FALSE)</f>
        <v>18/02/2021</v>
      </c>
      <c r="F3167" t="str">
        <f>VLOOKUP(NoviaFunds[[#This Row],[Sector]],Sectors[],2,FALSE)</f>
        <v>Other Equities</v>
      </c>
    </row>
    <row r="3168" spans="1:6" x14ac:dyDescent="0.2">
      <c r="A3168" t="str">
        <f>'Novia Web Query'!A3164</f>
        <v>GB00B45K0579</v>
      </c>
      <c r="B3168" t="str">
        <f>VLOOKUP(NoviaFunds[[#This Row],[ISIN]],'Novia Web Query'!$A:$E,2,FALSE)</f>
        <v>Morgan Stanley Global Brands Inst Inc TR in GB**</v>
      </c>
      <c r="C3168" t="str">
        <f>VLOOKUP(NoviaFunds[[#This Row],[ISIN]],'Novia Web Query'!$A:$E,3,FALSE)</f>
        <v>UT Global</v>
      </c>
      <c r="D3168" s="139">
        <f>VLOOKUP(NoviaFunds[[#This Row],[ISIN]],'Novia Web Query'!$A:$E,4,FALSE)/100</f>
        <v>9.0000000000000011E-3</v>
      </c>
      <c r="E3168" s="3" t="str">
        <f>VLOOKUP(NoviaFunds[[#This Row],[ISIN]],'Novia Web Query'!$A:$E,5,FALSE)</f>
        <v>18/02/2021</v>
      </c>
      <c r="F3168" t="str">
        <f>VLOOKUP(NoviaFunds[[#This Row],[Sector]],Sectors[],2,FALSE)</f>
        <v>Other Equities</v>
      </c>
    </row>
    <row r="3169" spans="1:6" x14ac:dyDescent="0.2">
      <c r="A3169" t="str">
        <f>'Novia Web Query'!A3165</f>
        <v>GB00BK0WFT91</v>
      </c>
      <c r="B3169" t="str">
        <f>VLOOKUP(NoviaFunds[[#This Row],[ISIN]],'Novia Web Query'!$A:$E,2,FALSE)</f>
        <v>Morgan Stanley Global Sustain F (Portfolio Hedged) Acc in GB</v>
      </c>
      <c r="C3169" t="str">
        <f>VLOOKUP(NoviaFunds[[#This Row],[ISIN]],'Novia Web Query'!$A:$E,3,FALSE)</f>
        <v>UT Global</v>
      </c>
      <c r="D3169" s="139">
        <f>VLOOKUP(NoviaFunds[[#This Row],[ISIN]],'Novia Web Query'!$A:$E,4,FALSE)/100</f>
        <v>6.5000000000000006E-3</v>
      </c>
      <c r="E3169" s="3" t="str">
        <f>VLOOKUP(NoviaFunds[[#This Row],[ISIN]],'Novia Web Query'!$A:$E,5,FALSE)</f>
        <v>18/02/2021</v>
      </c>
      <c r="F3169" t="str">
        <f>VLOOKUP(NoviaFunds[[#This Row],[Sector]],Sectors[],2,FALSE)</f>
        <v>Other Equities</v>
      </c>
    </row>
    <row r="3170" spans="1:6" x14ac:dyDescent="0.2">
      <c r="A3170" t="str">
        <f>'Novia Web Query'!A3166</f>
        <v>GB00BJNQ0W90</v>
      </c>
      <c r="B3170" t="str">
        <f>VLOOKUP(NoviaFunds[[#This Row],[ISIN]],'Novia Web Query'!$A:$E,2,FALSE)</f>
        <v>Morgan Stanley Global Sustain F Acc in GB</v>
      </c>
      <c r="C3170" t="str">
        <f>VLOOKUP(NoviaFunds[[#This Row],[ISIN]],'Novia Web Query'!$A:$E,3,FALSE)</f>
        <v>UT Global</v>
      </c>
      <c r="D3170" s="139">
        <f>VLOOKUP(NoviaFunds[[#This Row],[ISIN]],'Novia Web Query'!$A:$E,4,FALSE)/100</f>
        <v>6.5000000000000006E-3</v>
      </c>
      <c r="E3170" s="3" t="str">
        <f>VLOOKUP(NoviaFunds[[#This Row],[ISIN]],'Novia Web Query'!$A:$E,5,FALSE)</f>
        <v>18/02/2021</v>
      </c>
      <c r="F3170" t="str">
        <f>VLOOKUP(NoviaFunds[[#This Row],[Sector]],Sectors[],2,FALSE)</f>
        <v>Other Equities</v>
      </c>
    </row>
    <row r="3171" spans="1:6" x14ac:dyDescent="0.2">
      <c r="A3171" t="str">
        <f>'Novia Web Query'!A3167</f>
        <v>GB00BJNQ0X08</v>
      </c>
      <c r="B3171" t="str">
        <f>VLOOKUP(NoviaFunds[[#This Row],[ISIN]],'Novia Web Query'!$A:$E,2,FALSE)</f>
        <v>Morgan Stanley Global Sustain F Inc TR in GB</v>
      </c>
      <c r="C3171" t="str">
        <f>VLOOKUP(NoviaFunds[[#This Row],[ISIN]],'Novia Web Query'!$A:$E,3,FALSE)</f>
        <v>UT Global</v>
      </c>
      <c r="D3171" s="139">
        <f>VLOOKUP(NoviaFunds[[#This Row],[ISIN]],'Novia Web Query'!$A:$E,4,FALSE)/100</f>
        <v>6.5000000000000006E-3</v>
      </c>
      <c r="E3171" s="3" t="str">
        <f>VLOOKUP(NoviaFunds[[#This Row],[ISIN]],'Novia Web Query'!$A:$E,5,FALSE)</f>
        <v>18/02/2021</v>
      </c>
      <c r="F3171" t="str">
        <f>VLOOKUP(NoviaFunds[[#This Row],[Sector]],Sectors[],2,FALSE)</f>
        <v>Other Equities</v>
      </c>
    </row>
    <row r="3172" spans="1:6" x14ac:dyDescent="0.2">
      <c r="A3172" t="str">
        <f>'Novia Web Query'!A3168</f>
        <v>GB00BK0WFV14</v>
      </c>
      <c r="B3172" t="str">
        <f>VLOOKUP(NoviaFunds[[#This Row],[ISIN]],'Novia Web Query'!$A:$E,2,FALSE)</f>
        <v>Morgan Stanley Global Sustain I (Portfolio Hedged) Acc in GB</v>
      </c>
      <c r="C3172" t="str">
        <f>VLOOKUP(NoviaFunds[[#This Row],[ISIN]],'Novia Web Query'!$A:$E,3,FALSE)</f>
        <v>UT Global</v>
      </c>
      <c r="D3172" s="139">
        <f>VLOOKUP(NoviaFunds[[#This Row],[ISIN]],'Novia Web Query'!$A:$E,4,FALSE)/100</f>
        <v>8.0000000000000002E-3</v>
      </c>
      <c r="E3172" s="3" t="str">
        <f>VLOOKUP(NoviaFunds[[#This Row],[ISIN]],'Novia Web Query'!$A:$E,5,FALSE)</f>
        <v>18/02/2021</v>
      </c>
      <c r="F3172" t="str">
        <f>VLOOKUP(NoviaFunds[[#This Row],[Sector]],Sectors[],2,FALSE)</f>
        <v>Other Equities</v>
      </c>
    </row>
    <row r="3173" spans="1:6" x14ac:dyDescent="0.2">
      <c r="A3173" t="str">
        <f>'Novia Web Query'!A3169</f>
        <v>GB00BJNQ0V83</v>
      </c>
      <c r="B3173" t="str">
        <f>VLOOKUP(NoviaFunds[[#This Row],[ISIN]],'Novia Web Query'!$A:$E,2,FALSE)</f>
        <v>Morgan Stanley Global Sustain I Acc in GB</v>
      </c>
      <c r="C3173" t="str">
        <f>VLOOKUP(NoviaFunds[[#This Row],[ISIN]],'Novia Web Query'!$A:$E,3,FALSE)</f>
        <v>UT Global</v>
      </c>
      <c r="D3173" s="139">
        <f>VLOOKUP(NoviaFunds[[#This Row],[ISIN]],'Novia Web Query'!$A:$E,4,FALSE)/100</f>
        <v>8.0000000000000002E-3</v>
      </c>
      <c r="E3173" s="3" t="str">
        <f>VLOOKUP(NoviaFunds[[#This Row],[ISIN]],'Novia Web Query'!$A:$E,5,FALSE)</f>
        <v>18/02/2021</v>
      </c>
      <c r="F3173" t="str">
        <f>VLOOKUP(NoviaFunds[[#This Row],[Sector]],Sectors[],2,FALSE)</f>
        <v>Other Equities</v>
      </c>
    </row>
    <row r="3174" spans="1:6" x14ac:dyDescent="0.2">
      <c r="A3174" t="str">
        <f>'Novia Web Query'!A3170</f>
        <v>GB0004757497</v>
      </c>
      <c r="B3174" t="str">
        <f>VLOOKUP(NoviaFunds[[#This Row],[ISIN]],'Novia Web Query'!$A:$E,2,FALSE)</f>
        <v>Morgan Stanley Sterling Corporate Bond I Acc in GB</v>
      </c>
      <c r="C3174" t="str">
        <f>VLOOKUP(NoviaFunds[[#This Row],[ISIN]],'Novia Web Query'!$A:$E,3,FALSE)</f>
        <v>UT Sterling Corporate Bond</v>
      </c>
      <c r="D3174" s="139">
        <f>VLOOKUP(NoviaFunds[[#This Row],[ISIN]],'Novia Web Query'!$A:$E,4,FALSE)/100</f>
        <v>3.7000000000000002E-3</v>
      </c>
      <c r="E3174" s="3" t="str">
        <f>VLOOKUP(NoviaFunds[[#This Row],[ISIN]],'Novia Web Query'!$A:$E,5,FALSE)</f>
        <v>18/02/2021</v>
      </c>
      <c r="F3174" t="str">
        <f>VLOOKUP(NoviaFunds[[#This Row],[Sector]],Sectors[],2,FALSE)</f>
        <v>Sterling Corporate Bonds</v>
      </c>
    </row>
    <row r="3175" spans="1:6" x14ac:dyDescent="0.2">
      <c r="A3175" t="str">
        <f>'Novia Web Query'!A3171</f>
        <v>GB0032487331</v>
      </c>
      <c r="B3175" t="str">
        <f>VLOOKUP(NoviaFunds[[#This Row],[ISIN]],'Novia Web Query'!$A:$E,2,FALSE)</f>
        <v>Morgan Stanley Sterling Corporate Bond I Inc TR in GB</v>
      </c>
      <c r="C3175" t="str">
        <f>VLOOKUP(NoviaFunds[[#This Row],[ISIN]],'Novia Web Query'!$A:$E,3,FALSE)</f>
        <v>UT Sterling Corporate Bond</v>
      </c>
      <c r="D3175" s="139">
        <f>VLOOKUP(NoviaFunds[[#This Row],[ISIN]],'Novia Web Query'!$A:$E,4,FALSE)/100</f>
        <v>3.7000000000000002E-3</v>
      </c>
      <c r="E3175" s="3" t="str">
        <f>VLOOKUP(NoviaFunds[[#This Row],[ISIN]],'Novia Web Query'!$A:$E,5,FALSE)</f>
        <v>18/02/2021</v>
      </c>
      <c r="F3175" t="str">
        <f>VLOOKUP(NoviaFunds[[#This Row],[Sector]],Sectors[],2,FALSE)</f>
        <v>Sterling Corporate Bonds</v>
      </c>
    </row>
    <row r="3176" spans="1:6" x14ac:dyDescent="0.2">
      <c r="A3176" t="str">
        <f>'Novia Web Query'!A3172</f>
        <v>GB00BK0WFW21</v>
      </c>
      <c r="B3176" t="str">
        <f>VLOOKUP(NoviaFunds[[#This Row],[ISIN]],'Novia Web Query'!$A:$E,2,FALSE)</f>
        <v>Morgan Stanley US Advantage F (Portfolio Hedged) Acc in GB**</v>
      </c>
      <c r="C3176" t="str">
        <f>VLOOKUP(NoviaFunds[[#This Row],[ISIN]],'Novia Web Query'!$A:$E,3,FALSE)</f>
        <v>UT North America</v>
      </c>
      <c r="D3176" s="139">
        <f>VLOOKUP(NoviaFunds[[#This Row],[ISIN]],'Novia Web Query'!$A:$E,4,FALSE)/100</f>
        <v>5.5000000000000005E-3</v>
      </c>
      <c r="E3176" s="3" t="str">
        <f>VLOOKUP(NoviaFunds[[#This Row],[ISIN]],'Novia Web Query'!$A:$E,5,FALSE)</f>
        <v>18/02/2021</v>
      </c>
      <c r="F3176" t="str">
        <f>VLOOKUP(NoviaFunds[[#This Row],[Sector]],Sectors[],2,FALSE)</f>
        <v>USA Equities</v>
      </c>
    </row>
    <row r="3177" spans="1:6" x14ac:dyDescent="0.2">
      <c r="A3177" t="str">
        <f>'Novia Web Query'!A3173</f>
        <v>GB00BYYDFT68</v>
      </c>
      <c r="B3177" t="str">
        <f>VLOOKUP(NoviaFunds[[#This Row],[ISIN]],'Novia Web Query'!$A:$E,2,FALSE)</f>
        <v>Morgan Stanley US Advantage F Acc GBP in GB</v>
      </c>
      <c r="C3177" t="str">
        <f>VLOOKUP(NoviaFunds[[#This Row],[ISIN]],'Novia Web Query'!$A:$E,3,FALSE)</f>
        <v>UT North America</v>
      </c>
      <c r="D3177" s="139">
        <f>VLOOKUP(NoviaFunds[[#This Row],[ISIN]],'Novia Web Query'!$A:$E,4,FALSE)/100</f>
        <v>5.5000000000000005E-3</v>
      </c>
      <c r="E3177" s="3" t="str">
        <f>VLOOKUP(NoviaFunds[[#This Row],[ISIN]],'Novia Web Query'!$A:$E,5,FALSE)</f>
        <v>18/02/2021</v>
      </c>
      <c r="F3177" t="str">
        <f>VLOOKUP(NoviaFunds[[#This Row],[Sector]],Sectors[],2,FALSE)</f>
        <v>USA Equities</v>
      </c>
    </row>
    <row r="3178" spans="1:6" x14ac:dyDescent="0.2">
      <c r="A3178" t="str">
        <f>'Novia Web Query'!A3174</f>
        <v>GB00BK0WFX38</v>
      </c>
      <c r="B3178" t="str">
        <f>VLOOKUP(NoviaFunds[[#This Row],[ISIN]],'Novia Web Query'!$A:$E,2,FALSE)</f>
        <v>Morgan Stanley US Advantage I (Portfolio Hedged) Acc in GB</v>
      </c>
      <c r="C3178" t="str">
        <f>VLOOKUP(NoviaFunds[[#This Row],[ISIN]],'Novia Web Query'!$A:$E,3,FALSE)</f>
        <v>UT North America</v>
      </c>
      <c r="D3178" s="139">
        <f>VLOOKUP(NoviaFunds[[#This Row],[ISIN]],'Novia Web Query'!$A:$E,4,FALSE)/100</f>
        <v>8.5000000000000006E-3</v>
      </c>
      <c r="E3178" s="3" t="str">
        <f>VLOOKUP(NoviaFunds[[#This Row],[ISIN]],'Novia Web Query'!$A:$E,5,FALSE)</f>
        <v>18/02/2021</v>
      </c>
      <c r="F3178" t="str">
        <f>VLOOKUP(NoviaFunds[[#This Row],[Sector]],Sectors[],2,FALSE)</f>
        <v>USA Equities</v>
      </c>
    </row>
    <row r="3179" spans="1:6" x14ac:dyDescent="0.2">
      <c r="A3179" t="str">
        <f>'Novia Web Query'!A3175</f>
        <v>GB00BZ4CG750</v>
      </c>
      <c r="B3179" t="str">
        <f>VLOOKUP(NoviaFunds[[#This Row],[ISIN]],'Novia Web Query'!$A:$E,2,FALSE)</f>
        <v>Morgan Stanley US Advantage I Acc GBP in GB</v>
      </c>
      <c r="C3179" t="str">
        <f>VLOOKUP(NoviaFunds[[#This Row],[ISIN]],'Novia Web Query'!$A:$E,3,FALSE)</f>
        <v>UT North America</v>
      </c>
      <c r="D3179" s="139">
        <f>VLOOKUP(NoviaFunds[[#This Row],[ISIN]],'Novia Web Query'!$A:$E,4,FALSE)/100</f>
        <v>8.5000000000000006E-3</v>
      </c>
      <c r="E3179" s="3" t="str">
        <f>VLOOKUP(NoviaFunds[[#This Row],[ISIN]],'Novia Web Query'!$A:$E,5,FALSE)</f>
        <v>18/02/2021</v>
      </c>
      <c r="F3179" t="str">
        <f>VLOOKUP(NoviaFunds[[#This Row],[Sector]],Sectors[],2,FALSE)</f>
        <v>USA Equities</v>
      </c>
    </row>
    <row r="3180" spans="1:6" x14ac:dyDescent="0.2">
      <c r="A3180" t="str">
        <f>'Novia Web Query'!A3176</f>
        <v>GB00BFNXSF12</v>
      </c>
      <c r="B3180" t="str">
        <f>VLOOKUP(NoviaFunds[[#This Row],[ISIN]],'Novia Web Query'!$A:$E,2,FALSE)</f>
        <v>Natixis H2O MultiReturns I/AG Gr Inc TR in GB</v>
      </c>
      <c r="C3180" t="str">
        <f>VLOOKUP(NoviaFunds[[#This Row],[ISIN]],'Novia Web Query'!$A:$E,3,FALSE)</f>
        <v>UT Targeted Absolute Return</v>
      </c>
      <c r="D3180" s="139">
        <f>VLOOKUP(NoviaFunds[[#This Row],[ISIN]],'Novia Web Query'!$A:$E,4,FALSE)/100</f>
        <v>8.0000000000000002E-3</v>
      </c>
      <c r="E3180" s="3" t="str">
        <f>VLOOKUP(NoviaFunds[[#This Row],[ISIN]],'Novia Web Query'!$A:$E,5,FALSE)</f>
        <v>31/12/2020</v>
      </c>
      <c r="F3180" t="str">
        <f>VLOOKUP(NoviaFunds[[#This Row],[Sector]],Sectors[],2,FALSE)</f>
        <v>Absolute Return</v>
      </c>
    </row>
    <row r="3181" spans="1:6" x14ac:dyDescent="0.2">
      <c r="A3181" t="str">
        <f>'Novia Web Query'!A3177</f>
        <v>GB00BFNXSG29</v>
      </c>
      <c r="B3181" t="str">
        <f>VLOOKUP(NoviaFunds[[#This Row],[ISIN]],'Novia Web Query'!$A:$E,2,FALSE)</f>
        <v>Natixis H2O MultiReturns I/DG Gr Inc TR in GB</v>
      </c>
      <c r="C3181" t="str">
        <f>VLOOKUP(NoviaFunds[[#This Row],[ISIN]],'Novia Web Query'!$A:$E,3,FALSE)</f>
        <v>UT Targeted Absolute Return</v>
      </c>
      <c r="D3181" s="139">
        <f>VLOOKUP(NoviaFunds[[#This Row],[ISIN]],'Novia Web Query'!$A:$E,4,FALSE)/100</f>
        <v>8.0000000000000002E-3</v>
      </c>
      <c r="E3181" s="3" t="str">
        <f>VLOOKUP(NoviaFunds[[#This Row],[ISIN]],'Novia Web Query'!$A:$E,5,FALSE)</f>
        <v>31/12/2020</v>
      </c>
      <c r="F3181" t="str">
        <f>VLOOKUP(NoviaFunds[[#This Row],[Sector]],Sectors[],2,FALSE)</f>
        <v>Absolute Return</v>
      </c>
    </row>
    <row r="3182" spans="1:6" x14ac:dyDescent="0.2">
      <c r="A3182" t="str">
        <f>'Novia Web Query'!A3178</f>
        <v>GB00BFNXSH36</v>
      </c>
      <c r="B3182" t="str">
        <f>VLOOKUP(NoviaFunds[[#This Row],[ISIN]],'Novia Web Query'!$A:$E,2,FALSE)</f>
        <v>Natixis H2O MultiReturns N/AG Gr Inc TR in GB</v>
      </c>
      <c r="C3182" t="str">
        <f>VLOOKUP(NoviaFunds[[#This Row],[ISIN]],'Novia Web Query'!$A:$E,3,FALSE)</f>
        <v>UT Targeted Absolute Return</v>
      </c>
      <c r="D3182" s="139">
        <f>VLOOKUP(NoviaFunds[[#This Row],[ISIN]],'Novia Web Query'!$A:$E,4,FALSE)/100</f>
        <v>0.01</v>
      </c>
      <c r="E3182" s="3" t="str">
        <f>VLOOKUP(NoviaFunds[[#This Row],[ISIN]],'Novia Web Query'!$A:$E,5,FALSE)</f>
        <v>31/12/2020</v>
      </c>
      <c r="F3182" t="str">
        <f>VLOOKUP(NoviaFunds[[#This Row],[Sector]],Sectors[],2,FALSE)</f>
        <v>Absolute Return</v>
      </c>
    </row>
    <row r="3183" spans="1:6" x14ac:dyDescent="0.2">
      <c r="A3183" t="str">
        <f>'Novia Web Query'!A3179</f>
        <v>GB00BFNXSJ59</v>
      </c>
      <c r="B3183" t="str">
        <f>VLOOKUP(NoviaFunds[[#This Row],[ISIN]],'Novia Web Query'!$A:$E,2,FALSE)</f>
        <v>Natixis H2O MultiReturns N/DG Gr Inc TR in GB</v>
      </c>
      <c r="C3183" t="str">
        <f>VLOOKUP(NoviaFunds[[#This Row],[ISIN]],'Novia Web Query'!$A:$E,3,FALSE)</f>
        <v>UT Targeted Absolute Return</v>
      </c>
      <c r="D3183" s="139">
        <f>VLOOKUP(NoviaFunds[[#This Row],[ISIN]],'Novia Web Query'!$A:$E,4,FALSE)/100</f>
        <v>0.01</v>
      </c>
      <c r="E3183" s="3" t="str">
        <f>VLOOKUP(NoviaFunds[[#This Row],[ISIN]],'Novia Web Query'!$A:$E,5,FALSE)</f>
        <v>31/12/2020</v>
      </c>
      <c r="F3183" t="str">
        <f>VLOOKUP(NoviaFunds[[#This Row],[Sector]],Sectors[],2,FALSE)</f>
        <v>Absolute Return</v>
      </c>
    </row>
    <row r="3184" spans="1:6" x14ac:dyDescent="0.2">
      <c r="A3184" t="str">
        <f>'Novia Web Query'!A3180</f>
        <v>GB00BN405018</v>
      </c>
      <c r="B3184" t="str">
        <f>VLOOKUP(NoviaFunds[[#This Row],[ISIN]],'Novia Web Query'!$A:$E,2,FALSE)</f>
        <v>Natixis Harris Associates Global Concentrated Equity N/A GBP in GB</v>
      </c>
      <c r="C3184" t="str">
        <f>VLOOKUP(NoviaFunds[[#This Row],[ISIN]],'Novia Web Query'!$A:$E,3,FALSE)</f>
        <v>UT Global</v>
      </c>
      <c r="D3184" s="139">
        <f>VLOOKUP(NoviaFunds[[#This Row],[ISIN]],'Novia Web Query'!$A:$E,4,FALSE)/100</f>
        <v>0.01</v>
      </c>
      <c r="E3184" s="3" t="str">
        <f>VLOOKUP(NoviaFunds[[#This Row],[ISIN]],'Novia Web Query'!$A:$E,5,FALSE)</f>
        <v>31/12/2020</v>
      </c>
      <c r="F3184" t="str">
        <f>VLOOKUP(NoviaFunds[[#This Row],[Sector]],Sectors[],2,FALSE)</f>
        <v>Other Equities</v>
      </c>
    </row>
    <row r="3185" spans="1:6" x14ac:dyDescent="0.2">
      <c r="A3185" t="str">
        <f>'Novia Web Query'!A3181</f>
        <v>GB00B92F0M74</v>
      </c>
      <c r="B3185" t="str">
        <f>VLOOKUP(NoviaFunds[[#This Row],[ISIN]],'Novia Web Query'!$A:$E,2,FALSE)</f>
        <v>Natixis Loomis Sayles Strategic Income H-N/DG Dis GBP TR in GB</v>
      </c>
      <c r="C3185" t="str">
        <f>VLOOKUP(NoviaFunds[[#This Row],[ISIN]],'Novia Web Query'!$A:$E,3,FALSE)</f>
        <v>UT Sterling Strategic Bond</v>
      </c>
      <c r="D3185" s="139">
        <f>VLOOKUP(NoviaFunds[[#This Row],[ISIN]],'Novia Web Query'!$A:$E,4,FALSE)/100</f>
        <v>7.4999999999999997E-3</v>
      </c>
      <c r="E3185" s="3" t="str">
        <f>VLOOKUP(NoviaFunds[[#This Row],[ISIN]],'Novia Web Query'!$A:$E,5,FALSE)</f>
        <v>31/12/2020</v>
      </c>
      <c r="F3185" t="str">
        <f>VLOOKUP(NoviaFunds[[#This Row],[Sector]],Sectors[],2,FALSE)</f>
        <v>Other Bonds</v>
      </c>
    </row>
    <row r="3186" spans="1:6" x14ac:dyDescent="0.2">
      <c r="A3186" t="str">
        <f>'Novia Web Query'!A3182</f>
        <v>GB00B8NVD843</v>
      </c>
      <c r="B3186" t="str">
        <f>VLOOKUP(NoviaFunds[[#This Row],[ISIN]],'Novia Web Query'!$A:$E,2,FALSE)</f>
        <v>Natixis Loomis Sayles Strategic Income H-N/DG GBP TR in GB</v>
      </c>
      <c r="C3186" t="str">
        <f>VLOOKUP(NoviaFunds[[#This Row],[ISIN]],'Novia Web Query'!$A:$E,3,FALSE)</f>
        <v>UT Sterling Strategic Bond</v>
      </c>
      <c r="D3186" s="139">
        <f>VLOOKUP(NoviaFunds[[#This Row],[ISIN]],'Novia Web Query'!$A:$E,4,FALSE)/100</f>
        <v>7.4999999999999997E-3</v>
      </c>
      <c r="E3186" s="3" t="str">
        <f>VLOOKUP(NoviaFunds[[#This Row],[ISIN]],'Novia Web Query'!$A:$E,5,FALSE)</f>
        <v>31/12/2020</v>
      </c>
      <c r="F3186" t="str">
        <f>VLOOKUP(NoviaFunds[[#This Row],[Sector]],Sectors[],2,FALSE)</f>
        <v>Other Bonds</v>
      </c>
    </row>
    <row r="3187" spans="1:6" x14ac:dyDescent="0.2">
      <c r="A3187" t="str">
        <f>'Novia Web Query'!A3183</f>
        <v>GB00B97J2N98</v>
      </c>
      <c r="B3187" t="str">
        <f>VLOOKUP(NoviaFunds[[#This Row],[ISIN]],'Novia Web Query'!$A:$E,2,FALSE)</f>
        <v>Natixis Loomis Sayles U.S. Equity Leaders I/A GBP in GB</v>
      </c>
      <c r="C3187" t="str">
        <f>VLOOKUP(NoviaFunds[[#This Row],[ISIN]],'Novia Web Query'!$A:$E,3,FALSE)</f>
        <v>UT North America</v>
      </c>
      <c r="D3187" s="139">
        <f>VLOOKUP(NoviaFunds[[#This Row],[ISIN]],'Novia Web Query'!$A:$E,4,FALSE)/100</f>
        <v>8.0000000000000002E-3</v>
      </c>
      <c r="E3187" s="3" t="str">
        <f>VLOOKUP(NoviaFunds[[#This Row],[ISIN]],'Novia Web Query'!$A:$E,5,FALSE)</f>
        <v>31/12/2020</v>
      </c>
      <c r="F3187" t="str">
        <f>VLOOKUP(NoviaFunds[[#This Row],[Sector]],Sectors[],2,FALSE)</f>
        <v>USA Equities</v>
      </c>
    </row>
    <row r="3188" spans="1:6" x14ac:dyDescent="0.2">
      <c r="A3188" t="str">
        <f>'Novia Web Query'!A3184</f>
        <v>GB00B8L3WZ29</v>
      </c>
      <c r="B3188" t="str">
        <f>VLOOKUP(NoviaFunds[[#This Row],[ISIN]],'Novia Web Query'!$A:$E,2,FALSE)</f>
        <v>Natixis Loomis Sayles U.S. Equity Leaders N/A GBP in GB</v>
      </c>
      <c r="C3188" t="str">
        <f>VLOOKUP(NoviaFunds[[#This Row],[ISIN]],'Novia Web Query'!$A:$E,3,FALSE)</f>
        <v>UT North America</v>
      </c>
      <c r="D3188" s="139">
        <f>VLOOKUP(NoviaFunds[[#This Row],[ISIN]],'Novia Web Query'!$A:$E,4,FALSE)/100</f>
        <v>0.01</v>
      </c>
      <c r="E3188" s="3" t="str">
        <f>VLOOKUP(NoviaFunds[[#This Row],[ISIN]],'Novia Web Query'!$A:$E,5,FALSE)</f>
        <v>31/12/2020</v>
      </c>
      <c r="F3188" t="str">
        <f>VLOOKUP(NoviaFunds[[#This Row],[Sector]],Sectors[],2,FALSE)</f>
        <v>USA Equities</v>
      </c>
    </row>
    <row r="3189" spans="1:6" x14ac:dyDescent="0.2">
      <c r="A3189" t="str">
        <f>'Novia Web Query'!A3185</f>
        <v>GB00B8Y83Y02</v>
      </c>
      <c r="B3189" t="str">
        <f>VLOOKUP(NoviaFunds[[#This Row],[ISIN]],'Novia Web Query'!$A:$E,2,FALSE)</f>
        <v>Natixis Loomis Sayles U.S. Equity Leaders Q/A GBP in GB</v>
      </c>
      <c r="C3189" t="str">
        <f>VLOOKUP(NoviaFunds[[#This Row],[ISIN]],'Novia Web Query'!$A:$E,3,FALSE)</f>
        <v>UT North America</v>
      </c>
      <c r="D3189" s="139">
        <f>VLOOKUP(NoviaFunds[[#This Row],[ISIN]],'Novia Web Query'!$A:$E,4,FALSE)/100</f>
        <v>6.0000000000000001E-3</v>
      </c>
      <c r="E3189" s="3" t="str">
        <f>VLOOKUP(NoviaFunds[[#This Row],[ISIN]],'Novia Web Query'!$A:$E,5,FALSE)</f>
        <v>31/12/2020</v>
      </c>
      <c r="F3189" t="str">
        <f>VLOOKUP(NoviaFunds[[#This Row],[Sector]],Sectors[],2,FALSE)</f>
        <v>USA Equities</v>
      </c>
    </row>
    <row r="3190" spans="1:6" x14ac:dyDescent="0.2">
      <c r="A3190" t="str">
        <f>'Novia Web Query'!A3186</f>
        <v>GB00B1XFJ342</v>
      </c>
      <c r="B3190" t="str">
        <f>VLOOKUP(NoviaFunds[[#This Row],[ISIN]],'Novia Web Query'!$A:$E,2,FALSE)</f>
        <v>Ninety One American Franchise I Acc GBP in GB</v>
      </c>
      <c r="C3190" t="str">
        <f>VLOOKUP(NoviaFunds[[#This Row],[ISIN]],'Novia Web Query'!$A:$E,3,FALSE)</f>
        <v>UT North America</v>
      </c>
      <c r="D3190" s="139">
        <f>VLOOKUP(NoviaFunds[[#This Row],[ISIN]],'Novia Web Query'!$A:$E,4,FALSE)/100</f>
        <v>8.3000000000000001E-3</v>
      </c>
      <c r="E3190" s="3" t="str">
        <f>VLOOKUP(NoviaFunds[[#This Row],[ISIN]],'Novia Web Query'!$A:$E,5,FALSE)</f>
        <v>31/12/2020</v>
      </c>
      <c r="F3190" t="str">
        <f>VLOOKUP(NoviaFunds[[#This Row],[Sector]],Sectors[],2,FALSE)</f>
        <v>USA Equities</v>
      </c>
    </row>
    <row r="3191" spans="1:6" x14ac:dyDescent="0.2">
      <c r="A3191" t="str">
        <f>'Novia Web Query'!A3187</f>
        <v>GB00B1XFJD49</v>
      </c>
      <c r="B3191" t="str">
        <f>VLOOKUP(NoviaFunds[[#This Row],[ISIN]],'Novia Web Query'!$A:$E,2,FALSE)</f>
        <v>Ninety One Asia Pacific Franchise I Acc GBP in GB</v>
      </c>
      <c r="C3191" t="str">
        <f>VLOOKUP(NoviaFunds[[#This Row],[ISIN]],'Novia Web Query'!$A:$E,3,FALSE)</f>
        <v>UT Asia Pacific Excluding Japan</v>
      </c>
      <c r="D3191" s="139">
        <f>VLOOKUP(NoviaFunds[[#This Row],[ISIN]],'Novia Web Query'!$A:$E,4,FALSE)/100</f>
        <v>8.6999999999999994E-3</v>
      </c>
      <c r="E3191" s="3" t="str">
        <f>VLOOKUP(NoviaFunds[[#This Row],[ISIN]],'Novia Web Query'!$A:$E,5,FALSE)</f>
        <v>31/12/2020</v>
      </c>
      <c r="F3191" t="str">
        <f>VLOOKUP(NoviaFunds[[#This Row],[Sector]],Sectors[],2,FALSE)</f>
        <v>Asia Pacific</v>
      </c>
    </row>
    <row r="3192" spans="1:6" x14ac:dyDescent="0.2">
      <c r="A3192" t="str">
        <f>'Novia Web Query'!A3188</f>
        <v>GB00B2Q1J923</v>
      </c>
      <c r="B3192" t="str">
        <f>VLOOKUP(NoviaFunds[[#This Row],[ISIN]],'Novia Web Query'!$A:$E,2,FALSE)</f>
        <v>Ninety One Diversified Income I Acc GBP in GB</v>
      </c>
      <c r="C3192" t="str">
        <f>VLOOKUP(NoviaFunds[[#This Row],[ISIN]],'Novia Web Query'!$A:$E,3,FALSE)</f>
        <v>UT Mixed Investment 0-35% Shares</v>
      </c>
      <c r="D3192" s="139">
        <f>VLOOKUP(NoviaFunds[[#This Row],[ISIN]],'Novia Web Query'!$A:$E,4,FALSE)/100</f>
        <v>7.9000000000000008E-3</v>
      </c>
      <c r="E3192" s="3" t="str">
        <f>VLOOKUP(NoviaFunds[[#This Row],[ISIN]],'Novia Web Query'!$A:$E,5,FALSE)</f>
        <v>31/12/2020</v>
      </c>
      <c r="F3192" t="str">
        <f>VLOOKUP(NoviaFunds[[#This Row],[Sector]],Sectors[],2,FALSE)</f>
        <v>Mixed 0%-35%</v>
      </c>
    </row>
    <row r="3193" spans="1:6" x14ac:dyDescent="0.2">
      <c r="A3193" t="str">
        <f>'Novia Web Query'!A3189</f>
        <v>GB00B7700K18</v>
      </c>
      <c r="B3193" t="str">
        <f>VLOOKUP(NoviaFunds[[#This Row],[ISIN]],'Novia Web Query'!$A:$E,2,FALSE)</f>
        <v>Ninety One Diversified Income I Inc-2 GBP TR in GB</v>
      </c>
      <c r="C3193" t="str">
        <f>VLOOKUP(NoviaFunds[[#This Row],[ISIN]],'Novia Web Query'!$A:$E,3,FALSE)</f>
        <v>UT Mixed Investment 0-35% Shares</v>
      </c>
      <c r="D3193" s="139">
        <f>VLOOKUP(NoviaFunds[[#This Row],[ISIN]],'Novia Web Query'!$A:$E,4,FALSE)/100</f>
        <v>7.9000000000000008E-3</v>
      </c>
      <c r="E3193" s="3" t="str">
        <f>VLOOKUP(NoviaFunds[[#This Row],[ISIN]],'Novia Web Query'!$A:$E,5,FALSE)</f>
        <v>31/12/2020</v>
      </c>
      <c r="F3193" t="str">
        <f>VLOOKUP(NoviaFunds[[#This Row],[Sector]],Sectors[],2,FALSE)</f>
        <v>Mixed 0%-35%</v>
      </c>
    </row>
    <row r="3194" spans="1:6" x14ac:dyDescent="0.2">
      <c r="A3194" t="str">
        <f>'Novia Web Query'!A3190</f>
        <v>GB00BD5J0T15</v>
      </c>
      <c r="B3194" t="str">
        <f>VLOOKUP(NoviaFunds[[#This Row],[ISIN]],'Novia Web Query'!$A:$E,2,FALSE)</f>
        <v>Ninety One Diversified Income J Acc GBP in GB**</v>
      </c>
      <c r="C3194" t="str">
        <f>VLOOKUP(NoviaFunds[[#This Row],[ISIN]],'Novia Web Query'!$A:$E,3,FALSE)</f>
        <v>UT Mixed Investment 0-35% Shares</v>
      </c>
      <c r="D3194" s="139">
        <f>VLOOKUP(NoviaFunds[[#This Row],[ISIN]],'Novia Web Query'!$A:$E,4,FALSE)/100</f>
        <v>6.8999999999999999E-3</v>
      </c>
      <c r="E3194" s="3" t="str">
        <f>VLOOKUP(NoviaFunds[[#This Row],[ISIN]],'Novia Web Query'!$A:$E,5,FALSE)</f>
        <v>31/12/2020</v>
      </c>
      <c r="F3194" t="str">
        <f>VLOOKUP(NoviaFunds[[#This Row],[Sector]],Sectors[],2,FALSE)</f>
        <v>Mixed 0%-35%</v>
      </c>
    </row>
    <row r="3195" spans="1:6" x14ac:dyDescent="0.2">
      <c r="A3195" t="str">
        <f>'Novia Web Query'!A3191</f>
        <v>GB00BD5J0Y67</v>
      </c>
      <c r="B3195" t="str">
        <f>VLOOKUP(NoviaFunds[[#This Row],[ISIN]],'Novia Web Query'!$A:$E,2,FALSE)</f>
        <v>Ninety One Diversified Income J Inc-2 GBP TR in GB**</v>
      </c>
      <c r="C3195" t="str">
        <f>VLOOKUP(NoviaFunds[[#This Row],[ISIN]],'Novia Web Query'!$A:$E,3,FALSE)</f>
        <v>UT Mixed Investment 0-35% Shares</v>
      </c>
      <c r="D3195" s="139">
        <f>VLOOKUP(NoviaFunds[[#This Row],[ISIN]],'Novia Web Query'!$A:$E,4,FALSE)/100</f>
        <v>6.8999999999999999E-3</v>
      </c>
      <c r="E3195" s="3" t="str">
        <f>VLOOKUP(NoviaFunds[[#This Row],[ISIN]],'Novia Web Query'!$A:$E,5,FALSE)</f>
        <v>31/12/2020</v>
      </c>
      <c r="F3195" t="str">
        <f>VLOOKUP(NoviaFunds[[#This Row],[Sector]],Sectors[],2,FALSE)</f>
        <v>Mixed 0%-35%</v>
      </c>
    </row>
    <row r="3196" spans="1:6" x14ac:dyDescent="0.2">
      <c r="A3196" t="str">
        <f>'Novia Web Query'!A3192</f>
        <v>GB00BYXJPY07</v>
      </c>
      <c r="B3196" t="str">
        <f>VLOOKUP(NoviaFunds[[#This Row],[ISIN]],'Novia Web Query'!$A:$E,2,FALSE)</f>
        <v>Ninety One Diversified Income K Acc GBP in GB**</v>
      </c>
      <c r="C3196" t="str">
        <f>VLOOKUP(NoviaFunds[[#This Row],[ISIN]],'Novia Web Query'!$A:$E,3,FALSE)</f>
        <v>UT Mixed Investment 0-35% Shares</v>
      </c>
      <c r="D3196" s="139">
        <f>VLOOKUP(NoviaFunds[[#This Row],[ISIN]],'Novia Web Query'!$A:$E,4,FALSE)/100</f>
        <v>6.4000000000000003E-3</v>
      </c>
      <c r="E3196" s="3" t="str">
        <f>VLOOKUP(NoviaFunds[[#This Row],[ISIN]],'Novia Web Query'!$A:$E,5,FALSE)</f>
        <v>31/12/2020</v>
      </c>
      <c r="F3196" t="str">
        <f>VLOOKUP(NoviaFunds[[#This Row],[Sector]],Sectors[],2,FALSE)</f>
        <v>Mixed 0%-35%</v>
      </c>
    </row>
    <row r="3197" spans="1:6" x14ac:dyDescent="0.2">
      <c r="A3197" t="str">
        <f>'Novia Web Query'!A3193</f>
        <v>GB00BYXJPZ14</v>
      </c>
      <c r="B3197" t="str">
        <f>VLOOKUP(NoviaFunds[[#This Row],[ISIN]],'Novia Web Query'!$A:$E,2,FALSE)</f>
        <v>Ninety One Diversified Income K Inc-2 GBP TR in GB**</v>
      </c>
      <c r="C3197" t="str">
        <f>VLOOKUP(NoviaFunds[[#This Row],[ISIN]],'Novia Web Query'!$A:$E,3,FALSE)</f>
        <v>UT Mixed Investment 0-35% Shares</v>
      </c>
      <c r="D3197" s="139">
        <f>VLOOKUP(NoviaFunds[[#This Row],[ISIN]],'Novia Web Query'!$A:$E,4,FALSE)/100</f>
        <v>6.4000000000000003E-3</v>
      </c>
      <c r="E3197" s="3" t="str">
        <f>VLOOKUP(NoviaFunds[[#This Row],[ISIN]],'Novia Web Query'!$A:$E,5,FALSE)</f>
        <v>31/12/2020</v>
      </c>
      <c r="F3197" t="str">
        <f>VLOOKUP(NoviaFunds[[#This Row],[Sector]],Sectors[],2,FALSE)</f>
        <v>Mixed 0%-35%</v>
      </c>
    </row>
    <row r="3198" spans="1:6" x14ac:dyDescent="0.2">
      <c r="A3198" t="str">
        <f>'Novia Web Query'!A3194</f>
        <v>GB00BJFLDK12</v>
      </c>
      <c r="B3198" t="str">
        <f>VLOOKUP(NoviaFunds[[#This Row],[ISIN]],'Novia Web Query'!$A:$E,2,FALSE)</f>
        <v>Ninety One Emerging Markets Blended Debt I Acc GBP in GB</v>
      </c>
      <c r="C3198" t="str">
        <f>VLOOKUP(NoviaFunds[[#This Row],[ISIN]],'Novia Web Query'!$A:$E,3,FALSE)</f>
        <v>UT Global EM Bonds - Blended</v>
      </c>
      <c r="D3198" s="139">
        <f>VLOOKUP(NoviaFunds[[#This Row],[ISIN]],'Novia Web Query'!$A:$E,4,FALSE)/100</f>
        <v>9.1000000000000004E-3</v>
      </c>
      <c r="E3198" s="3" t="str">
        <f>VLOOKUP(NoviaFunds[[#This Row],[ISIN]],'Novia Web Query'!$A:$E,5,FALSE)</f>
        <v>31/12/2020</v>
      </c>
      <c r="F3198" t="e">
        <f>VLOOKUP(NoviaFunds[[#This Row],[Sector]],Sectors[],2,FALSE)</f>
        <v>#N/A</v>
      </c>
    </row>
    <row r="3199" spans="1:6" x14ac:dyDescent="0.2">
      <c r="A3199" t="str">
        <f>'Novia Web Query'!A3195</f>
        <v>GB00B7PWB404</v>
      </c>
      <c r="B3199" t="str">
        <f>VLOOKUP(NoviaFunds[[#This Row],[ISIN]],'Novia Web Query'!$A:$E,2,FALSE)</f>
        <v>Ninety One Emerging Markets Blended Debt I Inc-2 GBP TR in GB</v>
      </c>
      <c r="C3199" t="str">
        <f>VLOOKUP(NoviaFunds[[#This Row],[ISIN]],'Novia Web Query'!$A:$E,3,FALSE)</f>
        <v>UT Global EM Bonds - Blended</v>
      </c>
      <c r="D3199" s="139">
        <f>VLOOKUP(NoviaFunds[[#This Row],[ISIN]],'Novia Web Query'!$A:$E,4,FALSE)/100</f>
        <v>9.0000000000000011E-3</v>
      </c>
      <c r="E3199" s="3" t="str">
        <f>VLOOKUP(NoviaFunds[[#This Row],[ISIN]],'Novia Web Query'!$A:$E,5,FALSE)</f>
        <v>31/12/2020</v>
      </c>
      <c r="F3199" t="e">
        <f>VLOOKUP(NoviaFunds[[#This Row],[Sector]],Sectors[],2,FALSE)</f>
        <v>#N/A</v>
      </c>
    </row>
    <row r="3200" spans="1:6" x14ac:dyDescent="0.2">
      <c r="A3200" t="str">
        <f>'Novia Web Query'!A3196</f>
        <v>GB00B8HWDL62</v>
      </c>
      <c r="B3200" t="str">
        <f>VLOOKUP(NoviaFunds[[#This Row],[ISIN]],'Novia Web Query'!$A:$E,2,FALSE)</f>
        <v>Ninety One Emerging Markets Equity I Acc in GB</v>
      </c>
      <c r="C3200" t="str">
        <f>VLOOKUP(NoviaFunds[[#This Row],[ISIN]],'Novia Web Query'!$A:$E,3,FALSE)</f>
        <v>UT Global Emerging Markets</v>
      </c>
      <c r="D3200" s="139">
        <f>VLOOKUP(NoviaFunds[[#This Row],[ISIN]],'Novia Web Query'!$A:$E,4,FALSE)/100</f>
        <v>1.0800000000000001E-2</v>
      </c>
      <c r="E3200" s="3" t="str">
        <f>VLOOKUP(NoviaFunds[[#This Row],[ISIN]],'Novia Web Query'!$A:$E,5,FALSE)</f>
        <v>31/12/2020</v>
      </c>
      <c r="F3200" t="str">
        <f>VLOOKUP(NoviaFunds[[#This Row],[Sector]],Sectors[],2,FALSE)</f>
        <v>Emerging Markets</v>
      </c>
    </row>
    <row r="3201" spans="1:6" x14ac:dyDescent="0.2">
      <c r="A3201" t="str">
        <f>'Novia Web Query'!A3197</f>
        <v>GB00B3TB1H89</v>
      </c>
      <c r="B3201" t="str">
        <f>VLOOKUP(NoviaFunds[[#This Row],[ISIN]],'Novia Web Query'!$A:$E,2,FALSE)</f>
        <v>Ninety One Emerging Markets Local Currency Debt I Acc GBP in GB</v>
      </c>
      <c r="C3201" t="str">
        <f>VLOOKUP(NoviaFunds[[#This Row],[ISIN]],'Novia Web Query'!$A:$E,3,FALSE)</f>
        <v>UT Global EM Bonds - Local Currency</v>
      </c>
      <c r="D3201" s="139">
        <f>VLOOKUP(NoviaFunds[[#This Row],[ISIN]],'Novia Web Query'!$A:$E,4,FALSE)/100</f>
        <v>9.1999999999999998E-3</v>
      </c>
      <c r="E3201" s="3" t="str">
        <f>VLOOKUP(NoviaFunds[[#This Row],[ISIN]],'Novia Web Query'!$A:$E,5,FALSE)</f>
        <v>31/12/2020</v>
      </c>
      <c r="F3201" t="e">
        <f>VLOOKUP(NoviaFunds[[#This Row],[Sector]],Sectors[],2,FALSE)</f>
        <v>#N/A</v>
      </c>
    </row>
    <row r="3202" spans="1:6" x14ac:dyDescent="0.2">
      <c r="A3202" t="str">
        <f>'Novia Web Query'!A3198</f>
        <v>GB00B58SJV49</v>
      </c>
      <c r="B3202" t="str">
        <f>VLOOKUP(NoviaFunds[[#This Row],[ISIN]],'Novia Web Query'!$A:$E,2,FALSE)</f>
        <v>Ninety One Emerging Markets Local Currency Debt I Inc-2 GBP TR in GB**</v>
      </c>
      <c r="C3202" t="str">
        <f>VLOOKUP(NoviaFunds[[#This Row],[ISIN]],'Novia Web Query'!$A:$E,3,FALSE)</f>
        <v>UT Global EM Bonds - Local Currency</v>
      </c>
      <c r="D3202" s="139">
        <f>VLOOKUP(NoviaFunds[[#This Row],[ISIN]],'Novia Web Query'!$A:$E,4,FALSE)/100</f>
        <v>9.1000000000000004E-3</v>
      </c>
      <c r="E3202" s="3" t="str">
        <f>VLOOKUP(NoviaFunds[[#This Row],[ISIN]],'Novia Web Query'!$A:$E,5,FALSE)</f>
        <v>31/12/2020</v>
      </c>
      <c r="F3202" t="e">
        <f>VLOOKUP(NoviaFunds[[#This Row],[Sector]],Sectors[],2,FALSE)</f>
        <v>#N/A</v>
      </c>
    </row>
    <row r="3203" spans="1:6" x14ac:dyDescent="0.2">
      <c r="A3203" t="str">
        <f>'Novia Web Query'!A3199</f>
        <v>GB00B01VDQ86</v>
      </c>
      <c r="B3203" t="str">
        <f>VLOOKUP(NoviaFunds[[#This Row],[ISIN]],'Novia Web Query'!$A:$E,2,FALSE)</f>
        <v>Ninety One Global Dynamic A Acc GBP in GB</v>
      </c>
      <c r="C3203" t="str">
        <f>VLOOKUP(NoviaFunds[[#This Row],[ISIN]],'Novia Web Query'!$A:$E,3,FALSE)</f>
        <v>UT Global</v>
      </c>
      <c r="D3203" s="139">
        <f>VLOOKUP(NoviaFunds[[#This Row],[ISIN]],'Novia Web Query'!$A:$E,4,FALSE)/100</f>
        <v>1.6E-2</v>
      </c>
      <c r="E3203" s="3" t="str">
        <f>VLOOKUP(NoviaFunds[[#This Row],[ISIN]],'Novia Web Query'!$A:$E,5,FALSE)</f>
        <v>31/12/2020</v>
      </c>
      <c r="F3203" t="str">
        <f>VLOOKUP(NoviaFunds[[#This Row],[Sector]],Sectors[],2,FALSE)</f>
        <v>Other Equities</v>
      </c>
    </row>
    <row r="3204" spans="1:6" x14ac:dyDescent="0.2">
      <c r="A3204" t="str">
        <f>'Novia Web Query'!A3200</f>
        <v>GB00B2Q1JF81</v>
      </c>
      <c r="B3204" t="str">
        <f>VLOOKUP(NoviaFunds[[#This Row],[ISIN]],'Novia Web Query'!$A:$E,2,FALSE)</f>
        <v>Ninety One Global Dynamic I Acc GBP in GB</v>
      </c>
      <c r="C3204" t="str">
        <f>VLOOKUP(NoviaFunds[[#This Row],[ISIN]],'Novia Web Query'!$A:$E,3,FALSE)</f>
        <v>UT Global</v>
      </c>
      <c r="D3204" s="139">
        <f>VLOOKUP(NoviaFunds[[#This Row],[ISIN]],'Novia Web Query'!$A:$E,4,FALSE)/100</f>
        <v>8.6E-3</v>
      </c>
      <c r="E3204" s="3" t="str">
        <f>VLOOKUP(NoviaFunds[[#This Row],[ISIN]],'Novia Web Query'!$A:$E,5,FALSE)</f>
        <v>31/12/2020</v>
      </c>
      <c r="F3204" t="str">
        <f>VLOOKUP(NoviaFunds[[#This Row],[Sector]],Sectors[],2,FALSE)</f>
        <v>Other Equities</v>
      </c>
    </row>
    <row r="3205" spans="1:6" x14ac:dyDescent="0.2">
      <c r="A3205" t="str">
        <f>'Novia Web Query'!A3201</f>
        <v>GB00BKT89K74</v>
      </c>
      <c r="B3205" t="str">
        <f>VLOOKUP(NoviaFunds[[#This Row],[ISIN]],'Novia Web Query'!$A:$E,2,FALSE)</f>
        <v>Ninety One Global Environment I in GB</v>
      </c>
      <c r="C3205" t="str">
        <f>VLOOKUP(NoviaFunds[[#This Row],[ISIN]],'Novia Web Query'!$A:$E,3,FALSE)</f>
        <v>UT Global</v>
      </c>
      <c r="D3205" s="139">
        <f>VLOOKUP(NoviaFunds[[#This Row],[ISIN]],'Novia Web Query'!$A:$E,4,FALSE)/100</f>
        <v>8.8000000000000005E-3</v>
      </c>
      <c r="E3205" s="3" t="str">
        <f>VLOOKUP(NoviaFunds[[#This Row],[ISIN]],'Novia Web Query'!$A:$E,5,FALSE)</f>
        <v>31/12/2020</v>
      </c>
      <c r="F3205" t="str">
        <f>VLOOKUP(NoviaFunds[[#This Row],[Sector]],Sectors[],2,FALSE)</f>
        <v>Other Equities</v>
      </c>
    </row>
    <row r="3206" spans="1:6" x14ac:dyDescent="0.2">
      <c r="A3206" t="str">
        <f>'Novia Web Query'!A3202</f>
        <v>GB00BKT89L81</v>
      </c>
      <c r="B3206" t="str">
        <f>VLOOKUP(NoviaFunds[[#This Row],[ISIN]],'Novia Web Query'!$A:$E,2,FALSE)</f>
        <v>Ninety One Global Environment K in GB</v>
      </c>
      <c r="C3206" t="str">
        <f>VLOOKUP(NoviaFunds[[#This Row],[ISIN]],'Novia Web Query'!$A:$E,3,FALSE)</f>
        <v>UT Global</v>
      </c>
      <c r="D3206" s="139">
        <f>VLOOKUP(NoviaFunds[[#This Row],[ISIN]],'Novia Web Query'!$A:$E,4,FALSE)/100</f>
        <v>6.8000000000000005E-3</v>
      </c>
      <c r="E3206" s="3" t="str">
        <f>VLOOKUP(NoviaFunds[[#This Row],[ISIN]],'Novia Web Query'!$A:$E,5,FALSE)</f>
        <v>31/12/2020</v>
      </c>
      <c r="F3206" t="str">
        <f>VLOOKUP(NoviaFunds[[#This Row],[Sector]],Sectors[],2,FALSE)</f>
        <v>Other Equities</v>
      </c>
    </row>
    <row r="3207" spans="1:6" x14ac:dyDescent="0.2">
      <c r="A3207" t="str">
        <f>'Novia Web Query'!A3203</f>
        <v>GB00BLM1PL39</v>
      </c>
      <c r="B3207" t="str">
        <f>VLOOKUP(NoviaFunds[[#This Row],[ISIN]],'Novia Web Query'!$A:$E,2,FALSE)</f>
        <v>Ninety One Global Environment K Dis GBP TR in GB**</v>
      </c>
      <c r="C3207" t="str">
        <f>VLOOKUP(NoviaFunds[[#This Row],[ISIN]],'Novia Web Query'!$A:$E,3,FALSE)</f>
        <v>UT Global</v>
      </c>
      <c r="D3207" s="139">
        <f>VLOOKUP(NoviaFunds[[#This Row],[ISIN]],'Novia Web Query'!$A:$E,4,FALSE)/100</f>
        <v>6.8000000000000005E-3</v>
      </c>
      <c r="E3207" s="3" t="str">
        <f>VLOOKUP(NoviaFunds[[#This Row],[ISIN]],'Novia Web Query'!$A:$E,5,FALSE)</f>
        <v>31/12/2020</v>
      </c>
      <c r="F3207" t="str">
        <f>VLOOKUP(NoviaFunds[[#This Row],[Sector]],Sectors[],2,FALSE)</f>
        <v>Other Equities</v>
      </c>
    </row>
    <row r="3208" spans="1:6" x14ac:dyDescent="0.2">
      <c r="A3208" t="str">
        <f>'Novia Web Query'!A3204</f>
        <v>GB00B01VDL32</v>
      </c>
      <c r="B3208" t="str">
        <f>VLOOKUP(NoviaFunds[[#This Row],[ISIN]],'Novia Web Query'!$A:$E,2,FALSE)</f>
        <v>Ninety One Global Equity I Acc GBP in GB</v>
      </c>
      <c r="C3208" t="str">
        <f>VLOOKUP(NoviaFunds[[#This Row],[ISIN]],'Novia Web Query'!$A:$E,3,FALSE)</f>
        <v>UT Global</v>
      </c>
      <c r="D3208" s="139">
        <f>VLOOKUP(NoviaFunds[[#This Row],[ISIN]],'Novia Web Query'!$A:$E,4,FALSE)/100</f>
        <v>8.8000000000000005E-3</v>
      </c>
      <c r="E3208" s="3" t="str">
        <f>VLOOKUP(NoviaFunds[[#This Row],[ISIN]],'Novia Web Query'!$A:$E,5,FALSE)</f>
        <v>31/12/2020</v>
      </c>
      <c r="F3208" t="str">
        <f>VLOOKUP(NoviaFunds[[#This Row],[Sector]],Sectors[],2,FALSE)</f>
        <v>Other Equities</v>
      </c>
    </row>
    <row r="3209" spans="1:6" x14ac:dyDescent="0.2">
      <c r="A3209" t="str">
        <f>'Novia Web Query'!A3205</f>
        <v>GB00B7VHRM91</v>
      </c>
      <c r="B3209" t="str">
        <f>VLOOKUP(NoviaFunds[[#This Row],[ISIN]],'Novia Web Query'!$A:$E,2,FALSE)</f>
        <v>Ninety One Global Franchise I Acc in GB</v>
      </c>
      <c r="C3209" t="str">
        <f>VLOOKUP(NoviaFunds[[#This Row],[ISIN]],'Novia Web Query'!$A:$E,3,FALSE)</f>
        <v>UT Global</v>
      </c>
      <c r="D3209" s="139">
        <f>VLOOKUP(NoviaFunds[[#This Row],[ISIN]],'Novia Web Query'!$A:$E,4,FALSE)/100</f>
        <v>8.3000000000000001E-3</v>
      </c>
      <c r="E3209" s="3" t="str">
        <f>VLOOKUP(NoviaFunds[[#This Row],[ISIN]],'Novia Web Query'!$A:$E,5,FALSE)</f>
        <v>31/12/2020</v>
      </c>
      <c r="F3209" t="str">
        <f>VLOOKUP(NoviaFunds[[#This Row],[Sector]],Sectors[],2,FALSE)</f>
        <v>Other Equities</v>
      </c>
    </row>
    <row r="3210" spans="1:6" x14ac:dyDescent="0.2">
      <c r="A3210" t="str">
        <f>'Novia Web Query'!A3206</f>
        <v>GB00BGPBS498</v>
      </c>
      <c r="B3210" t="str">
        <f>VLOOKUP(NoviaFunds[[#This Row],[ISIN]],'Novia Web Query'!$A:$E,2,FALSE)</f>
        <v>Ninety One Global Franchise K Acc GBP in GB</v>
      </c>
      <c r="C3210" t="str">
        <f>VLOOKUP(NoviaFunds[[#This Row],[ISIN]],'Novia Web Query'!$A:$E,3,FALSE)</f>
        <v>UT Global</v>
      </c>
      <c r="D3210" s="139">
        <f>VLOOKUP(NoviaFunds[[#This Row],[ISIN]],'Novia Web Query'!$A:$E,4,FALSE)/100</f>
        <v>5.7999999999999996E-3</v>
      </c>
      <c r="E3210" s="3" t="str">
        <f>VLOOKUP(NoviaFunds[[#This Row],[ISIN]],'Novia Web Query'!$A:$E,5,FALSE)</f>
        <v>31/12/2020</v>
      </c>
      <c r="F3210" t="str">
        <f>VLOOKUP(NoviaFunds[[#This Row],[Sector]],Sectors[],2,FALSE)</f>
        <v>Other Equities</v>
      </c>
    </row>
    <row r="3211" spans="1:6" x14ac:dyDescent="0.2">
      <c r="A3211" t="str">
        <f>'Novia Web Query'!A3207</f>
        <v>GB00B1XFGM25</v>
      </c>
      <c r="B3211" t="str">
        <f>VLOOKUP(NoviaFunds[[#This Row],[ISIN]],'Novia Web Query'!$A:$E,2,FALSE)</f>
        <v>Ninety One Global Gold I Acc GBP in GB</v>
      </c>
      <c r="C3211" t="str">
        <f>VLOOKUP(NoviaFunds[[#This Row],[ISIN]],'Novia Web Query'!$A:$E,3,FALSE)</f>
        <v>UT Specialist</v>
      </c>
      <c r="D3211" s="139">
        <f>VLOOKUP(NoviaFunds[[#This Row],[ISIN]],'Novia Web Query'!$A:$E,4,FALSE)/100</f>
        <v>8.5000000000000006E-3</v>
      </c>
      <c r="E3211" s="3" t="str">
        <f>VLOOKUP(NoviaFunds[[#This Row],[ISIN]],'Novia Web Query'!$A:$E,5,FALSE)</f>
        <v>31/12/2020</v>
      </c>
      <c r="F3211" t="str">
        <f>VLOOKUP(NoviaFunds[[#This Row],[Sector]],Sectors[],2,FALSE)</f>
        <v>Specialist</v>
      </c>
    </row>
    <row r="3212" spans="1:6" x14ac:dyDescent="0.2">
      <c r="A3212" t="str">
        <f>'Novia Web Query'!A3208</f>
        <v>GB00B2Q1J816</v>
      </c>
      <c r="B3212" t="str">
        <f>VLOOKUP(NoviaFunds[[#This Row],[ISIN]],'Novia Web Query'!$A:$E,2,FALSE)</f>
        <v>Ninety One Global Income Opportunities I Acc GBP in GB</v>
      </c>
      <c r="C3212" t="str">
        <f>VLOOKUP(NoviaFunds[[#This Row],[ISIN]],'Novia Web Query'!$A:$E,3,FALSE)</f>
        <v>UT Mixed Investment 20-60% Shares</v>
      </c>
      <c r="D3212" s="139">
        <f>VLOOKUP(NoviaFunds[[#This Row],[ISIN]],'Novia Web Query'!$A:$E,4,FALSE)/100</f>
        <v>9.1999999999999998E-3</v>
      </c>
      <c r="E3212" s="3" t="str">
        <f>VLOOKUP(NoviaFunds[[#This Row],[ISIN]],'Novia Web Query'!$A:$E,5,FALSE)</f>
        <v>31/12/2020</v>
      </c>
      <c r="F3212" t="str">
        <f>VLOOKUP(NoviaFunds[[#This Row],[Sector]],Sectors[],2,FALSE)</f>
        <v>Mixed 20%-60%</v>
      </c>
    </row>
    <row r="3213" spans="1:6" x14ac:dyDescent="0.2">
      <c r="A3213" t="str">
        <f>'Novia Web Query'!A3209</f>
        <v>GB00B591W916</v>
      </c>
      <c r="B3213" t="str">
        <f>VLOOKUP(NoviaFunds[[#This Row],[ISIN]],'Novia Web Query'!$A:$E,2,FALSE)</f>
        <v>Ninety One Global Income Opportunities I Inc GBP TR in GB</v>
      </c>
      <c r="C3213" t="str">
        <f>VLOOKUP(NoviaFunds[[#This Row],[ISIN]],'Novia Web Query'!$A:$E,3,FALSE)</f>
        <v>UT Mixed Investment 20-60% Shares</v>
      </c>
      <c r="D3213" s="139">
        <f>VLOOKUP(NoviaFunds[[#This Row],[ISIN]],'Novia Web Query'!$A:$E,4,FALSE)/100</f>
        <v>9.1999999999999998E-3</v>
      </c>
      <c r="E3213" s="3" t="str">
        <f>VLOOKUP(NoviaFunds[[#This Row],[ISIN]],'Novia Web Query'!$A:$E,5,FALSE)</f>
        <v>31/12/2020</v>
      </c>
      <c r="F3213" t="str">
        <f>VLOOKUP(NoviaFunds[[#This Row],[Sector]],Sectors[],2,FALSE)</f>
        <v>Mixed 20%-60%</v>
      </c>
    </row>
    <row r="3214" spans="1:6" x14ac:dyDescent="0.2">
      <c r="A3214" t="str">
        <f>'Novia Web Query'!A3210</f>
        <v>GB00BQLDXC29</v>
      </c>
      <c r="B3214" t="str">
        <f>VLOOKUP(NoviaFunds[[#This Row],[ISIN]],'Novia Web Query'!$A:$E,2,FALSE)</f>
        <v>Ninety One Global Income Opportunities J 2 Inc GBP TR in GB**</v>
      </c>
      <c r="C3214" t="str">
        <f>VLOOKUP(NoviaFunds[[#This Row],[ISIN]],'Novia Web Query'!$A:$E,3,FALSE)</f>
        <v>UT Mixed Investment 20-60% Shares</v>
      </c>
      <c r="D3214" s="139">
        <f>VLOOKUP(NoviaFunds[[#This Row],[ISIN]],'Novia Web Query'!$A:$E,4,FALSE)/100</f>
        <v>8.199999999999999E-3</v>
      </c>
      <c r="E3214" s="3" t="str">
        <f>VLOOKUP(NoviaFunds[[#This Row],[ISIN]],'Novia Web Query'!$A:$E,5,FALSE)</f>
        <v>31/12/2020</v>
      </c>
      <c r="F3214" t="str">
        <f>VLOOKUP(NoviaFunds[[#This Row],[Sector]],Sectors[],2,FALSE)</f>
        <v>Mixed 20%-60%</v>
      </c>
    </row>
    <row r="3215" spans="1:6" x14ac:dyDescent="0.2">
      <c r="A3215" t="str">
        <f>'Novia Web Query'!A3211</f>
        <v>GB00BD5J0R90</v>
      </c>
      <c r="B3215" t="str">
        <f>VLOOKUP(NoviaFunds[[#This Row],[ISIN]],'Novia Web Query'!$A:$E,2,FALSE)</f>
        <v>Ninety One Global Income Opportunities J Acc GBP in GB**</v>
      </c>
      <c r="C3215" t="str">
        <f>VLOOKUP(NoviaFunds[[#This Row],[ISIN]],'Novia Web Query'!$A:$E,3,FALSE)</f>
        <v>UT Mixed Investment 20-60% Shares</v>
      </c>
      <c r="D3215" s="139">
        <f>VLOOKUP(NoviaFunds[[#This Row],[ISIN]],'Novia Web Query'!$A:$E,4,FALSE)/100</f>
        <v>8.199999999999999E-3</v>
      </c>
      <c r="E3215" s="3" t="str">
        <f>VLOOKUP(NoviaFunds[[#This Row],[ISIN]],'Novia Web Query'!$A:$E,5,FALSE)</f>
        <v>31/12/2020</v>
      </c>
      <c r="F3215" t="str">
        <f>VLOOKUP(NoviaFunds[[#This Row],[Sector]],Sectors[],2,FALSE)</f>
        <v>Mixed 20%-60%</v>
      </c>
    </row>
    <row r="3216" spans="1:6" x14ac:dyDescent="0.2">
      <c r="A3216" t="str">
        <f>'Novia Web Query'!A3212</f>
        <v>GB00B2Q1JB44</v>
      </c>
      <c r="B3216" t="str">
        <f>VLOOKUP(NoviaFunds[[#This Row],[ISIN]],'Novia Web Query'!$A:$E,2,FALSE)</f>
        <v>Ninety One Global Macro Allocated I Acc GBP in GB</v>
      </c>
      <c r="C3216" t="str">
        <f>VLOOKUP(NoviaFunds[[#This Row],[ISIN]],'Novia Web Query'!$A:$E,3,FALSE)</f>
        <v>UT Flexible Investment</v>
      </c>
      <c r="D3216" s="139">
        <f>VLOOKUP(NoviaFunds[[#This Row],[ISIN]],'Novia Web Query'!$A:$E,4,FALSE)/100</f>
        <v>8.8000000000000005E-3</v>
      </c>
      <c r="E3216" s="3" t="str">
        <f>VLOOKUP(NoviaFunds[[#This Row],[ISIN]],'Novia Web Query'!$A:$E,5,FALSE)</f>
        <v>31/12/2020</v>
      </c>
      <c r="F3216" t="str">
        <f>VLOOKUP(NoviaFunds[[#This Row],[Sector]],Sectors[],2,FALSE)</f>
        <v>Flexible</v>
      </c>
    </row>
    <row r="3217" spans="1:6" x14ac:dyDescent="0.2">
      <c r="A3217" t="str">
        <f>'Novia Web Query'!A3213</f>
        <v>GB00B1LB1T45</v>
      </c>
      <c r="B3217" t="str">
        <f>VLOOKUP(NoviaFunds[[#This Row],[ISIN]],'Novia Web Query'!$A:$E,2,FALSE)</f>
        <v>Ninety One Global Multi-Asset Sustainable Growth A Inc GBP TR in GB</v>
      </c>
      <c r="C3217" t="str">
        <f>VLOOKUP(NoviaFunds[[#This Row],[ISIN]],'Novia Web Query'!$A:$E,3,FALSE)</f>
        <v>UT Mixed Investment 40-85% Shares</v>
      </c>
      <c r="D3217" s="139">
        <f>VLOOKUP(NoviaFunds[[#This Row],[ISIN]],'Novia Web Query'!$A:$E,4,FALSE)/100</f>
        <v>1.6500000000000001E-2</v>
      </c>
      <c r="E3217" s="3" t="str">
        <f>VLOOKUP(NoviaFunds[[#This Row],[ISIN]],'Novia Web Query'!$A:$E,5,FALSE)</f>
        <v>31/12/2020</v>
      </c>
      <c r="F3217" t="str">
        <f>VLOOKUP(NoviaFunds[[#This Row],[Sector]],Sectors[],2,FALSE)</f>
        <v>Mixed 40%-85%</v>
      </c>
    </row>
    <row r="3218" spans="1:6" x14ac:dyDescent="0.2">
      <c r="A3218" t="str">
        <f>'Novia Web Query'!A3214</f>
        <v>GB00B6ZX2Q57</v>
      </c>
      <c r="B3218" t="str">
        <f>VLOOKUP(NoviaFunds[[#This Row],[ISIN]],'Novia Web Query'!$A:$E,2,FALSE)</f>
        <v>Ninety One Global Multi-Asset Sustainable Growth I Acc GBP TR in GB</v>
      </c>
      <c r="C3218" t="str">
        <f>VLOOKUP(NoviaFunds[[#This Row],[ISIN]],'Novia Web Query'!$A:$E,3,FALSE)</f>
        <v>UT Mixed Investment 40-85% Shares</v>
      </c>
      <c r="D3218" s="139">
        <f>VLOOKUP(NoviaFunds[[#This Row],[ISIN]],'Novia Web Query'!$A:$E,4,FALSE)/100</f>
        <v>9.0000000000000011E-3</v>
      </c>
      <c r="E3218" s="3" t="str">
        <f>VLOOKUP(NoviaFunds[[#This Row],[ISIN]],'Novia Web Query'!$A:$E,5,FALSE)</f>
        <v>31/12/2020</v>
      </c>
      <c r="F3218" t="str">
        <f>VLOOKUP(NoviaFunds[[#This Row],[Sector]],Sectors[],2,FALSE)</f>
        <v>Mixed 40%-85%</v>
      </c>
    </row>
    <row r="3219" spans="1:6" x14ac:dyDescent="0.2">
      <c r="A3219" t="str">
        <f>'Novia Web Query'!A3215</f>
        <v>GB00B7M0MB14</v>
      </c>
      <c r="B3219" t="str">
        <f>VLOOKUP(NoviaFunds[[#This Row],[ISIN]],'Novia Web Query'!$A:$E,2,FALSE)</f>
        <v>Ninety One Global Multi-Asset Sustainable Growth I Inc GBP TR in GB</v>
      </c>
      <c r="C3219" t="str">
        <f>VLOOKUP(NoviaFunds[[#This Row],[ISIN]],'Novia Web Query'!$A:$E,3,FALSE)</f>
        <v>UT Mixed Investment 40-85% Shares</v>
      </c>
      <c r="D3219" s="139">
        <f>VLOOKUP(NoviaFunds[[#This Row],[ISIN]],'Novia Web Query'!$A:$E,4,FALSE)/100</f>
        <v>9.0000000000000011E-3</v>
      </c>
      <c r="E3219" s="3" t="str">
        <f>VLOOKUP(NoviaFunds[[#This Row],[ISIN]],'Novia Web Query'!$A:$E,5,FALSE)</f>
        <v>31/12/2020</v>
      </c>
      <c r="F3219" t="str">
        <f>VLOOKUP(NoviaFunds[[#This Row],[Sector]],Sectors[],2,FALSE)</f>
        <v>Mixed 40%-85%</v>
      </c>
    </row>
    <row r="3220" spans="1:6" x14ac:dyDescent="0.2">
      <c r="A3220" t="str">
        <f>'Novia Web Query'!A3216</f>
        <v>GB00BYYXX703</v>
      </c>
      <c r="B3220" t="str">
        <f>VLOOKUP(NoviaFunds[[#This Row],[ISIN]],'Novia Web Query'!$A:$E,2,FALSE)</f>
        <v>Ninety One Global Quality Equity Income I 2 Inc GBP TR in GB</v>
      </c>
      <c r="C3220" t="str">
        <f>VLOOKUP(NoviaFunds[[#This Row],[ISIN]],'Novia Web Query'!$A:$E,3,FALSE)</f>
        <v>UT Global</v>
      </c>
      <c r="D3220" s="139">
        <f>VLOOKUP(NoviaFunds[[#This Row],[ISIN]],'Novia Web Query'!$A:$E,4,FALSE)/100</f>
        <v>8.6999999999999994E-3</v>
      </c>
      <c r="E3220" s="3" t="str">
        <f>VLOOKUP(NoviaFunds[[#This Row],[ISIN]],'Novia Web Query'!$A:$E,5,FALSE)</f>
        <v>31/12/2020</v>
      </c>
      <c r="F3220" t="str">
        <f>VLOOKUP(NoviaFunds[[#This Row],[Sector]],Sectors[],2,FALSE)</f>
        <v>Other Equities</v>
      </c>
    </row>
    <row r="3221" spans="1:6" x14ac:dyDescent="0.2">
      <c r="A3221" t="str">
        <f>'Novia Web Query'!A3217</f>
        <v>GB00BD0CV928</v>
      </c>
      <c r="B3221" t="str">
        <f>VLOOKUP(NoviaFunds[[#This Row],[ISIN]],'Novia Web Query'!$A:$E,2,FALSE)</f>
        <v>Ninety One Global Quality Equity Income K 2 Inc GBP TR in GB</v>
      </c>
      <c r="C3221" t="str">
        <f>VLOOKUP(NoviaFunds[[#This Row],[ISIN]],'Novia Web Query'!$A:$E,3,FALSE)</f>
        <v>UT Global</v>
      </c>
      <c r="D3221" s="139">
        <f>VLOOKUP(NoviaFunds[[#This Row],[ISIN]],'Novia Web Query'!$A:$E,4,FALSE)/100</f>
        <v>5.6000000000000008E-3</v>
      </c>
      <c r="E3221" s="3" t="str">
        <f>VLOOKUP(NoviaFunds[[#This Row],[ISIN]],'Novia Web Query'!$A:$E,5,FALSE)</f>
        <v>31/12/2020</v>
      </c>
      <c r="F3221" t="str">
        <f>VLOOKUP(NoviaFunds[[#This Row],[Sector]],Sectors[],2,FALSE)</f>
        <v>Other Equities</v>
      </c>
    </row>
    <row r="3222" spans="1:6" x14ac:dyDescent="0.2">
      <c r="A3222" t="str">
        <f>'Novia Web Query'!A3218</f>
        <v>GB00BD08F541</v>
      </c>
      <c r="B3222" t="str">
        <f>VLOOKUP(NoviaFunds[[#This Row],[ISIN]],'Novia Web Query'!$A:$E,2,FALSE)</f>
        <v>Ninety One Global Quality Equity Income L 2 Inc GBP TR in GB</v>
      </c>
      <c r="C3222" t="str">
        <f>VLOOKUP(NoviaFunds[[#This Row],[ISIN]],'Novia Web Query'!$A:$E,3,FALSE)</f>
        <v>UT Global</v>
      </c>
      <c r="D3222" s="139">
        <f>VLOOKUP(NoviaFunds[[#This Row],[ISIN]],'Novia Web Query'!$A:$E,4,FALSE)/100</f>
        <v>5.6000000000000008E-3</v>
      </c>
      <c r="E3222" s="3" t="str">
        <f>VLOOKUP(NoviaFunds[[#This Row],[ISIN]],'Novia Web Query'!$A:$E,5,FALSE)</f>
        <v>31/12/2020</v>
      </c>
      <c r="F3222" t="str">
        <f>VLOOKUP(NoviaFunds[[#This Row],[Sector]],Sectors[],2,FALSE)</f>
        <v>Other Equities</v>
      </c>
    </row>
    <row r="3223" spans="1:6" x14ac:dyDescent="0.2">
      <c r="A3223" t="str">
        <f>'Novia Web Query'!A3219</f>
        <v>GB00B29KP103</v>
      </c>
      <c r="B3223" t="str">
        <f>VLOOKUP(NoviaFunds[[#This Row],[ISIN]],'Novia Web Query'!$A:$E,2,FALSE)</f>
        <v>Ninety One Global Special Situations I Acc GBP in GB</v>
      </c>
      <c r="C3223" t="str">
        <f>VLOOKUP(NoviaFunds[[#This Row],[ISIN]],'Novia Web Query'!$A:$E,3,FALSE)</f>
        <v>UT Global</v>
      </c>
      <c r="D3223" s="139">
        <f>VLOOKUP(NoviaFunds[[#This Row],[ISIN]],'Novia Web Query'!$A:$E,4,FALSE)/100</f>
        <v>8.6999999999999994E-3</v>
      </c>
      <c r="E3223" s="3" t="str">
        <f>VLOOKUP(NoviaFunds[[#This Row],[ISIN]],'Novia Web Query'!$A:$E,5,FALSE)</f>
        <v>31/12/2020</v>
      </c>
      <c r="F3223" t="str">
        <f>VLOOKUP(NoviaFunds[[#This Row],[Sector]],Sectors[],2,FALSE)</f>
        <v>Other Equities</v>
      </c>
    </row>
    <row r="3224" spans="1:6" x14ac:dyDescent="0.2">
      <c r="A3224" t="str">
        <f>'Novia Web Query'!A3220</f>
        <v>GB00B5M3GK38</v>
      </c>
      <c r="B3224" t="str">
        <f>VLOOKUP(NoviaFunds[[#This Row],[ISIN]],'Novia Web Query'!$A:$E,2,FALSE)</f>
        <v>Ninety One Global Special Situations I Inc GBP TR in GB</v>
      </c>
      <c r="C3224" t="str">
        <f>VLOOKUP(NoviaFunds[[#This Row],[ISIN]],'Novia Web Query'!$A:$E,3,FALSE)</f>
        <v>UT Global</v>
      </c>
      <c r="D3224" s="139">
        <f>VLOOKUP(NoviaFunds[[#This Row],[ISIN]],'Novia Web Query'!$A:$E,4,FALSE)/100</f>
        <v>8.6999999999999994E-3</v>
      </c>
      <c r="E3224" s="3" t="str">
        <f>VLOOKUP(NoviaFunds[[#This Row],[ISIN]],'Novia Web Query'!$A:$E,5,FALSE)</f>
        <v>31/12/2020</v>
      </c>
      <c r="F3224" t="str">
        <f>VLOOKUP(NoviaFunds[[#This Row],[Sector]],Sectors[],2,FALSE)</f>
        <v>Other Equities</v>
      </c>
    </row>
    <row r="3225" spans="1:6" x14ac:dyDescent="0.2">
      <c r="A3225" t="str">
        <f>'Novia Web Query'!A3221</f>
        <v>GB00B1XFJ672</v>
      </c>
      <c r="B3225" t="str">
        <f>VLOOKUP(NoviaFunds[[#This Row],[ISIN]],'Novia Web Query'!$A:$E,2,FALSE)</f>
        <v>Ninety One Global Strategic Equity I Acc GBP in GB</v>
      </c>
      <c r="C3225" t="str">
        <f>VLOOKUP(NoviaFunds[[#This Row],[ISIN]],'Novia Web Query'!$A:$E,3,FALSE)</f>
        <v>UT Global</v>
      </c>
      <c r="D3225" s="139">
        <f>VLOOKUP(NoviaFunds[[#This Row],[ISIN]],'Novia Web Query'!$A:$E,4,FALSE)/100</f>
        <v>8.5000000000000006E-3</v>
      </c>
      <c r="E3225" s="3" t="str">
        <f>VLOOKUP(NoviaFunds[[#This Row],[ISIN]],'Novia Web Query'!$A:$E,5,FALSE)</f>
        <v>31/12/2020</v>
      </c>
      <c r="F3225" t="str">
        <f>VLOOKUP(NoviaFunds[[#This Row],[Sector]],Sectors[],2,FALSE)</f>
        <v>Other Equities</v>
      </c>
    </row>
    <row r="3226" spans="1:6" x14ac:dyDescent="0.2">
      <c r="A3226" t="str">
        <f>'Novia Web Query'!A3222</f>
        <v>GB00BDGV6C12</v>
      </c>
      <c r="B3226" t="str">
        <f>VLOOKUP(NoviaFunds[[#This Row],[ISIN]],'Novia Web Query'!$A:$E,2,FALSE)</f>
        <v>Ninety One Global Strategic Equity I Hedged (Portfolio AC) Acc GBP in GB**</v>
      </c>
      <c r="C3226" t="str">
        <f>VLOOKUP(NoviaFunds[[#This Row],[ISIN]],'Novia Web Query'!$A:$E,3,FALSE)</f>
        <v>UT Global</v>
      </c>
      <c r="D3226" s="139">
        <f>VLOOKUP(NoviaFunds[[#This Row],[ISIN]],'Novia Web Query'!$A:$E,4,FALSE)/100</f>
        <v>8.8999999999999999E-3</v>
      </c>
      <c r="E3226" s="3" t="str">
        <f>VLOOKUP(NoviaFunds[[#This Row],[ISIN]],'Novia Web Query'!$A:$E,5,FALSE)</f>
        <v>31/12/2020</v>
      </c>
      <c r="F3226" t="str">
        <f>VLOOKUP(NoviaFunds[[#This Row],[Sector]],Sectors[],2,FALSE)</f>
        <v>Other Equities</v>
      </c>
    </row>
    <row r="3227" spans="1:6" x14ac:dyDescent="0.2">
      <c r="A3227" t="str">
        <f>'Novia Web Query'!A3223</f>
        <v>GB00BFM7CQ35</v>
      </c>
      <c r="B3227" t="str">
        <f>VLOOKUP(NoviaFunds[[#This Row],[ISIN]],'Novia Web Query'!$A:$E,2,FALSE)</f>
        <v>Ninety One Global Total Return Credit K Acc GBP in GB</v>
      </c>
      <c r="C3227" t="str">
        <f>VLOOKUP(NoviaFunds[[#This Row],[ISIN]],'Novia Web Query'!$A:$E,3,FALSE)</f>
        <v>UT Sterling Strategic Bond</v>
      </c>
      <c r="D3227" s="139">
        <f>VLOOKUP(NoviaFunds[[#This Row],[ISIN]],'Novia Web Query'!$A:$E,4,FALSE)/100</f>
        <v>5.6000000000000008E-3</v>
      </c>
      <c r="E3227" s="3" t="str">
        <f>VLOOKUP(NoviaFunds[[#This Row],[ISIN]],'Novia Web Query'!$A:$E,5,FALSE)</f>
        <v>31/12/2020</v>
      </c>
      <c r="F3227" t="str">
        <f>VLOOKUP(NoviaFunds[[#This Row],[Sector]],Sectors[],2,FALSE)</f>
        <v>Other Bonds</v>
      </c>
    </row>
    <row r="3228" spans="1:6" x14ac:dyDescent="0.2">
      <c r="A3228" t="str">
        <f>'Novia Web Query'!A3224</f>
        <v>GB00B8FLYL21</v>
      </c>
      <c r="B3228" t="str">
        <f>VLOOKUP(NoviaFunds[[#This Row],[ISIN]],'Novia Web Query'!$A:$E,2,FALSE)</f>
        <v>Ninety One Multi Asset Protector 2 I Acc GBP in GB</v>
      </c>
      <c r="C3228" t="str">
        <f>VLOOKUP(NoviaFunds[[#This Row],[ISIN]],'Novia Web Query'!$A:$E,3,FALSE)</f>
        <v>UT Specialist</v>
      </c>
      <c r="D3228" s="139">
        <f>VLOOKUP(NoviaFunds[[#This Row],[ISIN]],'Novia Web Query'!$A:$E,4,FALSE)/100</f>
        <v>9.300000000000001E-3</v>
      </c>
      <c r="E3228" s="3" t="str">
        <f>VLOOKUP(NoviaFunds[[#This Row],[ISIN]],'Novia Web Query'!$A:$E,5,FALSE)</f>
        <v>31/12/2020</v>
      </c>
      <c r="F3228" t="str">
        <f>VLOOKUP(NoviaFunds[[#This Row],[Sector]],Sectors[],2,FALSE)</f>
        <v>Specialist</v>
      </c>
    </row>
    <row r="3229" spans="1:6" x14ac:dyDescent="0.2">
      <c r="A3229" t="str">
        <f>'Novia Web Query'!A3225</f>
        <v>GB00B3CHD226</v>
      </c>
      <c r="B3229" t="str">
        <f>VLOOKUP(NoviaFunds[[#This Row],[ISIN]],'Novia Web Query'!$A:$E,2,FALSE)</f>
        <v>Ninety One Multi Asset Protector A Acc GBP in GB</v>
      </c>
      <c r="C3229" t="str">
        <f>VLOOKUP(NoviaFunds[[#This Row],[ISIN]],'Novia Web Query'!$A:$E,3,FALSE)</f>
        <v>UT Specialist</v>
      </c>
      <c r="D3229" s="139">
        <f>VLOOKUP(NoviaFunds[[#This Row],[ISIN]],'Novia Web Query'!$A:$E,4,FALSE)/100</f>
        <v>1.7299999999999999E-2</v>
      </c>
      <c r="E3229" s="3" t="str">
        <f>VLOOKUP(NoviaFunds[[#This Row],[ISIN]],'Novia Web Query'!$A:$E,5,FALSE)</f>
        <v>31/12/2020</v>
      </c>
      <c r="F3229" t="str">
        <f>VLOOKUP(NoviaFunds[[#This Row],[Sector]],Sectors[],2,FALSE)</f>
        <v>Specialist</v>
      </c>
    </row>
    <row r="3230" spans="1:6" x14ac:dyDescent="0.2">
      <c r="A3230" t="str">
        <f>'Novia Web Query'!A3226</f>
        <v>GB00B7LM4J06</v>
      </c>
      <c r="B3230" t="str">
        <f>VLOOKUP(NoviaFunds[[#This Row],[ISIN]],'Novia Web Query'!$A:$E,2,FALSE)</f>
        <v>Ninety One UK Alpha I Acc GBP in GB</v>
      </c>
      <c r="C3230" t="str">
        <f>VLOOKUP(NoviaFunds[[#This Row],[ISIN]],'Novia Web Query'!$A:$E,3,FALSE)</f>
        <v>UT UK All Companies</v>
      </c>
      <c r="D3230" s="139">
        <f>VLOOKUP(NoviaFunds[[#This Row],[ISIN]],'Novia Web Query'!$A:$E,4,FALSE)/100</f>
        <v>8.3000000000000001E-3</v>
      </c>
      <c r="E3230" s="3" t="str">
        <f>VLOOKUP(NoviaFunds[[#This Row],[ISIN]],'Novia Web Query'!$A:$E,5,FALSE)</f>
        <v>31/12/2020</v>
      </c>
      <c r="F3230" t="str">
        <f>VLOOKUP(NoviaFunds[[#This Row],[Sector]],Sectors[],2,FALSE)</f>
        <v>UK Equities</v>
      </c>
    </row>
    <row r="3231" spans="1:6" x14ac:dyDescent="0.2">
      <c r="A3231" t="str">
        <f>'Novia Web Query'!A3227</f>
        <v>GB0032558966</v>
      </c>
      <c r="B3231" t="str">
        <f>VLOOKUP(NoviaFunds[[#This Row],[ISIN]],'Novia Web Query'!$A:$E,2,FALSE)</f>
        <v>Ninety One UK Alpha I Inc GBP TR in GB</v>
      </c>
      <c r="C3231" t="str">
        <f>VLOOKUP(NoviaFunds[[#This Row],[ISIN]],'Novia Web Query'!$A:$E,3,FALSE)</f>
        <v>UT UK All Companies</v>
      </c>
      <c r="D3231" s="139">
        <f>VLOOKUP(NoviaFunds[[#This Row],[ISIN]],'Novia Web Query'!$A:$E,4,FALSE)/100</f>
        <v>8.3000000000000001E-3</v>
      </c>
      <c r="E3231" s="3" t="str">
        <f>VLOOKUP(NoviaFunds[[#This Row],[ISIN]],'Novia Web Query'!$A:$E,5,FALSE)</f>
        <v>31/12/2020</v>
      </c>
      <c r="F3231" t="str">
        <f>VLOOKUP(NoviaFunds[[#This Row],[Sector]],Sectors[],2,FALSE)</f>
        <v>UK Equities</v>
      </c>
    </row>
    <row r="3232" spans="1:6" x14ac:dyDescent="0.2">
      <c r="A3232" t="str">
        <f>'Novia Web Query'!A3228</f>
        <v>GB00BJFLDM36</v>
      </c>
      <c r="B3232" t="str">
        <f>VLOOKUP(NoviaFunds[[#This Row],[ISIN]],'Novia Web Query'!$A:$E,2,FALSE)</f>
        <v>Ninety One UK Alpha J Acc GBP TR in GB**</v>
      </c>
      <c r="C3232" t="str">
        <f>VLOOKUP(NoviaFunds[[#This Row],[ISIN]],'Novia Web Query'!$A:$E,3,FALSE)</f>
        <v>UT UK All Companies</v>
      </c>
      <c r="D3232" s="139">
        <f>VLOOKUP(NoviaFunds[[#This Row],[ISIN]],'Novia Web Query'!$A:$E,4,FALSE)/100</f>
        <v>7.3000000000000001E-3</v>
      </c>
      <c r="E3232" s="3" t="str">
        <f>VLOOKUP(NoviaFunds[[#This Row],[ISIN]],'Novia Web Query'!$A:$E,5,FALSE)</f>
        <v>31/12/2020</v>
      </c>
      <c r="F3232" t="str">
        <f>VLOOKUP(NoviaFunds[[#This Row],[Sector]],Sectors[],2,FALSE)</f>
        <v>UK Equities</v>
      </c>
    </row>
    <row r="3233" spans="1:6" x14ac:dyDescent="0.2">
      <c r="A3233" t="str">
        <f>'Novia Web Query'!A3229</f>
        <v>GB00BJFLDL29</v>
      </c>
      <c r="B3233" t="str">
        <f>VLOOKUP(NoviaFunds[[#This Row],[ISIN]],'Novia Web Query'!$A:$E,2,FALSE)</f>
        <v>Ninety One UK Alpha J Inc GBP TR in GB**</v>
      </c>
      <c r="C3233" t="str">
        <f>VLOOKUP(NoviaFunds[[#This Row],[ISIN]],'Novia Web Query'!$A:$E,3,FALSE)</f>
        <v>UT UK All Companies</v>
      </c>
      <c r="D3233" s="139">
        <f>VLOOKUP(NoviaFunds[[#This Row],[ISIN]],'Novia Web Query'!$A:$E,4,FALSE)/100</f>
        <v>7.3000000000000001E-3</v>
      </c>
      <c r="E3233" s="3" t="str">
        <f>VLOOKUP(NoviaFunds[[#This Row],[ISIN]],'Novia Web Query'!$A:$E,5,FALSE)</f>
        <v>31/12/2020</v>
      </c>
      <c r="F3233" t="str">
        <f>VLOOKUP(NoviaFunds[[#This Row],[Sector]],Sectors[],2,FALSE)</f>
        <v>UK Equities</v>
      </c>
    </row>
    <row r="3234" spans="1:6" x14ac:dyDescent="0.2">
      <c r="A3234" t="str">
        <f>'Novia Web Query'!A3230</f>
        <v>GB00BZ1LJ090</v>
      </c>
      <c r="B3234" t="str">
        <f>VLOOKUP(NoviaFunds[[#This Row],[ISIN]],'Novia Web Query'!$A:$E,2,FALSE)</f>
        <v>Ninety One UK Alpha K Acc GBP TR in GB**</v>
      </c>
      <c r="C3234" t="str">
        <f>VLOOKUP(NoviaFunds[[#This Row],[ISIN]],'Novia Web Query'!$A:$E,3,FALSE)</f>
        <v>UT UK All Companies</v>
      </c>
      <c r="D3234" s="139">
        <f>VLOOKUP(NoviaFunds[[#This Row],[ISIN]],'Novia Web Query'!$A:$E,4,FALSE)/100</f>
        <v>4.7999999999999996E-3</v>
      </c>
      <c r="E3234" s="3" t="str">
        <f>VLOOKUP(NoviaFunds[[#This Row],[ISIN]],'Novia Web Query'!$A:$E,5,FALSE)</f>
        <v>31/12/2020</v>
      </c>
      <c r="F3234" t="str">
        <f>VLOOKUP(NoviaFunds[[#This Row],[Sector]],Sectors[],2,FALSE)</f>
        <v>UK Equities</v>
      </c>
    </row>
    <row r="3235" spans="1:6" x14ac:dyDescent="0.2">
      <c r="A3235" t="str">
        <f>'Novia Web Query'!A3231</f>
        <v>GB00BRWQCH53</v>
      </c>
      <c r="B3235" t="str">
        <f>VLOOKUP(NoviaFunds[[#This Row],[ISIN]],'Novia Web Query'!$A:$E,2,FALSE)</f>
        <v>Ninety One UK Equity Income I 2 Inc GBP TR in GB</v>
      </c>
      <c r="C3235" t="str">
        <f>VLOOKUP(NoviaFunds[[#This Row],[ISIN]],'Novia Web Query'!$A:$E,3,FALSE)</f>
        <v>UT UK All Companies</v>
      </c>
      <c r="D3235" s="139">
        <f>VLOOKUP(NoviaFunds[[#This Row],[ISIN]],'Novia Web Query'!$A:$E,4,FALSE)/100</f>
        <v>8.3999999999999995E-3</v>
      </c>
      <c r="E3235" s="3" t="str">
        <f>VLOOKUP(NoviaFunds[[#This Row],[ISIN]],'Novia Web Query'!$A:$E,5,FALSE)</f>
        <v>31/12/2020</v>
      </c>
      <c r="F3235" t="str">
        <f>VLOOKUP(NoviaFunds[[#This Row],[Sector]],Sectors[],2,FALSE)</f>
        <v>UK Equities</v>
      </c>
    </row>
    <row r="3236" spans="1:6" x14ac:dyDescent="0.2">
      <c r="A3236" t="str">
        <f>'Novia Web Query'!A3232</f>
        <v>GB00BV9G3J51</v>
      </c>
      <c r="B3236" t="str">
        <f>VLOOKUP(NoviaFunds[[#This Row],[ISIN]],'Novia Web Query'!$A:$E,2,FALSE)</f>
        <v>Ninety One UK Equity Income I Acc in GB</v>
      </c>
      <c r="C3236" t="str">
        <f>VLOOKUP(NoviaFunds[[#This Row],[ISIN]],'Novia Web Query'!$A:$E,3,FALSE)</f>
        <v>UT UK All Companies</v>
      </c>
      <c r="D3236" s="139">
        <f>VLOOKUP(NoviaFunds[[#This Row],[ISIN]],'Novia Web Query'!$A:$E,4,FALSE)/100</f>
        <v>8.3999999999999995E-3</v>
      </c>
      <c r="E3236" s="3" t="str">
        <f>VLOOKUP(NoviaFunds[[#This Row],[ISIN]],'Novia Web Query'!$A:$E,5,FALSE)</f>
        <v>31/12/2020</v>
      </c>
      <c r="F3236" t="str">
        <f>VLOOKUP(NoviaFunds[[#This Row],[Sector]],Sectors[],2,FALSE)</f>
        <v>UK Equities</v>
      </c>
    </row>
    <row r="3237" spans="1:6" x14ac:dyDescent="0.2">
      <c r="A3237" t="str">
        <f>'Novia Web Query'!A3233</f>
        <v>GB00BYYK2R45</v>
      </c>
      <c r="B3237" t="str">
        <f>VLOOKUP(NoviaFunds[[#This Row],[ISIN]],'Novia Web Query'!$A:$E,2,FALSE)</f>
        <v>Ninety One UK Equity Income L Net Acc GBP in GB**</v>
      </c>
      <c r="C3237" t="str">
        <f>VLOOKUP(NoviaFunds[[#This Row],[ISIN]],'Novia Web Query'!$A:$E,3,FALSE)</f>
        <v>UT UK All Companies</v>
      </c>
      <c r="D3237" s="139">
        <f>VLOOKUP(NoviaFunds[[#This Row],[ISIN]],'Novia Web Query'!$A:$E,4,FALSE)/100</f>
        <v>3.9000000000000003E-3</v>
      </c>
      <c r="E3237" s="3" t="str">
        <f>VLOOKUP(NoviaFunds[[#This Row],[ISIN]],'Novia Web Query'!$A:$E,5,FALSE)</f>
        <v>31/12/2020</v>
      </c>
      <c r="F3237" t="str">
        <f>VLOOKUP(NoviaFunds[[#This Row],[Sector]],Sectors[],2,FALSE)</f>
        <v>UK Equities</v>
      </c>
    </row>
    <row r="3238" spans="1:6" x14ac:dyDescent="0.2">
      <c r="A3238" t="str">
        <f>'Novia Web Query'!A3234</f>
        <v>GB00BYYK2S51</v>
      </c>
      <c r="B3238" t="str">
        <f>VLOOKUP(NoviaFunds[[#This Row],[ISIN]],'Novia Web Query'!$A:$E,2,FALSE)</f>
        <v>Ninety One UK Equity Income L Net Inc GBP TR in GB**</v>
      </c>
      <c r="C3238" t="str">
        <f>VLOOKUP(NoviaFunds[[#This Row],[ISIN]],'Novia Web Query'!$A:$E,3,FALSE)</f>
        <v>UT UK All Companies</v>
      </c>
      <c r="D3238" s="139">
        <f>VLOOKUP(NoviaFunds[[#This Row],[ISIN]],'Novia Web Query'!$A:$E,4,FALSE)/100</f>
        <v>3.9000000000000003E-3</v>
      </c>
      <c r="E3238" s="3" t="str">
        <f>VLOOKUP(NoviaFunds[[#This Row],[ISIN]],'Novia Web Query'!$A:$E,5,FALSE)</f>
        <v>31/12/2020</v>
      </c>
      <c r="F3238" t="str">
        <f>VLOOKUP(NoviaFunds[[#This Row],[Sector]],Sectors[],2,FALSE)</f>
        <v>UK Equities</v>
      </c>
    </row>
    <row r="3239" spans="1:6" x14ac:dyDescent="0.2">
      <c r="A3239" t="str">
        <f>'Novia Web Query'!A3235</f>
        <v>GB0031417461</v>
      </c>
      <c r="B3239" t="str">
        <f>VLOOKUP(NoviaFunds[[#This Row],[ISIN]],'Novia Web Query'!$A:$E,2,FALSE)</f>
        <v>Ninety One UK Smaller Companies A Inc GBP TR in GB</v>
      </c>
      <c r="C3239" t="str">
        <f>VLOOKUP(NoviaFunds[[#This Row],[ISIN]],'Novia Web Query'!$A:$E,3,FALSE)</f>
        <v>UT UK Smaller Companies</v>
      </c>
      <c r="D3239" s="139">
        <f>VLOOKUP(NoviaFunds[[#This Row],[ISIN]],'Novia Web Query'!$A:$E,4,FALSE)/100</f>
        <v>1.5900000000000001E-2</v>
      </c>
      <c r="E3239" s="3" t="str">
        <f>VLOOKUP(NoviaFunds[[#This Row],[ISIN]],'Novia Web Query'!$A:$E,5,FALSE)</f>
        <v>31/12/2020</v>
      </c>
      <c r="F3239" t="str">
        <f>VLOOKUP(NoviaFunds[[#This Row],[Sector]],Sectors[],2,FALSE)</f>
        <v>UK Equities</v>
      </c>
    </row>
    <row r="3240" spans="1:6" x14ac:dyDescent="0.2">
      <c r="A3240" t="str">
        <f>'Novia Web Query'!A3236</f>
        <v>GB00B5NR9271</v>
      </c>
      <c r="B3240" t="str">
        <f>VLOOKUP(NoviaFunds[[#This Row],[ISIN]],'Novia Web Query'!$A:$E,2,FALSE)</f>
        <v>Ninety One UK Smaller Companies I Acc GBP in GB</v>
      </c>
      <c r="C3240" t="str">
        <f>VLOOKUP(NoviaFunds[[#This Row],[ISIN]],'Novia Web Query'!$A:$E,3,FALSE)</f>
        <v>UT UK Smaller Companies</v>
      </c>
      <c r="D3240" s="139">
        <f>VLOOKUP(NoviaFunds[[#This Row],[ISIN]],'Novia Web Query'!$A:$E,4,FALSE)/100</f>
        <v>8.3999999999999995E-3</v>
      </c>
      <c r="E3240" s="3" t="str">
        <f>VLOOKUP(NoviaFunds[[#This Row],[ISIN]],'Novia Web Query'!$A:$E,5,FALSE)</f>
        <v>31/12/2020</v>
      </c>
      <c r="F3240" t="str">
        <f>VLOOKUP(NoviaFunds[[#This Row],[Sector]],Sectors[],2,FALSE)</f>
        <v>UK Equities</v>
      </c>
    </row>
    <row r="3241" spans="1:6" x14ac:dyDescent="0.2">
      <c r="A3241" t="str">
        <f>'Novia Web Query'!A3237</f>
        <v>GB00B00LDP80</v>
      </c>
      <c r="B3241" t="str">
        <f>VLOOKUP(NoviaFunds[[#This Row],[ISIN]],'Novia Web Query'!$A:$E,2,FALSE)</f>
        <v>Ninety One UK Smaller Companies I Inc GBP TR in GB</v>
      </c>
      <c r="C3241" t="str">
        <f>VLOOKUP(NoviaFunds[[#This Row],[ISIN]],'Novia Web Query'!$A:$E,3,FALSE)</f>
        <v>UT UK Smaller Companies</v>
      </c>
      <c r="D3241" s="139">
        <f>VLOOKUP(NoviaFunds[[#This Row],[ISIN]],'Novia Web Query'!$A:$E,4,FALSE)/100</f>
        <v>8.3999999999999995E-3</v>
      </c>
      <c r="E3241" s="3" t="str">
        <f>VLOOKUP(NoviaFunds[[#This Row],[ISIN]],'Novia Web Query'!$A:$E,5,FALSE)</f>
        <v>31/12/2020</v>
      </c>
      <c r="F3241" t="str">
        <f>VLOOKUP(NoviaFunds[[#This Row],[Sector]],Sectors[],2,FALSE)</f>
        <v>UK Equities</v>
      </c>
    </row>
    <row r="3242" spans="1:6" x14ac:dyDescent="0.2">
      <c r="A3242" t="str">
        <f>'Novia Web Query'!A3238</f>
        <v>GB00B1XFJS91</v>
      </c>
      <c r="B3242" t="str">
        <f>VLOOKUP(NoviaFunds[[#This Row],[ISIN]],'Novia Web Query'!$A:$E,2,FALSE)</f>
        <v>Ninety One UK Special Situations I Acc GBP in GB</v>
      </c>
      <c r="C3242" t="str">
        <f>VLOOKUP(NoviaFunds[[#This Row],[ISIN]],'Novia Web Query'!$A:$E,3,FALSE)</f>
        <v>UT UK All Companies</v>
      </c>
      <c r="D3242" s="139">
        <f>VLOOKUP(NoviaFunds[[#This Row],[ISIN]],'Novia Web Query'!$A:$E,4,FALSE)/100</f>
        <v>8.6999999999999994E-3</v>
      </c>
      <c r="E3242" s="3" t="str">
        <f>VLOOKUP(NoviaFunds[[#This Row],[ISIN]],'Novia Web Query'!$A:$E,5,FALSE)</f>
        <v>31/12/2020</v>
      </c>
      <c r="F3242" t="str">
        <f>VLOOKUP(NoviaFunds[[#This Row],[Sector]],Sectors[],2,FALSE)</f>
        <v>UK Equities</v>
      </c>
    </row>
    <row r="3243" spans="1:6" x14ac:dyDescent="0.2">
      <c r="A3243" t="str">
        <f>'Novia Web Query'!A3239</f>
        <v>GB00B61JXN13</v>
      </c>
      <c r="B3243" t="str">
        <f>VLOOKUP(NoviaFunds[[#This Row],[ISIN]],'Novia Web Query'!$A:$E,2,FALSE)</f>
        <v>Ninety One UK Special Situations I Inc GBP TR in GB</v>
      </c>
      <c r="C3243" t="str">
        <f>VLOOKUP(NoviaFunds[[#This Row],[ISIN]],'Novia Web Query'!$A:$E,3,FALSE)</f>
        <v>UT UK All Companies</v>
      </c>
      <c r="D3243" s="139">
        <f>VLOOKUP(NoviaFunds[[#This Row],[ISIN]],'Novia Web Query'!$A:$E,4,FALSE)/100</f>
        <v>8.6999999999999994E-3</v>
      </c>
      <c r="E3243" s="3" t="str">
        <f>VLOOKUP(NoviaFunds[[#This Row],[ISIN]],'Novia Web Query'!$A:$E,5,FALSE)</f>
        <v>31/12/2020</v>
      </c>
      <c r="F3243" t="str">
        <f>VLOOKUP(NoviaFunds[[#This Row],[Sector]],Sectors[],2,FALSE)</f>
        <v>UK Equities</v>
      </c>
    </row>
    <row r="3244" spans="1:6" x14ac:dyDescent="0.2">
      <c r="A3244" t="str">
        <f>'Novia Web Query'!A3240</f>
        <v>GB00BD5J0X50</v>
      </c>
      <c r="B3244" t="str">
        <f>VLOOKUP(NoviaFunds[[#This Row],[ISIN]],'Novia Web Query'!$A:$E,2,FALSE)</f>
        <v>Ninety One UK Special Situations J Acc GBP in GB**</v>
      </c>
      <c r="C3244" t="str">
        <f>VLOOKUP(NoviaFunds[[#This Row],[ISIN]],'Novia Web Query'!$A:$E,3,FALSE)</f>
        <v>UT UK All Companies</v>
      </c>
      <c r="D3244" s="139">
        <f>VLOOKUP(NoviaFunds[[#This Row],[ISIN]],'Novia Web Query'!$A:$E,4,FALSE)/100</f>
        <v>7.7000000000000002E-3</v>
      </c>
      <c r="E3244" s="3" t="str">
        <f>VLOOKUP(NoviaFunds[[#This Row],[ISIN]],'Novia Web Query'!$A:$E,5,FALSE)</f>
        <v>31/12/2020</v>
      </c>
      <c r="F3244" t="str">
        <f>VLOOKUP(NoviaFunds[[#This Row],[Sector]],Sectors[],2,FALSE)</f>
        <v>UK Equities</v>
      </c>
    </row>
    <row r="3245" spans="1:6" x14ac:dyDescent="0.2">
      <c r="A3245" t="str">
        <f>'Novia Web Query'!A3241</f>
        <v>GB00BGT37007</v>
      </c>
      <c r="B3245" t="str">
        <f>VLOOKUP(NoviaFunds[[#This Row],[ISIN]],'Novia Web Query'!$A:$E,2,FALSE)</f>
        <v>Ninety One UK Sustainable Equity I Acc GBP in GB</v>
      </c>
      <c r="C3245" t="str">
        <f>VLOOKUP(NoviaFunds[[#This Row],[ISIN]],'Novia Web Query'!$A:$E,3,FALSE)</f>
        <v>UT UK All Companies</v>
      </c>
      <c r="D3245" s="139">
        <f>VLOOKUP(NoviaFunds[[#This Row],[ISIN]],'Novia Web Query'!$A:$E,4,FALSE)/100</f>
        <v>7.6E-3</v>
      </c>
      <c r="E3245" s="3" t="str">
        <f>VLOOKUP(NoviaFunds[[#This Row],[ISIN]],'Novia Web Query'!$A:$E,5,FALSE)</f>
        <v>31/12/2020</v>
      </c>
      <c r="F3245" t="str">
        <f>VLOOKUP(NoviaFunds[[#This Row],[Sector]],Sectors[],2,FALSE)</f>
        <v>UK Equities</v>
      </c>
    </row>
    <row r="3246" spans="1:6" x14ac:dyDescent="0.2">
      <c r="A3246" t="str">
        <f>'Novia Web Query'!A3242</f>
        <v>GB00BGT37114</v>
      </c>
      <c r="B3246" t="str">
        <f>VLOOKUP(NoviaFunds[[#This Row],[ISIN]],'Novia Web Query'!$A:$E,2,FALSE)</f>
        <v>Ninety One UK Sustainable Equity K Acc GBP in GB</v>
      </c>
      <c r="C3246" t="str">
        <f>VLOOKUP(NoviaFunds[[#This Row],[ISIN]],'Novia Web Query'!$A:$E,3,FALSE)</f>
        <v>UT UK All Companies</v>
      </c>
      <c r="D3246" s="139">
        <f>VLOOKUP(NoviaFunds[[#This Row],[ISIN]],'Novia Web Query'!$A:$E,4,FALSE)/100</f>
        <v>5.1000000000000004E-3</v>
      </c>
      <c r="E3246" s="3" t="str">
        <f>VLOOKUP(NoviaFunds[[#This Row],[ISIN]],'Novia Web Query'!$A:$E,5,FALSE)</f>
        <v>31/12/2020</v>
      </c>
      <c r="F3246" t="str">
        <f>VLOOKUP(NoviaFunds[[#This Row],[Sector]],Sectors[],2,FALSE)</f>
        <v>UK Equities</v>
      </c>
    </row>
    <row r="3247" spans="1:6" x14ac:dyDescent="0.2">
      <c r="A3247" t="str">
        <f>'Novia Web Query'!A3243</f>
        <v>GB00B75K5L91</v>
      </c>
      <c r="B3247" t="str">
        <f>VLOOKUP(NoviaFunds[[#This Row],[ISIN]],'Novia Web Query'!$A:$E,2,FALSE)</f>
        <v>Oldfield Overstone Global Equity Income I Acc GBP in GB</v>
      </c>
      <c r="C3247" t="str">
        <f>VLOOKUP(NoviaFunds[[#This Row],[ISIN]],'Novia Web Query'!$A:$E,3,FALSE)</f>
        <v>UT Global Equity Income</v>
      </c>
      <c r="D3247" s="139">
        <f>VLOOKUP(NoviaFunds[[#This Row],[ISIN]],'Novia Web Query'!$A:$E,4,FALSE)/100</f>
        <v>8.8000000000000005E-3</v>
      </c>
      <c r="E3247" s="3" t="str">
        <f>VLOOKUP(NoviaFunds[[#This Row],[ISIN]],'Novia Web Query'!$A:$E,5,FALSE)</f>
        <v>19/10/2021</v>
      </c>
      <c r="F3247" t="str">
        <f>VLOOKUP(NoviaFunds[[#This Row],[Sector]],Sectors[],2,FALSE)</f>
        <v>Other Equities</v>
      </c>
    </row>
    <row r="3248" spans="1:6" x14ac:dyDescent="0.2">
      <c r="A3248" t="str">
        <f>'Novia Web Query'!A3244</f>
        <v>GB00B75LT544</v>
      </c>
      <c r="B3248" t="str">
        <f>VLOOKUP(NoviaFunds[[#This Row],[ISIN]],'Novia Web Query'!$A:$E,2,FALSE)</f>
        <v>Oldfield Overstone Global Equity Income I Inc GBP TR in GB</v>
      </c>
      <c r="C3248" t="str">
        <f>VLOOKUP(NoviaFunds[[#This Row],[ISIN]],'Novia Web Query'!$A:$E,3,FALSE)</f>
        <v>UT Global Equity Income</v>
      </c>
      <c r="D3248" s="139">
        <f>VLOOKUP(NoviaFunds[[#This Row],[ISIN]],'Novia Web Query'!$A:$E,4,FALSE)/100</f>
        <v>8.8000000000000005E-3</v>
      </c>
      <c r="E3248" s="3" t="str">
        <f>VLOOKUP(NoviaFunds[[#This Row],[ISIN]],'Novia Web Query'!$A:$E,5,FALSE)</f>
        <v>19/10/2021</v>
      </c>
      <c r="F3248" t="str">
        <f>VLOOKUP(NoviaFunds[[#This Row],[Sector]],Sectors[],2,FALSE)</f>
        <v>Other Equities</v>
      </c>
    </row>
    <row r="3249" spans="1:6" x14ac:dyDescent="0.2">
      <c r="A3249" t="str">
        <f>'Novia Web Query'!A3245</f>
        <v>GB00BF1CW039</v>
      </c>
      <c r="B3249" t="str">
        <f>VLOOKUP(NoviaFunds[[#This Row],[ISIN]],'Novia Web Query'!$A:$E,2,FALSE)</f>
        <v>Premier Miton Balanced Multi Asset F Acc GBP in GB</v>
      </c>
      <c r="C3249" t="str">
        <f>VLOOKUP(NoviaFunds[[#This Row],[ISIN]],'Novia Web Query'!$A:$E,3,FALSE)</f>
        <v>UT Mixed Investment 40-85% Shares</v>
      </c>
      <c r="D3249" s="139">
        <f>VLOOKUP(NoviaFunds[[#This Row],[ISIN]],'Novia Web Query'!$A:$E,4,FALSE)/100</f>
        <v>9.0000000000000011E-3</v>
      </c>
      <c r="E3249" s="3" t="str">
        <f>VLOOKUP(NoviaFunds[[#This Row],[ISIN]],'Novia Web Query'!$A:$E,5,FALSE)</f>
        <v>30/06/2021</v>
      </c>
      <c r="F3249" t="str">
        <f>VLOOKUP(NoviaFunds[[#This Row],[Sector]],Sectors[],2,FALSE)</f>
        <v>Mixed 40%-85%</v>
      </c>
    </row>
    <row r="3250" spans="1:6" x14ac:dyDescent="0.2">
      <c r="A3250" t="str">
        <f>'Novia Web Query'!A3246</f>
        <v>GB00B60VQ061</v>
      </c>
      <c r="B3250" t="str">
        <f>VLOOKUP(NoviaFunds[[#This Row],[ISIN]],'Novia Web Query'!$A:$E,2,FALSE)</f>
        <v>Premier Miton Cautious Monthly Income Acc GBP in GB</v>
      </c>
      <c r="C3250" t="str">
        <f>VLOOKUP(NoviaFunds[[#This Row],[ISIN]],'Novia Web Query'!$A:$E,3,FALSE)</f>
        <v>UT Mixed Investment 20-60% Shares</v>
      </c>
      <c r="D3250" s="139">
        <f>VLOOKUP(NoviaFunds[[#This Row],[ISIN]],'Novia Web Query'!$A:$E,4,FALSE)/100</f>
        <v>1.6200000000000003E-2</v>
      </c>
      <c r="E3250" s="3" t="str">
        <f>VLOOKUP(NoviaFunds[[#This Row],[ISIN]],'Novia Web Query'!$A:$E,5,FALSE)</f>
        <v>30/06/2021</v>
      </c>
      <c r="F3250" t="str">
        <f>VLOOKUP(NoviaFunds[[#This Row],[Sector]],Sectors[],2,FALSE)</f>
        <v>Mixed 20%-60%</v>
      </c>
    </row>
    <row r="3251" spans="1:6" x14ac:dyDescent="0.2">
      <c r="A3251" t="str">
        <f>'Novia Web Query'!A3247</f>
        <v>GB00B7T13474</v>
      </c>
      <c r="B3251" t="str">
        <f>VLOOKUP(NoviaFunds[[#This Row],[ISIN]],'Novia Web Query'!$A:$E,2,FALSE)</f>
        <v>Premier Miton Cautious Monthly Income B Acc GBP in GB</v>
      </c>
      <c r="C3251" t="str">
        <f>VLOOKUP(NoviaFunds[[#This Row],[ISIN]],'Novia Web Query'!$A:$E,3,FALSE)</f>
        <v>UT Mixed Investment 20-60% Shares</v>
      </c>
      <c r="D3251" s="139">
        <f>VLOOKUP(NoviaFunds[[#This Row],[ISIN]],'Novia Web Query'!$A:$E,4,FALSE)/100</f>
        <v>8.6999999999999994E-3</v>
      </c>
      <c r="E3251" s="3" t="str">
        <f>VLOOKUP(NoviaFunds[[#This Row],[ISIN]],'Novia Web Query'!$A:$E,5,FALSE)</f>
        <v>30/06/2021</v>
      </c>
      <c r="F3251" t="str">
        <f>VLOOKUP(NoviaFunds[[#This Row],[Sector]],Sectors[],2,FALSE)</f>
        <v>Mixed 20%-60%</v>
      </c>
    </row>
    <row r="3252" spans="1:6" x14ac:dyDescent="0.2">
      <c r="A3252" t="str">
        <f>'Novia Web Query'!A3248</f>
        <v>GB00B79QBF93</v>
      </c>
      <c r="B3252" t="str">
        <f>VLOOKUP(NoviaFunds[[#This Row],[ISIN]],'Novia Web Query'!$A:$E,2,FALSE)</f>
        <v>Premier Miton Cautious Monthly Income B Inc GBP TR in GB**</v>
      </c>
      <c r="C3252" t="str">
        <f>VLOOKUP(NoviaFunds[[#This Row],[ISIN]],'Novia Web Query'!$A:$E,3,FALSE)</f>
        <v>UT Mixed Investment 20-60% Shares</v>
      </c>
      <c r="D3252" s="139">
        <f>VLOOKUP(NoviaFunds[[#This Row],[ISIN]],'Novia Web Query'!$A:$E,4,FALSE)/100</f>
        <v>8.6999999999999994E-3</v>
      </c>
      <c r="E3252" s="3" t="str">
        <f>VLOOKUP(NoviaFunds[[#This Row],[ISIN]],'Novia Web Query'!$A:$E,5,FALSE)</f>
        <v>30/06/2021</v>
      </c>
      <c r="F3252" t="str">
        <f>VLOOKUP(NoviaFunds[[#This Row],[Sector]],Sectors[],2,FALSE)</f>
        <v>Mixed 20%-60%</v>
      </c>
    </row>
    <row r="3253" spans="1:6" x14ac:dyDescent="0.2">
      <c r="A3253" t="str">
        <f>'Novia Web Query'!A3249</f>
        <v>GB00B031C923</v>
      </c>
      <c r="B3253" t="str">
        <f>VLOOKUP(NoviaFunds[[#This Row],[ISIN]],'Novia Web Query'!$A:$E,2,FALSE)</f>
        <v>Premier Miton Cautious Multi Asset A GBP in GB</v>
      </c>
      <c r="C3253" t="str">
        <f>VLOOKUP(NoviaFunds[[#This Row],[ISIN]],'Novia Web Query'!$A:$E,3,FALSE)</f>
        <v>UT Mixed Investment 20-60% Shares</v>
      </c>
      <c r="D3253" s="139">
        <f>VLOOKUP(NoviaFunds[[#This Row],[ISIN]],'Novia Web Query'!$A:$E,4,FALSE)/100</f>
        <v>1.5600000000000001E-2</v>
      </c>
      <c r="E3253" s="3" t="str">
        <f>VLOOKUP(NoviaFunds[[#This Row],[ISIN]],'Novia Web Query'!$A:$E,5,FALSE)</f>
        <v>30/06/2021</v>
      </c>
      <c r="F3253" t="str">
        <f>VLOOKUP(NoviaFunds[[#This Row],[Sector]],Sectors[],2,FALSE)</f>
        <v>Mixed 20%-60%</v>
      </c>
    </row>
    <row r="3254" spans="1:6" x14ac:dyDescent="0.2">
      <c r="A3254" t="str">
        <f>'Novia Web Query'!A3250</f>
        <v>GB00B0W1V856</v>
      </c>
      <c r="B3254" t="str">
        <f>VLOOKUP(NoviaFunds[[#This Row],[ISIN]],'Novia Web Query'!$A:$E,2,FALSE)</f>
        <v>Premier Miton Cautious Multi Asset B GBP in GB</v>
      </c>
      <c r="C3254" t="str">
        <f>VLOOKUP(NoviaFunds[[#This Row],[ISIN]],'Novia Web Query'!$A:$E,3,FALSE)</f>
        <v>UT Mixed Investment 20-60% Shares</v>
      </c>
      <c r="D3254" s="139">
        <f>VLOOKUP(NoviaFunds[[#This Row],[ISIN]],'Novia Web Query'!$A:$E,4,FALSE)/100</f>
        <v>8.1000000000000013E-3</v>
      </c>
      <c r="E3254" s="3" t="str">
        <f>VLOOKUP(NoviaFunds[[#This Row],[ISIN]],'Novia Web Query'!$A:$E,5,FALSE)</f>
        <v>30/06/2021</v>
      </c>
      <c r="F3254" t="str">
        <f>VLOOKUP(NoviaFunds[[#This Row],[Sector]],Sectors[],2,FALSE)</f>
        <v>Mixed 20%-60%</v>
      </c>
    </row>
    <row r="3255" spans="1:6" x14ac:dyDescent="0.2">
      <c r="A3255" t="str">
        <f>'Novia Web Query'!A3251</f>
        <v>GB0003893459</v>
      </c>
      <c r="B3255" t="str">
        <f>VLOOKUP(NoviaFunds[[#This Row],[ISIN]],'Novia Web Query'!$A:$E,2,FALSE)</f>
        <v>Premier Miton Corporate Bond Monthly Income A Inc GBP TR in GB</v>
      </c>
      <c r="C3255" t="str">
        <f>VLOOKUP(NoviaFunds[[#This Row],[ISIN]],'Novia Web Query'!$A:$E,3,FALSE)</f>
        <v>UT Sterling Corporate Bond</v>
      </c>
      <c r="D3255" s="139">
        <f>VLOOKUP(NoviaFunds[[#This Row],[ISIN]],'Novia Web Query'!$A:$E,4,FALSE)/100</f>
        <v>6.9999999999999993E-3</v>
      </c>
      <c r="E3255" s="3" t="str">
        <f>VLOOKUP(NoviaFunds[[#This Row],[ISIN]],'Novia Web Query'!$A:$E,5,FALSE)</f>
        <v>30/04/2021</v>
      </c>
      <c r="F3255" t="str">
        <f>VLOOKUP(NoviaFunds[[#This Row],[Sector]],Sectors[],2,FALSE)</f>
        <v>Sterling Corporate Bonds</v>
      </c>
    </row>
    <row r="3256" spans="1:6" x14ac:dyDescent="0.2">
      <c r="A3256" t="str">
        <f>'Novia Web Query'!A3252</f>
        <v>GB0003895496</v>
      </c>
      <c r="B3256" t="str">
        <f>VLOOKUP(NoviaFunds[[#This Row],[ISIN]],'Novia Web Query'!$A:$E,2,FALSE)</f>
        <v>Premier Miton Corporate Bond Monthly Income C Inc GBP TR in GB</v>
      </c>
      <c r="C3256" t="str">
        <f>VLOOKUP(NoviaFunds[[#This Row],[ISIN]],'Novia Web Query'!$A:$E,3,FALSE)</f>
        <v>UT Sterling Corporate Bond</v>
      </c>
      <c r="D3256" s="139">
        <f>VLOOKUP(NoviaFunds[[#This Row],[ISIN]],'Novia Web Query'!$A:$E,4,FALSE)/100</f>
        <v>3.4999999999999996E-3</v>
      </c>
      <c r="E3256" s="3" t="str">
        <f>VLOOKUP(NoviaFunds[[#This Row],[ISIN]],'Novia Web Query'!$A:$E,5,FALSE)</f>
        <v>30/04/2021</v>
      </c>
      <c r="F3256" t="str">
        <f>VLOOKUP(NoviaFunds[[#This Row],[Sector]],Sectors[],2,FALSE)</f>
        <v>Sterling Corporate Bonds</v>
      </c>
    </row>
    <row r="3257" spans="1:6" x14ac:dyDescent="0.2">
      <c r="A3257" t="str">
        <f>'Novia Web Query'!A3253</f>
        <v>GB00B4L2WQ20</v>
      </c>
      <c r="B3257" t="str">
        <f>VLOOKUP(NoviaFunds[[#This Row],[ISIN]],'Novia Web Query'!$A:$E,2,FALSE)</f>
        <v>Premier Miton Defensive Growth B Inc GBP TR in GB</v>
      </c>
      <c r="C3257" t="str">
        <f>VLOOKUP(NoviaFunds[[#This Row],[ISIN]],'Novia Web Query'!$A:$E,3,FALSE)</f>
        <v>UT Targeted Absolute Return</v>
      </c>
      <c r="D3257" s="139">
        <f>VLOOKUP(NoviaFunds[[#This Row],[ISIN]],'Novia Web Query'!$A:$E,4,FALSE)/100</f>
        <v>1.5800000000000002E-2</v>
      </c>
      <c r="E3257" s="3" t="str">
        <f>VLOOKUP(NoviaFunds[[#This Row],[ISIN]],'Novia Web Query'!$A:$E,5,FALSE)</f>
        <v>31/05/2021</v>
      </c>
      <c r="F3257" t="str">
        <f>VLOOKUP(NoviaFunds[[#This Row],[Sector]],Sectors[],2,FALSE)</f>
        <v>Absolute Return</v>
      </c>
    </row>
    <row r="3258" spans="1:6" x14ac:dyDescent="0.2">
      <c r="A3258" t="str">
        <f>'Novia Web Query'!A3254</f>
        <v>GB00BTHH0518</v>
      </c>
      <c r="B3258" t="str">
        <f>VLOOKUP(NoviaFunds[[#This Row],[ISIN]],'Novia Web Query'!$A:$E,2,FALSE)</f>
        <v>Premier Miton Defensive Growth C Acc GBP TR in GB</v>
      </c>
      <c r="C3258" t="str">
        <f>VLOOKUP(NoviaFunds[[#This Row],[ISIN]],'Novia Web Query'!$A:$E,3,FALSE)</f>
        <v>UT Targeted Absolute Return</v>
      </c>
      <c r="D3258" s="139">
        <f>VLOOKUP(NoviaFunds[[#This Row],[ISIN]],'Novia Web Query'!$A:$E,4,FALSE)/100</f>
        <v>1.3300000000000001E-2</v>
      </c>
      <c r="E3258" s="3" t="str">
        <f>VLOOKUP(NoviaFunds[[#This Row],[ISIN]],'Novia Web Query'!$A:$E,5,FALSE)</f>
        <v>31/05/2021</v>
      </c>
      <c r="F3258" t="str">
        <f>VLOOKUP(NoviaFunds[[#This Row],[Sector]],Sectors[],2,FALSE)</f>
        <v>Absolute Return</v>
      </c>
    </row>
    <row r="3259" spans="1:6" x14ac:dyDescent="0.2">
      <c r="A3259" t="str">
        <f>'Novia Web Query'!A3255</f>
        <v>GB00B832BD89</v>
      </c>
      <c r="B3259" t="str">
        <f>VLOOKUP(NoviaFunds[[#This Row],[ISIN]],'Novia Web Query'!$A:$E,2,FALSE)</f>
        <v>Premier Miton Defensive Growth C Inc GBP TR in GB</v>
      </c>
      <c r="C3259" t="str">
        <f>VLOOKUP(NoviaFunds[[#This Row],[ISIN]],'Novia Web Query'!$A:$E,3,FALSE)</f>
        <v>UT Targeted Absolute Return</v>
      </c>
      <c r="D3259" s="139">
        <f>VLOOKUP(NoviaFunds[[#This Row],[ISIN]],'Novia Web Query'!$A:$E,4,FALSE)/100</f>
        <v>1.3300000000000001E-2</v>
      </c>
      <c r="E3259" s="3" t="str">
        <f>VLOOKUP(NoviaFunds[[#This Row],[ISIN]],'Novia Web Query'!$A:$E,5,FALSE)</f>
        <v>31/05/2021</v>
      </c>
      <c r="F3259" t="str">
        <f>VLOOKUP(NoviaFunds[[#This Row],[Sector]],Sectors[],2,FALSE)</f>
        <v>Absolute Return</v>
      </c>
    </row>
    <row r="3260" spans="1:6" x14ac:dyDescent="0.2">
      <c r="A3260" t="str">
        <f>'Novia Web Query'!A3256</f>
        <v>GB00B0525B66</v>
      </c>
      <c r="B3260" t="str">
        <f>VLOOKUP(NoviaFunds[[#This Row],[ISIN]],'Novia Web Query'!$A:$E,2,FALSE)</f>
        <v>Premier Miton Defensive Multi Asset B GBP in GB</v>
      </c>
      <c r="C3260" t="str">
        <f>VLOOKUP(NoviaFunds[[#This Row],[ISIN]],'Novia Web Query'!$A:$E,3,FALSE)</f>
        <v>UT Mixed Investment 0-35% Shares</v>
      </c>
      <c r="D3260" s="139">
        <f>VLOOKUP(NoviaFunds[[#This Row],[ISIN]],'Novia Web Query'!$A:$E,4,FALSE)/100</f>
        <v>8.3999999999999995E-3</v>
      </c>
      <c r="E3260" s="3" t="str">
        <f>VLOOKUP(NoviaFunds[[#This Row],[ISIN]],'Novia Web Query'!$A:$E,5,FALSE)</f>
        <v>30/06/2021</v>
      </c>
      <c r="F3260" t="str">
        <f>VLOOKUP(NoviaFunds[[#This Row],[Sector]],Sectors[],2,FALSE)</f>
        <v>Mixed 0%-35%</v>
      </c>
    </row>
    <row r="3261" spans="1:6" x14ac:dyDescent="0.2">
      <c r="A3261" t="str">
        <f>'Novia Web Query'!A3257</f>
        <v>GB00BHNWHC25</v>
      </c>
      <c r="B3261" t="str">
        <f>VLOOKUP(NoviaFunds[[#This Row],[ISIN]],'Novia Web Query'!$A:$E,2,FALSE)</f>
        <v>Premier Miton Diversified Balanced Growth C Inc GBP TR in GB</v>
      </c>
      <c r="C3261" t="str">
        <f>VLOOKUP(NoviaFunds[[#This Row],[ISIN]],'Novia Web Query'!$A:$E,3,FALSE)</f>
        <v>UT Mixed Investment 40-85% Shares</v>
      </c>
      <c r="D3261" s="139">
        <f>VLOOKUP(NoviaFunds[[#This Row],[ISIN]],'Novia Web Query'!$A:$E,4,FALSE)/100</f>
        <v>1.2199999999999999E-2</v>
      </c>
      <c r="E3261" s="3" t="str">
        <f>VLOOKUP(NoviaFunds[[#This Row],[ISIN]],'Novia Web Query'!$A:$E,5,FALSE)</f>
        <v>01/11/2021</v>
      </c>
      <c r="F3261" t="str">
        <f>VLOOKUP(NoviaFunds[[#This Row],[Sector]],Sectors[],2,FALSE)</f>
        <v>Mixed 40%-85%</v>
      </c>
    </row>
    <row r="3262" spans="1:6" x14ac:dyDescent="0.2">
      <c r="A3262" t="str">
        <f>'Novia Web Query'!A3258</f>
        <v>GB00BHNZ2N78</v>
      </c>
      <c r="B3262" t="str">
        <f>VLOOKUP(NoviaFunds[[#This Row],[ISIN]],'Novia Web Query'!$A:$E,2,FALSE)</f>
        <v>Premier Miton Diversified Cautious Growth C Inc GBP TR in GB</v>
      </c>
      <c r="C3262" t="str">
        <f>VLOOKUP(NoviaFunds[[#This Row],[ISIN]],'Novia Web Query'!$A:$E,3,FALSE)</f>
        <v>UT Mixed Investment 20-60% Shares</v>
      </c>
      <c r="D3262" s="139">
        <f>VLOOKUP(NoviaFunds[[#This Row],[ISIN]],'Novia Web Query'!$A:$E,4,FALSE)/100</f>
        <v>1.2800000000000001E-2</v>
      </c>
      <c r="E3262" s="3" t="str">
        <f>VLOOKUP(NoviaFunds[[#This Row],[ISIN]],'Novia Web Query'!$A:$E,5,FALSE)</f>
        <v>01/11/2021</v>
      </c>
      <c r="F3262" t="str">
        <f>VLOOKUP(NoviaFunds[[#This Row],[Sector]],Sectors[],2,FALSE)</f>
        <v>Mixed 20%-60%</v>
      </c>
    </row>
    <row r="3263" spans="1:6" x14ac:dyDescent="0.2">
      <c r="A3263" t="str">
        <f>'Novia Web Query'!A3259</f>
        <v>GB00BHNWH888</v>
      </c>
      <c r="B3263" t="str">
        <f>VLOOKUP(NoviaFunds[[#This Row],[ISIN]],'Novia Web Query'!$A:$E,2,FALSE)</f>
        <v>Premier Miton Diversified Dynamic Growth C Inc GBP TR in GB</v>
      </c>
      <c r="C3263" t="str">
        <f>VLOOKUP(NoviaFunds[[#This Row],[ISIN]],'Novia Web Query'!$A:$E,3,FALSE)</f>
        <v>UT Flexible Investment</v>
      </c>
      <c r="D3263" s="139">
        <f>VLOOKUP(NoviaFunds[[#This Row],[ISIN]],'Novia Web Query'!$A:$E,4,FALSE)/100</f>
        <v>0.01</v>
      </c>
      <c r="E3263" s="3" t="str">
        <f>VLOOKUP(NoviaFunds[[#This Row],[ISIN]],'Novia Web Query'!$A:$E,5,FALSE)</f>
        <v>01/04/2021</v>
      </c>
      <c r="F3263" t="str">
        <f>VLOOKUP(NoviaFunds[[#This Row],[Sector]],Sectors[],2,FALSE)</f>
        <v>Flexible</v>
      </c>
    </row>
    <row r="3264" spans="1:6" x14ac:dyDescent="0.2">
      <c r="A3264" t="str">
        <f>'Novia Web Query'!A3260</f>
        <v>GB00B60G8H29</v>
      </c>
      <c r="B3264" t="str">
        <f>VLOOKUP(NoviaFunds[[#This Row],[ISIN]],'Novia Web Query'!$A:$E,2,FALSE)</f>
        <v>Premier Miton Diversified Growth B Inc GBP TR in GB</v>
      </c>
      <c r="C3264" t="str">
        <f>VLOOKUP(NoviaFunds[[#This Row],[ISIN]],'Novia Web Query'!$A:$E,3,FALSE)</f>
        <v>UT Mixed Investment 40-85% Shares</v>
      </c>
      <c r="D3264" s="139">
        <f>VLOOKUP(NoviaFunds[[#This Row],[ISIN]],'Novia Web Query'!$A:$E,4,FALSE)/100</f>
        <v>1.29E-2</v>
      </c>
      <c r="E3264" s="3" t="str">
        <f>VLOOKUP(NoviaFunds[[#This Row],[ISIN]],'Novia Web Query'!$A:$E,5,FALSE)</f>
        <v>01/11/2021</v>
      </c>
      <c r="F3264" t="str">
        <f>VLOOKUP(NoviaFunds[[#This Row],[Sector]],Sectors[],2,FALSE)</f>
        <v>Mixed 40%-85%</v>
      </c>
    </row>
    <row r="3265" spans="1:6" x14ac:dyDescent="0.2">
      <c r="A3265" t="str">
        <f>'Novia Web Query'!A3261</f>
        <v>GB00B8BJV423</v>
      </c>
      <c r="B3265" t="str">
        <f>VLOOKUP(NoviaFunds[[#This Row],[ISIN]],'Novia Web Query'!$A:$E,2,FALSE)</f>
        <v>Premier Miton Diversified Growth D Inc GBP TR in GB</v>
      </c>
      <c r="C3265" t="str">
        <f>VLOOKUP(NoviaFunds[[#This Row],[ISIN]],'Novia Web Query'!$A:$E,3,FALSE)</f>
        <v>UT Mixed Investment 40-85% Shares</v>
      </c>
      <c r="D3265" s="139">
        <f>VLOOKUP(NoviaFunds[[#This Row],[ISIN]],'Novia Web Query'!$A:$E,4,FALSE)/100</f>
        <v>7.9000000000000008E-3</v>
      </c>
      <c r="E3265" s="3" t="str">
        <f>VLOOKUP(NoviaFunds[[#This Row],[ISIN]],'Novia Web Query'!$A:$E,5,FALSE)</f>
        <v>01/11/2021</v>
      </c>
      <c r="F3265" t="str">
        <f>VLOOKUP(NoviaFunds[[#This Row],[Sector]],Sectors[],2,FALSE)</f>
        <v>Mixed 40%-85%</v>
      </c>
    </row>
    <row r="3266" spans="1:6" x14ac:dyDescent="0.2">
      <c r="A3266" t="str">
        <f>'Novia Web Query'!A3262</f>
        <v>GB00BYPDV970</v>
      </c>
      <c r="B3266" t="str">
        <f>VLOOKUP(NoviaFunds[[#This Row],[ISIN]],'Novia Web Query'!$A:$E,2,FALSE)</f>
        <v>Premier Miton Diversified Income D Inc GBP TR in GB</v>
      </c>
      <c r="C3266" t="str">
        <f>VLOOKUP(NoviaFunds[[#This Row],[ISIN]],'Novia Web Query'!$A:$E,3,FALSE)</f>
        <v>UT Mixed Investment 20-60% Shares</v>
      </c>
      <c r="D3266" s="139">
        <f>VLOOKUP(NoviaFunds[[#This Row],[ISIN]],'Novia Web Query'!$A:$E,4,FALSE)/100</f>
        <v>8.8999999999999999E-3</v>
      </c>
      <c r="E3266" s="3" t="str">
        <f>VLOOKUP(NoviaFunds[[#This Row],[ISIN]],'Novia Web Query'!$A:$E,5,FALSE)</f>
        <v>01/04/2021</v>
      </c>
      <c r="F3266" t="str">
        <f>VLOOKUP(NoviaFunds[[#This Row],[Sector]],Sectors[],2,FALSE)</f>
        <v>Mixed 20%-60%</v>
      </c>
    </row>
    <row r="3267" spans="1:6" x14ac:dyDescent="0.2">
      <c r="A3267" t="str">
        <f>'Novia Web Query'!A3263</f>
        <v>GB00BZ2K2M84</v>
      </c>
      <c r="B3267" t="str">
        <f>VLOOKUP(NoviaFunds[[#This Row],[ISIN]],'Novia Web Query'!$A:$E,2,FALSE)</f>
        <v>Premier Miton European Opportunities B Acc GBP in GB</v>
      </c>
      <c r="C3267" t="str">
        <f>VLOOKUP(NoviaFunds[[#This Row],[ISIN]],'Novia Web Query'!$A:$E,3,FALSE)</f>
        <v>UT Europe Excluding UK</v>
      </c>
      <c r="D3267" s="139">
        <f>VLOOKUP(NoviaFunds[[#This Row],[ISIN]],'Novia Web Query'!$A:$E,4,FALSE)/100</f>
        <v>8.1000000000000013E-3</v>
      </c>
      <c r="E3267" s="3" t="str">
        <f>VLOOKUP(NoviaFunds[[#This Row],[ISIN]],'Novia Web Query'!$A:$E,5,FALSE)</f>
        <v>31/05/2021</v>
      </c>
      <c r="F3267" t="str">
        <f>VLOOKUP(NoviaFunds[[#This Row],[Sector]],Sectors[],2,FALSE)</f>
        <v>European Equities</v>
      </c>
    </row>
    <row r="3268" spans="1:6" x14ac:dyDescent="0.2">
      <c r="A3268" t="str">
        <f>'Novia Web Query'!A3264</f>
        <v>GB00BYZ55N51</v>
      </c>
      <c r="B3268" t="str">
        <f>VLOOKUP(NoviaFunds[[#This Row],[ISIN]],'Novia Web Query'!$A:$E,2,FALSE)</f>
        <v>Premier Miton European Opportunities F Acc GBP in GB</v>
      </c>
      <c r="C3268" t="str">
        <f>VLOOKUP(NoviaFunds[[#This Row],[ISIN]],'Novia Web Query'!$A:$E,3,FALSE)</f>
        <v>UT Europe Excluding UK</v>
      </c>
      <c r="D3268" s="139">
        <f>VLOOKUP(NoviaFunds[[#This Row],[ISIN]],'Novia Web Query'!$A:$E,4,FALSE)/100</f>
        <v>5.6000000000000008E-3</v>
      </c>
      <c r="E3268" s="3" t="str">
        <f>VLOOKUP(NoviaFunds[[#This Row],[ISIN]],'Novia Web Query'!$A:$E,5,FALSE)</f>
        <v>31/05/2021</v>
      </c>
      <c r="F3268" t="str">
        <f>VLOOKUP(NoviaFunds[[#This Row],[Sector]],Sectors[],2,FALSE)</f>
        <v>European Equities</v>
      </c>
    </row>
    <row r="3269" spans="1:6" x14ac:dyDescent="0.2">
      <c r="A3269" t="str">
        <f>'Novia Web Query'!A3265</f>
        <v>GB00BD3H9L21</v>
      </c>
      <c r="B3269" t="str">
        <f>VLOOKUP(NoviaFunds[[#This Row],[ISIN]],'Novia Web Query'!$A:$E,2,FALSE)</f>
        <v>Premier Miton Global Infrastructure Income B Acc GBP in GB</v>
      </c>
      <c r="C3269" t="str">
        <f>VLOOKUP(NoviaFunds[[#This Row],[ISIN]],'Novia Web Query'!$A:$E,3,FALSE)</f>
        <v>UT Infrastructure</v>
      </c>
      <c r="D3269" s="139">
        <f>VLOOKUP(NoviaFunds[[#This Row],[ISIN]],'Novia Web Query'!$A:$E,4,FALSE)/100</f>
        <v>0.01</v>
      </c>
      <c r="E3269" s="3" t="str">
        <f>VLOOKUP(NoviaFunds[[#This Row],[ISIN]],'Novia Web Query'!$A:$E,5,FALSE)</f>
        <v>24/09/2021</v>
      </c>
      <c r="F3269" t="e">
        <f>VLOOKUP(NoviaFunds[[#This Row],[Sector]],Sectors[],2,FALSE)</f>
        <v>#N/A</v>
      </c>
    </row>
    <row r="3270" spans="1:6" x14ac:dyDescent="0.2">
      <c r="A3270" t="str">
        <f>'Novia Web Query'!A3266</f>
        <v>GB00BD3H9M38</v>
      </c>
      <c r="B3270" t="str">
        <f>VLOOKUP(NoviaFunds[[#This Row],[ISIN]],'Novia Web Query'!$A:$E,2,FALSE)</f>
        <v>Premier Miton Global Infrastructure Income B Inc GBP TR in GB</v>
      </c>
      <c r="C3270" t="str">
        <f>VLOOKUP(NoviaFunds[[#This Row],[ISIN]],'Novia Web Query'!$A:$E,3,FALSE)</f>
        <v>UT Infrastructure</v>
      </c>
      <c r="D3270" s="139">
        <f>VLOOKUP(NoviaFunds[[#This Row],[ISIN]],'Novia Web Query'!$A:$E,4,FALSE)/100</f>
        <v>0.01</v>
      </c>
      <c r="E3270" s="3" t="str">
        <f>VLOOKUP(NoviaFunds[[#This Row],[ISIN]],'Novia Web Query'!$A:$E,5,FALSE)</f>
        <v>24/09/2021</v>
      </c>
      <c r="F3270" t="e">
        <f>VLOOKUP(NoviaFunds[[#This Row],[Sector]],Sectors[],2,FALSE)</f>
        <v>#N/A</v>
      </c>
    </row>
    <row r="3271" spans="1:6" x14ac:dyDescent="0.2">
      <c r="A3271" t="str">
        <f>'Novia Web Query'!A3267</f>
        <v>GB00BD3H9P68</v>
      </c>
      <c r="B3271" t="str">
        <f>VLOOKUP(NoviaFunds[[#This Row],[ISIN]],'Novia Web Query'!$A:$E,2,FALSE)</f>
        <v>Premier Miton Global Infrastructure Income F Inc GBP TR in GB</v>
      </c>
      <c r="C3271" t="str">
        <f>VLOOKUP(NoviaFunds[[#This Row],[ISIN]],'Novia Web Query'!$A:$E,3,FALSE)</f>
        <v>UT Infrastructure</v>
      </c>
      <c r="D3271" s="139">
        <f>VLOOKUP(NoviaFunds[[#This Row],[ISIN]],'Novia Web Query'!$A:$E,4,FALSE)/100</f>
        <v>8.199999999999999E-3</v>
      </c>
      <c r="E3271" s="3" t="str">
        <f>VLOOKUP(NoviaFunds[[#This Row],[ISIN]],'Novia Web Query'!$A:$E,5,FALSE)</f>
        <v>24/09/2021</v>
      </c>
      <c r="F3271" t="e">
        <f>VLOOKUP(NoviaFunds[[#This Row],[Sector]],Sectors[],2,FALSE)</f>
        <v>#N/A</v>
      </c>
    </row>
    <row r="3272" spans="1:6" x14ac:dyDescent="0.2">
      <c r="A3272" t="str">
        <f>'Novia Web Query'!A3268</f>
        <v>GB00B6740K61</v>
      </c>
      <c r="B3272" t="str">
        <f>VLOOKUP(NoviaFunds[[#This Row],[ISIN]],'Novia Web Query'!$A:$E,2,FALSE)</f>
        <v>Premier Miton Global Sustainable Growth C Acc GBP in GB</v>
      </c>
      <c r="C3272" t="str">
        <f>VLOOKUP(NoviaFunds[[#This Row],[ISIN]],'Novia Web Query'!$A:$E,3,FALSE)</f>
        <v>UT Global</v>
      </c>
      <c r="D3272" s="139">
        <f>VLOOKUP(NoviaFunds[[#This Row],[ISIN]],'Novia Web Query'!$A:$E,4,FALSE)/100</f>
        <v>9.8999999999999991E-3</v>
      </c>
      <c r="E3272" s="3" t="str">
        <f>VLOOKUP(NoviaFunds[[#This Row],[ISIN]],'Novia Web Query'!$A:$E,5,FALSE)</f>
        <v>31/05/2021</v>
      </c>
      <c r="F3272" t="str">
        <f>VLOOKUP(NoviaFunds[[#This Row],[Sector]],Sectors[],2,FALSE)</f>
        <v>Other Equities</v>
      </c>
    </row>
    <row r="3273" spans="1:6" x14ac:dyDescent="0.2">
      <c r="A3273" t="str">
        <f>'Novia Web Query'!A3269</f>
        <v>GB00B68FGC22</v>
      </c>
      <c r="B3273" t="str">
        <f>VLOOKUP(NoviaFunds[[#This Row],[ISIN]],'Novia Web Query'!$A:$E,2,FALSE)</f>
        <v>Premier Miton Global Sustainable Growth C Inc GBP TR in GB</v>
      </c>
      <c r="C3273" t="str">
        <f>VLOOKUP(NoviaFunds[[#This Row],[ISIN]],'Novia Web Query'!$A:$E,3,FALSE)</f>
        <v>UT Global</v>
      </c>
      <c r="D3273" s="139">
        <f>VLOOKUP(NoviaFunds[[#This Row],[ISIN]],'Novia Web Query'!$A:$E,4,FALSE)/100</f>
        <v>9.8999999999999991E-3</v>
      </c>
      <c r="E3273" s="3" t="str">
        <f>VLOOKUP(NoviaFunds[[#This Row],[ISIN]],'Novia Web Query'!$A:$E,5,FALSE)</f>
        <v>31/05/2021</v>
      </c>
      <c r="F3273" t="str">
        <f>VLOOKUP(NoviaFunds[[#This Row],[Sector]],Sectors[],2,FALSE)</f>
        <v>Other Equities</v>
      </c>
    </row>
    <row r="3274" spans="1:6" x14ac:dyDescent="0.2">
      <c r="A3274" t="str">
        <f>'Novia Web Query'!A3270</f>
        <v>GB00BFZND652</v>
      </c>
      <c r="B3274" t="str">
        <f>VLOOKUP(NoviaFunds[[#This Row],[ISIN]],'Novia Web Query'!$A:$E,2,FALSE)</f>
        <v>Premier Miton Global Sustainable Optimum Income C Inc GBP TR in GB</v>
      </c>
      <c r="C3274" t="str">
        <f>VLOOKUP(NoviaFunds[[#This Row],[ISIN]],'Novia Web Query'!$A:$E,3,FALSE)</f>
        <v>UT Global Equity Income</v>
      </c>
      <c r="D3274" s="139">
        <f>VLOOKUP(NoviaFunds[[#This Row],[ISIN]],'Novia Web Query'!$A:$E,4,FALSE)/100</f>
        <v>9.0000000000000011E-3</v>
      </c>
      <c r="E3274" s="3" t="str">
        <f>VLOOKUP(NoviaFunds[[#This Row],[ISIN]],'Novia Web Query'!$A:$E,5,FALSE)</f>
        <v>31/05/2021</v>
      </c>
      <c r="F3274" t="str">
        <f>VLOOKUP(NoviaFunds[[#This Row],[Sector]],Sectors[],2,FALSE)</f>
        <v>Other Equities</v>
      </c>
    </row>
    <row r="3275" spans="1:6" x14ac:dyDescent="0.2">
      <c r="A3275" t="str">
        <f>'Novia Web Query'!A3271</f>
        <v>GB0003884508</v>
      </c>
      <c r="B3275" t="str">
        <f>VLOOKUP(NoviaFunds[[#This Row],[ISIN]],'Novia Web Query'!$A:$E,2,FALSE)</f>
        <v>Premier Miton Income A Inc GBP TR in GB</v>
      </c>
      <c r="C3275" t="str">
        <f>VLOOKUP(NoviaFunds[[#This Row],[ISIN]],'Novia Web Query'!$A:$E,3,FALSE)</f>
        <v>UT UK Equity Income</v>
      </c>
      <c r="D3275" s="139">
        <f>VLOOKUP(NoviaFunds[[#This Row],[ISIN]],'Novia Web Query'!$A:$E,4,FALSE)/100</f>
        <v>1.7399999999999999E-2</v>
      </c>
      <c r="E3275" s="3" t="str">
        <f>VLOOKUP(NoviaFunds[[#This Row],[ISIN]],'Novia Web Query'!$A:$E,5,FALSE)</f>
        <v>30/04/2021</v>
      </c>
      <c r="F3275" t="str">
        <f>VLOOKUP(NoviaFunds[[#This Row],[Sector]],Sectors[],2,FALSE)</f>
        <v>UK Equities</v>
      </c>
    </row>
    <row r="3276" spans="1:6" x14ac:dyDescent="0.2">
      <c r="A3276" t="str">
        <f>'Novia Web Query'!A3272</f>
        <v>GB00BTHH0849</v>
      </c>
      <c r="B3276" t="str">
        <f>VLOOKUP(NoviaFunds[[#This Row],[ISIN]],'Novia Web Query'!$A:$E,2,FALSE)</f>
        <v>Premier Miton Income C Acc GBP TR in GB</v>
      </c>
      <c r="C3276" t="str">
        <f>VLOOKUP(NoviaFunds[[#This Row],[ISIN]],'Novia Web Query'!$A:$E,3,FALSE)</f>
        <v>UT UK Equity Income</v>
      </c>
      <c r="D3276" s="139">
        <f>VLOOKUP(NoviaFunds[[#This Row],[ISIN]],'Novia Web Query'!$A:$E,4,FALSE)/100</f>
        <v>9.8999999999999991E-3</v>
      </c>
      <c r="E3276" s="3" t="str">
        <f>VLOOKUP(NoviaFunds[[#This Row],[ISIN]],'Novia Web Query'!$A:$E,5,FALSE)</f>
        <v>30/04/2021</v>
      </c>
      <c r="F3276" t="str">
        <f>VLOOKUP(NoviaFunds[[#This Row],[Sector]],Sectors[],2,FALSE)</f>
        <v>UK Equities</v>
      </c>
    </row>
    <row r="3277" spans="1:6" x14ac:dyDescent="0.2">
      <c r="A3277" t="str">
        <f>'Novia Web Query'!A3273</f>
        <v>GB0003884722</v>
      </c>
      <c r="B3277" t="str">
        <f>VLOOKUP(NoviaFunds[[#This Row],[ISIN]],'Novia Web Query'!$A:$E,2,FALSE)</f>
        <v>Premier Miton Income C Inc GBP TR in GB</v>
      </c>
      <c r="C3277" t="str">
        <f>VLOOKUP(NoviaFunds[[#This Row],[ISIN]],'Novia Web Query'!$A:$E,3,FALSE)</f>
        <v>UT UK Equity Income</v>
      </c>
      <c r="D3277" s="139">
        <f>VLOOKUP(NoviaFunds[[#This Row],[ISIN]],'Novia Web Query'!$A:$E,4,FALSE)/100</f>
        <v>9.8999999999999991E-3</v>
      </c>
      <c r="E3277" s="3" t="str">
        <f>VLOOKUP(NoviaFunds[[#This Row],[ISIN]],'Novia Web Query'!$A:$E,5,FALSE)</f>
        <v>30/04/2021</v>
      </c>
      <c r="F3277" t="str">
        <f>VLOOKUP(NoviaFunds[[#This Row],[Sector]],Sectors[],2,FALSE)</f>
        <v>UK Equities</v>
      </c>
    </row>
    <row r="3278" spans="1:6" x14ac:dyDescent="0.2">
      <c r="A3278" t="str">
        <f>'Novia Web Query'!A3274</f>
        <v>GB00B1PB0379</v>
      </c>
      <c r="B3278" t="str">
        <f>VLOOKUP(NoviaFunds[[#This Row],[ISIN]],'Novia Web Query'!$A:$E,2,FALSE)</f>
        <v>Premier Miton Liberation IV A Acc GBP in GB</v>
      </c>
      <c r="C3278" t="str">
        <f>VLOOKUP(NoviaFunds[[#This Row],[ISIN]],'Novia Web Query'!$A:$E,3,FALSE)</f>
        <v>UT Volatility Managed</v>
      </c>
      <c r="D3278" s="139">
        <f>VLOOKUP(NoviaFunds[[#This Row],[ISIN]],'Novia Web Query'!$A:$E,4,FALSE)/100</f>
        <v>1.8600000000000002E-2</v>
      </c>
      <c r="E3278" s="3" t="str">
        <f>VLOOKUP(NoviaFunds[[#This Row],[ISIN]],'Novia Web Query'!$A:$E,5,FALSE)</f>
        <v>31/10/2020</v>
      </c>
      <c r="F3278" t="e">
        <f>VLOOKUP(NoviaFunds[[#This Row],[Sector]],Sectors[],2,FALSE)</f>
        <v>#N/A</v>
      </c>
    </row>
    <row r="3279" spans="1:6" x14ac:dyDescent="0.2">
      <c r="A3279" t="str">
        <f>'Novia Web Query'!A3275</f>
        <v>GB00B5N42Z23</v>
      </c>
      <c r="B3279" t="str">
        <f>VLOOKUP(NoviaFunds[[#This Row],[ISIN]],'Novia Web Query'!$A:$E,2,FALSE)</f>
        <v>Premier Miton Liberation IV C Acc GBP in GB</v>
      </c>
      <c r="C3279" t="str">
        <f>VLOOKUP(NoviaFunds[[#This Row],[ISIN]],'Novia Web Query'!$A:$E,3,FALSE)</f>
        <v>UT Volatility Managed</v>
      </c>
      <c r="D3279" s="139">
        <f>VLOOKUP(NoviaFunds[[#This Row],[ISIN]],'Novia Web Query'!$A:$E,4,FALSE)/100</f>
        <v>9.5999999999999992E-3</v>
      </c>
      <c r="E3279" s="3" t="str">
        <f>VLOOKUP(NoviaFunds[[#This Row],[ISIN]],'Novia Web Query'!$A:$E,5,FALSE)</f>
        <v>31/10/2020</v>
      </c>
      <c r="F3279" t="e">
        <f>VLOOKUP(NoviaFunds[[#This Row],[Sector]],Sectors[],2,FALSE)</f>
        <v>#N/A</v>
      </c>
    </row>
    <row r="3280" spans="1:6" x14ac:dyDescent="0.2">
      <c r="A3280" t="str">
        <f>'Novia Web Query'!A3276</f>
        <v>GB00B55VCJ57</v>
      </c>
      <c r="B3280" t="str">
        <f>VLOOKUP(NoviaFunds[[#This Row],[ISIN]],'Novia Web Query'!$A:$E,2,FALSE)</f>
        <v>Premier Miton Liberation IV C Inc GBP TR in GB</v>
      </c>
      <c r="C3280" t="str">
        <f>VLOOKUP(NoviaFunds[[#This Row],[ISIN]],'Novia Web Query'!$A:$E,3,FALSE)</f>
        <v>UT Volatility Managed</v>
      </c>
      <c r="D3280" s="139">
        <f>VLOOKUP(NoviaFunds[[#This Row],[ISIN]],'Novia Web Query'!$A:$E,4,FALSE)/100</f>
        <v>9.5999999999999992E-3</v>
      </c>
      <c r="E3280" s="3" t="str">
        <f>VLOOKUP(NoviaFunds[[#This Row],[ISIN]],'Novia Web Query'!$A:$E,5,FALSE)</f>
        <v>31/10/2020</v>
      </c>
      <c r="F3280" t="e">
        <f>VLOOKUP(NoviaFunds[[#This Row],[Sector]],Sectors[],2,FALSE)</f>
        <v>#N/A</v>
      </c>
    </row>
    <row r="3281" spans="1:6" x14ac:dyDescent="0.2">
      <c r="A3281" t="str">
        <f>'Novia Web Query'!A3277</f>
        <v>GB00B0MT7M55</v>
      </c>
      <c r="B3281" t="str">
        <f>VLOOKUP(NoviaFunds[[#This Row],[ISIN]],'Novia Web Query'!$A:$E,2,FALSE)</f>
        <v>Premier Miton Liberation V A Acc GBP in GB</v>
      </c>
      <c r="C3281" t="str">
        <f>VLOOKUP(NoviaFunds[[#This Row],[ISIN]],'Novia Web Query'!$A:$E,3,FALSE)</f>
        <v>UT Volatility Managed</v>
      </c>
      <c r="D3281" s="139">
        <f>VLOOKUP(NoviaFunds[[#This Row],[ISIN]],'Novia Web Query'!$A:$E,4,FALSE)/100</f>
        <v>1.8700000000000001E-2</v>
      </c>
      <c r="E3281" s="3" t="str">
        <f>VLOOKUP(NoviaFunds[[#This Row],[ISIN]],'Novia Web Query'!$A:$E,5,FALSE)</f>
        <v>31/10/2020</v>
      </c>
      <c r="F3281" t="e">
        <f>VLOOKUP(NoviaFunds[[#This Row],[Sector]],Sectors[],2,FALSE)</f>
        <v>#N/A</v>
      </c>
    </row>
    <row r="3282" spans="1:6" x14ac:dyDescent="0.2">
      <c r="A3282" t="str">
        <f>'Novia Web Query'!A3278</f>
        <v>GB00B675ST41</v>
      </c>
      <c r="B3282" t="str">
        <f>VLOOKUP(NoviaFunds[[#This Row],[ISIN]],'Novia Web Query'!$A:$E,2,FALSE)</f>
        <v>Premier Miton Liberation V C Acc GBP in GB</v>
      </c>
      <c r="C3282" t="str">
        <f>VLOOKUP(NoviaFunds[[#This Row],[ISIN]],'Novia Web Query'!$A:$E,3,FALSE)</f>
        <v>UT Volatility Managed</v>
      </c>
      <c r="D3282" s="139">
        <f>VLOOKUP(NoviaFunds[[#This Row],[ISIN]],'Novia Web Query'!$A:$E,4,FALSE)/100</f>
        <v>9.7000000000000003E-3</v>
      </c>
      <c r="E3282" s="3" t="str">
        <f>VLOOKUP(NoviaFunds[[#This Row],[ISIN]],'Novia Web Query'!$A:$E,5,FALSE)</f>
        <v>31/10/2020</v>
      </c>
      <c r="F3282" t="e">
        <f>VLOOKUP(NoviaFunds[[#This Row],[Sector]],Sectors[],2,FALSE)</f>
        <v>#N/A</v>
      </c>
    </row>
    <row r="3283" spans="1:6" x14ac:dyDescent="0.2">
      <c r="A3283" t="str">
        <f>'Novia Web Query'!A3279</f>
        <v>GB00B3NZPP27</v>
      </c>
      <c r="B3283" t="str">
        <f>VLOOKUP(NoviaFunds[[#This Row],[ISIN]],'Novia Web Query'!$A:$E,2,FALSE)</f>
        <v>Premier Miton Liberation V C Inc GBP TR in GB</v>
      </c>
      <c r="C3283" t="str">
        <f>VLOOKUP(NoviaFunds[[#This Row],[ISIN]],'Novia Web Query'!$A:$E,3,FALSE)</f>
        <v>UT Volatility Managed</v>
      </c>
      <c r="D3283" s="139">
        <f>VLOOKUP(NoviaFunds[[#This Row],[ISIN]],'Novia Web Query'!$A:$E,4,FALSE)/100</f>
        <v>9.7000000000000003E-3</v>
      </c>
      <c r="E3283" s="3" t="str">
        <f>VLOOKUP(NoviaFunds[[#This Row],[ISIN]],'Novia Web Query'!$A:$E,5,FALSE)</f>
        <v>31/10/2020</v>
      </c>
      <c r="F3283" t="e">
        <f>VLOOKUP(NoviaFunds[[#This Row],[Sector]],Sectors[],2,FALSE)</f>
        <v>#N/A</v>
      </c>
    </row>
    <row r="3284" spans="1:6" x14ac:dyDescent="0.2">
      <c r="A3284" t="str">
        <f>'Novia Web Query'!A3280</f>
        <v>GB00B0MT7R01</v>
      </c>
      <c r="B3284" t="str">
        <f>VLOOKUP(NoviaFunds[[#This Row],[ISIN]],'Novia Web Query'!$A:$E,2,FALSE)</f>
        <v>Premier Miton Liberation VI A Acc GBP in GB</v>
      </c>
      <c r="C3284" t="str">
        <f>VLOOKUP(NoviaFunds[[#This Row],[ISIN]],'Novia Web Query'!$A:$E,3,FALSE)</f>
        <v>UT Volatility Managed</v>
      </c>
      <c r="D3284" s="139">
        <f>VLOOKUP(NoviaFunds[[#This Row],[ISIN]],'Novia Web Query'!$A:$E,4,FALSE)/100</f>
        <v>1.8700000000000001E-2</v>
      </c>
      <c r="E3284" s="3" t="str">
        <f>VLOOKUP(NoviaFunds[[#This Row],[ISIN]],'Novia Web Query'!$A:$E,5,FALSE)</f>
        <v>31/10/2020</v>
      </c>
      <c r="F3284" t="e">
        <f>VLOOKUP(NoviaFunds[[#This Row],[Sector]],Sectors[],2,FALSE)</f>
        <v>#N/A</v>
      </c>
    </row>
    <row r="3285" spans="1:6" x14ac:dyDescent="0.2">
      <c r="A3285" t="str">
        <f>'Novia Web Query'!A3281</f>
        <v>GB00B66WQ694</v>
      </c>
      <c r="B3285" t="str">
        <f>VLOOKUP(NoviaFunds[[#This Row],[ISIN]],'Novia Web Query'!$A:$E,2,FALSE)</f>
        <v>Premier Miton Liberation VI C Acc GBP in GB</v>
      </c>
      <c r="C3285" t="str">
        <f>VLOOKUP(NoviaFunds[[#This Row],[ISIN]],'Novia Web Query'!$A:$E,3,FALSE)</f>
        <v>UT Volatility Managed</v>
      </c>
      <c r="D3285" s="139">
        <f>VLOOKUP(NoviaFunds[[#This Row],[ISIN]],'Novia Web Query'!$A:$E,4,FALSE)/100</f>
        <v>9.7000000000000003E-3</v>
      </c>
      <c r="E3285" s="3" t="str">
        <f>VLOOKUP(NoviaFunds[[#This Row],[ISIN]],'Novia Web Query'!$A:$E,5,FALSE)</f>
        <v>31/10/2020</v>
      </c>
      <c r="F3285" t="e">
        <f>VLOOKUP(NoviaFunds[[#This Row],[Sector]],Sectors[],2,FALSE)</f>
        <v>#N/A</v>
      </c>
    </row>
    <row r="3286" spans="1:6" x14ac:dyDescent="0.2">
      <c r="A3286" t="str">
        <f>'Novia Web Query'!A3282</f>
        <v>GB00B0MT7X60</v>
      </c>
      <c r="B3286" t="str">
        <f>VLOOKUP(NoviaFunds[[#This Row],[ISIN]],'Novia Web Query'!$A:$E,2,FALSE)</f>
        <v>Premier Miton Liberation VII A Acc GBP in GB</v>
      </c>
      <c r="C3286" t="str">
        <f>VLOOKUP(NoviaFunds[[#This Row],[ISIN]],'Novia Web Query'!$A:$E,3,FALSE)</f>
        <v>UT Volatility Managed</v>
      </c>
      <c r="D3286" s="139">
        <f>VLOOKUP(NoviaFunds[[#This Row],[ISIN]],'Novia Web Query'!$A:$E,4,FALSE)/100</f>
        <v>0.02</v>
      </c>
      <c r="E3286" s="3" t="str">
        <f>VLOOKUP(NoviaFunds[[#This Row],[ISIN]],'Novia Web Query'!$A:$E,5,FALSE)</f>
        <v>31/10/2020</v>
      </c>
      <c r="F3286" t="e">
        <f>VLOOKUP(NoviaFunds[[#This Row],[Sector]],Sectors[],2,FALSE)</f>
        <v>#N/A</v>
      </c>
    </row>
    <row r="3287" spans="1:6" x14ac:dyDescent="0.2">
      <c r="A3287" t="str">
        <f>'Novia Web Query'!A3283</f>
        <v>GB00B644ZN79</v>
      </c>
      <c r="B3287" t="str">
        <f>VLOOKUP(NoviaFunds[[#This Row],[ISIN]],'Novia Web Query'!$A:$E,2,FALSE)</f>
        <v>Premier Miton Liberation VII C Acc GBP in GB</v>
      </c>
      <c r="C3287" t="str">
        <f>VLOOKUP(NoviaFunds[[#This Row],[ISIN]],'Novia Web Query'!$A:$E,3,FALSE)</f>
        <v>UT Volatility Managed</v>
      </c>
      <c r="D3287" s="139">
        <f>VLOOKUP(NoviaFunds[[#This Row],[ISIN]],'Novia Web Query'!$A:$E,4,FALSE)/100</f>
        <v>9.8999999999999991E-3</v>
      </c>
      <c r="E3287" s="3" t="str">
        <f>VLOOKUP(NoviaFunds[[#This Row],[ISIN]],'Novia Web Query'!$A:$E,5,FALSE)</f>
        <v>31/10/2020</v>
      </c>
      <c r="F3287" t="e">
        <f>VLOOKUP(NoviaFunds[[#This Row],[Sector]],Sectors[],2,FALSE)</f>
        <v>#N/A</v>
      </c>
    </row>
    <row r="3288" spans="1:6" x14ac:dyDescent="0.2">
      <c r="A3288" t="str">
        <f>'Novia Web Query'!A3284</f>
        <v>GB0003884946</v>
      </c>
      <c r="B3288" t="str">
        <f>VLOOKUP(NoviaFunds[[#This Row],[ISIN]],'Novia Web Query'!$A:$E,2,FALSE)</f>
        <v>Premier Miton Monthly Income A Inc GBP TR in GB</v>
      </c>
      <c r="C3288" t="str">
        <f>VLOOKUP(NoviaFunds[[#This Row],[ISIN]],'Novia Web Query'!$A:$E,3,FALSE)</f>
        <v>UT UK Equity Income</v>
      </c>
      <c r="D3288" s="139">
        <f>VLOOKUP(NoviaFunds[[#This Row],[ISIN]],'Novia Web Query'!$A:$E,4,FALSE)/100</f>
        <v>1.6500000000000001E-2</v>
      </c>
      <c r="E3288" s="3" t="str">
        <f>VLOOKUP(NoviaFunds[[#This Row],[ISIN]],'Novia Web Query'!$A:$E,5,FALSE)</f>
        <v>30/04/2021</v>
      </c>
      <c r="F3288" t="str">
        <f>VLOOKUP(NoviaFunds[[#This Row],[Sector]],Sectors[],2,FALSE)</f>
        <v>UK Equities</v>
      </c>
    </row>
    <row r="3289" spans="1:6" x14ac:dyDescent="0.2">
      <c r="A3289" t="str">
        <f>'Novia Web Query'!A3285</f>
        <v>GB00BTHH0955</v>
      </c>
      <c r="B3289" t="str">
        <f>VLOOKUP(NoviaFunds[[#This Row],[ISIN]],'Novia Web Query'!$A:$E,2,FALSE)</f>
        <v>Premier Miton Monthly Income C Acc GBP TR in GB</v>
      </c>
      <c r="C3289" t="str">
        <f>VLOOKUP(NoviaFunds[[#This Row],[ISIN]],'Novia Web Query'!$A:$E,3,FALSE)</f>
        <v>UT UK Equity Income</v>
      </c>
      <c r="D3289" s="139">
        <f>VLOOKUP(NoviaFunds[[#This Row],[ISIN]],'Novia Web Query'!$A:$E,4,FALSE)/100</f>
        <v>9.0000000000000011E-3</v>
      </c>
      <c r="E3289" s="3" t="str">
        <f>VLOOKUP(NoviaFunds[[#This Row],[ISIN]],'Novia Web Query'!$A:$E,5,FALSE)</f>
        <v>30/04/2021</v>
      </c>
      <c r="F3289" t="str">
        <f>VLOOKUP(NoviaFunds[[#This Row],[Sector]],Sectors[],2,FALSE)</f>
        <v>UK Equities</v>
      </c>
    </row>
    <row r="3290" spans="1:6" x14ac:dyDescent="0.2">
      <c r="A3290" t="str">
        <f>'Novia Web Query'!A3286</f>
        <v>GB0003886875</v>
      </c>
      <c r="B3290" t="str">
        <f>VLOOKUP(NoviaFunds[[#This Row],[ISIN]],'Novia Web Query'!$A:$E,2,FALSE)</f>
        <v>Premier Miton Monthly Income C Inc GBP TR in GB</v>
      </c>
      <c r="C3290" t="str">
        <f>VLOOKUP(NoviaFunds[[#This Row],[ISIN]],'Novia Web Query'!$A:$E,3,FALSE)</f>
        <v>UT UK Equity Income</v>
      </c>
      <c r="D3290" s="139">
        <f>VLOOKUP(NoviaFunds[[#This Row],[ISIN]],'Novia Web Query'!$A:$E,4,FALSE)/100</f>
        <v>9.0000000000000011E-3</v>
      </c>
      <c r="E3290" s="3" t="str">
        <f>VLOOKUP(NoviaFunds[[#This Row],[ISIN]],'Novia Web Query'!$A:$E,5,FALSE)</f>
        <v>30/04/2021</v>
      </c>
      <c r="F3290" t="str">
        <f>VLOOKUP(NoviaFunds[[#This Row],[Sector]],Sectors[],2,FALSE)</f>
        <v>UK Equities</v>
      </c>
    </row>
    <row r="3291" spans="1:6" x14ac:dyDescent="0.2">
      <c r="A3291" t="str">
        <f>'Novia Web Query'!A3287</f>
        <v>GB00B1PB0593</v>
      </c>
      <c r="B3291" t="str">
        <f>VLOOKUP(NoviaFunds[[#This Row],[ISIN]],'Novia Web Query'!$A:$E,2,FALSE)</f>
        <v>Premier Miton Multi-Asset Absolute Return A Acc GBP in GB</v>
      </c>
      <c r="C3291" t="str">
        <f>VLOOKUP(NoviaFunds[[#This Row],[ISIN]],'Novia Web Query'!$A:$E,3,FALSE)</f>
        <v>UT Targeted Absolute Return</v>
      </c>
      <c r="D3291" s="139">
        <f>VLOOKUP(NoviaFunds[[#This Row],[ISIN]],'Novia Web Query'!$A:$E,4,FALSE)/100</f>
        <v>1.8500000000000003E-2</v>
      </c>
      <c r="E3291" s="3" t="str">
        <f>VLOOKUP(NoviaFunds[[#This Row],[ISIN]],'Novia Web Query'!$A:$E,5,FALSE)</f>
        <v>25/03/2021</v>
      </c>
      <c r="F3291" t="str">
        <f>VLOOKUP(NoviaFunds[[#This Row],[Sector]],Sectors[],2,FALSE)</f>
        <v>Absolute Return</v>
      </c>
    </row>
    <row r="3292" spans="1:6" x14ac:dyDescent="0.2">
      <c r="A3292" t="str">
        <f>'Novia Web Query'!A3288</f>
        <v>GB00B5PXJK10</v>
      </c>
      <c r="B3292" t="str">
        <f>VLOOKUP(NoviaFunds[[#This Row],[ISIN]],'Novia Web Query'!$A:$E,2,FALSE)</f>
        <v>Premier Miton Multi-Asset Absolute Return C Acc GBP in GB</v>
      </c>
      <c r="C3292" t="str">
        <f>VLOOKUP(NoviaFunds[[#This Row],[ISIN]],'Novia Web Query'!$A:$E,3,FALSE)</f>
        <v>UT Targeted Absolute Return</v>
      </c>
      <c r="D3292" s="139">
        <f>VLOOKUP(NoviaFunds[[#This Row],[ISIN]],'Novia Web Query'!$A:$E,4,FALSE)/100</f>
        <v>9.4999999999999998E-3</v>
      </c>
      <c r="E3292" s="3" t="str">
        <f>VLOOKUP(NoviaFunds[[#This Row],[ISIN]],'Novia Web Query'!$A:$E,5,FALSE)</f>
        <v>25/03/2021</v>
      </c>
      <c r="F3292" t="str">
        <f>VLOOKUP(NoviaFunds[[#This Row],[Sector]],Sectors[],2,FALSE)</f>
        <v>Absolute Return</v>
      </c>
    </row>
    <row r="3293" spans="1:6" x14ac:dyDescent="0.2">
      <c r="A3293" t="str">
        <f>'Novia Web Query'!A3289</f>
        <v>GB00B5NH9K57</v>
      </c>
      <c r="B3293" t="str">
        <f>VLOOKUP(NoviaFunds[[#This Row],[ISIN]],'Novia Web Query'!$A:$E,2,FALSE)</f>
        <v>Premier Miton Multi-Asset Absolute Return C Inc GBP TR in GB</v>
      </c>
      <c r="C3293" t="str">
        <f>VLOOKUP(NoviaFunds[[#This Row],[ISIN]],'Novia Web Query'!$A:$E,3,FALSE)</f>
        <v>UT Targeted Absolute Return</v>
      </c>
      <c r="D3293" s="139">
        <f>VLOOKUP(NoviaFunds[[#This Row],[ISIN]],'Novia Web Query'!$A:$E,4,FALSE)/100</f>
        <v>9.4999999999999998E-3</v>
      </c>
      <c r="E3293" s="3" t="str">
        <f>VLOOKUP(NoviaFunds[[#This Row],[ISIN]],'Novia Web Query'!$A:$E,5,FALSE)</f>
        <v>25/03/2021</v>
      </c>
      <c r="F3293" t="str">
        <f>VLOOKUP(NoviaFunds[[#This Row],[Sector]],Sectors[],2,FALSE)</f>
        <v>Absolute Return</v>
      </c>
    </row>
    <row r="3294" spans="1:6" x14ac:dyDescent="0.2">
      <c r="A3294" t="str">
        <f>'Novia Web Query'!A3290</f>
        <v>GB0031107799</v>
      </c>
      <c r="B3294" t="str">
        <f>VLOOKUP(NoviaFunds[[#This Row],[ISIN]],'Novia Web Query'!$A:$E,2,FALSE)</f>
        <v>Premier Miton Multi-Asset Distribution A Acc GBP in GB</v>
      </c>
      <c r="C3294" t="str">
        <f>VLOOKUP(NoviaFunds[[#This Row],[ISIN]],'Novia Web Query'!$A:$E,3,FALSE)</f>
        <v>UT Mixed Investment 20-60% Shares</v>
      </c>
      <c r="D3294" s="139">
        <f>VLOOKUP(NoviaFunds[[#This Row],[ISIN]],'Novia Web Query'!$A:$E,4,FALSE)/100</f>
        <v>1.9400000000000001E-2</v>
      </c>
      <c r="E3294" s="3" t="str">
        <f>VLOOKUP(NoviaFunds[[#This Row],[ISIN]],'Novia Web Query'!$A:$E,5,FALSE)</f>
        <v>30/06/2021</v>
      </c>
      <c r="F3294" t="str">
        <f>VLOOKUP(NoviaFunds[[#This Row],[Sector]],Sectors[],2,FALSE)</f>
        <v>Mixed 20%-60%</v>
      </c>
    </row>
    <row r="3295" spans="1:6" x14ac:dyDescent="0.2">
      <c r="A3295" t="str">
        <f>'Novia Web Query'!A3291</f>
        <v>GB0031107575</v>
      </c>
      <c r="B3295" t="str">
        <f>VLOOKUP(NoviaFunds[[#This Row],[ISIN]],'Novia Web Query'!$A:$E,2,FALSE)</f>
        <v>Premier Miton Multi-Asset Distribution A Inc GBP TR in GB</v>
      </c>
      <c r="C3295" t="str">
        <f>VLOOKUP(NoviaFunds[[#This Row],[ISIN]],'Novia Web Query'!$A:$E,3,FALSE)</f>
        <v>UT Mixed Investment 20-60% Shares</v>
      </c>
      <c r="D3295" s="139">
        <f>VLOOKUP(NoviaFunds[[#This Row],[ISIN]],'Novia Web Query'!$A:$E,4,FALSE)/100</f>
        <v>1.9400000000000001E-2</v>
      </c>
      <c r="E3295" s="3" t="str">
        <f>VLOOKUP(NoviaFunds[[#This Row],[ISIN]],'Novia Web Query'!$A:$E,5,FALSE)</f>
        <v>30/06/2021</v>
      </c>
      <c r="F3295" t="str">
        <f>VLOOKUP(NoviaFunds[[#This Row],[Sector]],Sectors[],2,FALSE)</f>
        <v>Mixed 20%-60%</v>
      </c>
    </row>
    <row r="3296" spans="1:6" x14ac:dyDescent="0.2">
      <c r="A3296" t="str">
        <f>'Novia Web Query'!A3292</f>
        <v>GB00B80W1F31</v>
      </c>
      <c r="B3296" t="str">
        <f>VLOOKUP(NoviaFunds[[#This Row],[ISIN]],'Novia Web Query'!$A:$E,2,FALSE)</f>
        <v>Premier Miton Multi-Asset Distribution B Inc GBP TR in GB</v>
      </c>
      <c r="C3296" t="str">
        <f>VLOOKUP(NoviaFunds[[#This Row],[ISIN]],'Novia Web Query'!$A:$E,3,FALSE)</f>
        <v>UT Mixed Investment 20-60% Shares</v>
      </c>
      <c r="D3296" s="139">
        <f>VLOOKUP(NoviaFunds[[#This Row],[ISIN]],'Novia Web Query'!$A:$E,4,FALSE)/100</f>
        <v>1.44E-2</v>
      </c>
      <c r="E3296" s="3" t="str">
        <f>VLOOKUP(NoviaFunds[[#This Row],[ISIN]],'Novia Web Query'!$A:$E,5,FALSE)</f>
        <v>30/06/2021</v>
      </c>
      <c r="F3296" t="str">
        <f>VLOOKUP(NoviaFunds[[#This Row],[Sector]],Sectors[],2,FALSE)</f>
        <v>Mixed 20%-60%</v>
      </c>
    </row>
    <row r="3297" spans="1:6" x14ac:dyDescent="0.2">
      <c r="A3297" t="str">
        <f>'Novia Web Query'!A3293</f>
        <v>GB00BTHH0B79</v>
      </c>
      <c r="B3297" t="str">
        <f>VLOOKUP(NoviaFunds[[#This Row],[ISIN]],'Novia Web Query'!$A:$E,2,FALSE)</f>
        <v>Premier Miton Multi-Asset Distribution C Acc GBP in GB</v>
      </c>
      <c r="C3297" t="str">
        <f>VLOOKUP(NoviaFunds[[#This Row],[ISIN]],'Novia Web Query'!$A:$E,3,FALSE)</f>
        <v>UT Mixed Investment 20-60% Shares</v>
      </c>
      <c r="D3297" s="139">
        <f>VLOOKUP(NoviaFunds[[#This Row],[ISIN]],'Novia Web Query'!$A:$E,4,FALSE)/100</f>
        <v>1.1899999999999999E-2</v>
      </c>
      <c r="E3297" s="3" t="str">
        <f>VLOOKUP(NoviaFunds[[#This Row],[ISIN]],'Novia Web Query'!$A:$E,5,FALSE)</f>
        <v>30/06/2021</v>
      </c>
      <c r="F3297" t="str">
        <f>VLOOKUP(NoviaFunds[[#This Row],[Sector]],Sectors[],2,FALSE)</f>
        <v>Mixed 20%-60%</v>
      </c>
    </row>
    <row r="3298" spans="1:6" x14ac:dyDescent="0.2">
      <c r="A3298" t="str">
        <f>'Novia Web Query'!A3294</f>
        <v>GB00B40RNW10</v>
      </c>
      <c r="B3298" t="str">
        <f>VLOOKUP(NoviaFunds[[#This Row],[ISIN]],'Novia Web Query'!$A:$E,2,FALSE)</f>
        <v>Premier Miton Multi-Asset Distribution C Inc GBP TR in GB</v>
      </c>
      <c r="C3298" t="str">
        <f>VLOOKUP(NoviaFunds[[#This Row],[ISIN]],'Novia Web Query'!$A:$E,3,FALSE)</f>
        <v>UT Mixed Investment 20-60% Shares</v>
      </c>
      <c r="D3298" s="139">
        <f>VLOOKUP(NoviaFunds[[#This Row],[ISIN]],'Novia Web Query'!$A:$E,4,FALSE)/100</f>
        <v>1.1899999999999999E-2</v>
      </c>
      <c r="E3298" s="3" t="str">
        <f>VLOOKUP(NoviaFunds[[#This Row],[ISIN]],'Novia Web Query'!$A:$E,5,FALSE)</f>
        <v>30/06/2021</v>
      </c>
      <c r="F3298" t="str">
        <f>VLOOKUP(NoviaFunds[[#This Row],[Sector]],Sectors[],2,FALSE)</f>
        <v>Mixed 20%-60%</v>
      </c>
    </row>
    <row r="3299" spans="1:6" x14ac:dyDescent="0.2">
      <c r="A3299" t="str">
        <f>'Novia Web Query'!A3295</f>
        <v>GB00B4K4MQ97</v>
      </c>
      <c r="B3299" t="str">
        <f>VLOOKUP(NoviaFunds[[#This Row],[ISIN]],'Novia Web Query'!$A:$E,2,FALSE)</f>
        <v>Premier Miton Multi-Asset Global Growth B Inc GBP TR in GB</v>
      </c>
      <c r="C3299" t="str">
        <f>VLOOKUP(NoviaFunds[[#This Row],[ISIN]],'Novia Web Query'!$A:$E,3,FALSE)</f>
        <v>UT Flexible Investment</v>
      </c>
      <c r="D3299" s="139">
        <f>VLOOKUP(NoviaFunds[[#This Row],[ISIN]],'Novia Web Query'!$A:$E,4,FALSE)/100</f>
        <v>1.8799999999999997E-2</v>
      </c>
      <c r="E3299" s="3" t="str">
        <f>VLOOKUP(NoviaFunds[[#This Row],[ISIN]],'Novia Web Query'!$A:$E,5,FALSE)</f>
        <v>01/04/2021</v>
      </c>
      <c r="F3299" t="str">
        <f>VLOOKUP(NoviaFunds[[#This Row],[Sector]],Sectors[],2,FALSE)</f>
        <v>Flexible</v>
      </c>
    </row>
    <row r="3300" spans="1:6" x14ac:dyDescent="0.2">
      <c r="A3300" t="str">
        <f>'Novia Web Query'!A3296</f>
        <v>GB00BTHH0G25</v>
      </c>
      <c r="B3300" t="str">
        <f>VLOOKUP(NoviaFunds[[#This Row],[ISIN]],'Novia Web Query'!$A:$E,2,FALSE)</f>
        <v>Premier Miton Multi-Asset Global Growth C Acc GBP TR in GB</v>
      </c>
      <c r="C3300" t="str">
        <f>VLOOKUP(NoviaFunds[[#This Row],[ISIN]],'Novia Web Query'!$A:$E,3,FALSE)</f>
        <v>UT Flexible Investment</v>
      </c>
      <c r="D3300" s="139">
        <f>VLOOKUP(NoviaFunds[[#This Row],[ISIN]],'Novia Web Query'!$A:$E,4,FALSE)/100</f>
        <v>1.6299999999999999E-2</v>
      </c>
      <c r="E3300" s="3" t="str">
        <f>VLOOKUP(NoviaFunds[[#This Row],[ISIN]],'Novia Web Query'!$A:$E,5,FALSE)</f>
        <v>01/04/2021</v>
      </c>
      <c r="F3300" t="str">
        <f>VLOOKUP(NoviaFunds[[#This Row],[Sector]],Sectors[],2,FALSE)</f>
        <v>Flexible</v>
      </c>
    </row>
    <row r="3301" spans="1:6" x14ac:dyDescent="0.2">
      <c r="A3301" t="str">
        <f>'Novia Web Query'!A3297</f>
        <v>GB00B7ZTRZ49</v>
      </c>
      <c r="B3301" t="str">
        <f>VLOOKUP(NoviaFunds[[#This Row],[ISIN]],'Novia Web Query'!$A:$E,2,FALSE)</f>
        <v>Premier Miton Multi-Asset Global Growth C Inc GBP TR in GB</v>
      </c>
      <c r="C3301" t="str">
        <f>VLOOKUP(NoviaFunds[[#This Row],[ISIN]],'Novia Web Query'!$A:$E,3,FALSE)</f>
        <v>UT Flexible Investment</v>
      </c>
      <c r="D3301" s="139">
        <f>VLOOKUP(NoviaFunds[[#This Row],[ISIN]],'Novia Web Query'!$A:$E,4,FALSE)/100</f>
        <v>1.6299999999999999E-2</v>
      </c>
      <c r="E3301" s="3" t="str">
        <f>VLOOKUP(NoviaFunds[[#This Row],[ISIN]],'Novia Web Query'!$A:$E,5,FALSE)</f>
        <v>01/04/2021</v>
      </c>
      <c r="F3301" t="str">
        <f>VLOOKUP(NoviaFunds[[#This Row],[Sector]],Sectors[],2,FALSE)</f>
        <v>Flexible</v>
      </c>
    </row>
    <row r="3302" spans="1:6" x14ac:dyDescent="0.2">
      <c r="A3302" t="str">
        <f>'Novia Web Query'!A3298</f>
        <v>GB00B1KST580</v>
      </c>
      <c r="B3302" t="str">
        <f>VLOOKUP(NoviaFunds[[#This Row],[ISIN]],'Novia Web Query'!$A:$E,2,FALSE)</f>
        <v>Premier Miton Multi-Asset Growth &amp; Income A Acc GBP in GB</v>
      </c>
      <c r="C3302" t="str">
        <f>VLOOKUP(NoviaFunds[[#This Row],[ISIN]],'Novia Web Query'!$A:$E,3,FALSE)</f>
        <v>UT Mixed Investment 40-85% Shares</v>
      </c>
      <c r="D3302" s="139">
        <f>VLOOKUP(NoviaFunds[[#This Row],[ISIN]],'Novia Web Query'!$A:$E,4,FALSE)/100</f>
        <v>1.6899999999999998E-2</v>
      </c>
      <c r="E3302" s="3" t="str">
        <f>VLOOKUP(NoviaFunds[[#This Row],[ISIN]],'Novia Web Query'!$A:$E,5,FALSE)</f>
        <v>30/04/2021</v>
      </c>
      <c r="F3302" t="str">
        <f>VLOOKUP(NoviaFunds[[#This Row],[Sector]],Sectors[],2,FALSE)</f>
        <v>Mixed 40%-85%</v>
      </c>
    </row>
    <row r="3303" spans="1:6" x14ac:dyDescent="0.2">
      <c r="A3303" t="str">
        <f>'Novia Web Query'!A3299</f>
        <v>GB00B1KSRR68</v>
      </c>
      <c r="B3303" t="str">
        <f>VLOOKUP(NoviaFunds[[#This Row],[ISIN]],'Novia Web Query'!$A:$E,2,FALSE)</f>
        <v>Premier Miton Multi-Asset Growth &amp; Income A Inc GBP TR in GB</v>
      </c>
      <c r="C3303" t="str">
        <f>VLOOKUP(NoviaFunds[[#This Row],[ISIN]],'Novia Web Query'!$A:$E,3,FALSE)</f>
        <v>UT Mixed Investment 40-85% Shares</v>
      </c>
      <c r="D3303" s="139">
        <f>VLOOKUP(NoviaFunds[[#This Row],[ISIN]],'Novia Web Query'!$A:$E,4,FALSE)/100</f>
        <v>1.6899999999999998E-2</v>
      </c>
      <c r="E3303" s="3" t="str">
        <f>VLOOKUP(NoviaFunds[[#This Row],[ISIN]],'Novia Web Query'!$A:$E,5,FALSE)</f>
        <v>30/04/2021</v>
      </c>
      <c r="F3303" t="str">
        <f>VLOOKUP(NoviaFunds[[#This Row],[Sector]],Sectors[],2,FALSE)</f>
        <v>Mixed 40%-85%</v>
      </c>
    </row>
    <row r="3304" spans="1:6" x14ac:dyDescent="0.2">
      <c r="A3304" t="str">
        <f>'Novia Web Query'!A3300</f>
        <v>GB00B8HDDJ77</v>
      </c>
      <c r="B3304" t="str">
        <f>VLOOKUP(NoviaFunds[[#This Row],[ISIN]],'Novia Web Query'!$A:$E,2,FALSE)</f>
        <v>Premier Miton Multi-Asset Growth &amp; Income B Inc GBP TR in GB</v>
      </c>
      <c r="C3304" t="str">
        <f>VLOOKUP(NoviaFunds[[#This Row],[ISIN]],'Novia Web Query'!$A:$E,3,FALSE)</f>
        <v>UT Mixed Investment 40-85% Shares</v>
      </c>
      <c r="D3304" s="139">
        <f>VLOOKUP(NoviaFunds[[#This Row],[ISIN]],'Novia Web Query'!$A:$E,4,FALSE)/100</f>
        <v>1.1899999999999999E-2</v>
      </c>
      <c r="E3304" s="3" t="str">
        <f>VLOOKUP(NoviaFunds[[#This Row],[ISIN]],'Novia Web Query'!$A:$E,5,FALSE)</f>
        <v>30/04/2021</v>
      </c>
      <c r="F3304" t="str">
        <f>VLOOKUP(NoviaFunds[[#This Row],[Sector]],Sectors[],2,FALSE)</f>
        <v>Mixed 40%-85%</v>
      </c>
    </row>
    <row r="3305" spans="1:6" x14ac:dyDescent="0.2">
      <c r="A3305" t="str">
        <f>'Novia Web Query'!A3301</f>
        <v>GB00BTHH0C86</v>
      </c>
      <c r="B3305" t="str">
        <f>VLOOKUP(NoviaFunds[[#This Row],[ISIN]],'Novia Web Query'!$A:$E,2,FALSE)</f>
        <v>Premier Miton Multi-Asset Growth &amp; Income C Acc GBP in GB</v>
      </c>
      <c r="C3305" t="str">
        <f>VLOOKUP(NoviaFunds[[#This Row],[ISIN]],'Novia Web Query'!$A:$E,3,FALSE)</f>
        <v>UT Mixed Investment 40-85% Shares</v>
      </c>
      <c r="D3305" s="139">
        <f>VLOOKUP(NoviaFunds[[#This Row],[ISIN]],'Novia Web Query'!$A:$E,4,FALSE)/100</f>
        <v>9.3999999999999986E-3</v>
      </c>
      <c r="E3305" s="3" t="str">
        <f>VLOOKUP(NoviaFunds[[#This Row],[ISIN]],'Novia Web Query'!$A:$E,5,FALSE)</f>
        <v>30/04/2021</v>
      </c>
      <c r="F3305" t="str">
        <f>VLOOKUP(NoviaFunds[[#This Row],[Sector]],Sectors[],2,FALSE)</f>
        <v>Mixed 40%-85%</v>
      </c>
    </row>
    <row r="3306" spans="1:6" x14ac:dyDescent="0.2">
      <c r="A3306" t="str">
        <f>'Novia Web Query'!A3302</f>
        <v>GB00B78H4K93</v>
      </c>
      <c r="B3306" t="str">
        <f>VLOOKUP(NoviaFunds[[#This Row],[ISIN]],'Novia Web Query'!$A:$E,2,FALSE)</f>
        <v>Premier Miton Multi-Asset Growth &amp; Income C Inc GBP TR in GB</v>
      </c>
      <c r="C3306" t="str">
        <f>VLOOKUP(NoviaFunds[[#This Row],[ISIN]],'Novia Web Query'!$A:$E,3,FALSE)</f>
        <v>UT Mixed Investment 40-85% Shares</v>
      </c>
      <c r="D3306" s="139">
        <f>VLOOKUP(NoviaFunds[[#This Row],[ISIN]],'Novia Web Query'!$A:$E,4,FALSE)/100</f>
        <v>9.3999999999999986E-3</v>
      </c>
      <c r="E3306" s="3" t="str">
        <f>VLOOKUP(NoviaFunds[[#This Row],[ISIN]],'Novia Web Query'!$A:$E,5,FALSE)</f>
        <v>30/04/2021</v>
      </c>
      <c r="F3306" t="str">
        <f>VLOOKUP(NoviaFunds[[#This Row],[Sector]],Sectors[],2,FALSE)</f>
        <v>Mixed 40%-85%</v>
      </c>
    </row>
    <row r="3307" spans="1:6" x14ac:dyDescent="0.2">
      <c r="A3307" t="str">
        <f>'Novia Web Query'!A3303</f>
        <v>GB00B3FQBC29</v>
      </c>
      <c r="B3307" t="str">
        <f>VLOOKUP(NoviaFunds[[#This Row],[ISIN]],'Novia Web Query'!$A:$E,2,FALSE)</f>
        <v>Premier Miton Multi-Asset Monthly Income A Acc GBP in GB</v>
      </c>
      <c r="C3307" t="str">
        <f>VLOOKUP(NoviaFunds[[#This Row],[ISIN]],'Novia Web Query'!$A:$E,3,FALSE)</f>
        <v>UT Mixed Investment 20-60% Shares</v>
      </c>
      <c r="D3307" s="139">
        <f>VLOOKUP(NoviaFunds[[#This Row],[ISIN]],'Novia Web Query'!$A:$E,4,FALSE)/100</f>
        <v>2.3300000000000001E-2</v>
      </c>
      <c r="E3307" s="3" t="str">
        <f>VLOOKUP(NoviaFunds[[#This Row],[ISIN]],'Novia Web Query'!$A:$E,5,FALSE)</f>
        <v>31/10/2021</v>
      </c>
      <c r="F3307" t="str">
        <f>VLOOKUP(NoviaFunds[[#This Row],[Sector]],Sectors[],2,FALSE)</f>
        <v>Mixed 20%-60%</v>
      </c>
    </row>
    <row r="3308" spans="1:6" x14ac:dyDescent="0.2">
      <c r="A3308" t="str">
        <f>'Novia Web Query'!A3304</f>
        <v>GB00B3FQB992</v>
      </c>
      <c r="B3308" t="str">
        <f>VLOOKUP(NoviaFunds[[#This Row],[ISIN]],'Novia Web Query'!$A:$E,2,FALSE)</f>
        <v>Premier Miton Multi-Asset Monthly Income A Inc GBP TR in GB</v>
      </c>
      <c r="C3308" t="str">
        <f>VLOOKUP(NoviaFunds[[#This Row],[ISIN]],'Novia Web Query'!$A:$E,3,FALSE)</f>
        <v>UT Mixed Investment 20-60% Shares</v>
      </c>
      <c r="D3308" s="139">
        <f>VLOOKUP(NoviaFunds[[#This Row],[ISIN]],'Novia Web Query'!$A:$E,4,FALSE)/100</f>
        <v>2.3300000000000001E-2</v>
      </c>
      <c r="E3308" s="3" t="str">
        <f>VLOOKUP(NoviaFunds[[#This Row],[ISIN]],'Novia Web Query'!$A:$E,5,FALSE)</f>
        <v>31/10/2021</v>
      </c>
      <c r="F3308" t="str">
        <f>VLOOKUP(NoviaFunds[[#This Row],[Sector]],Sectors[],2,FALSE)</f>
        <v>Mixed 20%-60%</v>
      </c>
    </row>
    <row r="3309" spans="1:6" x14ac:dyDescent="0.2">
      <c r="A3309" t="str">
        <f>'Novia Web Query'!A3305</f>
        <v>GB00B84CL591</v>
      </c>
      <c r="B3309" t="str">
        <f>VLOOKUP(NoviaFunds[[#This Row],[ISIN]],'Novia Web Query'!$A:$E,2,FALSE)</f>
        <v>Premier Miton Multi-Asset Monthly Income B Inc GBP TR in GB</v>
      </c>
      <c r="C3309" t="str">
        <f>VLOOKUP(NoviaFunds[[#This Row],[ISIN]],'Novia Web Query'!$A:$E,3,FALSE)</f>
        <v>UT Mixed Investment 20-60% Shares</v>
      </c>
      <c r="D3309" s="139">
        <f>VLOOKUP(NoviaFunds[[#This Row],[ISIN]],'Novia Web Query'!$A:$E,4,FALSE)/100</f>
        <v>1.83E-2</v>
      </c>
      <c r="E3309" s="3" t="str">
        <f>VLOOKUP(NoviaFunds[[#This Row],[ISIN]],'Novia Web Query'!$A:$E,5,FALSE)</f>
        <v>31/10/2021</v>
      </c>
      <c r="F3309" t="str">
        <f>VLOOKUP(NoviaFunds[[#This Row],[Sector]],Sectors[],2,FALSE)</f>
        <v>Mixed 20%-60%</v>
      </c>
    </row>
    <row r="3310" spans="1:6" x14ac:dyDescent="0.2">
      <c r="A3310" t="str">
        <f>'Novia Web Query'!A3306</f>
        <v>GB00BTHH0D93</v>
      </c>
      <c r="B3310" t="str">
        <f>VLOOKUP(NoviaFunds[[#This Row],[ISIN]],'Novia Web Query'!$A:$E,2,FALSE)</f>
        <v>Premier Miton Multi-Asset Monthly Income C Acc GBP TR in GB</v>
      </c>
      <c r="C3310" t="str">
        <f>VLOOKUP(NoviaFunds[[#This Row],[ISIN]],'Novia Web Query'!$A:$E,3,FALSE)</f>
        <v>UT Mixed Investment 20-60% Shares</v>
      </c>
      <c r="D3310" s="139">
        <f>VLOOKUP(NoviaFunds[[#This Row],[ISIN]],'Novia Web Query'!$A:$E,4,FALSE)/100</f>
        <v>1.5800000000000002E-2</v>
      </c>
      <c r="E3310" s="3" t="str">
        <f>VLOOKUP(NoviaFunds[[#This Row],[ISIN]],'Novia Web Query'!$A:$E,5,FALSE)</f>
        <v>31/10/2021</v>
      </c>
      <c r="F3310" t="str">
        <f>VLOOKUP(NoviaFunds[[#This Row],[Sector]],Sectors[],2,FALSE)</f>
        <v>Mixed 20%-60%</v>
      </c>
    </row>
    <row r="3311" spans="1:6" x14ac:dyDescent="0.2">
      <c r="A3311" t="str">
        <f>'Novia Web Query'!A3307</f>
        <v>GB00B7GGPC79</v>
      </c>
      <c r="B3311" t="str">
        <f>VLOOKUP(NoviaFunds[[#This Row],[ISIN]],'Novia Web Query'!$A:$E,2,FALSE)</f>
        <v>Premier Miton Multi-Asset Monthly Income C Inc GBP TR in GB</v>
      </c>
      <c r="C3311" t="str">
        <f>VLOOKUP(NoviaFunds[[#This Row],[ISIN]],'Novia Web Query'!$A:$E,3,FALSE)</f>
        <v>UT Mixed Investment 20-60% Shares</v>
      </c>
      <c r="D3311" s="139">
        <f>VLOOKUP(NoviaFunds[[#This Row],[ISIN]],'Novia Web Query'!$A:$E,4,FALSE)/100</f>
        <v>1.5800000000000002E-2</v>
      </c>
      <c r="E3311" s="3" t="str">
        <f>VLOOKUP(NoviaFunds[[#This Row],[ISIN]],'Novia Web Query'!$A:$E,5,FALSE)</f>
        <v>31/10/2021</v>
      </c>
      <c r="F3311" t="str">
        <f>VLOOKUP(NoviaFunds[[#This Row],[Sector]],Sectors[],2,FALSE)</f>
        <v>Mixed 20%-60%</v>
      </c>
    </row>
    <row r="3312" spans="1:6" x14ac:dyDescent="0.2">
      <c r="A3312" t="str">
        <f>'Novia Web Query'!A3308</f>
        <v>GB0006641384</v>
      </c>
      <c r="B3312" t="str">
        <f>VLOOKUP(NoviaFunds[[#This Row],[ISIN]],'Novia Web Query'!$A:$E,2,FALSE)</f>
        <v>Premier Miton Optimum Income A Inc GBP TR in GB</v>
      </c>
      <c r="C3312" t="str">
        <f>VLOOKUP(NoviaFunds[[#This Row],[ISIN]],'Novia Web Query'!$A:$E,3,FALSE)</f>
        <v>UT UK Equity Income</v>
      </c>
      <c r="D3312" s="139">
        <f>VLOOKUP(NoviaFunds[[#This Row],[ISIN]],'Novia Web Query'!$A:$E,4,FALSE)/100</f>
        <v>1.8000000000000002E-2</v>
      </c>
      <c r="E3312" s="3" t="str">
        <f>VLOOKUP(NoviaFunds[[#This Row],[ISIN]],'Novia Web Query'!$A:$E,5,FALSE)</f>
        <v>31/05/2021</v>
      </c>
      <c r="F3312" t="str">
        <f>VLOOKUP(NoviaFunds[[#This Row],[Sector]],Sectors[],2,FALSE)</f>
        <v>UK Equities</v>
      </c>
    </row>
    <row r="3313" spans="1:6" x14ac:dyDescent="0.2">
      <c r="A3313" t="str">
        <f>'Novia Web Query'!A3309</f>
        <v>GB00B3DDDX03</v>
      </c>
      <c r="B3313" t="str">
        <f>VLOOKUP(NoviaFunds[[#This Row],[ISIN]],'Novia Web Query'!$A:$E,2,FALSE)</f>
        <v>Premier Miton Optimum Income C Inc GBP TR in GB</v>
      </c>
      <c r="C3313" t="str">
        <f>VLOOKUP(NoviaFunds[[#This Row],[ISIN]],'Novia Web Query'!$A:$E,3,FALSE)</f>
        <v>UT UK Equity Income</v>
      </c>
      <c r="D3313" s="139">
        <f>VLOOKUP(NoviaFunds[[#This Row],[ISIN]],'Novia Web Query'!$A:$E,4,FALSE)/100</f>
        <v>1.0500000000000001E-2</v>
      </c>
      <c r="E3313" s="3" t="str">
        <f>VLOOKUP(NoviaFunds[[#This Row],[ISIN]],'Novia Web Query'!$A:$E,5,FALSE)</f>
        <v>31/05/2021</v>
      </c>
      <c r="F3313" t="str">
        <f>VLOOKUP(NoviaFunds[[#This Row],[Sector]],Sectors[],2,FALSE)</f>
        <v>UK Equities</v>
      </c>
    </row>
    <row r="3314" spans="1:6" x14ac:dyDescent="0.2">
      <c r="A3314" t="str">
        <f>'Novia Web Query'!A3310</f>
        <v>GB0030599798</v>
      </c>
      <c r="B3314" t="str">
        <f>VLOOKUP(NoviaFunds[[#This Row],[ISIN]],'Novia Web Query'!$A:$E,2,FALSE)</f>
        <v>Premier Miton Pan European Property Share A Inc GBP TR in GB</v>
      </c>
      <c r="C3314" t="str">
        <f>VLOOKUP(NoviaFunds[[#This Row],[ISIN]],'Novia Web Query'!$A:$E,3,FALSE)</f>
        <v>UT Property Other</v>
      </c>
      <c r="D3314" s="139">
        <f>VLOOKUP(NoviaFunds[[#This Row],[ISIN]],'Novia Web Query'!$A:$E,4,FALSE)/100</f>
        <v>1.6299999999999999E-2</v>
      </c>
      <c r="E3314" s="3" t="str">
        <f>VLOOKUP(NoviaFunds[[#This Row],[ISIN]],'Novia Web Query'!$A:$E,5,FALSE)</f>
        <v>31/05/2021</v>
      </c>
      <c r="F3314" t="e">
        <f>VLOOKUP(NoviaFunds[[#This Row],[Sector]],Sectors[],2,FALSE)</f>
        <v>#N/A</v>
      </c>
    </row>
    <row r="3315" spans="1:6" x14ac:dyDescent="0.2">
      <c r="A3315" t="str">
        <f>'Novia Web Query'!A3311</f>
        <v>GB00B65PFY02</v>
      </c>
      <c r="B3315" t="str">
        <f>VLOOKUP(NoviaFunds[[#This Row],[ISIN]],'Novia Web Query'!$A:$E,2,FALSE)</f>
        <v>Premier Miton Pan European Property Share C Acc GBP TR in GB</v>
      </c>
      <c r="C3315" t="str">
        <f>VLOOKUP(NoviaFunds[[#This Row],[ISIN]],'Novia Web Query'!$A:$E,3,FALSE)</f>
        <v>UT Property Other</v>
      </c>
      <c r="D3315" s="139">
        <f>VLOOKUP(NoviaFunds[[#This Row],[ISIN]],'Novia Web Query'!$A:$E,4,FALSE)/100</f>
        <v>8.8000000000000005E-3</v>
      </c>
      <c r="E3315" s="3" t="str">
        <f>VLOOKUP(NoviaFunds[[#This Row],[ISIN]],'Novia Web Query'!$A:$E,5,FALSE)</f>
        <v>31/05/2021</v>
      </c>
      <c r="F3315" t="e">
        <f>VLOOKUP(NoviaFunds[[#This Row],[Sector]],Sectors[],2,FALSE)</f>
        <v>#N/A</v>
      </c>
    </row>
    <row r="3316" spans="1:6" x14ac:dyDescent="0.2">
      <c r="A3316" t="str">
        <f>'Novia Web Query'!A3312</f>
        <v>GB00B65PFX94</v>
      </c>
      <c r="B3316" t="str">
        <f>VLOOKUP(NoviaFunds[[#This Row],[ISIN]],'Novia Web Query'!$A:$E,2,FALSE)</f>
        <v>Premier Miton Pan European Property Share C Inc GBP TR in GB</v>
      </c>
      <c r="C3316" t="str">
        <f>VLOOKUP(NoviaFunds[[#This Row],[ISIN]],'Novia Web Query'!$A:$E,3,FALSE)</f>
        <v>UT Property Other</v>
      </c>
      <c r="D3316" s="139">
        <f>VLOOKUP(NoviaFunds[[#This Row],[ISIN]],'Novia Web Query'!$A:$E,4,FALSE)/100</f>
        <v>8.8000000000000005E-3</v>
      </c>
      <c r="E3316" s="3" t="str">
        <f>VLOOKUP(NoviaFunds[[#This Row],[ISIN]],'Novia Web Query'!$A:$E,5,FALSE)</f>
        <v>31/05/2021</v>
      </c>
      <c r="F3316" t="e">
        <f>VLOOKUP(NoviaFunds[[#This Row],[Sector]],Sectors[],2,FALSE)</f>
        <v>#N/A</v>
      </c>
    </row>
    <row r="3317" spans="1:6" x14ac:dyDescent="0.2">
      <c r="A3317" t="str">
        <f>'Novia Web Query'!A3313</f>
        <v>GB00B4VBB957</v>
      </c>
      <c r="B3317" t="str">
        <f>VLOOKUP(NoviaFunds[[#This Row],[ISIN]],'Novia Web Query'!$A:$E,2,FALSE)</f>
        <v>Premier Miton Responsible UK Equity A Acc GBP in GB</v>
      </c>
      <c r="C3317" t="str">
        <f>VLOOKUP(NoviaFunds[[#This Row],[ISIN]],'Novia Web Query'!$A:$E,3,FALSE)</f>
        <v>UT UK All Companies</v>
      </c>
      <c r="D3317" s="139">
        <f>VLOOKUP(NoviaFunds[[#This Row],[ISIN]],'Novia Web Query'!$A:$E,4,FALSE)/100</f>
        <v>1.6399999999999998E-2</v>
      </c>
      <c r="E3317" s="3" t="str">
        <f>VLOOKUP(NoviaFunds[[#This Row],[ISIN]],'Novia Web Query'!$A:$E,5,FALSE)</f>
        <v>31/08/2021</v>
      </c>
      <c r="F3317" t="str">
        <f>VLOOKUP(NoviaFunds[[#This Row],[Sector]],Sectors[],2,FALSE)</f>
        <v>UK Equities</v>
      </c>
    </row>
    <row r="3318" spans="1:6" x14ac:dyDescent="0.2">
      <c r="A3318" t="str">
        <f>'Novia Web Query'!A3314</f>
        <v>GB0004072699</v>
      </c>
      <c r="B3318" t="str">
        <f>VLOOKUP(NoviaFunds[[#This Row],[ISIN]],'Novia Web Query'!$A:$E,2,FALSE)</f>
        <v>Premier Miton Responsible UK Equity A Inc GBP TR in GB</v>
      </c>
      <c r="C3318" t="str">
        <f>VLOOKUP(NoviaFunds[[#This Row],[ISIN]],'Novia Web Query'!$A:$E,3,FALSE)</f>
        <v>UT UK All Companies</v>
      </c>
      <c r="D3318" s="139">
        <f>VLOOKUP(NoviaFunds[[#This Row],[ISIN]],'Novia Web Query'!$A:$E,4,FALSE)/100</f>
        <v>1.6399999999999998E-2</v>
      </c>
      <c r="E3318" s="3" t="str">
        <f>VLOOKUP(NoviaFunds[[#This Row],[ISIN]],'Novia Web Query'!$A:$E,5,FALSE)</f>
        <v>31/08/2021</v>
      </c>
      <c r="F3318" t="str">
        <f>VLOOKUP(NoviaFunds[[#This Row],[Sector]],Sectors[],2,FALSE)</f>
        <v>UK Equities</v>
      </c>
    </row>
    <row r="3319" spans="1:6" x14ac:dyDescent="0.2">
      <c r="A3319" t="str">
        <f>'Novia Web Query'!A3315</f>
        <v>GB0004080809</v>
      </c>
      <c r="B3319" t="str">
        <f>VLOOKUP(NoviaFunds[[#This Row],[ISIN]],'Novia Web Query'!$A:$E,2,FALSE)</f>
        <v>Premier Miton Responsible UK Equity B Inc GBP TR in GB</v>
      </c>
      <c r="C3319" t="str">
        <f>VLOOKUP(NoviaFunds[[#This Row],[ISIN]],'Novia Web Query'!$A:$E,3,FALSE)</f>
        <v>UT UK All Companies</v>
      </c>
      <c r="D3319" s="139">
        <f>VLOOKUP(NoviaFunds[[#This Row],[ISIN]],'Novia Web Query'!$A:$E,4,FALSE)/100</f>
        <v>1.1399999999999999E-2</v>
      </c>
      <c r="E3319" s="3" t="str">
        <f>VLOOKUP(NoviaFunds[[#This Row],[ISIN]],'Novia Web Query'!$A:$E,5,FALSE)</f>
        <v>31/08/2021</v>
      </c>
      <c r="F3319" t="str">
        <f>VLOOKUP(NoviaFunds[[#This Row],[Sector]],Sectors[],2,FALSE)</f>
        <v>UK Equities</v>
      </c>
    </row>
    <row r="3320" spans="1:6" x14ac:dyDescent="0.2">
      <c r="A3320" t="str">
        <f>'Novia Web Query'!A3316</f>
        <v>GB00BTHH0625</v>
      </c>
      <c r="B3320" t="str">
        <f>VLOOKUP(NoviaFunds[[#This Row],[ISIN]],'Novia Web Query'!$A:$E,2,FALSE)</f>
        <v>Premier Miton Responsible UK Equity C Acc GBP TR in GB</v>
      </c>
      <c r="C3320" t="str">
        <f>VLOOKUP(NoviaFunds[[#This Row],[ISIN]],'Novia Web Query'!$A:$E,3,FALSE)</f>
        <v>UT UK All Companies</v>
      </c>
      <c r="D3320" s="139">
        <f>VLOOKUP(NoviaFunds[[#This Row],[ISIN]],'Novia Web Query'!$A:$E,4,FALSE)/100</f>
        <v>8.8999999999999999E-3</v>
      </c>
      <c r="E3320" s="3" t="str">
        <f>VLOOKUP(NoviaFunds[[#This Row],[ISIN]],'Novia Web Query'!$A:$E,5,FALSE)</f>
        <v>31/08/2021</v>
      </c>
      <c r="F3320" t="str">
        <f>VLOOKUP(NoviaFunds[[#This Row],[Sector]],Sectors[],2,FALSE)</f>
        <v>UK Equities</v>
      </c>
    </row>
    <row r="3321" spans="1:6" x14ac:dyDescent="0.2">
      <c r="A3321" t="str">
        <f>'Novia Web Query'!A3317</f>
        <v>GB0004073002</v>
      </c>
      <c r="B3321" t="str">
        <f>VLOOKUP(NoviaFunds[[#This Row],[ISIN]],'Novia Web Query'!$A:$E,2,FALSE)</f>
        <v>Premier Miton Responsible UK Equity C Inc GBP TR in GB</v>
      </c>
      <c r="C3321" t="str">
        <f>VLOOKUP(NoviaFunds[[#This Row],[ISIN]],'Novia Web Query'!$A:$E,3,FALSE)</f>
        <v>UT UK All Companies</v>
      </c>
      <c r="D3321" s="139">
        <f>VLOOKUP(NoviaFunds[[#This Row],[ISIN]],'Novia Web Query'!$A:$E,4,FALSE)/100</f>
        <v>8.8999999999999999E-3</v>
      </c>
      <c r="E3321" s="3" t="str">
        <f>VLOOKUP(NoviaFunds[[#This Row],[ISIN]],'Novia Web Query'!$A:$E,5,FALSE)</f>
        <v>31/08/2021</v>
      </c>
      <c r="F3321" t="str">
        <f>VLOOKUP(NoviaFunds[[#This Row],[Sector]],Sectors[],2,FALSE)</f>
        <v>UK Equities</v>
      </c>
    </row>
    <row r="3322" spans="1:6" x14ac:dyDescent="0.2">
      <c r="A3322" t="str">
        <f>'Novia Web Query'!A3318</f>
        <v>GB0031639007</v>
      </c>
      <c r="B3322" t="str">
        <f>VLOOKUP(NoviaFunds[[#This Row],[ISIN]],'Novia Web Query'!$A:$E,2,FALSE)</f>
        <v>Premier Miton UK Growth A Inc GBP TR in GB</v>
      </c>
      <c r="C3322" t="str">
        <f>VLOOKUP(NoviaFunds[[#This Row],[ISIN]],'Novia Web Query'!$A:$E,3,FALSE)</f>
        <v>UT UK All Companies</v>
      </c>
      <c r="D3322" s="139">
        <f>VLOOKUP(NoviaFunds[[#This Row],[ISIN]],'Novia Web Query'!$A:$E,4,FALSE)/100</f>
        <v>1.6500000000000001E-2</v>
      </c>
      <c r="E3322" s="3" t="str">
        <f>VLOOKUP(NoviaFunds[[#This Row],[ISIN]],'Novia Web Query'!$A:$E,5,FALSE)</f>
        <v>31/08/2021</v>
      </c>
      <c r="F3322" t="str">
        <f>VLOOKUP(NoviaFunds[[#This Row],[Sector]],Sectors[],2,FALSE)</f>
        <v>UK Equities</v>
      </c>
    </row>
    <row r="3323" spans="1:6" x14ac:dyDescent="0.2">
      <c r="A3323" t="str">
        <f>'Novia Web Query'!A3319</f>
        <v>GB0031639221</v>
      </c>
      <c r="B3323" t="str">
        <f>VLOOKUP(NoviaFunds[[#This Row],[ISIN]],'Novia Web Query'!$A:$E,2,FALSE)</f>
        <v>Premier Miton UK Growth C Inc GBP TR in GB</v>
      </c>
      <c r="C3323" t="str">
        <f>VLOOKUP(NoviaFunds[[#This Row],[ISIN]],'Novia Web Query'!$A:$E,3,FALSE)</f>
        <v>UT UK All Companies</v>
      </c>
      <c r="D3323" s="139">
        <f>VLOOKUP(NoviaFunds[[#This Row],[ISIN]],'Novia Web Query'!$A:$E,4,FALSE)/100</f>
        <v>9.0000000000000011E-3</v>
      </c>
      <c r="E3323" s="3" t="str">
        <f>VLOOKUP(NoviaFunds[[#This Row],[ISIN]],'Novia Web Query'!$A:$E,5,FALSE)</f>
        <v>31/08/2021</v>
      </c>
      <c r="F3323" t="str">
        <f>VLOOKUP(NoviaFunds[[#This Row],[Sector]],Sectors[],2,FALSE)</f>
        <v>UK Equities</v>
      </c>
    </row>
    <row r="3324" spans="1:6" x14ac:dyDescent="0.2">
      <c r="A3324" t="str">
        <f>'Novia Web Query'!A3320</f>
        <v>GB0007061152</v>
      </c>
      <c r="B3324" t="str">
        <f>VLOOKUP(NoviaFunds[[#This Row],[ISIN]],'Novia Web Query'!$A:$E,2,FALSE)</f>
        <v>Premier Miton UK Money Market A Acc GBP in GB</v>
      </c>
      <c r="C3324" t="str">
        <f>VLOOKUP(NoviaFunds[[#This Row],[ISIN]],'Novia Web Query'!$A:$E,3,FALSE)</f>
        <v>UT Standard Money Market</v>
      </c>
      <c r="D3324" s="139">
        <f>VLOOKUP(NoviaFunds[[#This Row],[ISIN]],'Novia Web Query'!$A:$E,4,FALSE)/100</f>
        <v>5.7999999999999996E-3</v>
      </c>
      <c r="E3324" s="3" t="str">
        <f>VLOOKUP(NoviaFunds[[#This Row],[ISIN]],'Novia Web Query'!$A:$E,5,FALSE)</f>
        <v>31/07/2021</v>
      </c>
      <c r="F3324" t="e">
        <f>VLOOKUP(NoviaFunds[[#This Row],[Sector]],Sectors[],2,FALSE)</f>
        <v>#N/A</v>
      </c>
    </row>
    <row r="3325" spans="1:6" x14ac:dyDescent="0.2">
      <c r="A3325" t="str">
        <f>'Novia Web Query'!A3321</f>
        <v>GB0007061269</v>
      </c>
      <c r="B3325" t="str">
        <f>VLOOKUP(NoviaFunds[[#This Row],[ISIN]],'Novia Web Query'!$A:$E,2,FALSE)</f>
        <v>Premier Miton UK Money Market A Inc GBP TR in GB</v>
      </c>
      <c r="C3325" t="str">
        <f>VLOOKUP(NoviaFunds[[#This Row],[ISIN]],'Novia Web Query'!$A:$E,3,FALSE)</f>
        <v>UT Standard Money Market</v>
      </c>
      <c r="D3325" s="139">
        <f>VLOOKUP(NoviaFunds[[#This Row],[ISIN]],'Novia Web Query'!$A:$E,4,FALSE)/100</f>
        <v>5.7999999999999996E-3</v>
      </c>
      <c r="E3325" s="3" t="str">
        <f>VLOOKUP(NoviaFunds[[#This Row],[ISIN]],'Novia Web Query'!$A:$E,5,FALSE)</f>
        <v>31/07/2021</v>
      </c>
      <c r="F3325" t="e">
        <f>VLOOKUP(NoviaFunds[[#This Row],[Sector]],Sectors[],2,FALSE)</f>
        <v>#N/A</v>
      </c>
    </row>
    <row r="3326" spans="1:6" x14ac:dyDescent="0.2">
      <c r="A3326" t="str">
        <f>'Novia Web Query'!A3322</f>
        <v>GB00BTHH0F18</v>
      </c>
      <c r="B3326" t="str">
        <f>VLOOKUP(NoviaFunds[[#This Row],[ISIN]],'Novia Web Query'!$A:$E,2,FALSE)</f>
        <v>Premier Miton UK Money Market B Acc GBP in GB</v>
      </c>
      <c r="C3326" t="str">
        <f>VLOOKUP(NoviaFunds[[#This Row],[ISIN]],'Novia Web Query'!$A:$E,3,FALSE)</f>
        <v>UT Standard Money Market</v>
      </c>
      <c r="D3326" s="139">
        <f>VLOOKUP(NoviaFunds[[#This Row],[ISIN]],'Novia Web Query'!$A:$E,4,FALSE)/100</f>
        <v>2.8000000000000004E-3</v>
      </c>
      <c r="E3326" s="3" t="str">
        <f>VLOOKUP(NoviaFunds[[#This Row],[ISIN]],'Novia Web Query'!$A:$E,5,FALSE)</f>
        <v>31/07/2021</v>
      </c>
      <c r="F3326" t="e">
        <f>VLOOKUP(NoviaFunds[[#This Row],[Sector]],Sectors[],2,FALSE)</f>
        <v>#N/A</v>
      </c>
    </row>
    <row r="3327" spans="1:6" x14ac:dyDescent="0.2">
      <c r="A3327" t="str">
        <f>'Novia Web Query'!A3323</f>
        <v>GB00B8HDQ548</v>
      </c>
      <c r="B3327" t="str">
        <f>VLOOKUP(NoviaFunds[[#This Row],[ISIN]],'Novia Web Query'!$A:$E,2,FALSE)</f>
        <v>Premier Miton UK Money Market B Inc GBP TR in GB</v>
      </c>
      <c r="C3327" t="str">
        <f>VLOOKUP(NoviaFunds[[#This Row],[ISIN]],'Novia Web Query'!$A:$E,3,FALSE)</f>
        <v>UT Standard Money Market</v>
      </c>
      <c r="D3327" s="139">
        <f>VLOOKUP(NoviaFunds[[#This Row],[ISIN]],'Novia Web Query'!$A:$E,4,FALSE)/100</f>
        <v>2.8000000000000004E-3</v>
      </c>
      <c r="E3327" s="3" t="str">
        <f>VLOOKUP(NoviaFunds[[#This Row],[ISIN]],'Novia Web Query'!$A:$E,5,FALSE)</f>
        <v>31/07/2021</v>
      </c>
      <c r="F3327" t="e">
        <f>VLOOKUP(NoviaFunds[[#This Row],[Sector]],Sectors[],2,FALSE)</f>
        <v>#N/A</v>
      </c>
    </row>
    <row r="3328" spans="1:6" x14ac:dyDescent="0.2">
      <c r="A3328" t="str">
        <f>'Novia Web Query'!A3324</f>
        <v>GB00B6919195</v>
      </c>
      <c r="B3328" t="str">
        <f>VLOOKUP(NoviaFunds[[#This Row],[ISIN]],'Novia Web Query'!$A:$E,2,FALSE)</f>
        <v>Premier Miton UK Multi Cap Income A Inc GBP TR in GB</v>
      </c>
      <c r="C3328" t="str">
        <f>VLOOKUP(NoviaFunds[[#This Row],[ISIN]],'Novia Web Query'!$A:$E,3,FALSE)</f>
        <v>UT UK Equity Income</v>
      </c>
      <c r="D3328" s="139">
        <f>VLOOKUP(NoviaFunds[[#This Row],[ISIN]],'Novia Web Query'!$A:$E,4,FALSE)/100</f>
        <v>1.5600000000000001E-2</v>
      </c>
      <c r="E3328" s="3" t="str">
        <f>VLOOKUP(NoviaFunds[[#This Row],[ISIN]],'Novia Web Query'!$A:$E,5,FALSE)</f>
        <v>31/05/2021</v>
      </c>
      <c r="F3328" t="str">
        <f>VLOOKUP(NoviaFunds[[#This Row],[Sector]],Sectors[],2,FALSE)</f>
        <v>UK Equities</v>
      </c>
    </row>
    <row r="3329" spans="1:6" x14ac:dyDescent="0.2">
      <c r="A3329" t="str">
        <f>'Novia Web Query'!A3325</f>
        <v>GB00B41NHD71</v>
      </c>
      <c r="B3329" t="str">
        <f>VLOOKUP(NoviaFunds[[#This Row],[ISIN]],'Novia Web Query'!$A:$E,2,FALSE)</f>
        <v>Premier Miton UK Multi Cap Income B Inst Acc GBP in GB</v>
      </c>
      <c r="C3329" t="str">
        <f>VLOOKUP(NoviaFunds[[#This Row],[ISIN]],'Novia Web Query'!$A:$E,3,FALSE)</f>
        <v>UT UK Equity Income</v>
      </c>
      <c r="D3329" s="139">
        <f>VLOOKUP(NoviaFunds[[#This Row],[ISIN]],'Novia Web Query'!$A:$E,4,FALSE)/100</f>
        <v>8.1000000000000013E-3</v>
      </c>
      <c r="E3329" s="3" t="str">
        <f>VLOOKUP(NoviaFunds[[#This Row],[ISIN]],'Novia Web Query'!$A:$E,5,FALSE)</f>
        <v>31/05/2021</v>
      </c>
      <c r="F3329" t="str">
        <f>VLOOKUP(NoviaFunds[[#This Row],[Sector]],Sectors[],2,FALSE)</f>
        <v>UK Equities</v>
      </c>
    </row>
    <row r="3330" spans="1:6" x14ac:dyDescent="0.2">
      <c r="A3330" t="str">
        <f>'Novia Web Query'!A3326</f>
        <v>GB00B4M24M14</v>
      </c>
      <c r="B3330" t="str">
        <f>VLOOKUP(NoviaFunds[[#This Row],[ISIN]],'Novia Web Query'!$A:$E,2,FALSE)</f>
        <v>Premier Miton UK Multi Cap Income B Inst Inc GBP TR in GB</v>
      </c>
      <c r="C3330" t="str">
        <f>VLOOKUP(NoviaFunds[[#This Row],[ISIN]],'Novia Web Query'!$A:$E,3,FALSE)</f>
        <v>UT UK Equity Income</v>
      </c>
      <c r="D3330" s="139">
        <f>VLOOKUP(NoviaFunds[[#This Row],[ISIN]],'Novia Web Query'!$A:$E,4,FALSE)/100</f>
        <v>8.1000000000000013E-3</v>
      </c>
      <c r="E3330" s="3" t="str">
        <f>VLOOKUP(NoviaFunds[[#This Row],[ISIN]],'Novia Web Query'!$A:$E,5,FALSE)</f>
        <v>31/05/2021</v>
      </c>
      <c r="F3330" t="str">
        <f>VLOOKUP(NoviaFunds[[#This Row],[Sector]],Sectors[],2,FALSE)</f>
        <v>UK Equities</v>
      </c>
    </row>
    <row r="3331" spans="1:6" x14ac:dyDescent="0.2">
      <c r="A3331" t="str">
        <f>'Novia Web Query'!A3327</f>
        <v>GB00B8JWZP29</v>
      </c>
      <c r="B3331" t="str">
        <f>VLOOKUP(NoviaFunds[[#This Row],[ISIN]],'Novia Web Query'!$A:$E,2,FALSE)</f>
        <v>Premier Miton UK Smaller Companies B Acc GBP in GB</v>
      </c>
      <c r="C3331" t="str">
        <f>VLOOKUP(NoviaFunds[[#This Row],[ISIN]],'Novia Web Query'!$A:$E,3,FALSE)</f>
        <v>UT UK Smaller Companies</v>
      </c>
      <c r="D3331" s="139">
        <f>VLOOKUP(NoviaFunds[[#This Row],[ISIN]],'Novia Web Query'!$A:$E,4,FALSE)/100</f>
        <v>8.6999999999999994E-3</v>
      </c>
      <c r="E3331" s="3" t="str">
        <f>VLOOKUP(NoviaFunds[[#This Row],[ISIN]],'Novia Web Query'!$A:$E,5,FALSE)</f>
        <v>31/05/2021</v>
      </c>
      <c r="F3331" t="str">
        <f>VLOOKUP(NoviaFunds[[#This Row],[Sector]],Sectors[],2,FALSE)</f>
        <v>UK Equities</v>
      </c>
    </row>
    <row r="3332" spans="1:6" x14ac:dyDescent="0.2">
      <c r="A3332" t="str">
        <f>'Novia Web Query'!A3328</f>
        <v>GB00B74F2253</v>
      </c>
      <c r="B3332" t="str">
        <f>VLOOKUP(NoviaFunds[[#This Row],[ISIN]],'Novia Web Query'!$A:$E,2,FALSE)</f>
        <v>Premier Miton UK Smaller Companies B Inc GBP TR in GB</v>
      </c>
      <c r="C3332" t="str">
        <f>VLOOKUP(NoviaFunds[[#This Row],[ISIN]],'Novia Web Query'!$A:$E,3,FALSE)</f>
        <v>UT UK Smaller Companies</v>
      </c>
      <c r="D3332" s="139">
        <f>VLOOKUP(NoviaFunds[[#This Row],[ISIN]],'Novia Web Query'!$A:$E,4,FALSE)/100</f>
        <v>8.6999999999999994E-3</v>
      </c>
      <c r="E3332" s="3" t="str">
        <f>VLOOKUP(NoviaFunds[[#This Row],[ISIN]],'Novia Web Query'!$A:$E,5,FALSE)</f>
        <v>31/05/2021</v>
      </c>
      <c r="F3332" t="str">
        <f>VLOOKUP(NoviaFunds[[#This Row],[Sector]],Sectors[],2,FALSE)</f>
        <v>UK Equities</v>
      </c>
    </row>
    <row r="3333" spans="1:6" x14ac:dyDescent="0.2">
      <c r="A3333" t="str">
        <f>'Novia Web Query'!A3329</f>
        <v>GB00B8QW1M42</v>
      </c>
      <c r="B3333" t="str">
        <f>VLOOKUP(NoviaFunds[[#This Row],[ISIN]],'Novia Web Query'!$A:$E,2,FALSE)</f>
        <v>Premier Miton UK Value Opportunities B Inst Acc GBP in GB</v>
      </c>
      <c r="C3333" t="str">
        <f>VLOOKUP(NoviaFunds[[#This Row],[ISIN]],'Novia Web Query'!$A:$E,3,FALSE)</f>
        <v>UT UK All Companies</v>
      </c>
      <c r="D3333" s="139">
        <f>VLOOKUP(NoviaFunds[[#This Row],[ISIN]],'Novia Web Query'!$A:$E,4,FALSE)/100</f>
        <v>8.5000000000000006E-3</v>
      </c>
      <c r="E3333" s="3" t="str">
        <f>VLOOKUP(NoviaFunds[[#This Row],[ISIN]],'Novia Web Query'!$A:$E,5,FALSE)</f>
        <v>31/05/2021</v>
      </c>
      <c r="F3333" t="str">
        <f>VLOOKUP(NoviaFunds[[#This Row],[Sector]],Sectors[],2,FALSE)</f>
        <v>UK Equities</v>
      </c>
    </row>
    <row r="3334" spans="1:6" x14ac:dyDescent="0.2">
      <c r="A3334" t="str">
        <f>'Novia Web Query'!A3330</f>
        <v>GB00B86X4W81</v>
      </c>
      <c r="B3334" t="str">
        <f>VLOOKUP(NoviaFunds[[#This Row],[ISIN]],'Novia Web Query'!$A:$E,2,FALSE)</f>
        <v>Premier Miton UK Value Opportunities B Inst Inc GBP TR in GB</v>
      </c>
      <c r="C3334" t="str">
        <f>VLOOKUP(NoviaFunds[[#This Row],[ISIN]],'Novia Web Query'!$A:$E,3,FALSE)</f>
        <v>UT UK All Companies</v>
      </c>
      <c r="D3334" s="139">
        <f>VLOOKUP(NoviaFunds[[#This Row],[ISIN]],'Novia Web Query'!$A:$E,4,FALSE)/100</f>
        <v>8.5000000000000006E-3</v>
      </c>
      <c r="E3334" s="3" t="str">
        <f>VLOOKUP(NoviaFunds[[#This Row],[ISIN]],'Novia Web Query'!$A:$E,5,FALSE)</f>
        <v>31/05/2021</v>
      </c>
      <c r="F3334" t="str">
        <f>VLOOKUP(NoviaFunds[[#This Row],[Sector]],Sectors[],2,FALSE)</f>
        <v>UK Equities</v>
      </c>
    </row>
    <row r="3335" spans="1:6" x14ac:dyDescent="0.2">
      <c r="A3335" t="str">
        <f>'Novia Web Query'!A3331</f>
        <v>GB00B8278F56</v>
      </c>
      <c r="B3335" t="str">
        <f>VLOOKUP(NoviaFunds[[#This Row],[ISIN]],'Novia Web Query'!$A:$E,2,FALSE)</f>
        <v>Premier Miton US Opportunities B Acc GBP in GB</v>
      </c>
      <c r="C3335" t="str">
        <f>VLOOKUP(NoviaFunds[[#This Row],[ISIN]],'Novia Web Query'!$A:$E,3,FALSE)</f>
        <v>UT North America</v>
      </c>
      <c r="D3335" s="139">
        <f>VLOOKUP(NoviaFunds[[#This Row],[ISIN]],'Novia Web Query'!$A:$E,4,FALSE)/100</f>
        <v>8.5000000000000006E-3</v>
      </c>
      <c r="E3335" s="3" t="str">
        <f>VLOOKUP(NoviaFunds[[#This Row],[ISIN]],'Novia Web Query'!$A:$E,5,FALSE)</f>
        <v>31/05/2021</v>
      </c>
      <c r="F3335" t="str">
        <f>VLOOKUP(NoviaFunds[[#This Row],[Sector]],Sectors[],2,FALSE)</f>
        <v>USA Equities</v>
      </c>
    </row>
    <row r="3336" spans="1:6" x14ac:dyDescent="0.2">
      <c r="A3336" t="str">
        <f>'Novia Web Query'!A3332</f>
        <v>GB00BF54H991</v>
      </c>
      <c r="B3336" t="str">
        <f>VLOOKUP(NoviaFunds[[#This Row],[ISIN]],'Novia Web Query'!$A:$E,2,FALSE)</f>
        <v>Premier Miton US Smaller Companies B Acc GBP in GB</v>
      </c>
      <c r="C3336" t="str">
        <f>VLOOKUP(NoviaFunds[[#This Row],[ISIN]],'Novia Web Query'!$A:$E,3,FALSE)</f>
        <v>UT North American Smaller Companies</v>
      </c>
      <c r="D3336" s="139">
        <f>VLOOKUP(NoviaFunds[[#This Row],[ISIN]],'Novia Web Query'!$A:$E,4,FALSE)/100</f>
        <v>8.6E-3</v>
      </c>
      <c r="E3336" s="3" t="str">
        <f>VLOOKUP(NoviaFunds[[#This Row],[ISIN]],'Novia Web Query'!$A:$E,5,FALSE)</f>
        <v>31/05/2021</v>
      </c>
      <c r="F3336" t="str">
        <f>VLOOKUP(NoviaFunds[[#This Row],[Sector]],Sectors[],2,FALSE)</f>
        <v>USA Equities</v>
      </c>
    </row>
    <row r="3337" spans="1:6" x14ac:dyDescent="0.2">
      <c r="A3337" t="str">
        <f>'Novia Web Query'!A3333</f>
        <v>GB00BF54HB10</v>
      </c>
      <c r="B3337" t="str">
        <f>VLOOKUP(NoviaFunds[[#This Row],[ISIN]],'Novia Web Query'!$A:$E,2,FALSE)</f>
        <v>Premier Miton US Smaller Companies F Acc GBP in GB</v>
      </c>
      <c r="C3337" t="str">
        <f>VLOOKUP(NoviaFunds[[#This Row],[ISIN]],'Novia Web Query'!$A:$E,3,FALSE)</f>
        <v>UT North American Smaller Companies</v>
      </c>
      <c r="D3337" s="139">
        <f>VLOOKUP(NoviaFunds[[#This Row],[ISIN]],'Novia Web Query'!$A:$E,4,FALSE)/100</f>
        <v>6.0999999999999995E-3</v>
      </c>
      <c r="E3337" s="3" t="str">
        <f>VLOOKUP(NoviaFunds[[#This Row],[ISIN]],'Novia Web Query'!$A:$E,5,FALSE)</f>
        <v>31/05/2021</v>
      </c>
      <c r="F3337" t="str">
        <f>VLOOKUP(NoviaFunds[[#This Row],[Sector]],Sectors[],2,FALSE)</f>
        <v>USA Equities</v>
      </c>
    </row>
    <row r="3338" spans="1:6" x14ac:dyDescent="0.2">
      <c r="A3338" t="str">
        <f>'Novia Web Query'!A3334</f>
        <v>GB0031831026</v>
      </c>
      <c r="B3338" t="str">
        <f>VLOOKUP(NoviaFunds[[#This Row],[ISIN]],'Novia Web Query'!$A:$E,2,FALSE)</f>
        <v>Premier Miton Worldwide Opportunities A GBP in GB</v>
      </c>
      <c r="C3338" t="str">
        <f>VLOOKUP(NoviaFunds[[#This Row],[ISIN]],'Novia Web Query'!$A:$E,3,FALSE)</f>
        <v>UT Flexible Investment</v>
      </c>
      <c r="D3338" s="139">
        <f>VLOOKUP(NoviaFunds[[#This Row],[ISIN]],'Novia Web Query'!$A:$E,4,FALSE)/100</f>
        <v>3.0200000000000001E-2</v>
      </c>
      <c r="E3338" s="3" t="str">
        <f>VLOOKUP(NoviaFunds[[#This Row],[ISIN]],'Novia Web Query'!$A:$E,5,FALSE)</f>
        <v>30/06/2021</v>
      </c>
      <c r="F3338" t="str">
        <f>VLOOKUP(NoviaFunds[[#This Row],[Sector]],Sectors[],2,FALSE)</f>
        <v>Flexible</v>
      </c>
    </row>
    <row r="3339" spans="1:6" x14ac:dyDescent="0.2">
      <c r="A3339" t="str">
        <f>'Novia Web Query'!A3335</f>
        <v>GB0031831133</v>
      </c>
      <c r="B3339" t="str">
        <f>VLOOKUP(NoviaFunds[[#This Row],[ISIN]],'Novia Web Query'!$A:$E,2,FALSE)</f>
        <v>Premier Miton Worldwide Opportunities B GBP in GB</v>
      </c>
      <c r="C3339" t="str">
        <f>VLOOKUP(NoviaFunds[[#This Row],[ISIN]],'Novia Web Query'!$A:$E,3,FALSE)</f>
        <v>UT Flexible Investment</v>
      </c>
      <c r="D3339" s="139">
        <f>VLOOKUP(NoviaFunds[[#This Row],[ISIN]],'Novia Web Query'!$A:$E,4,FALSE)/100</f>
        <v>2.2700000000000001E-2</v>
      </c>
      <c r="E3339" s="3" t="str">
        <f>VLOOKUP(NoviaFunds[[#This Row],[ISIN]],'Novia Web Query'!$A:$E,5,FALSE)</f>
        <v>30/06/2021</v>
      </c>
      <c r="F3339" t="str">
        <f>VLOOKUP(NoviaFunds[[#This Row],[Sector]],Sectors[],2,FALSE)</f>
        <v>Flexible</v>
      </c>
    </row>
    <row r="3340" spans="1:6" x14ac:dyDescent="0.2">
      <c r="A3340" t="str">
        <f>'Novia Web Query'!A3336</f>
        <v>GB00B3K3HX15</v>
      </c>
      <c r="B3340" t="str">
        <f>VLOOKUP(NoviaFunds[[#This Row],[ISIN]],'Novia Web Query'!$A:$E,2,FALSE)</f>
        <v>Quilter Cheviot Climate Assets B Acc in GB</v>
      </c>
      <c r="C3340" t="str">
        <f>VLOOKUP(NoviaFunds[[#This Row],[ISIN]],'Novia Web Query'!$A:$E,3,FALSE)</f>
        <v>UT Mixed Investment 40-85% Shares</v>
      </c>
      <c r="D3340" s="139">
        <f>VLOOKUP(NoviaFunds[[#This Row],[ISIN]],'Novia Web Query'!$A:$E,4,FALSE)/100</f>
        <v>1.15E-2</v>
      </c>
      <c r="E3340" s="3" t="str">
        <f>VLOOKUP(NoviaFunds[[#This Row],[ISIN]],'Novia Web Query'!$A:$E,5,FALSE)</f>
        <v>19/10/2021</v>
      </c>
      <c r="F3340" t="str">
        <f>VLOOKUP(NoviaFunds[[#This Row],[Sector]],Sectors[],2,FALSE)</f>
        <v>Mixed 40%-85%</v>
      </c>
    </row>
    <row r="3341" spans="1:6" x14ac:dyDescent="0.2">
      <c r="A3341" t="str">
        <f>'Novia Web Query'!A3337</f>
        <v>GB00B5QHLR34</v>
      </c>
      <c r="B3341" t="str">
        <f>VLOOKUP(NoviaFunds[[#This Row],[ISIN]],'Novia Web Query'!$A:$E,2,FALSE)</f>
        <v>Quilter Cheviot Climate Assets B Inc TR in GB**</v>
      </c>
      <c r="C3341" t="str">
        <f>VLOOKUP(NoviaFunds[[#This Row],[ISIN]],'Novia Web Query'!$A:$E,3,FALSE)</f>
        <v>UT Mixed Investment 40-85% Shares</v>
      </c>
      <c r="D3341" s="139">
        <f>VLOOKUP(NoviaFunds[[#This Row],[ISIN]],'Novia Web Query'!$A:$E,4,FALSE)/100</f>
        <v>1.15E-2</v>
      </c>
      <c r="E3341" s="3" t="str">
        <f>VLOOKUP(NoviaFunds[[#This Row],[ISIN]],'Novia Web Query'!$A:$E,5,FALSE)</f>
        <v>19/10/2021</v>
      </c>
      <c r="F3341" t="str">
        <f>VLOOKUP(NoviaFunds[[#This Row],[Sector]],Sectors[],2,FALSE)</f>
        <v>Mixed 40%-85%</v>
      </c>
    </row>
    <row r="3342" spans="1:6" x14ac:dyDescent="0.2">
      <c r="A3342" t="str">
        <f>'Novia Web Query'!A3338</f>
        <v>GB00BF2C6F56</v>
      </c>
      <c r="B3342" t="str">
        <f>VLOOKUP(NoviaFunds[[#This Row],[ISIN]],'Novia Web Query'!$A:$E,2,FALSE)</f>
        <v>Quilter Investors Cirilium Adventurous Passive Portfolio R Acc GBP in GB</v>
      </c>
      <c r="C3342" t="str">
        <f>VLOOKUP(NoviaFunds[[#This Row],[ISIN]],'Novia Web Query'!$A:$E,3,FALSE)</f>
        <v>UT Flexible Investment</v>
      </c>
      <c r="D3342" s="139">
        <f>VLOOKUP(NoviaFunds[[#This Row],[ISIN]],'Novia Web Query'!$A:$E,4,FALSE)/100</f>
        <v>3.8E-3</v>
      </c>
      <c r="E3342" s="3" t="str">
        <f>VLOOKUP(NoviaFunds[[#This Row],[ISIN]],'Novia Web Query'!$A:$E,5,FALSE)</f>
        <v>28/02/2021</v>
      </c>
      <c r="F3342" t="str">
        <f>VLOOKUP(NoviaFunds[[#This Row],[Sector]],Sectors[],2,FALSE)</f>
        <v>Flexible</v>
      </c>
    </row>
    <row r="3343" spans="1:6" x14ac:dyDescent="0.2">
      <c r="A3343" t="str">
        <f>'Novia Web Query'!A3339</f>
        <v>GB00BF2C6D33</v>
      </c>
      <c r="B3343" t="str">
        <f>VLOOKUP(NoviaFunds[[#This Row],[ISIN]],'Novia Web Query'!$A:$E,2,FALSE)</f>
        <v>Quilter Investors Cirilium Adventurous Portfolio R Acc GBP in GB</v>
      </c>
      <c r="C3343" t="str">
        <f>VLOOKUP(NoviaFunds[[#This Row],[ISIN]],'Novia Web Query'!$A:$E,3,FALSE)</f>
        <v>UT Flexible Investment</v>
      </c>
      <c r="D3343" s="139">
        <f>VLOOKUP(NoviaFunds[[#This Row],[ISIN]],'Novia Web Query'!$A:$E,4,FALSE)/100</f>
        <v>1.15E-2</v>
      </c>
      <c r="E3343" s="3" t="str">
        <f>VLOOKUP(NoviaFunds[[#This Row],[ISIN]],'Novia Web Query'!$A:$E,5,FALSE)</f>
        <v>03/02/2020</v>
      </c>
      <c r="F3343" t="str">
        <f>VLOOKUP(NoviaFunds[[#This Row],[Sector]],Sectors[],2,FALSE)</f>
        <v>Flexible</v>
      </c>
    </row>
    <row r="3344" spans="1:6" x14ac:dyDescent="0.2">
      <c r="A3344" t="str">
        <f>'Novia Web Query'!A3340</f>
        <v>GB00B7VWLQ60</v>
      </c>
      <c r="B3344" t="str">
        <f>VLOOKUP(NoviaFunds[[#This Row],[ISIN]],'Novia Web Query'!$A:$E,2,FALSE)</f>
        <v>Quilter Investors Cirilium Balanced Passive Portfolio R Acc GBP in GB</v>
      </c>
      <c r="C3344" t="str">
        <f>VLOOKUP(NoviaFunds[[#This Row],[ISIN]],'Novia Web Query'!$A:$E,3,FALSE)</f>
        <v>UT Mixed Investment 20-60% Shares</v>
      </c>
      <c r="D3344" s="139">
        <f>VLOOKUP(NoviaFunds[[#This Row],[ISIN]],'Novia Web Query'!$A:$E,4,FALSE)/100</f>
        <v>3.8E-3</v>
      </c>
      <c r="E3344" s="3" t="str">
        <f>VLOOKUP(NoviaFunds[[#This Row],[ISIN]],'Novia Web Query'!$A:$E,5,FALSE)</f>
        <v>28/02/2021</v>
      </c>
      <c r="F3344" t="str">
        <f>VLOOKUP(NoviaFunds[[#This Row],[Sector]],Sectors[],2,FALSE)</f>
        <v>Mixed 20%-60%</v>
      </c>
    </row>
    <row r="3345" spans="1:6" x14ac:dyDescent="0.2">
      <c r="A3345" t="str">
        <f>'Novia Web Query'!A3341</f>
        <v>GB00B2Q8V089</v>
      </c>
      <c r="B3345" t="str">
        <f>VLOOKUP(NoviaFunds[[#This Row],[ISIN]],'Novia Web Query'!$A:$E,2,FALSE)</f>
        <v>Quilter Investors Cirilium Balanced Portfolio A Acc GBP in GB</v>
      </c>
      <c r="C3345" t="str">
        <f>VLOOKUP(NoviaFunds[[#This Row],[ISIN]],'Novia Web Query'!$A:$E,3,FALSE)</f>
        <v>UT Mixed Investment 20-60% Shares</v>
      </c>
      <c r="D3345" s="139">
        <f>VLOOKUP(NoviaFunds[[#This Row],[ISIN]],'Novia Web Query'!$A:$E,4,FALSE)/100</f>
        <v>1.9E-2</v>
      </c>
      <c r="E3345" s="3" t="str">
        <f>VLOOKUP(NoviaFunds[[#This Row],[ISIN]],'Novia Web Query'!$A:$E,5,FALSE)</f>
        <v>03/02/2020</v>
      </c>
      <c r="F3345" t="str">
        <f>VLOOKUP(NoviaFunds[[#This Row],[Sector]],Sectors[],2,FALSE)</f>
        <v>Mixed 20%-60%</v>
      </c>
    </row>
    <row r="3346" spans="1:6" x14ac:dyDescent="0.2">
      <c r="A3346" t="str">
        <f>'Novia Web Query'!A3342</f>
        <v>GB00B2Q8V204</v>
      </c>
      <c r="B3346" t="str">
        <f>VLOOKUP(NoviaFunds[[#This Row],[ISIN]],'Novia Web Query'!$A:$E,2,FALSE)</f>
        <v>Quilter Investors Cirilium Balanced Portfolio R Acc GBP in GB</v>
      </c>
      <c r="C3346" t="str">
        <f>VLOOKUP(NoviaFunds[[#This Row],[ISIN]],'Novia Web Query'!$A:$E,3,FALSE)</f>
        <v>UT Mixed Investment 20-60% Shares</v>
      </c>
      <c r="D3346" s="139">
        <f>VLOOKUP(NoviaFunds[[#This Row],[ISIN]],'Novia Web Query'!$A:$E,4,FALSE)/100</f>
        <v>1.15E-2</v>
      </c>
      <c r="E3346" s="3" t="str">
        <f>VLOOKUP(NoviaFunds[[#This Row],[ISIN]],'Novia Web Query'!$A:$E,5,FALSE)</f>
        <v>03/02/2020</v>
      </c>
      <c r="F3346" t="str">
        <f>VLOOKUP(NoviaFunds[[#This Row],[Sector]],Sectors[],2,FALSE)</f>
        <v>Mixed 20%-60%</v>
      </c>
    </row>
    <row r="3347" spans="1:6" x14ac:dyDescent="0.2">
      <c r="A3347" t="str">
        <f>'Novia Web Query'!A3343</f>
        <v>GB00B8BKRY79</v>
      </c>
      <c r="B3347" t="str">
        <f>VLOOKUP(NoviaFunds[[#This Row],[ISIN]],'Novia Web Query'!$A:$E,2,FALSE)</f>
        <v>Quilter Investors Cirilium Conservative Passive Portfolio R Acc GBP in GB</v>
      </c>
      <c r="C3347" t="str">
        <f>VLOOKUP(NoviaFunds[[#This Row],[ISIN]],'Novia Web Query'!$A:$E,3,FALSE)</f>
        <v>UT Mixed Investment 0-35% Shares</v>
      </c>
      <c r="D3347" s="139">
        <f>VLOOKUP(NoviaFunds[[#This Row],[ISIN]],'Novia Web Query'!$A:$E,4,FALSE)/100</f>
        <v>3.8E-3</v>
      </c>
      <c r="E3347" s="3" t="str">
        <f>VLOOKUP(NoviaFunds[[#This Row],[ISIN]],'Novia Web Query'!$A:$E,5,FALSE)</f>
        <v>28/02/2021</v>
      </c>
      <c r="F3347" t="str">
        <f>VLOOKUP(NoviaFunds[[#This Row],[Sector]],Sectors[],2,FALSE)</f>
        <v>Mixed 0%-35%</v>
      </c>
    </row>
    <row r="3348" spans="1:6" x14ac:dyDescent="0.2">
      <c r="A3348" t="str">
        <f>'Novia Web Query'!A3344</f>
        <v>GB00B4LTHW43</v>
      </c>
      <c r="B3348" t="str">
        <f>VLOOKUP(NoviaFunds[[#This Row],[ISIN]],'Novia Web Query'!$A:$E,2,FALSE)</f>
        <v>Quilter Investors Cirilium Conservative Portfolio A Acc GBP in GB</v>
      </c>
      <c r="C3348" t="str">
        <f>VLOOKUP(NoviaFunds[[#This Row],[ISIN]],'Novia Web Query'!$A:$E,3,FALSE)</f>
        <v>UT Mixed Investment 0-35% Shares</v>
      </c>
      <c r="D3348" s="139">
        <f>VLOOKUP(NoviaFunds[[#This Row],[ISIN]],'Novia Web Query'!$A:$E,4,FALSE)/100</f>
        <v>1.8000000000000002E-2</v>
      </c>
      <c r="E3348" s="3" t="str">
        <f>VLOOKUP(NoviaFunds[[#This Row],[ISIN]],'Novia Web Query'!$A:$E,5,FALSE)</f>
        <v>03/02/2020</v>
      </c>
      <c r="F3348" t="str">
        <f>VLOOKUP(NoviaFunds[[#This Row],[Sector]],Sectors[],2,FALSE)</f>
        <v>Mixed 0%-35%</v>
      </c>
    </row>
    <row r="3349" spans="1:6" x14ac:dyDescent="0.2">
      <c r="A3349" t="str">
        <f>'Novia Web Query'!A3345</f>
        <v>GB00B6XW5B09</v>
      </c>
      <c r="B3349" t="str">
        <f>VLOOKUP(NoviaFunds[[#This Row],[ISIN]],'Novia Web Query'!$A:$E,2,FALSE)</f>
        <v>Quilter Investors Cirilium Conservative Portfolio R Acc GBP in GB</v>
      </c>
      <c r="C3349" t="str">
        <f>VLOOKUP(NoviaFunds[[#This Row],[ISIN]],'Novia Web Query'!$A:$E,3,FALSE)</f>
        <v>UT Mixed Investment 0-35% Shares</v>
      </c>
      <c r="D3349" s="139">
        <f>VLOOKUP(NoviaFunds[[#This Row],[ISIN]],'Novia Web Query'!$A:$E,4,FALSE)/100</f>
        <v>1.0500000000000001E-2</v>
      </c>
      <c r="E3349" s="3" t="str">
        <f>VLOOKUP(NoviaFunds[[#This Row],[ISIN]],'Novia Web Query'!$A:$E,5,FALSE)</f>
        <v>03/02/2020</v>
      </c>
      <c r="F3349" t="str">
        <f>VLOOKUP(NoviaFunds[[#This Row],[Sector]],Sectors[],2,FALSE)</f>
        <v>Mixed 0%-35%</v>
      </c>
    </row>
    <row r="3350" spans="1:6" x14ac:dyDescent="0.2">
      <c r="A3350" t="str">
        <f>'Novia Web Query'!A3346</f>
        <v>GB00B909QP60</v>
      </c>
      <c r="B3350" t="str">
        <f>VLOOKUP(NoviaFunds[[#This Row],[ISIN]],'Novia Web Query'!$A:$E,2,FALSE)</f>
        <v>Quilter Investors Cirilium Dynamic Passive Portfolio R Acc GBP in GB</v>
      </c>
      <c r="C3350" t="str">
        <f>VLOOKUP(NoviaFunds[[#This Row],[ISIN]],'Novia Web Query'!$A:$E,3,FALSE)</f>
        <v>UT Mixed Investment 40-85% Shares</v>
      </c>
      <c r="D3350" s="139">
        <f>VLOOKUP(NoviaFunds[[#This Row],[ISIN]],'Novia Web Query'!$A:$E,4,FALSE)/100</f>
        <v>3.8E-3</v>
      </c>
      <c r="E3350" s="3" t="str">
        <f>VLOOKUP(NoviaFunds[[#This Row],[ISIN]],'Novia Web Query'!$A:$E,5,FALSE)</f>
        <v>28/02/2021</v>
      </c>
      <c r="F3350" t="str">
        <f>VLOOKUP(NoviaFunds[[#This Row],[Sector]],Sectors[],2,FALSE)</f>
        <v>Mixed 40%-85%</v>
      </c>
    </row>
    <row r="3351" spans="1:6" x14ac:dyDescent="0.2">
      <c r="A3351" t="str">
        <f>'Novia Web Query'!A3347</f>
        <v>GB00B2Q8TV58</v>
      </c>
      <c r="B3351" t="str">
        <f>VLOOKUP(NoviaFunds[[#This Row],[ISIN]],'Novia Web Query'!$A:$E,2,FALSE)</f>
        <v>Quilter Investors Cirilium Dynamic Portfolio A Acc GBP in GB</v>
      </c>
      <c r="C3351" t="str">
        <f>VLOOKUP(NoviaFunds[[#This Row],[ISIN]],'Novia Web Query'!$A:$E,3,FALSE)</f>
        <v>UT Flexible Investment</v>
      </c>
      <c r="D3351" s="139">
        <f>VLOOKUP(NoviaFunds[[#This Row],[ISIN]],'Novia Web Query'!$A:$E,4,FALSE)/100</f>
        <v>1.9E-2</v>
      </c>
      <c r="E3351" s="3" t="str">
        <f>VLOOKUP(NoviaFunds[[#This Row],[ISIN]],'Novia Web Query'!$A:$E,5,FALSE)</f>
        <v>03/02/2020</v>
      </c>
      <c r="F3351" t="str">
        <f>VLOOKUP(NoviaFunds[[#This Row],[Sector]],Sectors[],2,FALSE)</f>
        <v>Flexible</v>
      </c>
    </row>
    <row r="3352" spans="1:6" x14ac:dyDescent="0.2">
      <c r="A3352" t="str">
        <f>'Novia Web Query'!A3348</f>
        <v>GB00B2Q8TX72</v>
      </c>
      <c r="B3352" t="str">
        <f>VLOOKUP(NoviaFunds[[#This Row],[ISIN]],'Novia Web Query'!$A:$E,2,FALSE)</f>
        <v>Quilter Investors Cirilium Dynamic Portfolio R Acc GBP in GB</v>
      </c>
      <c r="C3352" t="str">
        <f>VLOOKUP(NoviaFunds[[#This Row],[ISIN]],'Novia Web Query'!$A:$E,3,FALSE)</f>
        <v>UT Flexible Investment</v>
      </c>
      <c r="D3352" s="139">
        <f>VLOOKUP(NoviaFunds[[#This Row],[ISIN]],'Novia Web Query'!$A:$E,4,FALSE)/100</f>
        <v>1.15E-2</v>
      </c>
      <c r="E3352" s="3" t="str">
        <f>VLOOKUP(NoviaFunds[[#This Row],[ISIN]],'Novia Web Query'!$A:$E,5,FALSE)</f>
        <v>03/02/2020</v>
      </c>
      <c r="F3352" t="str">
        <f>VLOOKUP(NoviaFunds[[#This Row],[Sector]],Sectors[],2,FALSE)</f>
        <v>Flexible</v>
      </c>
    </row>
    <row r="3353" spans="1:6" x14ac:dyDescent="0.2">
      <c r="A3353" t="str">
        <f>'Novia Web Query'!A3349</f>
        <v>GB00BJV3LY15</v>
      </c>
      <c r="B3353" t="str">
        <f>VLOOKUP(NoviaFunds[[#This Row],[ISIN]],'Novia Web Query'!$A:$E,2,FALSE)</f>
        <v>Quilter Investors Cirilium Moderate Blend Portfolio U1 Acc GBP TR in GB</v>
      </c>
      <c r="C3353" t="str">
        <f>VLOOKUP(NoviaFunds[[#This Row],[ISIN]],'Novia Web Query'!$A:$E,3,FALSE)</f>
        <v>UT Volatility Managed</v>
      </c>
      <c r="D3353" s="139">
        <f>VLOOKUP(NoviaFunds[[#This Row],[ISIN]],'Novia Web Query'!$A:$E,4,FALSE)/100</f>
        <v>8.5000000000000006E-3</v>
      </c>
      <c r="E3353" s="3" t="str">
        <f>VLOOKUP(NoviaFunds[[#This Row],[ISIN]],'Novia Web Query'!$A:$E,5,FALSE)</f>
        <v>28/02/2021</v>
      </c>
      <c r="F3353" t="e">
        <f>VLOOKUP(NoviaFunds[[#This Row],[Sector]],Sectors[],2,FALSE)</f>
        <v>#N/A</v>
      </c>
    </row>
    <row r="3354" spans="1:6" x14ac:dyDescent="0.2">
      <c r="A3354" t="str">
        <f>'Novia Web Query'!A3350</f>
        <v>GB00B8Y8NJ51</v>
      </c>
      <c r="B3354" t="str">
        <f>VLOOKUP(NoviaFunds[[#This Row],[ISIN]],'Novia Web Query'!$A:$E,2,FALSE)</f>
        <v>Quilter Investors Cirilium Moderate Passive Portfolio R Acc GBP in GB</v>
      </c>
      <c r="C3354" t="str">
        <f>VLOOKUP(NoviaFunds[[#This Row],[ISIN]],'Novia Web Query'!$A:$E,3,FALSE)</f>
        <v>UT Mixed Investment 40-85% Shares</v>
      </c>
      <c r="D3354" s="139">
        <f>VLOOKUP(NoviaFunds[[#This Row],[ISIN]],'Novia Web Query'!$A:$E,4,FALSE)/100</f>
        <v>3.8E-3</v>
      </c>
      <c r="E3354" s="3" t="str">
        <f>VLOOKUP(NoviaFunds[[#This Row],[ISIN]],'Novia Web Query'!$A:$E,5,FALSE)</f>
        <v>28/02/2021</v>
      </c>
      <c r="F3354" t="str">
        <f>VLOOKUP(NoviaFunds[[#This Row],[Sector]],Sectors[],2,FALSE)</f>
        <v>Mixed 40%-85%</v>
      </c>
    </row>
    <row r="3355" spans="1:6" x14ac:dyDescent="0.2">
      <c r="A3355" t="str">
        <f>'Novia Web Query'!A3351</f>
        <v>GB00B2Q8TP98</v>
      </c>
      <c r="B3355" t="str">
        <f>VLOOKUP(NoviaFunds[[#This Row],[ISIN]],'Novia Web Query'!$A:$E,2,FALSE)</f>
        <v>Quilter Investors Cirilium Moderate Portfolio A Acc GBP in GB</v>
      </c>
      <c r="C3355" t="str">
        <f>VLOOKUP(NoviaFunds[[#This Row],[ISIN]],'Novia Web Query'!$A:$E,3,FALSE)</f>
        <v>UT Mixed Investment 40-85% Shares</v>
      </c>
      <c r="D3355" s="139">
        <f>VLOOKUP(NoviaFunds[[#This Row],[ISIN]],'Novia Web Query'!$A:$E,4,FALSE)/100</f>
        <v>1.9E-2</v>
      </c>
      <c r="E3355" s="3" t="str">
        <f>VLOOKUP(NoviaFunds[[#This Row],[ISIN]],'Novia Web Query'!$A:$E,5,FALSE)</f>
        <v>03/02/2020</v>
      </c>
      <c r="F3355" t="str">
        <f>VLOOKUP(NoviaFunds[[#This Row],[Sector]],Sectors[],2,FALSE)</f>
        <v>Mixed 40%-85%</v>
      </c>
    </row>
    <row r="3356" spans="1:6" x14ac:dyDescent="0.2">
      <c r="A3356" t="str">
        <f>'Novia Web Query'!A3352</f>
        <v>GB00B2Q8TQ06</v>
      </c>
      <c r="B3356" t="str">
        <f>VLOOKUP(NoviaFunds[[#This Row],[ISIN]],'Novia Web Query'!$A:$E,2,FALSE)</f>
        <v>Quilter Investors Cirilium Moderate Portfolio R Acc GBP in GB</v>
      </c>
      <c r="C3356" t="str">
        <f>VLOOKUP(NoviaFunds[[#This Row],[ISIN]],'Novia Web Query'!$A:$E,3,FALSE)</f>
        <v>UT Mixed Investment 40-85% Shares</v>
      </c>
      <c r="D3356" s="139">
        <f>VLOOKUP(NoviaFunds[[#This Row],[ISIN]],'Novia Web Query'!$A:$E,4,FALSE)/100</f>
        <v>1.15E-2</v>
      </c>
      <c r="E3356" s="3" t="str">
        <f>VLOOKUP(NoviaFunds[[#This Row],[ISIN]],'Novia Web Query'!$A:$E,5,FALSE)</f>
        <v>03/02/2020</v>
      </c>
      <c r="F3356" t="str">
        <f>VLOOKUP(NoviaFunds[[#This Row],[Sector]],Sectors[],2,FALSE)</f>
        <v>Mixed 40%-85%</v>
      </c>
    </row>
    <row r="3357" spans="1:6" x14ac:dyDescent="0.2">
      <c r="A3357" t="str">
        <f>'Novia Web Query'!A3353</f>
        <v>GB00BZ4TK293</v>
      </c>
      <c r="B3357" t="str">
        <f>VLOOKUP(NoviaFunds[[#This Row],[ISIN]],'Novia Web Query'!$A:$E,2,FALSE)</f>
        <v>Quilter Investors Creation Adventurous Portfolio R Acc GBP in GB</v>
      </c>
      <c r="C3357" t="str">
        <f>VLOOKUP(NoviaFunds[[#This Row],[ISIN]],'Novia Web Query'!$A:$E,3,FALSE)</f>
        <v>UT Mixed Investment 40-85% Shares</v>
      </c>
      <c r="D3357" s="139">
        <f>VLOOKUP(NoviaFunds[[#This Row],[ISIN]],'Novia Web Query'!$A:$E,4,FALSE)/100</f>
        <v>1.1000000000000001E-2</v>
      </c>
      <c r="E3357" s="3" t="str">
        <f>VLOOKUP(NoviaFunds[[#This Row],[ISIN]],'Novia Web Query'!$A:$E,5,FALSE)</f>
        <v>28/02/2021</v>
      </c>
      <c r="F3357" t="str">
        <f>VLOOKUP(NoviaFunds[[#This Row],[Sector]],Sectors[],2,FALSE)</f>
        <v>Mixed 40%-85%</v>
      </c>
    </row>
    <row r="3358" spans="1:6" x14ac:dyDescent="0.2">
      <c r="A3358" t="str">
        <f>'Novia Web Query'!A3354</f>
        <v>GB00B2Q7WY69</v>
      </c>
      <c r="B3358" t="str">
        <f>VLOOKUP(NoviaFunds[[#This Row],[ISIN]],'Novia Web Query'!$A:$E,2,FALSE)</f>
        <v>Quilter Investors Creation Balanced Portfolio A Acc GBP in GB</v>
      </c>
      <c r="C3358" t="str">
        <f>VLOOKUP(NoviaFunds[[#This Row],[ISIN]],'Novia Web Query'!$A:$E,3,FALSE)</f>
        <v>UT Unclassified</v>
      </c>
      <c r="D3358" s="139">
        <f>VLOOKUP(NoviaFunds[[#This Row],[ISIN]],'Novia Web Query'!$A:$E,4,FALSE)/100</f>
        <v>1.8500000000000003E-2</v>
      </c>
      <c r="E3358" s="3" t="str">
        <f>VLOOKUP(NoviaFunds[[#This Row],[ISIN]],'Novia Web Query'!$A:$E,5,FALSE)</f>
        <v>28/02/2021</v>
      </c>
      <c r="F3358" t="str">
        <f>VLOOKUP(NoviaFunds[[#This Row],[Sector]],Sectors[],2,FALSE)</f>
        <v>Unclassified</v>
      </c>
    </row>
    <row r="3359" spans="1:6" x14ac:dyDescent="0.2">
      <c r="A3359" t="str">
        <f>'Novia Web Query'!A3355</f>
        <v>GB00B83XQD69</v>
      </c>
      <c r="B3359" t="str">
        <f>VLOOKUP(NoviaFunds[[#This Row],[ISIN]],'Novia Web Query'!$A:$E,2,FALSE)</f>
        <v>Quilter Investors Creation Balanced Portfolio R Acc GBP in GB</v>
      </c>
      <c r="C3359" t="str">
        <f>VLOOKUP(NoviaFunds[[#This Row],[ISIN]],'Novia Web Query'!$A:$E,3,FALSE)</f>
        <v>UT Unclassified</v>
      </c>
      <c r="D3359" s="139">
        <f>VLOOKUP(NoviaFunds[[#This Row],[ISIN]],'Novia Web Query'!$A:$E,4,FALSE)/100</f>
        <v>1.1000000000000001E-2</v>
      </c>
      <c r="E3359" s="3" t="str">
        <f>VLOOKUP(NoviaFunds[[#This Row],[ISIN]],'Novia Web Query'!$A:$E,5,FALSE)</f>
        <v>28/02/2021</v>
      </c>
      <c r="F3359" t="str">
        <f>VLOOKUP(NoviaFunds[[#This Row],[Sector]],Sectors[],2,FALSE)</f>
        <v>Unclassified</v>
      </c>
    </row>
    <row r="3360" spans="1:6" x14ac:dyDescent="0.2">
      <c r="A3360" t="str">
        <f>'Novia Web Query'!A3356</f>
        <v>GB00B2Q7X434</v>
      </c>
      <c r="B3360" t="str">
        <f>VLOOKUP(NoviaFunds[[#This Row],[ISIN]],'Novia Web Query'!$A:$E,2,FALSE)</f>
        <v>Quilter Investors Creation Conservative Portfolio A Acc GBP in GB</v>
      </c>
      <c r="C3360" t="str">
        <f>VLOOKUP(NoviaFunds[[#This Row],[ISIN]],'Novia Web Query'!$A:$E,3,FALSE)</f>
        <v>UT Unclassified</v>
      </c>
      <c r="D3360" s="139">
        <f>VLOOKUP(NoviaFunds[[#This Row],[ISIN]],'Novia Web Query'!$A:$E,4,FALSE)/100</f>
        <v>1.8500000000000003E-2</v>
      </c>
      <c r="E3360" s="3" t="str">
        <f>VLOOKUP(NoviaFunds[[#This Row],[ISIN]],'Novia Web Query'!$A:$E,5,FALSE)</f>
        <v>28/02/2021</v>
      </c>
      <c r="F3360" t="str">
        <f>VLOOKUP(NoviaFunds[[#This Row],[Sector]],Sectors[],2,FALSE)</f>
        <v>Unclassified</v>
      </c>
    </row>
    <row r="3361" spans="1:6" x14ac:dyDescent="0.2">
      <c r="A3361" t="str">
        <f>'Novia Web Query'!A3357</f>
        <v>GB00B8RYMT36</v>
      </c>
      <c r="B3361" t="str">
        <f>VLOOKUP(NoviaFunds[[#This Row],[ISIN]],'Novia Web Query'!$A:$E,2,FALSE)</f>
        <v>Quilter Investors Creation Conservative Portfolio R Acc GBP in GB</v>
      </c>
      <c r="C3361" t="str">
        <f>VLOOKUP(NoviaFunds[[#This Row],[ISIN]],'Novia Web Query'!$A:$E,3,FALSE)</f>
        <v>UT Unclassified</v>
      </c>
      <c r="D3361" s="139">
        <f>VLOOKUP(NoviaFunds[[#This Row],[ISIN]],'Novia Web Query'!$A:$E,4,FALSE)/100</f>
        <v>1.1000000000000001E-2</v>
      </c>
      <c r="E3361" s="3" t="str">
        <f>VLOOKUP(NoviaFunds[[#This Row],[ISIN]],'Novia Web Query'!$A:$E,5,FALSE)</f>
        <v>28/02/2021</v>
      </c>
      <c r="F3361" t="str">
        <f>VLOOKUP(NoviaFunds[[#This Row],[Sector]],Sectors[],2,FALSE)</f>
        <v>Unclassified</v>
      </c>
    </row>
    <row r="3362" spans="1:6" x14ac:dyDescent="0.2">
      <c r="A3362" t="str">
        <f>'Novia Web Query'!A3358</f>
        <v>GB00B2Q7X657</v>
      </c>
      <c r="B3362" t="str">
        <f>VLOOKUP(NoviaFunds[[#This Row],[ISIN]],'Novia Web Query'!$A:$E,2,FALSE)</f>
        <v>Quilter Investors Creation Dynamic Portfolio A Acc GBP in GB</v>
      </c>
      <c r="C3362" t="str">
        <f>VLOOKUP(NoviaFunds[[#This Row],[ISIN]],'Novia Web Query'!$A:$E,3,FALSE)</f>
        <v>UT Unclassified</v>
      </c>
      <c r="D3362" s="139">
        <f>VLOOKUP(NoviaFunds[[#This Row],[ISIN]],'Novia Web Query'!$A:$E,4,FALSE)/100</f>
        <v>1.8500000000000003E-2</v>
      </c>
      <c r="E3362" s="3" t="str">
        <f>VLOOKUP(NoviaFunds[[#This Row],[ISIN]],'Novia Web Query'!$A:$E,5,FALSE)</f>
        <v>28/02/2021</v>
      </c>
      <c r="F3362" t="str">
        <f>VLOOKUP(NoviaFunds[[#This Row],[Sector]],Sectors[],2,FALSE)</f>
        <v>Unclassified</v>
      </c>
    </row>
    <row r="3363" spans="1:6" x14ac:dyDescent="0.2">
      <c r="A3363" t="str">
        <f>'Novia Web Query'!A3359</f>
        <v>GB00B8KS5L57</v>
      </c>
      <c r="B3363" t="str">
        <f>VLOOKUP(NoviaFunds[[#This Row],[ISIN]],'Novia Web Query'!$A:$E,2,FALSE)</f>
        <v>Quilter Investors Creation Dynamic Portfolio R Acc GBP in GB</v>
      </c>
      <c r="C3363" t="str">
        <f>VLOOKUP(NoviaFunds[[#This Row],[ISIN]],'Novia Web Query'!$A:$E,3,FALSE)</f>
        <v>UT Unclassified</v>
      </c>
      <c r="D3363" s="139">
        <f>VLOOKUP(NoviaFunds[[#This Row],[ISIN]],'Novia Web Query'!$A:$E,4,FALSE)/100</f>
        <v>1.1000000000000001E-2</v>
      </c>
      <c r="E3363" s="3" t="str">
        <f>VLOOKUP(NoviaFunds[[#This Row],[ISIN]],'Novia Web Query'!$A:$E,5,FALSE)</f>
        <v>28/02/2021</v>
      </c>
      <c r="F3363" t="str">
        <f>VLOOKUP(NoviaFunds[[#This Row],[Sector]],Sectors[],2,FALSE)</f>
        <v>Unclassified</v>
      </c>
    </row>
    <row r="3364" spans="1:6" x14ac:dyDescent="0.2">
      <c r="A3364" t="str">
        <f>'Novia Web Query'!A3360</f>
        <v>GB00B2Q7WW46</v>
      </c>
      <c r="B3364" t="str">
        <f>VLOOKUP(NoviaFunds[[#This Row],[ISIN]],'Novia Web Query'!$A:$E,2,FALSE)</f>
        <v>Quilter Investors Creation Moderate Portfolio A Acc GBP in GB</v>
      </c>
      <c r="C3364" t="str">
        <f>VLOOKUP(NoviaFunds[[#This Row],[ISIN]],'Novia Web Query'!$A:$E,3,FALSE)</f>
        <v>UT Unclassified</v>
      </c>
      <c r="D3364" s="139">
        <f>VLOOKUP(NoviaFunds[[#This Row],[ISIN]],'Novia Web Query'!$A:$E,4,FALSE)/100</f>
        <v>1.8500000000000003E-2</v>
      </c>
      <c r="E3364" s="3" t="str">
        <f>VLOOKUP(NoviaFunds[[#This Row],[ISIN]],'Novia Web Query'!$A:$E,5,FALSE)</f>
        <v>28/02/2021</v>
      </c>
      <c r="F3364" t="str">
        <f>VLOOKUP(NoviaFunds[[#This Row],[Sector]],Sectors[],2,FALSE)</f>
        <v>Unclassified</v>
      </c>
    </row>
    <row r="3365" spans="1:6" x14ac:dyDescent="0.2">
      <c r="A3365" t="str">
        <f>'Novia Web Query'!A3361</f>
        <v>GB00B8HHRQ45</v>
      </c>
      <c r="B3365" t="str">
        <f>VLOOKUP(NoviaFunds[[#This Row],[ISIN]],'Novia Web Query'!$A:$E,2,FALSE)</f>
        <v>Quilter Investors Creation Moderate Portfolio R Acc GBP in GB</v>
      </c>
      <c r="C3365" t="str">
        <f>VLOOKUP(NoviaFunds[[#This Row],[ISIN]],'Novia Web Query'!$A:$E,3,FALSE)</f>
        <v>UT Unclassified</v>
      </c>
      <c r="D3365" s="139">
        <f>VLOOKUP(NoviaFunds[[#This Row],[ISIN]],'Novia Web Query'!$A:$E,4,FALSE)/100</f>
        <v>1.1000000000000001E-2</v>
      </c>
      <c r="E3365" s="3" t="str">
        <f>VLOOKUP(NoviaFunds[[#This Row],[ISIN]],'Novia Web Query'!$A:$E,5,FALSE)</f>
        <v>28/02/2021</v>
      </c>
      <c r="F3365" t="str">
        <f>VLOOKUP(NoviaFunds[[#This Row],[Sector]],Sectors[],2,FALSE)</f>
        <v>Unclassified</v>
      </c>
    </row>
    <row r="3366" spans="1:6" x14ac:dyDescent="0.2">
      <c r="A3366" t="str">
        <f>'Novia Web Query'!A3362</f>
        <v>GB0032763921</v>
      </c>
      <c r="B3366" t="str">
        <f>VLOOKUP(NoviaFunds[[#This Row],[ISIN]],'Novia Web Query'!$A:$E,2,FALSE)</f>
        <v>Quilter Investors Diversified Portfolio A Acc GBP in GB</v>
      </c>
      <c r="C3366" t="str">
        <f>VLOOKUP(NoviaFunds[[#This Row],[ISIN]],'Novia Web Query'!$A:$E,3,FALSE)</f>
        <v>UT Mixed Investment 20-60% Shares</v>
      </c>
      <c r="D3366" s="139">
        <f>VLOOKUP(NoviaFunds[[#This Row],[ISIN]],'Novia Web Query'!$A:$E,4,FALSE)/100</f>
        <v>1.72E-2</v>
      </c>
      <c r="E3366" s="3" t="str">
        <f>VLOOKUP(NoviaFunds[[#This Row],[ISIN]],'Novia Web Query'!$A:$E,5,FALSE)</f>
        <v>28/02/2021</v>
      </c>
      <c r="F3366" t="str">
        <f>VLOOKUP(NoviaFunds[[#This Row],[Sector]],Sectors[],2,FALSE)</f>
        <v>Mixed 20%-60%</v>
      </c>
    </row>
    <row r="3367" spans="1:6" x14ac:dyDescent="0.2">
      <c r="A3367" t="str">
        <f>'Novia Web Query'!A3363</f>
        <v>GB00B83Y7L45</v>
      </c>
      <c r="B3367" t="str">
        <f>VLOOKUP(NoviaFunds[[#This Row],[ISIN]],'Novia Web Query'!$A:$E,2,FALSE)</f>
        <v>Quilter Investors Diversified Portfolio R Acc GBP in GB</v>
      </c>
      <c r="C3367" t="str">
        <f>VLOOKUP(NoviaFunds[[#This Row],[ISIN]],'Novia Web Query'!$A:$E,3,FALSE)</f>
        <v>UT Mixed Investment 20-60% Shares</v>
      </c>
      <c r="D3367" s="139">
        <f>VLOOKUP(NoviaFunds[[#This Row],[ISIN]],'Novia Web Query'!$A:$E,4,FALSE)/100</f>
        <v>9.7000000000000003E-3</v>
      </c>
      <c r="E3367" s="3" t="str">
        <f>VLOOKUP(NoviaFunds[[#This Row],[ISIN]],'Novia Web Query'!$A:$E,5,FALSE)</f>
        <v>28/02/2021</v>
      </c>
      <c r="F3367" t="str">
        <f>VLOOKUP(NoviaFunds[[#This Row],[Sector]],Sectors[],2,FALSE)</f>
        <v>Mixed 20%-60%</v>
      </c>
    </row>
    <row r="3368" spans="1:6" x14ac:dyDescent="0.2">
      <c r="A3368" t="str">
        <f>'Novia Web Query'!A3364</f>
        <v>GB00B0JZPC21</v>
      </c>
      <c r="B3368" t="str">
        <f>VLOOKUP(NoviaFunds[[#This Row],[ISIN]],'Novia Web Query'!$A:$E,2,FALSE)</f>
        <v>Quilter Investors Ethical Equity A Acc GBP in GB</v>
      </c>
      <c r="C3368" t="str">
        <f>VLOOKUP(NoviaFunds[[#This Row],[ISIN]],'Novia Web Query'!$A:$E,3,FALSE)</f>
        <v>UT Global</v>
      </c>
      <c r="D3368" s="139">
        <f>VLOOKUP(NoviaFunds[[#This Row],[ISIN]],'Novia Web Query'!$A:$E,4,FALSE)/100</f>
        <v>1.6500000000000001E-2</v>
      </c>
      <c r="E3368" s="3" t="str">
        <f>VLOOKUP(NoviaFunds[[#This Row],[ISIN]],'Novia Web Query'!$A:$E,5,FALSE)</f>
        <v>28/02/2021</v>
      </c>
      <c r="F3368" t="str">
        <f>VLOOKUP(NoviaFunds[[#This Row],[Sector]],Sectors[],2,FALSE)</f>
        <v>Other Equities</v>
      </c>
    </row>
    <row r="3369" spans="1:6" x14ac:dyDescent="0.2">
      <c r="A3369" t="str">
        <f>'Novia Web Query'!A3365</f>
        <v>GB00B8RZ2W99</v>
      </c>
      <c r="B3369" t="str">
        <f>VLOOKUP(NoviaFunds[[#This Row],[ISIN]],'Novia Web Query'!$A:$E,2,FALSE)</f>
        <v>Quilter Investors Ethical Equity R Acc GBP in GB**</v>
      </c>
      <c r="C3369" t="str">
        <f>VLOOKUP(NoviaFunds[[#This Row],[ISIN]],'Novia Web Query'!$A:$E,3,FALSE)</f>
        <v>UT Global</v>
      </c>
      <c r="D3369" s="139">
        <f>VLOOKUP(NoviaFunds[[#This Row],[ISIN]],'Novia Web Query'!$A:$E,4,FALSE)/100</f>
        <v>9.0000000000000011E-3</v>
      </c>
      <c r="E3369" s="3" t="str">
        <f>VLOOKUP(NoviaFunds[[#This Row],[ISIN]],'Novia Web Query'!$A:$E,5,FALSE)</f>
        <v>28/02/2021</v>
      </c>
      <c r="F3369" t="str">
        <f>VLOOKUP(NoviaFunds[[#This Row],[Sector]],Sectors[],2,FALSE)</f>
        <v>Other Equities</v>
      </c>
    </row>
    <row r="3370" spans="1:6" x14ac:dyDescent="0.2">
      <c r="A3370" t="str">
        <f>'Novia Web Query'!A3366</f>
        <v>GB00B55N9343</v>
      </c>
      <c r="B3370" t="str">
        <f>VLOOKUP(NoviaFunds[[#This Row],[ISIN]],'Novia Web Query'!$A:$E,2,FALSE)</f>
        <v>Quilter Investors Global Dynamic Equity A Acc GBP in GB</v>
      </c>
      <c r="C3370" t="str">
        <f>VLOOKUP(NoviaFunds[[#This Row],[ISIN]],'Novia Web Query'!$A:$E,3,FALSE)</f>
        <v>UT Global</v>
      </c>
      <c r="D3370" s="139">
        <f>VLOOKUP(NoviaFunds[[#This Row],[ISIN]],'Novia Web Query'!$A:$E,4,FALSE)/100</f>
        <v>1.9599999999999999E-2</v>
      </c>
      <c r="E3370" s="3" t="str">
        <f>VLOOKUP(NoviaFunds[[#This Row],[ISIN]],'Novia Web Query'!$A:$E,5,FALSE)</f>
        <v>28/02/2021</v>
      </c>
      <c r="F3370" t="str">
        <f>VLOOKUP(NoviaFunds[[#This Row],[Sector]],Sectors[],2,FALSE)</f>
        <v>Other Equities</v>
      </c>
    </row>
    <row r="3371" spans="1:6" x14ac:dyDescent="0.2">
      <c r="A3371" t="str">
        <f>'Novia Web Query'!A3367</f>
        <v>GB00B6SF6S87</v>
      </c>
      <c r="B3371" t="str">
        <f>VLOOKUP(NoviaFunds[[#This Row],[ISIN]],'Novia Web Query'!$A:$E,2,FALSE)</f>
        <v>Quilter Investors Global Dynamic Equity R Acc GBP in GB</v>
      </c>
      <c r="C3371" t="str">
        <f>VLOOKUP(NoviaFunds[[#This Row],[ISIN]],'Novia Web Query'!$A:$E,3,FALSE)</f>
        <v>UT Global</v>
      </c>
      <c r="D3371" s="139">
        <f>VLOOKUP(NoviaFunds[[#This Row],[ISIN]],'Novia Web Query'!$A:$E,4,FALSE)/100</f>
        <v>9.5999999999999992E-3</v>
      </c>
      <c r="E3371" s="3" t="str">
        <f>VLOOKUP(NoviaFunds[[#This Row],[ISIN]],'Novia Web Query'!$A:$E,5,FALSE)</f>
        <v>28/02/2021</v>
      </c>
      <c r="F3371" t="str">
        <f>VLOOKUP(NoviaFunds[[#This Row],[Sector]],Sectors[],2,FALSE)</f>
        <v>Other Equities</v>
      </c>
    </row>
    <row r="3372" spans="1:6" x14ac:dyDescent="0.2">
      <c r="A3372" t="str">
        <f>'Novia Web Query'!A3368</f>
        <v>GB00B0L4QH90</v>
      </c>
      <c r="B3372" t="str">
        <f>VLOOKUP(NoviaFunds[[#This Row],[ISIN]],'Novia Web Query'!$A:$E,2,FALSE)</f>
        <v>Quilter Investors Global Property Securities A Portfolio Hedged Inc GBP TR in GB</v>
      </c>
      <c r="C3372" t="str">
        <f>VLOOKUP(NoviaFunds[[#This Row],[ISIN]],'Novia Web Query'!$A:$E,3,FALSE)</f>
        <v>UT Property Other</v>
      </c>
      <c r="D3372" s="139">
        <f>VLOOKUP(NoviaFunds[[#This Row],[ISIN]],'Novia Web Query'!$A:$E,4,FALSE)/100</f>
        <v>1.8200000000000001E-2</v>
      </c>
      <c r="E3372" s="3" t="str">
        <f>VLOOKUP(NoviaFunds[[#This Row],[ISIN]],'Novia Web Query'!$A:$E,5,FALSE)</f>
        <v>31/07/2021</v>
      </c>
      <c r="F3372" t="e">
        <f>VLOOKUP(NoviaFunds[[#This Row],[Sector]],Sectors[],2,FALSE)</f>
        <v>#N/A</v>
      </c>
    </row>
    <row r="3373" spans="1:6" x14ac:dyDescent="0.2">
      <c r="A3373" t="str">
        <f>'Novia Web Query'!A3369</f>
        <v>GB00B84XYZ39</v>
      </c>
      <c r="B3373" t="str">
        <f>VLOOKUP(NoviaFunds[[#This Row],[ISIN]],'Novia Web Query'!$A:$E,2,FALSE)</f>
        <v>Quilter Investors Global Property Securities R Portfolio Hedged Inc GBP TR in GB</v>
      </c>
      <c r="C3373" t="str">
        <f>VLOOKUP(NoviaFunds[[#This Row],[ISIN]],'Novia Web Query'!$A:$E,3,FALSE)</f>
        <v>UT Property Other</v>
      </c>
      <c r="D3373" s="139">
        <f>VLOOKUP(NoviaFunds[[#This Row],[ISIN]],'Novia Web Query'!$A:$E,4,FALSE)/100</f>
        <v>1.0700000000000001E-2</v>
      </c>
      <c r="E3373" s="3" t="str">
        <f>VLOOKUP(NoviaFunds[[#This Row],[ISIN]],'Novia Web Query'!$A:$E,5,FALSE)</f>
        <v>31/07/2021</v>
      </c>
      <c r="F3373" t="e">
        <f>VLOOKUP(NoviaFunds[[#This Row],[Sector]],Sectors[],2,FALSE)</f>
        <v>#N/A</v>
      </c>
    </row>
    <row r="3374" spans="1:6" x14ac:dyDescent="0.2">
      <c r="A3374" t="str">
        <f>'Novia Web Query'!A3370</f>
        <v>GB00B13HMT78</v>
      </c>
      <c r="B3374" t="str">
        <f>VLOOKUP(NoviaFunds[[#This Row],[ISIN]],'Novia Web Query'!$A:$E,2,FALSE)</f>
        <v>Quilter Investors Global Unconstrained Equity A Acc GBP in GB</v>
      </c>
      <c r="C3374" t="str">
        <f>VLOOKUP(NoviaFunds[[#This Row],[ISIN]],'Novia Web Query'!$A:$E,3,FALSE)</f>
        <v>UT Global</v>
      </c>
      <c r="D3374" s="139">
        <f>VLOOKUP(NoviaFunds[[#This Row],[ISIN]],'Novia Web Query'!$A:$E,4,FALSE)/100</f>
        <v>1.6500000000000001E-2</v>
      </c>
      <c r="E3374" s="3" t="str">
        <f>VLOOKUP(NoviaFunds[[#This Row],[ISIN]],'Novia Web Query'!$A:$E,5,FALSE)</f>
        <v>28/02/2021</v>
      </c>
      <c r="F3374" t="str">
        <f>VLOOKUP(NoviaFunds[[#This Row],[Sector]],Sectors[],2,FALSE)</f>
        <v>Other Equities</v>
      </c>
    </row>
    <row r="3375" spans="1:6" x14ac:dyDescent="0.2">
      <c r="A3375" t="str">
        <f>'Novia Web Query'!A3371</f>
        <v>GB00B83QL189</v>
      </c>
      <c r="B3375" t="str">
        <f>VLOOKUP(NoviaFunds[[#This Row],[ISIN]],'Novia Web Query'!$A:$E,2,FALSE)</f>
        <v>Quilter Investors Global Unconstrained Equity R Acc GBP in GB</v>
      </c>
      <c r="C3375" t="str">
        <f>VLOOKUP(NoviaFunds[[#This Row],[ISIN]],'Novia Web Query'!$A:$E,3,FALSE)</f>
        <v>UT Global</v>
      </c>
      <c r="D3375" s="139">
        <f>VLOOKUP(NoviaFunds[[#This Row],[ISIN]],'Novia Web Query'!$A:$E,4,FALSE)/100</f>
        <v>9.0000000000000011E-3</v>
      </c>
      <c r="E3375" s="3" t="str">
        <f>VLOOKUP(NoviaFunds[[#This Row],[ISIN]],'Novia Web Query'!$A:$E,5,FALSE)</f>
        <v>28/02/2021</v>
      </c>
      <c r="F3375" t="str">
        <f>VLOOKUP(NoviaFunds[[#This Row],[Sector]],Sectors[],2,FALSE)</f>
        <v>Other Equities</v>
      </c>
    </row>
    <row r="3376" spans="1:6" x14ac:dyDescent="0.2">
      <c r="A3376" t="str">
        <f>'Novia Web Query'!A3372</f>
        <v>GB00BJMXH082</v>
      </c>
      <c r="B3376" t="str">
        <f>VLOOKUP(NoviaFunds[[#This Row],[ISIN]],'Novia Web Query'!$A:$E,2,FALSE)</f>
        <v>Quilter Investors Monthly Income and Growth Portfolio U1 Acc GBP in GB</v>
      </c>
      <c r="C3376" t="str">
        <f>VLOOKUP(NoviaFunds[[#This Row],[ISIN]],'Novia Web Query'!$A:$E,3,FALSE)</f>
        <v>UT Volatility Managed</v>
      </c>
      <c r="D3376" s="139">
        <f>VLOOKUP(NoviaFunds[[#This Row],[ISIN]],'Novia Web Query'!$A:$E,4,FALSE)/100</f>
        <v>8.5000000000000006E-3</v>
      </c>
      <c r="E3376" s="3" t="str">
        <f>VLOOKUP(NoviaFunds[[#This Row],[ISIN]],'Novia Web Query'!$A:$E,5,FALSE)</f>
        <v>18/02/2021</v>
      </c>
      <c r="F3376" t="e">
        <f>VLOOKUP(NoviaFunds[[#This Row],[Sector]],Sectors[],2,FALSE)</f>
        <v>#N/A</v>
      </c>
    </row>
    <row r="3377" spans="1:6" x14ac:dyDescent="0.2">
      <c r="A3377" t="str">
        <f>'Novia Web Query'!A3373</f>
        <v>GB00BJMXGY51</v>
      </c>
      <c r="B3377" t="str">
        <f>VLOOKUP(NoviaFunds[[#This Row],[ISIN]],'Novia Web Query'!$A:$E,2,FALSE)</f>
        <v>Quilter Investors Monthly Income and Growth Portfolio U1 Inc GBP TR in GB</v>
      </c>
      <c r="C3377" t="str">
        <f>VLOOKUP(NoviaFunds[[#This Row],[ISIN]],'Novia Web Query'!$A:$E,3,FALSE)</f>
        <v>UT Volatility Managed</v>
      </c>
      <c r="D3377" s="139">
        <f>VLOOKUP(NoviaFunds[[#This Row],[ISIN]],'Novia Web Query'!$A:$E,4,FALSE)/100</f>
        <v>8.5000000000000006E-3</v>
      </c>
      <c r="E3377" s="3" t="str">
        <f>VLOOKUP(NoviaFunds[[#This Row],[ISIN]],'Novia Web Query'!$A:$E,5,FALSE)</f>
        <v>18/02/2021</v>
      </c>
      <c r="F3377" t="e">
        <f>VLOOKUP(NoviaFunds[[#This Row],[Sector]],Sectors[],2,FALSE)</f>
        <v>#N/A</v>
      </c>
    </row>
    <row r="3378" spans="1:6" x14ac:dyDescent="0.2">
      <c r="A3378" t="str">
        <f>'Novia Web Query'!A3374</f>
        <v>GB00BZ00WM01</v>
      </c>
      <c r="B3378" t="str">
        <f>VLOOKUP(NoviaFunds[[#This Row],[ISIN]],'Novia Web Query'!$A:$E,2,FALSE)</f>
        <v>Quilter Investors Monthly Income Portfolio F Inc GBP TR in GB</v>
      </c>
      <c r="C3378" t="str">
        <f>VLOOKUP(NoviaFunds[[#This Row],[ISIN]],'Novia Web Query'!$A:$E,3,FALSE)</f>
        <v>UT Volatility Managed</v>
      </c>
      <c r="D3378" s="139">
        <f>VLOOKUP(NoviaFunds[[#This Row],[ISIN]],'Novia Web Query'!$A:$E,4,FALSE)/100</f>
        <v>6.0000000000000001E-3</v>
      </c>
      <c r="E3378" s="3" t="str">
        <f>VLOOKUP(NoviaFunds[[#This Row],[ISIN]],'Novia Web Query'!$A:$E,5,FALSE)</f>
        <v>18/02/2021</v>
      </c>
      <c r="F3378" t="e">
        <f>VLOOKUP(NoviaFunds[[#This Row],[Sector]],Sectors[],2,FALSE)</f>
        <v>#N/A</v>
      </c>
    </row>
    <row r="3379" spans="1:6" x14ac:dyDescent="0.2">
      <c r="A3379" t="str">
        <f>'Novia Web Query'!A3375</f>
        <v>GB00BJMXGV21</v>
      </c>
      <c r="B3379" t="str">
        <f>VLOOKUP(NoviaFunds[[#This Row],[ISIN]],'Novia Web Query'!$A:$E,2,FALSE)</f>
        <v>Quilter Investors Monthly Income Portfolio U1 Acc GBP in GB</v>
      </c>
      <c r="C3379" t="str">
        <f>VLOOKUP(NoviaFunds[[#This Row],[ISIN]],'Novia Web Query'!$A:$E,3,FALSE)</f>
        <v>UT Volatility Managed</v>
      </c>
      <c r="D3379" s="139">
        <f>VLOOKUP(NoviaFunds[[#This Row],[ISIN]],'Novia Web Query'!$A:$E,4,FALSE)/100</f>
        <v>8.5000000000000006E-3</v>
      </c>
      <c r="E3379" s="3" t="str">
        <f>VLOOKUP(NoviaFunds[[#This Row],[ISIN]],'Novia Web Query'!$A:$E,5,FALSE)</f>
        <v>18/02/2021</v>
      </c>
      <c r="F3379" t="e">
        <f>VLOOKUP(NoviaFunds[[#This Row],[Sector]],Sectors[],2,FALSE)</f>
        <v>#N/A</v>
      </c>
    </row>
    <row r="3380" spans="1:6" x14ac:dyDescent="0.2">
      <c r="A3380" t="str">
        <f>'Novia Web Query'!A3376</f>
        <v>GB00BJMXGW38</v>
      </c>
      <c r="B3380" t="str">
        <f>VLOOKUP(NoviaFunds[[#This Row],[ISIN]],'Novia Web Query'!$A:$E,2,FALSE)</f>
        <v>Quilter Investors Monthly Income Portfolio U1 Inc GBP TR in GB</v>
      </c>
      <c r="C3380" t="str">
        <f>VLOOKUP(NoviaFunds[[#This Row],[ISIN]],'Novia Web Query'!$A:$E,3,FALSE)</f>
        <v>UT Volatility Managed</v>
      </c>
      <c r="D3380" s="139">
        <f>VLOOKUP(NoviaFunds[[#This Row],[ISIN]],'Novia Web Query'!$A:$E,4,FALSE)/100</f>
        <v>8.5000000000000006E-3</v>
      </c>
      <c r="E3380" s="3" t="str">
        <f>VLOOKUP(NoviaFunds[[#This Row],[ISIN]],'Novia Web Query'!$A:$E,5,FALSE)</f>
        <v>18/02/2021</v>
      </c>
      <c r="F3380" t="e">
        <f>VLOOKUP(NoviaFunds[[#This Row],[Sector]],Sectors[],2,FALSE)</f>
        <v>#N/A</v>
      </c>
    </row>
    <row r="3381" spans="1:6" x14ac:dyDescent="0.2">
      <c r="A3381" t="str">
        <f>'Novia Web Query'!A3377</f>
        <v>GB0033747352</v>
      </c>
      <c r="B3381" t="str">
        <f>VLOOKUP(NoviaFunds[[#This Row],[ISIN]],'Novia Web Query'!$A:$E,2,FALSE)</f>
        <v>Quilter Investors Strategic Bond A Inc GBP TR in GB</v>
      </c>
      <c r="C3381" t="str">
        <f>VLOOKUP(NoviaFunds[[#This Row],[ISIN]],'Novia Web Query'!$A:$E,3,FALSE)</f>
        <v>UT Sterling Strategic Bond</v>
      </c>
      <c r="D3381" s="139">
        <f>VLOOKUP(NoviaFunds[[#This Row],[ISIN]],'Novia Web Query'!$A:$E,4,FALSE)/100</f>
        <v>1.2E-2</v>
      </c>
      <c r="E3381" s="3" t="str">
        <f>VLOOKUP(NoviaFunds[[#This Row],[ISIN]],'Novia Web Query'!$A:$E,5,FALSE)</f>
        <v>28/02/2021</v>
      </c>
      <c r="F3381" t="str">
        <f>VLOOKUP(NoviaFunds[[#This Row],[Sector]],Sectors[],2,FALSE)</f>
        <v>Other Bonds</v>
      </c>
    </row>
    <row r="3382" spans="1:6" x14ac:dyDescent="0.2">
      <c r="A3382" t="str">
        <f>'Novia Web Query'!A3378</f>
        <v>GB00B83NTX72</v>
      </c>
      <c r="B3382" t="str">
        <f>VLOOKUP(NoviaFunds[[#This Row],[ISIN]],'Novia Web Query'!$A:$E,2,FALSE)</f>
        <v>Quilter Investors Strategic Bond R Inc GBP TR in GB</v>
      </c>
      <c r="C3382" t="str">
        <f>VLOOKUP(NoviaFunds[[#This Row],[ISIN]],'Novia Web Query'!$A:$E,3,FALSE)</f>
        <v>UT Sterling Strategic Bond</v>
      </c>
      <c r="D3382" s="139">
        <f>VLOOKUP(NoviaFunds[[#This Row],[ISIN]],'Novia Web Query'!$A:$E,4,FALSE)/100</f>
        <v>6.9999999999999993E-3</v>
      </c>
      <c r="E3382" s="3" t="str">
        <f>VLOOKUP(NoviaFunds[[#This Row],[ISIN]],'Novia Web Query'!$A:$E,5,FALSE)</f>
        <v>28/02/2021</v>
      </c>
      <c r="F3382" t="str">
        <f>VLOOKUP(NoviaFunds[[#This Row],[Sector]],Sectors[],2,FALSE)</f>
        <v>Other Bonds</v>
      </c>
    </row>
    <row r="3383" spans="1:6" x14ac:dyDescent="0.2">
      <c r="A3383" t="str">
        <f>'Novia Web Query'!A3379</f>
        <v>GB00B5NBX831</v>
      </c>
      <c r="B3383" t="str">
        <f>VLOOKUP(NoviaFunds[[#This Row],[ISIN]],'Novia Web Query'!$A:$E,2,FALSE)</f>
        <v>Rathbone Enhanced Growth Portfolio R Acc GBP in GB</v>
      </c>
      <c r="C3383" t="str">
        <f>VLOOKUP(NoviaFunds[[#This Row],[ISIN]],'Novia Web Query'!$A:$E,3,FALSE)</f>
        <v>UT Volatility Managed</v>
      </c>
      <c r="D3383" s="139">
        <f>VLOOKUP(NoviaFunds[[#This Row],[ISIN]],'Novia Web Query'!$A:$E,4,FALSE)/100</f>
        <v>1.67E-2</v>
      </c>
      <c r="E3383" s="3" t="str">
        <f>VLOOKUP(NoviaFunds[[#This Row],[ISIN]],'Novia Web Query'!$A:$E,5,FALSE)</f>
        <v>31/03/2021</v>
      </c>
      <c r="F3383" t="e">
        <f>VLOOKUP(NoviaFunds[[#This Row],[Sector]],Sectors[],2,FALSE)</f>
        <v>#N/A</v>
      </c>
    </row>
    <row r="3384" spans="1:6" x14ac:dyDescent="0.2">
      <c r="A3384" t="str">
        <f>'Novia Web Query'!A3380</f>
        <v>GB00B7ZPKY25</v>
      </c>
      <c r="B3384" t="str">
        <f>VLOOKUP(NoviaFunds[[#This Row],[ISIN]],'Novia Web Query'!$A:$E,2,FALSE)</f>
        <v>Rathbone Enhanced Growth Portfolio S Acc GBP in GB</v>
      </c>
      <c r="C3384" t="str">
        <f>VLOOKUP(NoviaFunds[[#This Row],[ISIN]],'Novia Web Query'!$A:$E,3,FALSE)</f>
        <v>UT Volatility Managed</v>
      </c>
      <c r="D3384" s="139">
        <f>VLOOKUP(NoviaFunds[[#This Row],[ISIN]],'Novia Web Query'!$A:$E,4,FALSE)/100</f>
        <v>6.7000000000000002E-3</v>
      </c>
      <c r="E3384" s="3" t="str">
        <f>VLOOKUP(NoviaFunds[[#This Row],[ISIN]],'Novia Web Query'!$A:$E,5,FALSE)</f>
        <v>31/03/2021</v>
      </c>
      <c r="F3384" t="e">
        <f>VLOOKUP(NoviaFunds[[#This Row],[Sector]],Sectors[],2,FALSE)</f>
        <v>#N/A</v>
      </c>
    </row>
    <row r="3385" spans="1:6" x14ac:dyDescent="0.2">
      <c r="A3385" t="str">
        <f>'Novia Web Query'!A3381</f>
        <v>GB00B77DQT14</v>
      </c>
      <c r="B3385" t="str">
        <f>VLOOKUP(NoviaFunds[[#This Row],[ISIN]],'Novia Web Query'!$A:$E,2,FALSE)</f>
        <v>Rathbone Ethical Bond Fund I Acc GBP in GB</v>
      </c>
      <c r="C3385" t="str">
        <f>VLOOKUP(NoviaFunds[[#This Row],[ISIN]],'Novia Web Query'!$A:$E,3,FALSE)</f>
        <v>UT Sterling Corporate Bond</v>
      </c>
      <c r="D3385" s="139">
        <f>VLOOKUP(NoviaFunds[[#This Row],[ISIN]],'Novia Web Query'!$A:$E,4,FALSE)/100</f>
        <v>6.5000000000000006E-3</v>
      </c>
      <c r="E3385" s="3" t="str">
        <f>VLOOKUP(NoviaFunds[[#This Row],[ISIN]],'Novia Web Query'!$A:$E,5,FALSE)</f>
        <v>31/03/2021</v>
      </c>
      <c r="F3385" t="str">
        <f>VLOOKUP(NoviaFunds[[#This Row],[Sector]],Sectors[],2,FALSE)</f>
        <v>Sterling Corporate Bonds</v>
      </c>
    </row>
    <row r="3386" spans="1:6" x14ac:dyDescent="0.2">
      <c r="A3386" t="str">
        <f>'Novia Web Query'!A3382</f>
        <v>GB00B7FQJT36</v>
      </c>
      <c r="B3386" t="str">
        <f>VLOOKUP(NoviaFunds[[#This Row],[ISIN]],'Novia Web Query'!$A:$E,2,FALSE)</f>
        <v>Rathbone Ethical Bond Fund I Inc GBP TR in GB</v>
      </c>
      <c r="C3386" t="str">
        <f>VLOOKUP(NoviaFunds[[#This Row],[ISIN]],'Novia Web Query'!$A:$E,3,FALSE)</f>
        <v>UT Sterling Corporate Bond</v>
      </c>
      <c r="D3386" s="139">
        <f>VLOOKUP(NoviaFunds[[#This Row],[ISIN]],'Novia Web Query'!$A:$E,4,FALSE)/100</f>
        <v>6.5000000000000006E-3</v>
      </c>
      <c r="E3386" s="3" t="str">
        <f>VLOOKUP(NoviaFunds[[#This Row],[ISIN]],'Novia Web Query'!$A:$E,5,FALSE)</f>
        <v>31/03/2021</v>
      </c>
      <c r="F3386" t="str">
        <f>VLOOKUP(NoviaFunds[[#This Row],[Sector]],Sectors[],2,FALSE)</f>
        <v>Sterling Corporate Bonds</v>
      </c>
    </row>
    <row r="3387" spans="1:6" x14ac:dyDescent="0.2">
      <c r="A3387" t="str">
        <f>'Novia Web Query'!A3383</f>
        <v>GB0030957137</v>
      </c>
      <c r="B3387" t="str">
        <f>VLOOKUP(NoviaFunds[[#This Row],[ISIN]],'Novia Web Query'!$A:$E,2,FALSE)</f>
        <v>Rathbone Ethical Bond Fund R Acc GBP in GB</v>
      </c>
      <c r="C3387" t="str">
        <f>VLOOKUP(NoviaFunds[[#This Row],[ISIN]],'Novia Web Query'!$A:$E,3,FALSE)</f>
        <v>UT Sterling Corporate Bond</v>
      </c>
      <c r="D3387" s="139">
        <f>VLOOKUP(NoviaFunds[[#This Row],[ISIN]],'Novia Web Query'!$A:$E,4,FALSE)/100</f>
        <v>1.2800000000000001E-2</v>
      </c>
      <c r="E3387" s="3" t="str">
        <f>VLOOKUP(NoviaFunds[[#This Row],[ISIN]],'Novia Web Query'!$A:$E,5,FALSE)</f>
        <v>31/03/2021</v>
      </c>
      <c r="F3387" t="str">
        <f>VLOOKUP(NoviaFunds[[#This Row],[Sector]],Sectors[],2,FALSE)</f>
        <v>Sterling Corporate Bonds</v>
      </c>
    </row>
    <row r="3388" spans="1:6" x14ac:dyDescent="0.2">
      <c r="A3388" t="str">
        <f>'Novia Web Query'!A3384</f>
        <v>GB0030957020</v>
      </c>
      <c r="B3388" t="str">
        <f>VLOOKUP(NoviaFunds[[#This Row],[ISIN]],'Novia Web Query'!$A:$E,2,FALSE)</f>
        <v>Rathbone Ethical Bond Fund R Inc GBP TR in GB</v>
      </c>
      <c r="C3388" t="str">
        <f>VLOOKUP(NoviaFunds[[#This Row],[ISIN]],'Novia Web Query'!$A:$E,3,FALSE)</f>
        <v>UT Sterling Corporate Bond</v>
      </c>
      <c r="D3388" s="139">
        <f>VLOOKUP(NoviaFunds[[#This Row],[ISIN]],'Novia Web Query'!$A:$E,4,FALSE)/100</f>
        <v>1.2800000000000001E-2</v>
      </c>
      <c r="E3388" s="3" t="str">
        <f>VLOOKUP(NoviaFunds[[#This Row],[ISIN]],'Novia Web Query'!$A:$E,5,FALSE)</f>
        <v>31/03/2021</v>
      </c>
      <c r="F3388" t="str">
        <f>VLOOKUP(NoviaFunds[[#This Row],[Sector]],Sectors[],2,FALSE)</f>
        <v>Sterling Corporate Bonds</v>
      </c>
    </row>
    <row r="3389" spans="1:6" x14ac:dyDescent="0.2">
      <c r="A3389" t="str">
        <f>'Novia Web Query'!A3385</f>
        <v>GB00BDD0RN99</v>
      </c>
      <c r="B3389" t="str">
        <f>VLOOKUP(NoviaFunds[[#This Row],[ISIN]],'Novia Web Query'!$A:$E,2,FALSE)</f>
        <v>Rathbone Ethical Bond Fund S Acc GBP in GB</v>
      </c>
      <c r="C3389" t="str">
        <f>VLOOKUP(NoviaFunds[[#This Row],[ISIN]],'Novia Web Query'!$A:$E,3,FALSE)</f>
        <v>UT Sterling Corporate Bond</v>
      </c>
      <c r="D3389" s="139">
        <f>VLOOKUP(NoviaFunds[[#This Row],[ISIN]],'Novia Web Query'!$A:$E,4,FALSE)/100</f>
        <v>5.1999999999999998E-3</v>
      </c>
      <c r="E3389" s="3" t="str">
        <f>VLOOKUP(NoviaFunds[[#This Row],[ISIN]],'Novia Web Query'!$A:$E,5,FALSE)</f>
        <v>31/03/2021</v>
      </c>
      <c r="F3389" t="str">
        <f>VLOOKUP(NoviaFunds[[#This Row],[Sector]],Sectors[],2,FALSE)</f>
        <v>Sterling Corporate Bonds</v>
      </c>
    </row>
    <row r="3390" spans="1:6" x14ac:dyDescent="0.2">
      <c r="A3390" t="str">
        <f>'Novia Web Query'!A3386</f>
        <v>GB00BDD0RM82</v>
      </c>
      <c r="B3390" t="str">
        <f>VLOOKUP(NoviaFunds[[#This Row],[ISIN]],'Novia Web Query'!$A:$E,2,FALSE)</f>
        <v>Rathbone Ethical Bond Fund S Inc GBP TR in GB**</v>
      </c>
      <c r="C3390" t="str">
        <f>VLOOKUP(NoviaFunds[[#This Row],[ISIN]],'Novia Web Query'!$A:$E,3,FALSE)</f>
        <v>UT Sterling Corporate Bond</v>
      </c>
      <c r="D3390" s="139">
        <f>VLOOKUP(NoviaFunds[[#This Row],[ISIN]],'Novia Web Query'!$A:$E,4,FALSE)/100</f>
        <v>5.1999999999999998E-3</v>
      </c>
      <c r="E3390" s="3" t="str">
        <f>VLOOKUP(NoviaFunds[[#This Row],[ISIN]],'Novia Web Query'!$A:$E,5,FALSE)</f>
        <v>31/03/2021</v>
      </c>
      <c r="F3390" t="str">
        <f>VLOOKUP(NoviaFunds[[#This Row],[Sector]],Sectors[],2,FALSE)</f>
        <v>Sterling Corporate Bonds</v>
      </c>
    </row>
    <row r="3391" spans="1:6" x14ac:dyDescent="0.2">
      <c r="A3391" t="str">
        <f>'Novia Web Query'!A3387</f>
        <v>GB00B7FQLN12</v>
      </c>
      <c r="B3391" t="str">
        <f>VLOOKUP(NoviaFunds[[#This Row],[ISIN]],'Novia Web Query'!$A:$E,2,FALSE)</f>
        <v>Rathbone Global Opportunities Fund I Acc GBP in GB</v>
      </c>
      <c r="C3391" t="str">
        <f>VLOOKUP(NoviaFunds[[#This Row],[ISIN]],'Novia Web Query'!$A:$E,3,FALSE)</f>
        <v>UT Global</v>
      </c>
      <c r="D3391" s="139">
        <f>VLOOKUP(NoviaFunds[[#This Row],[ISIN]],'Novia Web Query'!$A:$E,4,FALSE)/100</f>
        <v>7.7000000000000002E-3</v>
      </c>
      <c r="E3391" s="3" t="str">
        <f>VLOOKUP(NoviaFunds[[#This Row],[ISIN]],'Novia Web Query'!$A:$E,5,FALSE)</f>
        <v>31/07/2021</v>
      </c>
      <c r="F3391" t="str">
        <f>VLOOKUP(NoviaFunds[[#This Row],[Sector]],Sectors[],2,FALSE)</f>
        <v>Other Equities</v>
      </c>
    </row>
    <row r="3392" spans="1:6" x14ac:dyDescent="0.2">
      <c r="A3392" t="str">
        <f>'Novia Web Query'!A3388</f>
        <v>GB0030349095</v>
      </c>
      <c r="B3392" t="str">
        <f>VLOOKUP(NoviaFunds[[#This Row],[ISIN]],'Novia Web Query'!$A:$E,2,FALSE)</f>
        <v>Rathbone Global Opportunities Fund R Acc GBP in GB</v>
      </c>
      <c r="C3392" t="str">
        <f>VLOOKUP(NoviaFunds[[#This Row],[ISIN]],'Novia Web Query'!$A:$E,3,FALSE)</f>
        <v>UT Global</v>
      </c>
      <c r="D3392" s="139">
        <f>VLOOKUP(NoviaFunds[[#This Row],[ISIN]],'Novia Web Query'!$A:$E,4,FALSE)/100</f>
        <v>1.52E-2</v>
      </c>
      <c r="E3392" s="3" t="str">
        <f>VLOOKUP(NoviaFunds[[#This Row],[ISIN]],'Novia Web Query'!$A:$E,5,FALSE)</f>
        <v>31/07/2021</v>
      </c>
      <c r="F3392" t="str">
        <f>VLOOKUP(NoviaFunds[[#This Row],[Sector]],Sectors[],2,FALSE)</f>
        <v>Other Equities</v>
      </c>
    </row>
    <row r="3393" spans="1:6" x14ac:dyDescent="0.2">
      <c r="A3393" t="str">
        <f>'Novia Web Query'!A3389</f>
        <v>GB00B8CJW049</v>
      </c>
      <c r="B3393" t="str">
        <f>VLOOKUP(NoviaFunds[[#This Row],[ISIN]],'Novia Web Query'!$A:$E,2,FALSE)</f>
        <v>Rathbone Heritage Fund I Acc GBP in GB</v>
      </c>
      <c r="C3393" t="str">
        <f>VLOOKUP(NoviaFunds[[#This Row],[ISIN]],'Novia Web Query'!$A:$E,3,FALSE)</f>
        <v>UT Unclassified</v>
      </c>
      <c r="D3393" s="139">
        <f>VLOOKUP(NoviaFunds[[#This Row],[ISIN]],'Novia Web Query'!$A:$E,4,FALSE)/100</f>
        <v>9.0000000000000011E-3</v>
      </c>
      <c r="E3393" s="3" t="str">
        <f>VLOOKUP(NoviaFunds[[#This Row],[ISIN]],'Novia Web Query'!$A:$E,5,FALSE)</f>
        <v>30/04/2021</v>
      </c>
      <c r="F3393" t="str">
        <f>VLOOKUP(NoviaFunds[[#This Row],[Sector]],Sectors[],2,FALSE)</f>
        <v>Unclassified</v>
      </c>
    </row>
    <row r="3394" spans="1:6" x14ac:dyDescent="0.2">
      <c r="A3394" t="str">
        <f>'Novia Web Query'!A3390</f>
        <v>GB00B6SCP824</v>
      </c>
      <c r="B3394" t="str">
        <f>VLOOKUP(NoviaFunds[[#This Row],[ISIN]],'Novia Web Query'!$A:$E,2,FALSE)</f>
        <v>Rathbone Heritage Fund I Inc GBP TR in GB</v>
      </c>
      <c r="C3394" t="str">
        <f>VLOOKUP(NoviaFunds[[#This Row],[ISIN]],'Novia Web Query'!$A:$E,3,FALSE)</f>
        <v>UT Unclassified</v>
      </c>
      <c r="D3394" s="139">
        <f>VLOOKUP(NoviaFunds[[#This Row],[ISIN]],'Novia Web Query'!$A:$E,4,FALSE)/100</f>
        <v>9.0000000000000011E-3</v>
      </c>
      <c r="E3394" s="3" t="str">
        <f>VLOOKUP(NoviaFunds[[#This Row],[ISIN]],'Novia Web Query'!$A:$E,5,FALSE)</f>
        <v>30/04/2021</v>
      </c>
      <c r="F3394" t="str">
        <f>VLOOKUP(NoviaFunds[[#This Row],[Sector]],Sectors[],2,FALSE)</f>
        <v>Unclassified</v>
      </c>
    </row>
    <row r="3395" spans="1:6" x14ac:dyDescent="0.2">
      <c r="A3395" t="str">
        <f>'Novia Web Query'!A3391</f>
        <v>GB00BD5DN500</v>
      </c>
      <c r="B3395" t="str">
        <f>VLOOKUP(NoviaFunds[[#This Row],[ISIN]],'Novia Web Query'!$A:$E,2,FALSE)</f>
        <v>Rathbone High Quality Bond Fund I Acc GBP in GB</v>
      </c>
      <c r="C3395" t="str">
        <f>VLOOKUP(NoviaFunds[[#This Row],[ISIN]],'Novia Web Query'!$A:$E,3,FALSE)</f>
        <v>UT Sterling Corporate Bond</v>
      </c>
      <c r="D3395" s="139">
        <f>VLOOKUP(NoviaFunds[[#This Row],[ISIN]],'Novia Web Query'!$A:$E,4,FALSE)/100</f>
        <v>4.0000000000000001E-3</v>
      </c>
      <c r="E3395" s="3" t="str">
        <f>VLOOKUP(NoviaFunds[[#This Row],[ISIN]],'Novia Web Query'!$A:$E,5,FALSE)</f>
        <v>30/04/2021</v>
      </c>
      <c r="F3395" t="str">
        <f>VLOOKUP(NoviaFunds[[#This Row],[Sector]],Sectors[],2,FALSE)</f>
        <v>Sterling Corporate Bonds</v>
      </c>
    </row>
    <row r="3396" spans="1:6" x14ac:dyDescent="0.2">
      <c r="A3396" t="str">
        <f>'Novia Web Query'!A3392</f>
        <v>GB00BD5DN492</v>
      </c>
      <c r="B3396" t="str">
        <f>VLOOKUP(NoviaFunds[[#This Row],[ISIN]],'Novia Web Query'!$A:$E,2,FALSE)</f>
        <v>Rathbone High Quality Bond Fund I Inc GBP TR in GB</v>
      </c>
      <c r="C3396" t="str">
        <f>VLOOKUP(NoviaFunds[[#This Row],[ISIN]],'Novia Web Query'!$A:$E,3,FALSE)</f>
        <v>UT Sterling Corporate Bond</v>
      </c>
      <c r="D3396" s="139">
        <f>VLOOKUP(NoviaFunds[[#This Row],[ISIN]],'Novia Web Query'!$A:$E,4,FALSE)/100</f>
        <v>4.0000000000000001E-3</v>
      </c>
      <c r="E3396" s="3" t="str">
        <f>VLOOKUP(NoviaFunds[[#This Row],[ISIN]],'Novia Web Query'!$A:$E,5,FALSE)</f>
        <v>30/04/2021</v>
      </c>
      <c r="F3396" t="str">
        <f>VLOOKUP(NoviaFunds[[#This Row],[Sector]],Sectors[],2,FALSE)</f>
        <v>Sterling Corporate Bonds</v>
      </c>
    </row>
    <row r="3397" spans="1:6" x14ac:dyDescent="0.2">
      <c r="A3397" t="str">
        <f>'Novia Web Query'!A3393</f>
        <v>GB00B3Q9WG18</v>
      </c>
      <c r="B3397" t="str">
        <f>VLOOKUP(NoviaFunds[[#This Row],[ISIN]],'Novia Web Query'!$A:$E,2,FALSE)</f>
        <v>Rathbone Income Fund I Acc GBP in GB</v>
      </c>
      <c r="C3397" t="str">
        <f>VLOOKUP(NoviaFunds[[#This Row],[ISIN]],'Novia Web Query'!$A:$E,3,FALSE)</f>
        <v>UT UK Equity Income</v>
      </c>
      <c r="D3397" s="139">
        <f>VLOOKUP(NoviaFunds[[#This Row],[ISIN]],'Novia Web Query'!$A:$E,4,FALSE)/100</f>
        <v>7.8000000000000005E-3</v>
      </c>
      <c r="E3397" s="3" t="str">
        <f>VLOOKUP(NoviaFunds[[#This Row],[ISIN]],'Novia Web Query'!$A:$E,5,FALSE)</f>
        <v>31/03/2021</v>
      </c>
      <c r="F3397" t="str">
        <f>VLOOKUP(NoviaFunds[[#This Row],[Sector]],Sectors[],2,FALSE)</f>
        <v>UK Equities</v>
      </c>
    </row>
    <row r="3398" spans="1:6" x14ac:dyDescent="0.2">
      <c r="A3398" t="str">
        <f>'Novia Web Query'!A3394</f>
        <v>GB00B7FQLQ43</v>
      </c>
      <c r="B3398" t="str">
        <f>VLOOKUP(NoviaFunds[[#This Row],[ISIN]],'Novia Web Query'!$A:$E,2,FALSE)</f>
        <v>Rathbone Income Fund I Inc GBP TR in GB</v>
      </c>
      <c r="C3398" t="str">
        <f>VLOOKUP(NoviaFunds[[#This Row],[ISIN]],'Novia Web Query'!$A:$E,3,FALSE)</f>
        <v>UT UK Equity Income</v>
      </c>
      <c r="D3398" s="139">
        <f>VLOOKUP(NoviaFunds[[#This Row],[ISIN]],'Novia Web Query'!$A:$E,4,FALSE)/100</f>
        <v>7.8000000000000005E-3</v>
      </c>
      <c r="E3398" s="3" t="str">
        <f>VLOOKUP(NoviaFunds[[#This Row],[ISIN]],'Novia Web Query'!$A:$E,5,FALSE)</f>
        <v>31/03/2021</v>
      </c>
      <c r="F3398" t="str">
        <f>VLOOKUP(NoviaFunds[[#This Row],[Sector]],Sectors[],2,FALSE)</f>
        <v>UK Equities</v>
      </c>
    </row>
    <row r="3399" spans="1:6" x14ac:dyDescent="0.2">
      <c r="A3399" t="str">
        <f>'Novia Web Query'!A3395</f>
        <v>GB00B06ZVC73</v>
      </c>
      <c r="B3399" t="str">
        <f>VLOOKUP(NoviaFunds[[#This Row],[ISIN]],'Novia Web Query'!$A:$E,2,FALSE)</f>
        <v>Rathbone Income Fund R Acc GBP in GB</v>
      </c>
      <c r="C3399" t="str">
        <f>VLOOKUP(NoviaFunds[[#This Row],[ISIN]],'Novia Web Query'!$A:$E,3,FALSE)</f>
        <v>UT UK Equity Income</v>
      </c>
      <c r="D3399" s="139">
        <f>VLOOKUP(NoviaFunds[[#This Row],[ISIN]],'Novia Web Query'!$A:$E,4,FALSE)/100</f>
        <v>1.5300000000000001E-2</v>
      </c>
      <c r="E3399" s="3" t="str">
        <f>VLOOKUP(NoviaFunds[[#This Row],[ISIN]],'Novia Web Query'!$A:$E,5,FALSE)</f>
        <v>31/03/2021</v>
      </c>
      <c r="F3399" t="str">
        <f>VLOOKUP(NoviaFunds[[#This Row],[Sector]],Sectors[],2,FALSE)</f>
        <v>UK Equities</v>
      </c>
    </row>
    <row r="3400" spans="1:6" x14ac:dyDescent="0.2">
      <c r="A3400" t="str">
        <f>'Novia Web Query'!A3396</f>
        <v>GB0001229045</v>
      </c>
      <c r="B3400" t="str">
        <f>VLOOKUP(NoviaFunds[[#This Row],[ISIN]],'Novia Web Query'!$A:$E,2,FALSE)</f>
        <v>Rathbone Income Fund R Inc GBP TR in GB</v>
      </c>
      <c r="C3400" t="str">
        <f>VLOOKUP(NoviaFunds[[#This Row],[ISIN]],'Novia Web Query'!$A:$E,3,FALSE)</f>
        <v>UT UK Equity Income</v>
      </c>
      <c r="D3400" s="139">
        <f>VLOOKUP(NoviaFunds[[#This Row],[ISIN]],'Novia Web Query'!$A:$E,4,FALSE)/100</f>
        <v>1.5300000000000001E-2</v>
      </c>
      <c r="E3400" s="3" t="str">
        <f>VLOOKUP(NoviaFunds[[#This Row],[ISIN]],'Novia Web Query'!$A:$E,5,FALSE)</f>
        <v>31/03/2021</v>
      </c>
      <c r="F3400" t="str">
        <f>VLOOKUP(NoviaFunds[[#This Row],[Sector]],Sectors[],2,FALSE)</f>
        <v>UK Equities</v>
      </c>
    </row>
    <row r="3401" spans="1:6" x14ac:dyDescent="0.2">
      <c r="A3401" t="str">
        <f>'Novia Web Query'!A3397</f>
        <v>GB00B6ZS2486</v>
      </c>
      <c r="B3401" t="str">
        <f>VLOOKUP(NoviaFunds[[#This Row],[ISIN]],'Novia Web Query'!$A:$E,2,FALSE)</f>
        <v>Rathbone Strategic Bond Fund I Acc GBP in GB</v>
      </c>
      <c r="C3401" t="str">
        <f>VLOOKUP(NoviaFunds[[#This Row],[ISIN]],'Novia Web Query'!$A:$E,3,FALSE)</f>
        <v>UT Sterling Strategic Bond</v>
      </c>
      <c r="D3401" s="139">
        <f>VLOOKUP(NoviaFunds[[#This Row],[ISIN]],'Novia Web Query'!$A:$E,4,FALSE)/100</f>
        <v>8.0000000000000002E-3</v>
      </c>
      <c r="E3401" s="3" t="str">
        <f>VLOOKUP(NoviaFunds[[#This Row],[ISIN]],'Novia Web Query'!$A:$E,5,FALSE)</f>
        <v>30/06/2021</v>
      </c>
      <c r="F3401" t="str">
        <f>VLOOKUP(NoviaFunds[[#This Row],[Sector]],Sectors[],2,FALSE)</f>
        <v>Other Bonds</v>
      </c>
    </row>
    <row r="3402" spans="1:6" x14ac:dyDescent="0.2">
      <c r="A3402" t="str">
        <f>'Novia Web Query'!A3398</f>
        <v>GB00B6ZS1L87</v>
      </c>
      <c r="B3402" t="str">
        <f>VLOOKUP(NoviaFunds[[#This Row],[ISIN]],'Novia Web Query'!$A:$E,2,FALSE)</f>
        <v>Rathbone Strategic Bond Fund I Inc GBP TR in GB</v>
      </c>
      <c r="C3402" t="str">
        <f>VLOOKUP(NoviaFunds[[#This Row],[ISIN]],'Novia Web Query'!$A:$E,3,FALSE)</f>
        <v>UT Sterling Strategic Bond</v>
      </c>
      <c r="D3402" s="139">
        <f>VLOOKUP(NoviaFunds[[#This Row],[ISIN]],'Novia Web Query'!$A:$E,4,FALSE)/100</f>
        <v>8.0000000000000002E-3</v>
      </c>
      <c r="E3402" s="3" t="str">
        <f>VLOOKUP(NoviaFunds[[#This Row],[ISIN]],'Novia Web Query'!$A:$E,5,FALSE)</f>
        <v>30/06/2021</v>
      </c>
      <c r="F3402" t="str">
        <f>VLOOKUP(NoviaFunds[[#This Row],[Sector]],Sectors[],2,FALSE)</f>
        <v>Other Bonds</v>
      </c>
    </row>
    <row r="3403" spans="1:6" x14ac:dyDescent="0.2">
      <c r="A3403" t="str">
        <f>'Novia Web Query'!A3399</f>
        <v>GB00B543P606</v>
      </c>
      <c r="B3403" t="str">
        <f>VLOOKUP(NoviaFunds[[#This Row],[ISIN]],'Novia Web Query'!$A:$E,2,FALSE)</f>
        <v>Rathbone Strategic Growth Portfolio R Acc GBP TR in GB</v>
      </c>
      <c r="C3403" t="str">
        <f>VLOOKUP(NoviaFunds[[#This Row],[ISIN]],'Novia Web Query'!$A:$E,3,FALSE)</f>
        <v>UT Volatility Managed</v>
      </c>
      <c r="D3403" s="139">
        <f>VLOOKUP(NoviaFunds[[#This Row],[ISIN]],'Novia Web Query'!$A:$E,4,FALSE)/100</f>
        <v>1.61E-2</v>
      </c>
      <c r="E3403" s="3" t="str">
        <f>VLOOKUP(NoviaFunds[[#This Row],[ISIN]],'Novia Web Query'!$A:$E,5,FALSE)</f>
        <v>31/03/2021</v>
      </c>
      <c r="F3403" t="e">
        <f>VLOOKUP(NoviaFunds[[#This Row],[Sector]],Sectors[],2,FALSE)</f>
        <v>#N/A</v>
      </c>
    </row>
    <row r="3404" spans="1:6" x14ac:dyDescent="0.2">
      <c r="A3404" t="str">
        <f>'Novia Web Query'!A3400</f>
        <v>GB00B543S725</v>
      </c>
      <c r="B3404" t="str">
        <f>VLOOKUP(NoviaFunds[[#This Row],[ISIN]],'Novia Web Query'!$A:$E,2,FALSE)</f>
        <v>Rathbone Strategic Growth Portfolio R Inc GBP TR in GB</v>
      </c>
      <c r="C3404" t="str">
        <f>VLOOKUP(NoviaFunds[[#This Row],[ISIN]],'Novia Web Query'!$A:$E,3,FALSE)</f>
        <v>UT Volatility Managed</v>
      </c>
      <c r="D3404" s="139">
        <f>VLOOKUP(NoviaFunds[[#This Row],[ISIN]],'Novia Web Query'!$A:$E,4,FALSE)/100</f>
        <v>1.61E-2</v>
      </c>
      <c r="E3404" s="3" t="str">
        <f>VLOOKUP(NoviaFunds[[#This Row],[ISIN]],'Novia Web Query'!$A:$E,5,FALSE)</f>
        <v>31/03/2021</v>
      </c>
      <c r="F3404" t="e">
        <f>VLOOKUP(NoviaFunds[[#This Row],[Sector]],Sectors[],2,FALSE)</f>
        <v>#N/A</v>
      </c>
    </row>
    <row r="3405" spans="1:6" x14ac:dyDescent="0.2">
      <c r="A3405" t="str">
        <f>'Novia Web Query'!A3401</f>
        <v>GB00B86QF242</v>
      </c>
      <c r="B3405" t="str">
        <f>VLOOKUP(NoviaFunds[[#This Row],[ISIN]],'Novia Web Query'!$A:$E,2,FALSE)</f>
        <v>Rathbone Strategic Growth Portfolio S Acc GBP TR in GB</v>
      </c>
      <c r="C3405" t="str">
        <f>VLOOKUP(NoviaFunds[[#This Row],[ISIN]],'Novia Web Query'!$A:$E,3,FALSE)</f>
        <v>UT Volatility Managed</v>
      </c>
      <c r="D3405" s="139">
        <f>VLOOKUP(NoviaFunds[[#This Row],[ISIN]],'Novia Web Query'!$A:$E,4,FALSE)/100</f>
        <v>6.0999999999999995E-3</v>
      </c>
      <c r="E3405" s="3" t="str">
        <f>VLOOKUP(NoviaFunds[[#This Row],[ISIN]],'Novia Web Query'!$A:$E,5,FALSE)</f>
        <v>31/03/2021</v>
      </c>
      <c r="F3405" t="e">
        <f>VLOOKUP(NoviaFunds[[#This Row],[Sector]],Sectors[],2,FALSE)</f>
        <v>#N/A</v>
      </c>
    </row>
    <row r="3406" spans="1:6" x14ac:dyDescent="0.2">
      <c r="A3406" t="str">
        <f>'Novia Web Query'!A3402</f>
        <v>GB00B86NX655</v>
      </c>
      <c r="B3406" t="str">
        <f>VLOOKUP(NoviaFunds[[#This Row],[ISIN]],'Novia Web Query'!$A:$E,2,FALSE)</f>
        <v>Rathbone Strategic Growth Portfolio S Inc GBP TR in GB</v>
      </c>
      <c r="C3406" t="str">
        <f>VLOOKUP(NoviaFunds[[#This Row],[ISIN]],'Novia Web Query'!$A:$E,3,FALSE)</f>
        <v>UT Volatility Managed</v>
      </c>
      <c r="D3406" s="139">
        <f>VLOOKUP(NoviaFunds[[#This Row],[ISIN]],'Novia Web Query'!$A:$E,4,FALSE)/100</f>
        <v>6.0999999999999995E-3</v>
      </c>
      <c r="E3406" s="3" t="str">
        <f>VLOOKUP(NoviaFunds[[#This Row],[ISIN]],'Novia Web Query'!$A:$E,5,FALSE)</f>
        <v>31/03/2021</v>
      </c>
      <c r="F3406" t="e">
        <f>VLOOKUP(NoviaFunds[[#This Row],[Sector]],Sectors[],2,FALSE)</f>
        <v>#N/A</v>
      </c>
    </row>
    <row r="3407" spans="1:6" x14ac:dyDescent="0.2">
      <c r="A3407" t="str">
        <f>'Novia Web Query'!A3403</f>
        <v>GB00BY9BT482</v>
      </c>
      <c r="B3407" t="str">
        <f>VLOOKUP(NoviaFunds[[#This Row],[ISIN]],'Novia Web Query'!$A:$E,2,FALSE)</f>
        <v>Rathbone Strategic Income Portfolio Acc GBP in GB</v>
      </c>
      <c r="C3407" t="str">
        <f>VLOOKUP(NoviaFunds[[#This Row],[ISIN]],'Novia Web Query'!$A:$E,3,FALSE)</f>
        <v>UT Volatility Managed</v>
      </c>
      <c r="D3407" s="139">
        <f>VLOOKUP(NoviaFunds[[#This Row],[ISIN]],'Novia Web Query'!$A:$E,4,FALSE)/100</f>
        <v>7.0999999999999995E-3</v>
      </c>
      <c r="E3407" s="3" t="str">
        <f>VLOOKUP(NoviaFunds[[#This Row],[ISIN]],'Novia Web Query'!$A:$E,5,FALSE)</f>
        <v>31/03/2021</v>
      </c>
      <c r="F3407" t="e">
        <f>VLOOKUP(NoviaFunds[[#This Row],[Sector]],Sectors[],2,FALSE)</f>
        <v>#N/A</v>
      </c>
    </row>
    <row r="3408" spans="1:6" x14ac:dyDescent="0.2">
      <c r="A3408" t="str">
        <f>'Novia Web Query'!A3404</f>
        <v>GB00BY9BSL83</v>
      </c>
      <c r="B3408" t="str">
        <f>VLOOKUP(NoviaFunds[[#This Row],[ISIN]],'Novia Web Query'!$A:$E,2,FALSE)</f>
        <v>Rathbone Strategic Income Portfolio Inc GBP TR in GB</v>
      </c>
      <c r="C3408" t="str">
        <f>VLOOKUP(NoviaFunds[[#This Row],[ISIN]],'Novia Web Query'!$A:$E,3,FALSE)</f>
        <v>UT Volatility Managed</v>
      </c>
      <c r="D3408" s="139">
        <f>VLOOKUP(NoviaFunds[[#This Row],[ISIN]],'Novia Web Query'!$A:$E,4,FALSE)/100</f>
        <v>7.0999999999999995E-3</v>
      </c>
      <c r="E3408" s="3" t="str">
        <f>VLOOKUP(NoviaFunds[[#This Row],[ISIN]],'Novia Web Query'!$A:$E,5,FALSE)</f>
        <v>31/03/2021</v>
      </c>
      <c r="F3408" t="e">
        <f>VLOOKUP(NoviaFunds[[#This Row],[Sector]],Sectors[],2,FALSE)</f>
        <v>#N/A</v>
      </c>
    </row>
    <row r="3409" spans="1:6" x14ac:dyDescent="0.2">
      <c r="A3409" t="str">
        <f>'Novia Web Query'!A3405</f>
        <v>GB00B543TC49</v>
      </c>
      <c r="B3409" t="str">
        <f>VLOOKUP(NoviaFunds[[#This Row],[ISIN]],'Novia Web Query'!$A:$E,2,FALSE)</f>
        <v>Rathbone Total Return Portfolio R Acc GBP TR in GB</v>
      </c>
      <c r="C3409" t="str">
        <f>VLOOKUP(NoviaFunds[[#This Row],[ISIN]],'Novia Web Query'!$A:$E,3,FALSE)</f>
        <v>UT Volatility Managed</v>
      </c>
      <c r="D3409" s="139">
        <f>VLOOKUP(NoviaFunds[[#This Row],[ISIN]],'Novia Web Query'!$A:$E,4,FALSE)/100</f>
        <v>1.5700000000000002E-2</v>
      </c>
      <c r="E3409" s="3" t="str">
        <f>VLOOKUP(NoviaFunds[[#This Row],[ISIN]],'Novia Web Query'!$A:$E,5,FALSE)</f>
        <v>31/03/2021</v>
      </c>
      <c r="F3409" t="e">
        <f>VLOOKUP(NoviaFunds[[#This Row],[Sector]],Sectors[],2,FALSE)</f>
        <v>#N/A</v>
      </c>
    </row>
    <row r="3410" spans="1:6" x14ac:dyDescent="0.2">
      <c r="A3410" t="str">
        <f>'Novia Web Query'!A3406</f>
        <v>GB00B543NZ55</v>
      </c>
      <c r="B3410" t="str">
        <f>VLOOKUP(NoviaFunds[[#This Row],[ISIN]],'Novia Web Query'!$A:$E,2,FALSE)</f>
        <v>Rathbone Total Return Portfolio R Inc GBP TR in GB</v>
      </c>
      <c r="C3410" t="str">
        <f>VLOOKUP(NoviaFunds[[#This Row],[ISIN]],'Novia Web Query'!$A:$E,3,FALSE)</f>
        <v>UT Volatility Managed</v>
      </c>
      <c r="D3410" s="139">
        <f>VLOOKUP(NoviaFunds[[#This Row],[ISIN]],'Novia Web Query'!$A:$E,4,FALSE)/100</f>
        <v>1.5700000000000002E-2</v>
      </c>
      <c r="E3410" s="3" t="str">
        <f>VLOOKUP(NoviaFunds[[#This Row],[ISIN]],'Novia Web Query'!$A:$E,5,FALSE)</f>
        <v>31/03/2021</v>
      </c>
      <c r="F3410" t="e">
        <f>VLOOKUP(NoviaFunds[[#This Row],[Sector]],Sectors[],2,FALSE)</f>
        <v>#N/A</v>
      </c>
    </row>
    <row r="3411" spans="1:6" x14ac:dyDescent="0.2">
      <c r="A3411" t="str">
        <f>'Novia Web Query'!A3407</f>
        <v>GB00B8JBXD38</v>
      </c>
      <c r="B3411" t="str">
        <f>VLOOKUP(NoviaFunds[[#This Row],[ISIN]],'Novia Web Query'!$A:$E,2,FALSE)</f>
        <v>Rathbone Total Return Portfolio S Acc GBP TR in GB</v>
      </c>
      <c r="C3411" t="str">
        <f>VLOOKUP(NoviaFunds[[#This Row],[ISIN]],'Novia Web Query'!$A:$E,3,FALSE)</f>
        <v>UT Volatility Managed</v>
      </c>
      <c r="D3411" s="139">
        <f>VLOOKUP(NoviaFunds[[#This Row],[ISIN]],'Novia Web Query'!$A:$E,4,FALSE)/100</f>
        <v>5.6999999999999993E-3</v>
      </c>
      <c r="E3411" s="3" t="str">
        <f>VLOOKUP(NoviaFunds[[#This Row],[ISIN]],'Novia Web Query'!$A:$E,5,FALSE)</f>
        <v>31/03/2021</v>
      </c>
      <c r="F3411" t="e">
        <f>VLOOKUP(NoviaFunds[[#This Row],[Sector]],Sectors[],2,FALSE)</f>
        <v>#N/A</v>
      </c>
    </row>
    <row r="3412" spans="1:6" x14ac:dyDescent="0.2">
      <c r="A3412" t="str">
        <f>'Novia Web Query'!A3408</f>
        <v>GB00B86SVM24</v>
      </c>
      <c r="B3412" t="str">
        <f>VLOOKUP(NoviaFunds[[#This Row],[ISIN]],'Novia Web Query'!$A:$E,2,FALSE)</f>
        <v>Rathbone Total Return Portfolio S Inc GBP TR in GB</v>
      </c>
      <c r="C3412" t="str">
        <f>VLOOKUP(NoviaFunds[[#This Row],[ISIN]],'Novia Web Query'!$A:$E,3,FALSE)</f>
        <v>UT Volatility Managed</v>
      </c>
      <c r="D3412" s="139">
        <f>VLOOKUP(NoviaFunds[[#This Row],[ISIN]],'Novia Web Query'!$A:$E,4,FALSE)/100</f>
        <v>5.6999999999999993E-3</v>
      </c>
      <c r="E3412" s="3" t="str">
        <f>VLOOKUP(NoviaFunds[[#This Row],[ISIN]],'Novia Web Query'!$A:$E,5,FALSE)</f>
        <v>31/03/2021</v>
      </c>
      <c r="F3412" t="e">
        <f>VLOOKUP(NoviaFunds[[#This Row],[Sector]],Sectors[],2,FALSE)</f>
        <v>#N/A</v>
      </c>
    </row>
    <row r="3413" spans="1:6" x14ac:dyDescent="0.2">
      <c r="A3413" t="str">
        <f>'Novia Web Query'!A3409</f>
        <v>GB00B7FQM503</v>
      </c>
      <c r="B3413" t="str">
        <f>VLOOKUP(NoviaFunds[[#This Row],[ISIN]],'Novia Web Query'!$A:$E,2,FALSE)</f>
        <v>Rathbone UK Opportunities Fund I Acc GBP in GB</v>
      </c>
      <c r="C3413" t="str">
        <f>VLOOKUP(NoviaFunds[[#This Row],[ISIN]],'Novia Web Query'!$A:$E,3,FALSE)</f>
        <v>UT UK All Companies</v>
      </c>
      <c r="D3413" s="139">
        <f>VLOOKUP(NoviaFunds[[#This Row],[ISIN]],'Novia Web Query'!$A:$E,4,FALSE)/100</f>
        <v>6.0000000000000001E-3</v>
      </c>
      <c r="E3413" s="3" t="str">
        <f>VLOOKUP(NoviaFunds[[#This Row],[ISIN]],'Novia Web Query'!$A:$E,5,FALSE)</f>
        <v>31/03/2021</v>
      </c>
      <c r="F3413" t="str">
        <f>VLOOKUP(NoviaFunds[[#This Row],[Sector]],Sectors[],2,FALSE)</f>
        <v>UK Equities</v>
      </c>
    </row>
    <row r="3414" spans="1:6" x14ac:dyDescent="0.2">
      <c r="A3414" t="str">
        <f>'Novia Web Query'!A3410</f>
        <v>GB00B77H7W31</v>
      </c>
      <c r="B3414" t="str">
        <f>VLOOKUP(NoviaFunds[[#This Row],[ISIN]],'Novia Web Query'!$A:$E,2,FALSE)</f>
        <v>Rathbone UK Opportunities Fund I Inc GBP TR in GB</v>
      </c>
      <c r="C3414" t="str">
        <f>VLOOKUP(NoviaFunds[[#This Row],[ISIN]],'Novia Web Query'!$A:$E,3,FALSE)</f>
        <v>UT UK All Companies</v>
      </c>
      <c r="D3414" s="139">
        <f>VLOOKUP(NoviaFunds[[#This Row],[ISIN]],'Novia Web Query'!$A:$E,4,FALSE)/100</f>
        <v>6.0000000000000001E-3</v>
      </c>
      <c r="E3414" s="3" t="str">
        <f>VLOOKUP(NoviaFunds[[#This Row],[ISIN]],'Novia Web Query'!$A:$E,5,FALSE)</f>
        <v>31/03/2021</v>
      </c>
      <c r="F3414" t="str">
        <f>VLOOKUP(NoviaFunds[[#This Row],[Sector]],Sectors[],2,FALSE)</f>
        <v>UK Equities</v>
      </c>
    </row>
    <row r="3415" spans="1:6" x14ac:dyDescent="0.2">
      <c r="A3415" t="str">
        <f>'Novia Web Query'!A3411</f>
        <v>GB0030430804</v>
      </c>
      <c r="B3415" t="str">
        <f>VLOOKUP(NoviaFunds[[#This Row],[ISIN]],'Novia Web Query'!$A:$E,2,FALSE)</f>
        <v>Rathbone UK Opportunities Fund R Acc GBP in GB</v>
      </c>
      <c r="C3415" t="str">
        <f>VLOOKUP(NoviaFunds[[#This Row],[ISIN]],'Novia Web Query'!$A:$E,3,FALSE)</f>
        <v>UT UK All Companies</v>
      </c>
      <c r="D3415" s="139">
        <f>VLOOKUP(NoviaFunds[[#This Row],[ISIN]],'Novia Web Query'!$A:$E,4,FALSE)/100</f>
        <v>1.6500000000000001E-2</v>
      </c>
      <c r="E3415" s="3" t="str">
        <f>VLOOKUP(NoviaFunds[[#This Row],[ISIN]],'Novia Web Query'!$A:$E,5,FALSE)</f>
        <v>31/03/2021</v>
      </c>
      <c r="F3415" t="str">
        <f>VLOOKUP(NoviaFunds[[#This Row],[Sector]],Sectors[],2,FALSE)</f>
        <v>UK Equities</v>
      </c>
    </row>
    <row r="3416" spans="1:6" x14ac:dyDescent="0.2">
      <c r="A3416" t="str">
        <f>'Novia Web Query'!A3412</f>
        <v>GB0005062293</v>
      </c>
      <c r="B3416" t="str">
        <f>VLOOKUP(NoviaFunds[[#This Row],[ISIN]],'Novia Web Query'!$A:$E,2,FALSE)</f>
        <v>Rathbone UK Opportunities Fund R Inc GBP TR in GB</v>
      </c>
      <c r="C3416" t="str">
        <f>VLOOKUP(NoviaFunds[[#This Row],[ISIN]],'Novia Web Query'!$A:$E,3,FALSE)</f>
        <v>UT UK All Companies</v>
      </c>
      <c r="D3416" s="139">
        <f>VLOOKUP(NoviaFunds[[#This Row],[ISIN]],'Novia Web Query'!$A:$E,4,FALSE)/100</f>
        <v>1.6500000000000001E-2</v>
      </c>
      <c r="E3416" s="3" t="str">
        <f>VLOOKUP(NoviaFunds[[#This Row],[ISIN]],'Novia Web Query'!$A:$E,5,FALSE)</f>
        <v>31/03/2021</v>
      </c>
      <c r="F3416" t="str">
        <f>VLOOKUP(NoviaFunds[[#This Row],[Sector]],Sectors[],2,FALSE)</f>
        <v>UK Equities</v>
      </c>
    </row>
    <row r="3417" spans="1:6" x14ac:dyDescent="0.2">
      <c r="A3417" t="str">
        <f>'Novia Web Query'!A3413</f>
        <v>GB00B68SHD90</v>
      </c>
      <c r="B3417" t="str">
        <f>VLOOKUP(NoviaFunds[[#This Row],[ISIN]],'Novia Web Query'!$A:$E,2,FALSE)</f>
        <v>Royal London Asia Pacific ex Japan Equity Tilt Z Acc in GB</v>
      </c>
      <c r="C3417" t="str">
        <f>VLOOKUP(NoviaFunds[[#This Row],[ISIN]],'Novia Web Query'!$A:$E,3,FALSE)</f>
        <v>UT Asia Pacific Excluding Japan</v>
      </c>
      <c r="D3417" s="139">
        <f>VLOOKUP(NoviaFunds[[#This Row],[ISIN]],'Novia Web Query'!$A:$E,4,FALSE)/100</f>
        <v>1.9E-3</v>
      </c>
      <c r="E3417" s="3" t="str">
        <f>VLOOKUP(NoviaFunds[[#This Row],[ISIN]],'Novia Web Query'!$A:$E,5,FALSE)</f>
        <v>30/11/2021</v>
      </c>
      <c r="F3417" t="str">
        <f>VLOOKUP(NoviaFunds[[#This Row],[Sector]],Sectors[],2,FALSE)</f>
        <v>Asia Pacific</v>
      </c>
    </row>
    <row r="3418" spans="1:6" x14ac:dyDescent="0.2">
      <c r="A3418" t="str">
        <f>'Novia Web Query'!A3414</f>
        <v>GB00B545JR59</v>
      </c>
      <c r="B3418" t="str">
        <f>VLOOKUP(NoviaFunds[[#This Row],[ISIN]],'Novia Web Query'!$A:$E,2,FALSE)</f>
        <v>Royal London Cash Plus M Inc TR in GB**</v>
      </c>
      <c r="C3418" t="str">
        <f>VLOOKUP(NoviaFunds[[#This Row],[ISIN]],'Novia Web Query'!$A:$E,3,FALSE)</f>
        <v>UT Unclassified</v>
      </c>
      <c r="D3418" s="139">
        <f>VLOOKUP(NoviaFunds[[#This Row],[ISIN]],'Novia Web Query'!$A:$E,4,FALSE)/100</f>
        <v>2.5000000000000001E-3</v>
      </c>
      <c r="E3418" s="3" t="str">
        <f>VLOOKUP(NoviaFunds[[#This Row],[ISIN]],'Novia Web Query'!$A:$E,5,FALSE)</f>
        <v>30/11/2021</v>
      </c>
      <c r="F3418" t="str">
        <f>VLOOKUP(NoviaFunds[[#This Row],[Sector]],Sectors[],2,FALSE)</f>
        <v>Unclassified</v>
      </c>
    </row>
    <row r="3419" spans="1:6" x14ac:dyDescent="0.2">
      <c r="A3419" t="str">
        <f>'Novia Web Query'!A3415</f>
        <v>GB00BMNR1H58</v>
      </c>
      <c r="B3419" t="str">
        <f>VLOOKUP(NoviaFunds[[#This Row],[ISIN]],'Novia Web Query'!$A:$E,2,FALSE)</f>
        <v>Royal London Cash Plus Y Acc TR in GB**</v>
      </c>
      <c r="C3419" t="str">
        <f>VLOOKUP(NoviaFunds[[#This Row],[ISIN]],'Novia Web Query'!$A:$E,3,FALSE)</f>
        <v>UT Unclassified</v>
      </c>
      <c r="D3419" s="139">
        <f>VLOOKUP(NoviaFunds[[#This Row],[ISIN]],'Novia Web Query'!$A:$E,4,FALSE)/100</f>
        <v>1.5E-3</v>
      </c>
      <c r="E3419" s="3" t="str">
        <f>VLOOKUP(NoviaFunds[[#This Row],[ISIN]],'Novia Web Query'!$A:$E,5,FALSE)</f>
        <v>30/11/2021</v>
      </c>
      <c r="F3419" t="str">
        <f>VLOOKUP(NoviaFunds[[#This Row],[Sector]],Sectors[],2,FALSE)</f>
        <v>Unclassified</v>
      </c>
    </row>
    <row r="3420" spans="1:6" x14ac:dyDescent="0.2">
      <c r="A3420" t="str">
        <f>'Novia Web Query'!A3416</f>
        <v>GB00BMNR1F35</v>
      </c>
      <c r="B3420" t="str">
        <f>VLOOKUP(NoviaFunds[[#This Row],[ISIN]],'Novia Web Query'!$A:$E,2,FALSE)</f>
        <v>Royal London Cash Plus Y Inc TR in GB**</v>
      </c>
      <c r="C3420" t="str">
        <f>VLOOKUP(NoviaFunds[[#This Row],[ISIN]],'Novia Web Query'!$A:$E,3,FALSE)</f>
        <v>UT Unclassified</v>
      </c>
      <c r="D3420" s="139">
        <f>VLOOKUP(NoviaFunds[[#This Row],[ISIN]],'Novia Web Query'!$A:$E,4,FALSE)/100</f>
        <v>1.5E-3</v>
      </c>
      <c r="E3420" s="3" t="str">
        <f>VLOOKUP(NoviaFunds[[#This Row],[ISIN]],'Novia Web Query'!$A:$E,5,FALSE)</f>
        <v>30/11/2021</v>
      </c>
      <c r="F3420" t="str">
        <f>VLOOKUP(NoviaFunds[[#This Row],[Sector]],Sectors[],2,FALSE)</f>
        <v>Unclassified</v>
      </c>
    </row>
    <row r="3421" spans="1:6" x14ac:dyDescent="0.2">
      <c r="A3421" t="str">
        <f>'Novia Web Query'!A3417</f>
        <v>GB00B3P2K895</v>
      </c>
      <c r="B3421" t="str">
        <f>VLOOKUP(NoviaFunds[[#This Row],[ISIN]],'Novia Web Query'!$A:$E,2,FALSE)</f>
        <v>Royal London Corporate Bond A Inc TR in GB</v>
      </c>
      <c r="C3421" t="str">
        <f>VLOOKUP(NoviaFunds[[#This Row],[ISIN]],'Novia Web Query'!$A:$E,3,FALSE)</f>
        <v>UT Sterling Corporate Bond</v>
      </c>
      <c r="D3421" s="139">
        <f>VLOOKUP(NoviaFunds[[#This Row],[ISIN]],'Novia Web Query'!$A:$E,4,FALSE)/100</f>
        <v>6.8999999999999999E-3</v>
      </c>
      <c r="E3421" s="3" t="str">
        <f>VLOOKUP(NoviaFunds[[#This Row],[ISIN]],'Novia Web Query'!$A:$E,5,FALSE)</f>
        <v>30/11/2021</v>
      </c>
      <c r="F3421" t="str">
        <f>VLOOKUP(NoviaFunds[[#This Row],[Sector]],Sectors[],2,FALSE)</f>
        <v>Sterling Corporate Bonds</v>
      </c>
    </row>
    <row r="3422" spans="1:6" x14ac:dyDescent="0.2">
      <c r="A3422" t="str">
        <f>'Novia Web Query'!A3418</f>
        <v>GB00B87FJ401</v>
      </c>
      <c r="B3422" t="str">
        <f>VLOOKUP(NoviaFunds[[#This Row],[ISIN]],'Novia Web Query'!$A:$E,2,FALSE)</f>
        <v>Royal London Corporate Bond M Acc TR in GB</v>
      </c>
      <c r="C3422" t="str">
        <f>VLOOKUP(NoviaFunds[[#This Row],[ISIN]],'Novia Web Query'!$A:$E,3,FALSE)</f>
        <v>UT Sterling Corporate Bond</v>
      </c>
      <c r="D3422" s="139">
        <f>VLOOKUP(NoviaFunds[[#This Row],[ISIN]],'Novia Web Query'!$A:$E,4,FALSE)/100</f>
        <v>5.6000000000000008E-3</v>
      </c>
      <c r="E3422" s="3" t="str">
        <f>VLOOKUP(NoviaFunds[[#This Row],[ISIN]],'Novia Web Query'!$A:$E,5,FALSE)</f>
        <v>30/11/2021</v>
      </c>
      <c r="F3422" t="str">
        <f>VLOOKUP(NoviaFunds[[#This Row],[Sector]],Sectors[],2,FALSE)</f>
        <v>Sterling Corporate Bonds</v>
      </c>
    </row>
    <row r="3423" spans="1:6" x14ac:dyDescent="0.2">
      <c r="A3423" t="str">
        <f>'Novia Web Query'!A3419</f>
        <v>GB00B6XZQT43</v>
      </c>
      <c r="B3423" t="str">
        <f>VLOOKUP(NoviaFunds[[#This Row],[ISIN]],'Novia Web Query'!$A:$E,2,FALSE)</f>
        <v>Royal London Corporate Bond M Inc TR in GB**</v>
      </c>
      <c r="C3423" t="str">
        <f>VLOOKUP(NoviaFunds[[#This Row],[ISIN]],'Novia Web Query'!$A:$E,3,FALSE)</f>
        <v>UT Sterling Corporate Bond</v>
      </c>
      <c r="D3423" s="139">
        <f>VLOOKUP(NoviaFunds[[#This Row],[ISIN]],'Novia Web Query'!$A:$E,4,FALSE)/100</f>
        <v>5.6000000000000008E-3</v>
      </c>
      <c r="E3423" s="3" t="str">
        <f>VLOOKUP(NoviaFunds[[#This Row],[ISIN]],'Novia Web Query'!$A:$E,5,FALSE)</f>
        <v>30/11/2021</v>
      </c>
      <c r="F3423" t="str">
        <f>VLOOKUP(NoviaFunds[[#This Row],[Sector]],Sectors[],2,FALSE)</f>
        <v>Sterling Corporate Bonds</v>
      </c>
    </row>
    <row r="3424" spans="1:6" x14ac:dyDescent="0.2">
      <c r="A3424" t="str">
        <f>'Novia Web Query'!A3420</f>
        <v>GB0033583427</v>
      </c>
      <c r="B3424" t="str">
        <f>VLOOKUP(NoviaFunds[[#This Row],[ISIN]],'Novia Web Query'!$A:$E,2,FALSE)</f>
        <v>Royal London Corporate Bond Monthly Income Trust A Inc TR in GB</v>
      </c>
      <c r="C3424" t="str">
        <f>VLOOKUP(NoviaFunds[[#This Row],[ISIN]],'Novia Web Query'!$A:$E,3,FALSE)</f>
        <v>UT Sterling Corporate Bond</v>
      </c>
      <c r="D3424" s="139">
        <f>VLOOKUP(NoviaFunds[[#This Row],[ISIN]],'Novia Web Query'!$A:$E,4,FALSE)/100</f>
        <v>7.9000000000000008E-3</v>
      </c>
      <c r="E3424" s="3" t="str">
        <f>VLOOKUP(NoviaFunds[[#This Row],[ISIN]],'Novia Web Query'!$A:$E,5,FALSE)</f>
        <v>30/11/2021</v>
      </c>
      <c r="F3424" t="str">
        <f>VLOOKUP(NoviaFunds[[#This Row],[Sector]],Sectors[],2,FALSE)</f>
        <v>Sterling Corporate Bonds</v>
      </c>
    </row>
    <row r="3425" spans="1:6" x14ac:dyDescent="0.2">
      <c r="A3425" t="str">
        <f>'Novia Web Query'!A3421</f>
        <v>GB00B3MBXC47</v>
      </c>
      <c r="B3425" t="str">
        <f>VLOOKUP(NoviaFunds[[#This Row],[ISIN]],'Novia Web Query'!$A:$E,2,FALSE)</f>
        <v>Royal London Corporate Bond Z Inc TR in GB**</v>
      </c>
      <c r="C3425" t="str">
        <f>VLOOKUP(NoviaFunds[[#This Row],[ISIN]],'Novia Web Query'!$A:$E,3,FALSE)</f>
        <v>UT Sterling Corporate Bond</v>
      </c>
      <c r="D3425" s="139">
        <f>VLOOKUP(NoviaFunds[[#This Row],[ISIN]],'Novia Web Query'!$A:$E,4,FALSE)/100</f>
        <v>4.0999999999999995E-3</v>
      </c>
      <c r="E3425" s="3" t="str">
        <f>VLOOKUP(NoviaFunds[[#This Row],[ISIN]],'Novia Web Query'!$A:$E,5,FALSE)</f>
        <v>30/11/2021</v>
      </c>
      <c r="F3425" t="str">
        <f>VLOOKUP(NoviaFunds[[#This Row],[Sector]],Sectors[],2,FALSE)</f>
        <v>Sterling Corporate Bonds</v>
      </c>
    </row>
    <row r="3426" spans="1:6" x14ac:dyDescent="0.2">
      <c r="A3426" t="str">
        <f>'Novia Web Query'!A3422</f>
        <v>GB00B4K6P774</v>
      </c>
      <c r="B3426" t="str">
        <f>VLOOKUP(NoviaFunds[[#This Row],[ISIN]],'Novia Web Query'!$A:$E,2,FALSE)</f>
        <v>Royal London Diversified Asset-Backed Securities Z Acc in GB</v>
      </c>
      <c r="C3426" t="str">
        <f>VLOOKUP(NoviaFunds[[#This Row],[ISIN]],'Novia Web Query'!$A:$E,3,FALSE)</f>
        <v>UT Targeted Absolute Return</v>
      </c>
      <c r="D3426" s="139">
        <f>VLOOKUP(NoviaFunds[[#This Row],[ISIN]],'Novia Web Query'!$A:$E,4,FALSE)/100</f>
        <v>4.3E-3</v>
      </c>
      <c r="E3426" s="3" t="str">
        <f>VLOOKUP(NoviaFunds[[#This Row],[ISIN]],'Novia Web Query'!$A:$E,5,FALSE)</f>
        <v>30/11/2021</v>
      </c>
      <c r="F3426" t="str">
        <f>VLOOKUP(NoviaFunds[[#This Row],[Sector]],Sectors[],2,FALSE)</f>
        <v>Absolute Return</v>
      </c>
    </row>
    <row r="3427" spans="1:6" x14ac:dyDescent="0.2">
      <c r="A3427" t="str">
        <f>'Novia Web Query'!A3423</f>
        <v>GB00BZ8FWL65</v>
      </c>
      <c r="B3427" t="str">
        <f>VLOOKUP(NoviaFunds[[#This Row],[ISIN]],'Novia Web Query'!$A:$E,2,FALSE)</f>
        <v>Royal London Emerging Markets ESG Leaders Equity Tracker Z Acc in GB**</v>
      </c>
      <c r="C3427" t="str">
        <f>VLOOKUP(NoviaFunds[[#This Row],[ISIN]],'Novia Web Query'!$A:$E,3,FALSE)</f>
        <v>UT Global Emerging Markets</v>
      </c>
      <c r="D3427" s="139">
        <f>VLOOKUP(NoviaFunds[[#This Row],[ISIN]],'Novia Web Query'!$A:$E,4,FALSE)/100</f>
        <v>3.4999999999999996E-3</v>
      </c>
      <c r="E3427" s="3" t="str">
        <f>VLOOKUP(NoviaFunds[[#This Row],[ISIN]],'Novia Web Query'!$A:$E,5,FALSE)</f>
        <v>30/11/2021</v>
      </c>
      <c r="F3427" t="str">
        <f>VLOOKUP(NoviaFunds[[#This Row],[Sector]],Sectors[],2,FALSE)</f>
        <v>Emerging Markets</v>
      </c>
    </row>
    <row r="3428" spans="1:6" x14ac:dyDescent="0.2">
      <c r="A3428" t="str">
        <f>'Novia Web Query'!A3424</f>
        <v>GB00BVYV8H85</v>
      </c>
      <c r="B3428" t="str">
        <f>VLOOKUP(NoviaFunds[[#This Row],[ISIN]],'Novia Web Query'!$A:$E,2,FALSE)</f>
        <v>Royal London Enhanced Cash Plus Y Acc in GB</v>
      </c>
      <c r="C3428" t="str">
        <f>VLOOKUP(NoviaFunds[[#This Row],[ISIN]],'Novia Web Query'!$A:$E,3,FALSE)</f>
        <v>UT Unclassified</v>
      </c>
      <c r="D3428" s="139">
        <f>VLOOKUP(NoviaFunds[[#This Row],[ISIN]],'Novia Web Query'!$A:$E,4,FALSE)/100</f>
        <v>1.8E-3</v>
      </c>
      <c r="E3428" s="3" t="str">
        <f>VLOOKUP(NoviaFunds[[#This Row],[ISIN]],'Novia Web Query'!$A:$E,5,FALSE)</f>
        <v>30/11/2021</v>
      </c>
      <c r="F3428" t="str">
        <f>VLOOKUP(NoviaFunds[[#This Row],[Sector]],Sectors[],2,FALSE)</f>
        <v>Unclassified</v>
      </c>
    </row>
    <row r="3429" spans="1:6" x14ac:dyDescent="0.2">
      <c r="A3429" t="str">
        <f>'Novia Web Query'!A3425</f>
        <v>GB00BVYV8J00</v>
      </c>
      <c r="B3429" t="str">
        <f>VLOOKUP(NoviaFunds[[#This Row],[ISIN]],'Novia Web Query'!$A:$E,2,FALSE)</f>
        <v>Royal London Enhanced Cash Plus Y Inc TR in GB</v>
      </c>
      <c r="C3429" t="str">
        <f>VLOOKUP(NoviaFunds[[#This Row],[ISIN]],'Novia Web Query'!$A:$E,3,FALSE)</f>
        <v>UT Unclassified</v>
      </c>
      <c r="D3429" s="139">
        <f>VLOOKUP(NoviaFunds[[#This Row],[ISIN]],'Novia Web Query'!$A:$E,4,FALSE)/100</f>
        <v>1.8E-3</v>
      </c>
      <c r="E3429" s="3" t="str">
        <f>VLOOKUP(NoviaFunds[[#This Row],[ISIN]],'Novia Web Query'!$A:$E,5,FALSE)</f>
        <v>30/11/2021</v>
      </c>
      <c r="F3429" t="str">
        <f>VLOOKUP(NoviaFunds[[#This Row],[Sector]],Sectors[],2,FALSE)</f>
        <v>Unclassified</v>
      </c>
    </row>
    <row r="3430" spans="1:6" x14ac:dyDescent="0.2">
      <c r="A3430" t="str">
        <f>'Novia Web Query'!A3426</f>
        <v>GB00BJ4KSX76</v>
      </c>
      <c r="B3430" t="str">
        <f>VLOOKUP(NoviaFunds[[#This Row],[ISIN]],'Novia Web Query'!$A:$E,2,FALSE)</f>
        <v>Royal London Ethical Bond M Acc TR in GB</v>
      </c>
      <c r="C3430" t="str">
        <f>VLOOKUP(NoviaFunds[[#This Row],[ISIN]],'Novia Web Query'!$A:$E,3,FALSE)</f>
        <v>UT Sterling Strategic Bond</v>
      </c>
      <c r="D3430" s="139">
        <f>VLOOKUP(NoviaFunds[[#This Row],[ISIN]],'Novia Web Query'!$A:$E,4,FALSE)/100</f>
        <v>5.5000000000000005E-3</v>
      </c>
      <c r="E3430" s="3" t="str">
        <f>VLOOKUP(NoviaFunds[[#This Row],[ISIN]],'Novia Web Query'!$A:$E,5,FALSE)</f>
        <v>30/11/2021</v>
      </c>
      <c r="F3430" t="str">
        <f>VLOOKUP(NoviaFunds[[#This Row],[Sector]],Sectors[],2,FALSE)</f>
        <v>Other Bonds</v>
      </c>
    </row>
    <row r="3431" spans="1:6" x14ac:dyDescent="0.2">
      <c r="A3431" t="str">
        <f>'Novia Web Query'!A3427</f>
        <v>GB00BJ4KSY83</v>
      </c>
      <c r="B3431" t="str">
        <f>VLOOKUP(NoviaFunds[[#This Row],[ISIN]],'Novia Web Query'!$A:$E,2,FALSE)</f>
        <v>Royal London Ethical Bond M Inc TR in GB**</v>
      </c>
      <c r="C3431" t="str">
        <f>VLOOKUP(NoviaFunds[[#This Row],[ISIN]],'Novia Web Query'!$A:$E,3,FALSE)</f>
        <v>UT Sterling Strategic Bond</v>
      </c>
      <c r="D3431" s="139">
        <f>VLOOKUP(NoviaFunds[[#This Row],[ISIN]],'Novia Web Query'!$A:$E,4,FALSE)/100</f>
        <v>5.5000000000000005E-3</v>
      </c>
      <c r="E3431" s="3" t="str">
        <f>VLOOKUP(NoviaFunds[[#This Row],[ISIN]],'Novia Web Query'!$A:$E,5,FALSE)</f>
        <v>30/11/2021</v>
      </c>
      <c r="F3431" t="str">
        <f>VLOOKUP(NoviaFunds[[#This Row],[Sector]],Sectors[],2,FALSE)</f>
        <v>Other Bonds</v>
      </c>
    </row>
    <row r="3432" spans="1:6" x14ac:dyDescent="0.2">
      <c r="A3432" t="str">
        <f>'Novia Web Query'!A3428</f>
        <v>GB00B52VBP79</v>
      </c>
      <c r="B3432" t="str">
        <f>VLOOKUP(NoviaFunds[[#This Row],[ISIN]],'Novia Web Query'!$A:$E,2,FALSE)</f>
        <v>Royal London European Growth M Acc in GB</v>
      </c>
      <c r="C3432" t="str">
        <f>VLOOKUP(NoviaFunds[[#This Row],[ISIN]],'Novia Web Query'!$A:$E,3,FALSE)</f>
        <v>UT Europe Excluding UK</v>
      </c>
      <c r="D3432" s="139">
        <f>VLOOKUP(NoviaFunds[[#This Row],[ISIN]],'Novia Web Query'!$A:$E,4,FALSE)/100</f>
        <v>6.9999999999999993E-3</v>
      </c>
      <c r="E3432" s="3" t="str">
        <f>VLOOKUP(NoviaFunds[[#This Row],[ISIN]],'Novia Web Query'!$A:$E,5,FALSE)</f>
        <v>30/11/2021</v>
      </c>
      <c r="F3432" t="str">
        <f>VLOOKUP(NoviaFunds[[#This Row],[Sector]],Sectors[],2,FALSE)</f>
        <v>European Equities</v>
      </c>
    </row>
    <row r="3433" spans="1:6" x14ac:dyDescent="0.2">
      <c r="A3433" t="str">
        <f>'Novia Web Query'!A3429</f>
        <v>GB0009537407</v>
      </c>
      <c r="B3433" t="str">
        <f>VLOOKUP(NoviaFunds[[#This Row],[ISIN]],'Novia Web Query'!$A:$E,2,FALSE)</f>
        <v>Royal London European Growth Trust Inc TR in GB</v>
      </c>
      <c r="C3433" t="str">
        <f>VLOOKUP(NoviaFunds[[#This Row],[ISIN]],'Novia Web Query'!$A:$E,3,FALSE)</f>
        <v>UT Europe Excluding UK</v>
      </c>
      <c r="D3433" s="139">
        <f>VLOOKUP(NoviaFunds[[#This Row],[ISIN]],'Novia Web Query'!$A:$E,4,FALSE)/100</f>
        <v>1.29E-2</v>
      </c>
      <c r="E3433" s="3" t="str">
        <f>VLOOKUP(NoviaFunds[[#This Row],[ISIN]],'Novia Web Query'!$A:$E,5,FALSE)</f>
        <v>30/11/2021</v>
      </c>
      <c r="F3433" t="str">
        <f>VLOOKUP(NoviaFunds[[#This Row],[Sector]],Sectors[],2,FALSE)</f>
        <v>European Equities</v>
      </c>
    </row>
    <row r="3434" spans="1:6" x14ac:dyDescent="0.2">
      <c r="A3434" t="str">
        <f>'Novia Web Query'!A3430</f>
        <v>GB00B772RM82</v>
      </c>
      <c r="B3434" t="str">
        <f>VLOOKUP(NoviaFunds[[#This Row],[ISIN]],'Novia Web Query'!$A:$E,2,FALSE)</f>
        <v>Royal London Global Index Linked M Inc TR in GB</v>
      </c>
      <c r="C3434" t="str">
        <f>VLOOKUP(NoviaFunds[[#This Row],[ISIN]],'Novia Web Query'!$A:$E,3,FALSE)</f>
        <v>UT Global Bonds</v>
      </c>
      <c r="D3434" s="139">
        <f>VLOOKUP(NoviaFunds[[#This Row],[ISIN]],'Novia Web Query'!$A:$E,4,FALSE)/100</f>
        <v>5.0000000000000001E-3</v>
      </c>
      <c r="E3434" s="3" t="str">
        <f>VLOOKUP(NoviaFunds[[#This Row],[ISIN]],'Novia Web Query'!$A:$E,5,FALSE)</f>
        <v>30/11/2021</v>
      </c>
      <c r="F3434" t="str">
        <f>VLOOKUP(NoviaFunds[[#This Row],[Sector]],Sectors[],2,FALSE)</f>
        <v>Global Investment Grade</v>
      </c>
    </row>
    <row r="3435" spans="1:6" x14ac:dyDescent="0.2">
      <c r="A3435" t="str">
        <f>'Novia Web Query'!A3431</f>
        <v>GB00B53R4H74</v>
      </c>
      <c r="B3435" t="str">
        <f>VLOOKUP(NoviaFunds[[#This Row],[ISIN]],'Novia Web Query'!$A:$E,2,FALSE)</f>
        <v>Royal London Global Index Linked Z Inc TR in GB</v>
      </c>
      <c r="C3435" t="str">
        <f>VLOOKUP(NoviaFunds[[#This Row],[ISIN]],'Novia Web Query'!$A:$E,3,FALSE)</f>
        <v>UT Global Bonds</v>
      </c>
      <c r="D3435" s="139">
        <f>VLOOKUP(NoviaFunds[[#This Row],[ISIN]],'Novia Web Query'!$A:$E,4,FALSE)/100</f>
        <v>3.5999999999999999E-3</v>
      </c>
      <c r="E3435" s="3" t="str">
        <f>VLOOKUP(NoviaFunds[[#This Row],[ISIN]],'Novia Web Query'!$A:$E,5,FALSE)</f>
        <v>30/11/2021</v>
      </c>
      <c r="F3435" t="str">
        <f>VLOOKUP(NoviaFunds[[#This Row],[Sector]],Sectors[],2,FALSE)</f>
        <v>Global Investment Grade</v>
      </c>
    </row>
    <row r="3436" spans="1:6" x14ac:dyDescent="0.2">
      <c r="A3436" t="str">
        <f>'Novia Web Query'!A3432</f>
        <v>GB00BL6V0581</v>
      </c>
      <c r="B3436" t="str">
        <f>VLOOKUP(NoviaFunds[[#This Row],[ISIN]],'Novia Web Query'!$A:$E,2,FALSE)</f>
        <v>Royal London Global Sustainable Equity M Acc in GB</v>
      </c>
      <c r="C3436" t="str">
        <f>VLOOKUP(NoviaFunds[[#This Row],[ISIN]],'Novia Web Query'!$A:$E,3,FALSE)</f>
        <v>UT Global</v>
      </c>
      <c r="D3436" s="139">
        <f>VLOOKUP(NoviaFunds[[#This Row],[ISIN]],'Novia Web Query'!$A:$E,4,FALSE)/100</f>
        <v>7.1999999999999998E-3</v>
      </c>
      <c r="E3436" s="3" t="str">
        <f>VLOOKUP(NoviaFunds[[#This Row],[ISIN]],'Novia Web Query'!$A:$E,5,FALSE)</f>
        <v>30/11/2021</v>
      </c>
      <c r="F3436" t="str">
        <f>VLOOKUP(NoviaFunds[[#This Row],[Sector]],Sectors[],2,FALSE)</f>
        <v>Other Equities</v>
      </c>
    </row>
    <row r="3437" spans="1:6" x14ac:dyDescent="0.2">
      <c r="A3437" t="str">
        <f>'Novia Web Query'!A3433</f>
        <v>GB00BD8RSG53</v>
      </c>
      <c r="B3437" t="str">
        <f>VLOOKUP(NoviaFunds[[#This Row],[ISIN]],'Novia Web Query'!$A:$E,2,FALSE)</f>
        <v>Royal London GMAP Adventurous M Acc in GB</v>
      </c>
      <c r="C3437" t="str">
        <f>VLOOKUP(NoviaFunds[[#This Row],[ISIN]],'Novia Web Query'!$A:$E,3,FALSE)</f>
        <v>UT Mixed Investment 40-85% Shares</v>
      </c>
      <c r="D3437" s="139">
        <f>VLOOKUP(NoviaFunds[[#This Row],[ISIN]],'Novia Web Query'!$A:$E,4,FALSE)/100</f>
        <v>6.0000000000000001E-3</v>
      </c>
      <c r="E3437" s="3" t="str">
        <f>VLOOKUP(NoviaFunds[[#This Row],[ISIN]],'Novia Web Query'!$A:$E,5,FALSE)</f>
        <v>30/11/2021</v>
      </c>
      <c r="F3437" t="str">
        <f>VLOOKUP(NoviaFunds[[#This Row],[Sector]],Sectors[],2,FALSE)</f>
        <v>Mixed 40%-85%</v>
      </c>
    </row>
    <row r="3438" spans="1:6" x14ac:dyDescent="0.2">
      <c r="A3438" t="str">
        <f>'Novia Web Query'!A3434</f>
        <v>GB00BD8RSF47</v>
      </c>
      <c r="B3438" t="str">
        <f>VLOOKUP(NoviaFunds[[#This Row],[ISIN]],'Novia Web Query'!$A:$E,2,FALSE)</f>
        <v>Royal London GMAP Adventurous M Inc TR in GB</v>
      </c>
      <c r="C3438" t="str">
        <f>VLOOKUP(NoviaFunds[[#This Row],[ISIN]],'Novia Web Query'!$A:$E,3,FALSE)</f>
        <v>UT Mixed Investment 40-85% Shares</v>
      </c>
      <c r="D3438" s="139">
        <f>VLOOKUP(NoviaFunds[[#This Row],[ISIN]],'Novia Web Query'!$A:$E,4,FALSE)/100</f>
        <v>6.0000000000000001E-3</v>
      </c>
      <c r="E3438" s="3" t="str">
        <f>VLOOKUP(NoviaFunds[[#This Row],[ISIN]],'Novia Web Query'!$A:$E,5,FALSE)</f>
        <v>30/11/2021</v>
      </c>
      <c r="F3438" t="str">
        <f>VLOOKUP(NoviaFunds[[#This Row],[Sector]],Sectors[],2,FALSE)</f>
        <v>Mixed 40%-85%</v>
      </c>
    </row>
    <row r="3439" spans="1:6" x14ac:dyDescent="0.2">
      <c r="A3439" t="str">
        <f>'Novia Web Query'!A3435</f>
        <v>GB00BD8RSQ51</v>
      </c>
      <c r="B3439" t="str">
        <f>VLOOKUP(NoviaFunds[[#This Row],[ISIN]],'Novia Web Query'!$A:$E,2,FALSE)</f>
        <v>Royal London GMAP Balanced M Acc in GB</v>
      </c>
      <c r="C3439" t="str">
        <f>VLOOKUP(NoviaFunds[[#This Row],[ISIN]],'Novia Web Query'!$A:$E,3,FALSE)</f>
        <v>UT Mixed Investment 20-60% Shares</v>
      </c>
      <c r="D3439" s="139">
        <f>VLOOKUP(NoviaFunds[[#This Row],[ISIN]],'Novia Web Query'!$A:$E,4,FALSE)/100</f>
        <v>6.0000000000000001E-3</v>
      </c>
      <c r="E3439" s="3" t="str">
        <f>VLOOKUP(NoviaFunds[[#This Row],[ISIN]],'Novia Web Query'!$A:$E,5,FALSE)</f>
        <v>30/11/2021</v>
      </c>
      <c r="F3439" t="str">
        <f>VLOOKUP(NoviaFunds[[#This Row],[Sector]],Sectors[],2,FALSE)</f>
        <v>Mixed 20%-60%</v>
      </c>
    </row>
    <row r="3440" spans="1:6" x14ac:dyDescent="0.2">
      <c r="A3440" t="str">
        <f>'Novia Web Query'!A3436</f>
        <v>GB00BD8RSP45</v>
      </c>
      <c r="B3440" t="str">
        <f>VLOOKUP(NoviaFunds[[#This Row],[ISIN]],'Novia Web Query'!$A:$E,2,FALSE)</f>
        <v>Royal London GMAP Balanced M Inc TR in GB</v>
      </c>
      <c r="C3440" t="str">
        <f>VLOOKUP(NoviaFunds[[#This Row],[ISIN]],'Novia Web Query'!$A:$E,3,FALSE)</f>
        <v>UT Mixed Investment 20-60% Shares</v>
      </c>
      <c r="D3440" s="139">
        <f>VLOOKUP(NoviaFunds[[#This Row],[ISIN]],'Novia Web Query'!$A:$E,4,FALSE)/100</f>
        <v>6.0000000000000001E-3</v>
      </c>
      <c r="E3440" s="3" t="str">
        <f>VLOOKUP(NoviaFunds[[#This Row],[ISIN]],'Novia Web Query'!$A:$E,5,FALSE)</f>
        <v>30/11/2021</v>
      </c>
      <c r="F3440" t="str">
        <f>VLOOKUP(NoviaFunds[[#This Row],[Sector]],Sectors[],2,FALSE)</f>
        <v>Mixed 20%-60%</v>
      </c>
    </row>
    <row r="3441" spans="1:6" x14ac:dyDescent="0.2">
      <c r="A3441" t="str">
        <f>'Novia Web Query'!A3437</f>
        <v>GB00BD8RSS75</v>
      </c>
      <c r="B3441" t="str">
        <f>VLOOKUP(NoviaFunds[[#This Row],[ISIN]],'Novia Web Query'!$A:$E,2,FALSE)</f>
        <v>Royal London GMAP Conservative M Acc in GB</v>
      </c>
      <c r="C3441" t="str">
        <f>VLOOKUP(NoviaFunds[[#This Row],[ISIN]],'Novia Web Query'!$A:$E,3,FALSE)</f>
        <v>UT Sterling Strategic Bond</v>
      </c>
      <c r="D3441" s="139">
        <f>VLOOKUP(NoviaFunds[[#This Row],[ISIN]],'Novia Web Query'!$A:$E,4,FALSE)/100</f>
        <v>6.0000000000000001E-3</v>
      </c>
      <c r="E3441" s="3" t="str">
        <f>VLOOKUP(NoviaFunds[[#This Row],[ISIN]],'Novia Web Query'!$A:$E,5,FALSE)</f>
        <v>30/11/2021</v>
      </c>
      <c r="F3441" t="str">
        <f>VLOOKUP(NoviaFunds[[#This Row],[Sector]],Sectors[],2,FALSE)</f>
        <v>Other Bonds</v>
      </c>
    </row>
    <row r="3442" spans="1:6" x14ac:dyDescent="0.2">
      <c r="A3442" t="str">
        <f>'Novia Web Query'!A3438</f>
        <v>GB00BD8RSR68</v>
      </c>
      <c r="B3442" t="str">
        <f>VLOOKUP(NoviaFunds[[#This Row],[ISIN]],'Novia Web Query'!$A:$E,2,FALSE)</f>
        <v>Royal London GMAP Conservative M Inc TR in GB</v>
      </c>
      <c r="C3442" t="str">
        <f>VLOOKUP(NoviaFunds[[#This Row],[ISIN]],'Novia Web Query'!$A:$E,3,FALSE)</f>
        <v>UT Sterling Strategic Bond</v>
      </c>
      <c r="D3442" s="139">
        <f>VLOOKUP(NoviaFunds[[#This Row],[ISIN]],'Novia Web Query'!$A:$E,4,FALSE)/100</f>
        <v>6.0000000000000001E-3</v>
      </c>
      <c r="E3442" s="3" t="str">
        <f>VLOOKUP(NoviaFunds[[#This Row],[ISIN]],'Novia Web Query'!$A:$E,5,FALSE)</f>
        <v>30/11/2021</v>
      </c>
      <c r="F3442" t="str">
        <f>VLOOKUP(NoviaFunds[[#This Row],[Sector]],Sectors[],2,FALSE)</f>
        <v>Other Bonds</v>
      </c>
    </row>
    <row r="3443" spans="1:6" x14ac:dyDescent="0.2">
      <c r="A3443" t="str">
        <f>'Novia Web Query'!A3439</f>
        <v>GB00BD8RSJ84</v>
      </c>
      <c r="B3443" t="str">
        <f>VLOOKUP(NoviaFunds[[#This Row],[ISIN]],'Novia Web Query'!$A:$E,2,FALSE)</f>
        <v>Royal London GMAP Defensive M Acc in GB</v>
      </c>
      <c r="C3443" t="str">
        <f>VLOOKUP(NoviaFunds[[#This Row],[ISIN]],'Novia Web Query'!$A:$E,3,FALSE)</f>
        <v>UT Mixed Investment 0-35% Shares</v>
      </c>
      <c r="D3443" s="139">
        <f>VLOOKUP(NoviaFunds[[#This Row],[ISIN]],'Novia Web Query'!$A:$E,4,FALSE)/100</f>
        <v>6.0000000000000001E-3</v>
      </c>
      <c r="E3443" s="3" t="str">
        <f>VLOOKUP(NoviaFunds[[#This Row],[ISIN]],'Novia Web Query'!$A:$E,5,FALSE)</f>
        <v>30/11/2021</v>
      </c>
      <c r="F3443" t="str">
        <f>VLOOKUP(NoviaFunds[[#This Row],[Sector]],Sectors[],2,FALSE)</f>
        <v>Mixed 0%-35%</v>
      </c>
    </row>
    <row r="3444" spans="1:6" x14ac:dyDescent="0.2">
      <c r="A3444" t="str">
        <f>'Novia Web Query'!A3440</f>
        <v>GB00BD8RSH60</v>
      </c>
      <c r="B3444" t="str">
        <f>VLOOKUP(NoviaFunds[[#This Row],[ISIN]],'Novia Web Query'!$A:$E,2,FALSE)</f>
        <v>Royal London GMAP Defensive M Inc TR in GB</v>
      </c>
      <c r="C3444" t="str">
        <f>VLOOKUP(NoviaFunds[[#This Row],[ISIN]],'Novia Web Query'!$A:$E,3,FALSE)</f>
        <v>UT Mixed Investment 0-35% Shares</v>
      </c>
      <c r="D3444" s="139">
        <f>VLOOKUP(NoviaFunds[[#This Row],[ISIN]],'Novia Web Query'!$A:$E,4,FALSE)/100</f>
        <v>6.0000000000000001E-3</v>
      </c>
      <c r="E3444" s="3" t="str">
        <f>VLOOKUP(NoviaFunds[[#This Row],[ISIN]],'Novia Web Query'!$A:$E,5,FALSE)</f>
        <v>30/11/2021</v>
      </c>
      <c r="F3444" t="str">
        <f>VLOOKUP(NoviaFunds[[#This Row],[Sector]],Sectors[],2,FALSE)</f>
        <v>Mixed 0%-35%</v>
      </c>
    </row>
    <row r="3445" spans="1:6" x14ac:dyDescent="0.2">
      <c r="A3445" t="str">
        <f>'Novia Web Query'!A3441</f>
        <v>GB00BD8RSL07</v>
      </c>
      <c r="B3445" t="str">
        <f>VLOOKUP(NoviaFunds[[#This Row],[ISIN]],'Novia Web Query'!$A:$E,2,FALSE)</f>
        <v>Royal London GMAP Dynamic M Acc in GB</v>
      </c>
      <c r="C3445" t="str">
        <f>VLOOKUP(NoviaFunds[[#This Row],[ISIN]],'Novia Web Query'!$A:$E,3,FALSE)</f>
        <v>UT Global</v>
      </c>
      <c r="D3445" s="139">
        <f>VLOOKUP(NoviaFunds[[#This Row],[ISIN]],'Novia Web Query'!$A:$E,4,FALSE)/100</f>
        <v>6.0000000000000001E-3</v>
      </c>
      <c r="E3445" s="3" t="str">
        <f>VLOOKUP(NoviaFunds[[#This Row],[ISIN]],'Novia Web Query'!$A:$E,5,FALSE)</f>
        <v>30/11/2021</v>
      </c>
      <c r="F3445" t="str">
        <f>VLOOKUP(NoviaFunds[[#This Row],[Sector]],Sectors[],2,FALSE)</f>
        <v>Other Equities</v>
      </c>
    </row>
    <row r="3446" spans="1:6" x14ac:dyDescent="0.2">
      <c r="A3446" t="str">
        <f>'Novia Web Query'!A3442</f>
        <v>GB00BD8RSK99</v>
      </c>
      <c r="B3446" t="str">
        <f>VLOOKUP(NoviaFunds[[#This Row],[ISIN]],'Novia Web Query'!$A:$E,2,FALSE)</f>
        <v>Royal London GMAP Dynamic M Inc TR in GB</v>
      </c>
      <c r="C3446" t="str">
        <f>VLOOKUP(NoviaFunds[[#This Row],[ISIN]],'Novia Web Query'!$A:$E,3,FALSE)</f>
        <v>UT Global</v>
      </c>
      <c r="D3446" s="139">
        <f>VLOOKUP(NoviaFunds[[#This Row],[ISIN]],'Novia Web Query'!$A:$E,4,FALSE)/100</f>
        <v>6.0000000000000001E-3</v>
      </c>
      <c r="E3446" s="3" t="str">
        <f>VLOOKUP(NoviaFunds[[#This Row],[ISIN]],'Novia Web Query'!$A:$E,5,FALSE)</f>
        <v>30/11/2021</v>
      </c>
      <c r="F3446" t="str">
        <f>VLOOKUP(NoviaFunds[[#This Row],[Sector]],Sectors[],2,FALSE)</f>
        <v>Other Equities</v>
      </c>
    </row>
    <row r="3447" spans="1:6" x14ac:dyDescent="0.2">
      <c r="A3447" t="str">
        <f>'Novia Web Query'!A3443</f>
        <v>GB00BD8RSN21</v>
      </c>
      <c r="B3447" t="str">
        <f>VLOOKUP(NoviaFunds[[#This Row],[ISIN]],'Novia Web Query'!$A:$E,2,FALSE)</f>
        <v>Royal London GMAP Growth M Acc in GB</v>
      </c>
      <c r="C3447" t="str">
        <f>VLOOKUP(NoviaFunds[[#This Row],[ISIN]],'Novia Web Query'!$A:$E,3,FALSE)</f>
        <v>UT Mixed Investment 40-85% Shares</v>
      </c>
      <c r="D3447" s="139">
        <f>VLOOKUP(NoviaFunds[[#This Row],[ISIN]],'Novia Web Query'!$A:$E,4,FALSE)/100</f>
        <v>6.0000000000000001E-3</v>
      </c>
      <c r="E3447" s="3" t="str">
        <f>VLOOKUP(NoviaFunds[[#This Row],[ISIN]],'Novia Web Query'!$A:$E,5,FALSE)</f>
        <v>30/11/2021</v>
      </c>
      <c r="F3447" t="str">
        <f>VLOOKUP(NoviaFunds[[#This Row],[Sector]],Sectors[],2,FALSE)</f>
        <v>Mixed 40%-85%</v>
      </c>
    </row>
    <row r="3448" spans="1:6" x14ac:dyDescent="0.2">
      <c r="A3448" t="str">
        <f>'Novia Web Query'!A3444</f>
        <v>GB00BD8RSM14</v>
      </c>
      <c r="B3448" t="str">
        <f>VLOOKUP(NoviaFunds[[#This Row],[ISIN]],'Novia Web Query'!$A:$E,2,FALSE)</f>
        <v>Royal London GMAP Growth M Inc TR in GB</v>
      </c>
      <c r="C3448" t="str">
        <f>VLOOKUP(NoviaFunds[[#This Row],[ISIN]],'Novia Web Query'!$A:$E,3,FALSE)</f>
        <v>UT Mixed Investment 40-85% Shares</v>
      </c>
      <c r="D3448" s="139">
        <f>VLOOKUP(NoviaFunds[[#This Row],[ISIN]],'Novia Web Query'!$A:$E,4,FALSE)/100</f>
        <v>6.0000000000000001E-3</v>
      </c>
      <c r="E3448" s="3" t="str">
        <f>VLOOKUP(NoviaFunds[[#This Row],[ISIN]],'Novia Web Query'!$A:$E,5,FALSE)</f>
        <v>30/11/2021</v>
      </c>
      <c r="F3448" t="str">
        <f>VLOOKUP(NoviaFunds[[#This Row],[Sector]],Sectors[],2,FALSE)</f>
        <v>Mixed 40%-85%</v>
      </c>
    </row>
    <row r="3449" spans="1:6" x14ac:dyDescent="0.2">
      <c r="A3449" t="str">
        <f>'Novia Web Query'!A3445</f>
        <v>GB00B3MYR659</v>
      </c>
      <c r="B3449" t="str">
        <f>VLOOKUP(NoviaFunds[[#This Row],[ISIN]],'Novia Web Query'!$A:$E,2,FALSE)</f>
        <v>Royal London Index Linked A Inc TR in GB</v>
      </c>
      <c r="C3449" t="str">
        <f>VLOOKUP(NoviaFunds[[#This Row],[ISIN]],'Novia Web Query'!$A:$E,3,FALSE)</f>
        <v>UT UK Index Linked Gilts</v>
      </c>
      <c r="D3449" s="139">
        <f>VLOOKUP(NoviaFunds[[#This Row],[ISIN]],'Novia Web Query'!$A:$E,4,FALSE)/100</f>
        <v>3.5999999999999999E-3</v>
      </c>
      <c r="E3449" s="3" t="str">
        <f>VLOOKUP(NoviaFunds[[#This Row],[ISIN]],'Novia Web Query'!$A:$E,5,FALSE)</f>
        <v>30/11/2021</v>
      </c>
      <c r="F3449" t="str">
        <f>VLOOKUP(NoviaFunds[[#This Row],[Sector]],Sectors[],2,FALSE)</f>
        <v>UK Index Linked Gilts</v>
      </c>
    </row>
    <row r="3450" spans="1:6" x14ac:dyDescent="0.2">
      <c r="A3450" t="str">
        <f>'Novia Web Query'!A3446</f>
        <v>GB00B8DDWW71</v>
      </c>
      <c r="B3450" t="str">
        <f>VLOOKUP(NoviaFunds[[#This Row],[ISIN]],'Novia Web Query'!$A:$E,2,FALSE)</f>
        <v>Royal London Index Linked M Acc TR in GB</v>
      </c>
      <c r="C3450" t="str">
        <f>VLOOKUP(NoviaFunds[[#This Row],[ISIN]],'Novia Web Query'!$A:$E,3,FALSE)</f>
        <v>UT UK Index Linked Gilts</v>
      </c>
      <c r="D3450" s="139">
        <f>VLOOKUP(NoviaFunds[[#This Row],[ISIN]],'Novia Web Query'!$A:$E,4,FALSE)/100</f>
        <v>3.5999999999999999E-3</v>
      </c>
      <c r="E3450" s="3" t="str">
        <f>VLOOKUP(NoviaFunds[[#This Row],[ISIN]],'Novia Web Query'!$A:$E,5,FALSE)</f>
        <v>30/11/2021</v>
      </c>
      <c r="F3450" t="str">
        <f>VLOOKUP(NoviaFunds[[#This Row],[Sector]],Sectors[],2,FALSE)</f>
        <v>UK Index Linked Gilts</v>
      </c>
    </row>
    <row r="3451" spans="1:6" x14ac:dyDescent="0.2">
      <c r="A3451" t="str">
        <f>'Novia Web Query'!A3447</f>
        <v>GB00B3MZ2071</v>
      </c>
      <c r="B3451" t="str">
        <f>VLOOKUP(NoviaFunds[[#This Row],[ISIN]],'Novia Web Query'!$A:$E,2,FALSE)</f>
        <v>Royal London Index Linked M Inc TR in GB**</v>
      </c>
      <c r="C3451" t="str">
        <f>VLOOKUP(NoviaFunds[[#This Row],[ISIN]],'Novia Web Query'!$A:$E,3,FALSE)</f>
        <v>UT UK Index Linked Gilts</v>
      </c>
      <c r="D3451" s="139">
        <f>VLOOKUP(NoviaFunds[[#This Row],[ISIN]],'Novia Web Query'!$A:$E,4,FALSE)/100</f>
        <v>3.5999999999999999E-3</v>
      </c>
      <c r="E3451" s="3" t="str">
        <f>VLOOKUP(NoviaFunds[[#This Row],[ISIN]],'Novia Web Query'!$A:$E,5,FALSE)</f>
        <v>30/11/2021</v>
      </c>
      <c r="F3451" t="str">
        <f>VLOOKUP(NoviaFunds[[#This Row],[Sector]],Sectors[],2,FALSE)</f>
        <v>UK Index Linked Gilts</v>
      </c>
    </row>
    <row r="3452" spans="1:6" x14ac:dyDescent="0.2">
      <c r="A3452" t="str">
        <f>'Novia Web Query'!A3448</f>
        <v>GB00B45XHL18</v>
      </c>
      <c r="B3452" t="str">
        <f>VLOOKUP(NoviaFunds[[#This Row],[ISIN]],'Novia Web Query'!$A:$E,2,FALSE)</f>
        <v>Royal London International Government Bond M Inc TR in GB</v>
      </c>
      <c r="C3452" t="str">
        <f>VLOOKUP(NoviaFunds[[#This Row],[ISIN]],'Novia Web Query'!$A:$E,3,FALSE)</f>
        <v>UT Global Bonds</v>
      </c>
      <c r="D3452" s="139">
        <f>VLOOKUP(NoviaFunds[[#This Row],[ISIN]],'Novia Web Query'!$A:$E,4,FALSE)/100</f>
        <v>3.0000000000000001E-3</v>
      </c>
      <c r="E3452" s="3" t="str">
        <f>VLOOKUP(NoviaFunds[[#This Row],[ISIN]],'Novia Web Query'!$A:$E,5,FALSE)</f>
        <v>30/11/2021</v>
      </c>
      <c r="F3452" t="str">
        <f>VLOOKUP(NoviaFunds[[#This Row],[Sector]],Sectors[],2,FALSE)</f>
        <v>Global Investment Grade</v>
      </c>
    </row>
    <row r="3453" spans="1:6" x14ac:dyDescent="0.2">
      <c r="A3453" t="str">
        <f>'Novia Web Query'!A3449</f>
        <v>GB00BYQTH296</v>
      </c>
      <c r="B3453" t="str">
        <f>VLOOKUP(NoviaFunds[[#This Row],[ISIN]],'Novia Web Query'!$A:$E,2,FALSE)</f>
        <v>Royal London Investment Grade Short Dated Credit Z TR in GB</v>
      </c>
      <c r="C3453" t="str">
        <f>VLOOKUP(NoviaFunds[[#This Row],[ISIN]],'Novia Web Query'!$A:$E,3,FALSE)</f>
        <v>UT Sterling Corporate Bond</v>
      </c>
      <c r="D3453" s="139">
        <f>VLOOKUP(NoviaFunds[[#This Row],[ISIN]],'Novia Web Query'!$A:$E,4,FALSE)/100</f>
        <v>2.3999999999999998E-3</v>
      </c>
      <c r="E3453" s="3" t="str">
        <f>VLOOKUP(NoviaFunds[[#This Row],[ISIN]],'Novia Web Query'!$A:$E,5,FALSE)</f>
        <v>30/11/2021</v>
      </c>
      <c r="F3453" t="str">
        <f>VLOOKUP(NoviaFunds[[#This Row],[Sector]],Sectors[],2,FALSE)</f>
        <v>Sterling Corporate Bonds</v>
      </c>
    </row>
    <row r="3454" spans="1:6" x14ac:dyDescent="0.2">
      <c r="A3454" t="str">
        <f>'Novia Web Query'!A3450</f>
        <v>GB00B52R6496</v>
      </c>
      <c r="B3454" t="str">
        <f>VLOOKUP(NoviaFunds[[#This Row],[ISIN]],'Novia Web Query'!$A:$E,2,FALSE)</f>
        <v>Royal London Japan Equity Tilt Z Acc in GB</v>
      </c>
      <c r="C3454" t="str">
        <f>VLOOKUP(NoviaFunds[[#This Row],[ISIN]],'Novia Web Query'!$A:$E,3,FALSE)</f>
        <v>UT Japan</v>
      </c>
      <c r="D3454" s="139">
        <f>VLOOKUP(NoviaFunds[[#This Row],[ISIN]],'Novia Web Query'!$A:$E,4,FALSE)/100</f>
        <v>1.4000000000000002E-3</v>
      </c>
      <c r="E3454" s="3" t="str">
        <f>VLOOKUP(NoviaFunds[[#This Row],[ISIN]],'Novia Web Query'!$A:$E,5,FALSE)</f>
        <v>30/11/2021</v>
      </c>
      <c r="F3454" t="str">
        <f>VLOOKUP(NoviaFunds[[#This Row],[Sector]],Sectors[],2,FALSE)</f>
        <v>Japanese Equities</v>
      </c>
    </row>
    <row r="3455" spans="1:6" x14ac:dyDescent="0.2">
      <c r="A3455" t="str">
        <f>'Novia Web Query'!A3451</f>
        <v>GB00BJ4KW792</v>
      </c>
      <c r="B3455" t="str">
        <f>VLOOKUP(NoviaFunds[[#This Row],[ISIN]],'Novia Web Query'!$A:$E,2,FALSE)</f>
        <v>Royal London Short Duration Credit M Acc TR in GB**</v>
      </c>
      <c r="C3455" t="str">
        <f>VLOOKUP(NoviaFunds[[#This Row],[ISIN]],'Novia Web Query'!$A:$E,3,FALSE)</f>
        <v>UT Sterling Strategic Bond</v>
      </c>
      <c r="D3455" s="139">
        <f>VLOOKUP(NoviaFunds[[#This Row],[ISIN]],'Novia Web Query'!$A:$E,4,FALSE)/100</f>
        <v>3.4999999999999996E-3</v>
      </c>
      <c r="E3455" s="3" t="str">
        <f>VLOOKUP(NoviaFunds[[#This Row],[ISIN]],'Novia Web Query'!$A:$E,5,FALSE)</f>
        <v>30/11/2021</v>
      </c>
      <c r="F3455" t="str">
        <f>VLOOKUP(NoviaFunds[[#This Row],[Sector]],Sectors[],2,FALSE)</f>
        <v>Other Bonds</v>
      </c>
    </row>
    <row r="3456" spans="1:6" x14ac:dyDescent="0.2">
      <c r="A3456" t="str">
        <f>'Novia Web Query'!A3452</f>
        <v>GB00BJ4KW800</v>
      </c>
      <c r="B3456" t="str">
        <f>VLOOKUP(NoviaFunds[[#This Row],[ISIN]],'Novia Web Query'!$A:$E,2,FALSE)</f>
        <v>Royal London Short Duration Credit M Inc TR in GB</v>
      </c>
      <c r="C3456" t="str">
        <f>VLOOKUP(NoviaFunds[[#This Row],[ISIN]],'Novia Web Query'!$A:$E,3,FALSE)</f>
        <v>UT Sterling Strategic Bond</v>
      </c>
      <c r="D3456" s="139">
        <f>VLOOKUP(NoviaFunds[[#This Row],[ISIN]],'Novia Web Query'!$A:$E,4,FALSE)/100</f>
        <v>3.4999999999999996E-3</v>
      </c>
      <c r="E3456" s="3" t="str">
        <f>VLOOKUP(NoviaFunds[[#This Row],[ISIN]],'Novia Web Query'!$A:$E,5,FALSE)</f>
        <v>30/11/2021</v>
      </c>
      <c r="F3456" t="str">
        <f>VLOOKUP(NoviaFunds[[#This Row],[Sector]],Sectors[],2,FALSE)</f>
        <v>Other Bonds</v>
      </c>
    </row>
    <row r="3457" spans="1:6" x14ac:dyDescent="0.2">
      <c r="A3457" t="str">
        <f>'Novia Web Query'!A3453</f>
        <v>GB00BJ4KW917</v>
      </c>
      <c r="B3457" t="str">
        <f>VLOOKUP(NoviaFunds[[#This Row],[ISIN]],'Novia Web Query'!$A:$E,2,FALSE)</f>
        <v>Royal London Short Duration Credit Z Acc TR in GB**</v>
      </c>
      <c r="C3457" t="str">
        <f>VLOOKUP(NoviaFunds[[#This Row],[ISIN]],'Novia Web Query'!$A:$E,3,FALSE)</f>
        <v>UT Sterling Strategic Bond</v>
      </c>
      <c r="D3457" s="139">
        <f>VLOOKUP(NoviaFunds[[#This Row],[ISIN]],'Novia Web Query'!$A:$E,4,FALSE)/100</f>
        <v>3.0999999999999999E-3</v>
      </c>
      <c r="E3457" s="3" t="str">
        <f>VLOOKUP(NoviaFunds[[#This Row],[ISIN]],'Novia Web Query'!$A:$E,5,FALSE)</f>
        <v>30/11/2021</v>
      </c>
      <c r="F3457" t="str">
        <f>VLOOKUP(NoviaFunds[[#This Row],[Sector]],Sectors[],2,FALSE)</f>
        <v>Other Bonds</v>
      </c>
    </row>
    <row r="3458" spans="1:6" x14ac:dyDescent="0.2">
      <c r="A3458" t="str">
        <f>'Novia Web Query'!A3454</f>
        <v>GB00BJ4KSV52</v>
      </c>
      <c r="B3458" t="str">
        <f>VLOOKUP(NoviaFunds[[#This Row],[ISIN]],'Novia Web Query'!$A:$E,2,FALSE)</f>
        <v>Royal London Short Duration Credit Z Inc TR in GB</v>
      </c>
      <c r="C3458" t="str">
        <f>VLOOKUP(NoviaFunds[[#This Row],[ISIN]],'Novia Web Query'!$A:$E,3,FALSE)</f>
        <v>UT Sterling Strategic Bond</v>
      </c>
      <c r="D3458" s="139">
        <f>VLOOKUP(NoviaFunds[[#This Row],[ISIN]],'Novia Web Query'!$A:$E,4,FALSE)/100</f>
        <v>3.0999999999999999E-3</v>
      </c>
      <c r="E3458" s="3" t="str">
        <f>VLOOKUP(NoviaFunds[[#This Row],[ISIN]],'Novia Web Query'!$A:$E,5,FALSE)</f>
        <v>30/11/2021</v>
      </c>
      <c r="F3458" t="str">
        <f>VLOOKUP(NoviaFunds[[#This Row],[Sector]],Sectors[],2,FALSE)</f>
        <v>Other Bonds</v>
      </c>
    </row>
    <row r="3459" spans="1:6" x14ac:dyDescent="0.2">
      <c r="A3459" t="str">
        <f>'Novia Web Query'!A3455</f>
        <v>GB00BD050C73</v>
      </c>
      <c r="B3459" t="str">
        <f>VLOOKUP(NoviaFunds[[#This Row],[ISIN]],'Novia Web Query'!$A:$E,2,FALSE)</f>
        <v>Royal London Short Duration Gilts M Inc TR in GB</v>
      </c>
      <c r="C3459" t="str">
        <f>VLOOKUP(NoviaFunds[[#This Row],[ISIN]],'Novia Web Query'!$A:$E,3,FALSE)</f>
        <v>UT UK Gilts</v>
      </c>
      <c r="D3459" s="139">
        <f>VLOOKUP(NoviaFunds[[#This Row],[ISIN]],'Novia Web Query'!$A:$E,4,FALSE)/100</f>
        <v>2.8999999999999998E-3</v>
      </c>
      <c r="E3459" s="3" t="str">
        <f>VLOOKUP(NoviaFunds[[#This Row],[ISIN]],'Novia Web Query'!$A:$E,5,FALSE)</f>
        <v>30/11/2021</v>
      </c>
      <c r="F3459" t="str">
        <f>VLOOKUP(NoviaFunds[[#This Row],[Sector]],Sectors[],2,FALSE)</f>
        <v>Gilts</v>
      </c>
    </row>
    <row r="3460" spans="1:6" x14ac:dyDescent="0.2">
      <c r="A3460" t="str">
        <f>'Novia Web Query'!A3456</f>
        <v>GB00BD050D80</v>
      </c>
      <c r="B3460" t="str">
        <f>VLOOKUP(NoviaFunds[[#This Row],[ISIN]],'Novia Web Query'!$A:$E,2,FALSE)</f>
        <v>Royal London Short Duration Gilts Z Inc TR in GB</v>
      </c>
      <c r="C3460" t="str">
        <f>VLOOKUP(NoviaFunds[[#This Row],[ISIN]],'Novia Web Query'!$A:$E,3,FALSE)</f>
        <v>UT UK Gilts</v>
      </c>
      <c r="D3460" s="139">
        <f>VLOOKUP(NoviaFunds[[#This Row],[ISIN]],'Novia Web Query'!$A:$E,4,FALSE)/100</f>
        <v>2.2000000000000001E-3</v>
      </c>
      <c r="E3460" s="3" t="str">
        <f>VLOOKUP(NoviaFunds[[#This Row],[ISIN]],'Novia Web Query'!$A:$E,5,FALSE)</f>
        <v>30/11/2021</v>
      </c>
      <c r="F3460" t="str">
        <f>VLOOKUP(NoviaFunds[[#This Row],[Sector]],Sectors[],2,FALSE)</f>
        <v>Gilts</v>
      </c>
    </row>
    <row r="3461" spans="1:6" x14ac:dyDescent="0.2">
      <c r="A3461" t="str">
        <f>'Novia Web Query'!A3457</f>
        <v>GB00BD050F05</v>
      </c>
      <c r="B3461" t="str">
        <f>VLOOKUP(NoviaFunds[[#This Row],[ISIN]],'Novia Web Query'!$A:$E,2,FALSE)</f>
        <v>Royal London Short Duration Global Index Linked M Inc TR in GB</v>
      </c>
      <c r="C3461" t="str">
        <f>VLOOKUP(NoviaFunds[[#This Row],[ISIN]],'Novia Web Query'!$A:$E,3,FALSE)</f>
        <v>UT Global Bonds</v>
      </c>
      <c r="D3461" s="139">
        <f>VLOOKUP(NoviaFunds[[#This Row],[ISIN]],'Novia Web Query'!$A:$E,4,FALSE)/100</f>
        <v>2.7000000000000001E-3</v>
      </c>
      <c r="E3461" s="3" t="str">
        <f>VLOOKUP(NoviaFunds[[#This Row],[ISIN]],'Novia Web Query'!$A:$E,5,FALSE)</f>
        <v>30/11/2021</v>
      </c>
      <c r="F3461" t="str">
        <f>VLOOKUP(NoviaFunds[[#This Row],[Sector]],Sectors[],2,FALSE)</f>
        <v>Global Investment Grade</v>
      </c>
    </row>
    <row r="3462" spans="1:6" x14ac:dyDescent="0.2">
      <c r="A3462" t="str">
        <f>'Novia Web Query'!A3458</f>
        <v>GB00BD050G12</v>
      </c>
      <c r="B3462" t="str">
        <f>VLOOKUP(NoviaFunds[[#This Row],[ISIN]],'Novia Web Query'!$A:$E,2,FALSE)</f>
        <v>Royal London Short Duration Global Index Linked Z Inc TR in GB</v>
      </c>
      <c r="C3462" t="str">
        <f>VLOOKUP(NoviaFunds[[#This Row],[ISIN]],'Novia Web Query'!$A:$E,3,FALSE)</f>
        <v>UT Global Bonds</v>
      </c>
      <c r="D3462" s="139">
        <f>VLOOKUP(NoviaFunds[[#This Row],[ISIN]],'Novia Web Query'!$A:$E,4,FALSE)/100</f>
        <v>2.2000000000000001E-3</v>
      </c>
      <c r="E3462" s="3" t="str">
        <f>VLOOKUP(NoviaFunds[[#This Row],[ISIN]],'Novia Web Query'!$A:$E,5,FALSE)</f>
        <v>30/11/2021</v>
      </c>
      <c r="F3462" t="str">
        <f>VLOOKUP(NoviaFunds[[#This Row],[Sector]],Sectors[],2,FALSE)</f>
        <v>Global Investment Grade</v>
      </c>
    </row>
    <row r="3463" spans="1:6" x14ac:dyDescent="0.2">
      <c r="A3463" t="str">
        <f>'Novia Web Query'!A3459</f>
        <v>GB00B8XYYQ86</v>
      </c>
      <c r="B3463" t="str">
        <f>VLOOKUP(NoviaFunds[[#This Row],[ISIN]],'Novia Web Query'!$A:$E,2,FALSE)</f>
        <v>Royal London Short Term Money Market Y Acc TR in GB</v>
      </c>
      <c r="C3463" t="str">
        <f>VLOOKUP(NoviaFunds[[#This Row],[ISIN]],'Novia Web Query'!$A:$E,3,FALSE)</f>
        <v>UT Short Term Money Market</v>
      </c>
      <c r="D3463" s="139">
        <f>VLOOKUP(NoviaFunds[[#This Row],[ISIN]],'Novia Web Query'!$A:$E,4,FALSE)/100</f>
        <v>1E-3</v>
      </c>
      <c r="E3463" s="3" t="str">
        <f>VLOOKUP(NoviaFunds[[#This Row],[ISIN]],'Novia Web Query'!$A:$E,5,FALSE)</f>
        <v>30/11/2021</v>
      </c>
      <c r="F3463" t="str">
        <f>VLOOKUP(NoviaFunds[[#This Row],[Sector]],Sectors[],2,FALSE)</f>
        <v>Cash</v>
      </c>
    </row>
    <row r="3464" spans="1:6" x14ac:dyDescent="0.2">
      <c r="A3464" t="str">
        <f>'Novia Web Query'!A3460</f>
        <v>GB00B3P2RZ52</v>
      </c>
      <c r="B3464" t="str">
        <f>VLOOKUP(NoviaFunds[[#This Row],[ISIN]],'Novia Web Query'!$A:$E,2,FALSE)</f>
        <v>Royal London Short Term Money Market Y Inc TR in GB</v>
      </c>
      <c r="C3464" t="str">
        <f>VLOOKUP(NoviaFunds[[#This Row],[ISIN]],'Novia Web Query'!$A:$E,3,FALSE)</f>
        <v>UT Short Term Money Market</v>
      </c>
      <c r="D3464" s="139">
        <f>VLOOKUP(NoviaFunds[[#This Row],[ISIN]],'Novia Web Query'!$A:$E,4,FALSE)/100</f>
        <v>1E-3</v>
      </c>
      <c r="E3464" s="3" t="str">
        <f>VLOOKUP(NoviaFunds[[#This Row],[ISIN]],'Novia Web Query'!$A:$E,5,FALSE)</f>
        <v>30/11/2021</v>
      </c>
      <c r="F3464" t="str">
        <f>VLOOKUP(NoviaFunds[[#This Row],[Sector]],Sectors[],2,FALSE)</f>
        <v>Cash</v>
      </c>
    </row>
    <row r="3465" spans="1:6" x14ac:dyDescent="0.2">
      <c r="A3465" t="str">
        <f>'Novia Web Query'!A3461</f>
        <v>GB00B8GJ8S05</v>
      </c>
      <c r="B3465" t="str">
        <f>VLOOKUP(NoviaFunds[[#This Row],[ISIN]],'Novia Web Query'!$A:$E,2,FALSE)</f>
        <v>Royal London Sterling Credit M Acc TR in GB**</v>
      </c>
      <c r="C3465" t="str">
        <f>VLOOKUP(NoviaFunds[[#This Row],[ISIN]],'Novia Web Query'!$A:$E,3,FALSE)</f>
        <v>UT Sterling Corporate Bond</v>
      </c>
      <c r="D3465" s="139">
        <f>VLOOKUP(NoviaFunds[[#This Row],[ISIN]],'Novia Web Query'!$A:$E,4,FALSE)/100</f>
        <v>5.3E-3</v>
      </c>
      <c r="E3465" s="3" t="str">
        <f>VLOOKUP(NoviaFunds[[#This Row],[ISIN]],'Novia Web Query'!$A:$E,5,FALSE)</f>
        <v>30/11/2021</v>
      </c>
      <c r="F3465" t="str">
        <f>VLOOKUP(NoviaFunds[[#This Row],[Sector]],Sectors[],2,FALSE)</f>
        <v>Sterling Corporate Bonds</v>
      </c>
    </row>
    <row r="3466" spans="1:6" x14ac:dyDescent="0.2">
      <c r="A3466" t="str">
        <f>'Novia Web Query'!A3462</f>
        <v>GB00B6X6GB98</v>
      </c>
      <c r="B3466" t="str">
        <f>VLOOKUP(NoviaFunds[[#This Row],[ISIN]],'Novia Web Query'!$A:$E,2,FALSE)</f>
        <v>Royal London Sterling Credit M Inc TR in GB**</v>
      </c>
      <c r="C3466" t="str">
        <f>VLOOKUP(NoviaFunds[[#This Row],[ISIN]],'Novia Web Query'!$A:$E,3,FALSE)</f>
        <v>UT Sterling Corporate Bond</v>
      </c>
      <c r="D3466" s="139">
        <f>VLOOKUP(NoviaFunds[[#This Row],[ISIN]],'Novia Web Query'!$A:$E,4,FALSE)/100</f>
        <v>5.3E-3</v>
      </c>
      <c r="E3466" s="3" t="str">
        <f>VLOOKUP(NoviaFunds[[#This Row],[ISIN]],'Novia Web Query'!$A:$E,5,FALSE)</f>
        <v>30/11/2021</v>
      </c>
      <c r="F3466" t="str">
        <f>VLOOKUP(NoviaFunds[[#This Row],[Sector]],Sectors[],2,FALSE)</f>
        <v>Sterling Corporate Bonds</v>
      </c>
    </row>
    <row r="3467" spans="1:6" x14ac:dyDescent="0.2">
      <c r="A3467" t="str">
        <f>'Novia Web Query'!A3463</f>
        <v>GB00BKLJX955</v>
      </c>
      <c r="B3467" t="str">
        <f>VLOOKUP(NoviaFunds[[#This Row],[ISIN]],'Novia Web Query'!$A:$E,2,FALSE)</f>
        <v>Royal London Sterling Credit Z Acc in GB**</v>
      </c>
      <c r="C3467" t="str">
        <f>VLOOKUP(NoviaFunds[[#This Row],[ISIN]],'Novia Web Query'!$A:$E,3,FALSE)</f>
        <v>UT Sterling Corporate Bond</v>
      </c>
      <c r="D3467" s="139">
        <f>VLOOKUP(NoviaFunds[[#This Row],[ISIN]],'Novia Web Query'!$A:$E,4,FALSE)/100</f>
        <v>3.4999999999999996E-3</v>
      </c>
      <c r="E3467" s="3" t="str">
        <f>VLOOKUP(NoviaFunds[[#This Row],[ISIN]],'Novia Web Query'!$A:$E,5,FALSE)</f>
        <v>30/11/2021</v>
      </c>
      <c r="F3467" t="str">
        <f>VLOOKUP(NoviaFunds[[#This Row],[Sector]],Sectors[],2,FALSE)</f>
        <v>Sterling Corporate Bonds</v>
      </c>
    </row>
    <row r="3468" spans="1:6" x14ac:dyDescent="0.2">
      <c r="A3468" t="str">
        <f>'Novia Web Query'!A3464</f>
        <v>GB00B4W1ZT22</v>
      </c>
      <c r="B3468" t="str">
        <f>VLOOKUP(NoviaFunds[[#This Row],[ISIN]],'Novia Web Query'!$A:$E,2,FALSE)</f>
        <v>Royal London Sterling Credit Z Inc TR in GB</v>
      </c>
      <c r="C3468" t="str">
        <f>VLOOKUP(NoviaFunds[[#This Row],[ISIN]],'Novia Web Query'!$A:$E,3,FALSE)</f>
        <v>UT Sterling Corporate Bond</v>
      </c>
      <c r="D3468" s="139">
        <f>VLOOKUP(NoviaFunds[[#This Row],[ISIN]],'Novia Web Query'!$A:$E,4,FALSE)/100</f>
        <v>3.4999999999999996E-3</v>
      </c>
      <c r="E3468" s="3" t="str">
        <f>VLOOKUP(NoviaFunds[[#This Row],[ISIN]],'Novia Web Query'!$A:$E,5,FALSE)</f>
        <v>30/11/2021</v>
      </c>
      <c r="F3468" t="str">
        <f>VLOOKUP(NoviaFunds[[#This Row],[Sector]],Sectors[],2,FALSE)</f>
        <v>Sterling Corporate Bonds</v>
      </c>
    </row>
    <row r="3469" spans="1:6" x14ac:dyDescent="0.2">
      <c r="A3469" t="str">
        <f>'Novia Web Query'!A3465</f>
        <v>GB00B3PXJV84</v>
      </c>
      <c r="B3469" t="str">
        <f>VLOOKUP(NoviaFunds[[#This Row],[ISIN]],'Novia Web Query'!$A:$E,2,FALSE)</f>
        <v>Royal London Sustainable Diversified Trust A Inc TR in GB</v>
      </c>
      <c r="C3469" t="str">
        <f>VLOOKUP(NoviaFunds[[#This Row],[ISIN]],'Novia Web Query'!$A:$E,3,FALSE)</f>
        <v>UT Mixed Investment 20-60% Shares</v>
      </c>
      <c r="D3469" s="139">
        <f>VLOOKUP(NoviaFunds[[#This Row],[ISIN]],'Novia Web Query'!$A:$E,4,FALSE)/100</f>
        <v>1.2699999999999999E-2</v>
      </c>
      <c r="E3469" s="3" t="str">
        <f>VLOOKUP(NoviaFunds[[#This Row],[ISIN]],'Novia Web Query'!$A:$E,5,FALSE)</f>
        <v>30/11/2021</v>
      </c>
      <c r="F3469" t="str">
        <f>VLOOKUP(NoviaFunds[[#This Row],[Sector]],Sectors[],2,FALSE)</f>
        <v>Mixed 20%-60%</v>
      </c>
    </row>
    <row r="3470" spans="1:6" x14ac:dyDescent="0.2">
      <c r="A3470" t="str">
        <f>'Novia Web Query'!A3466</f>
        <v>GB00B79LTQ12</v>
      </c>
      <c r="B3470" t="str">
        <f>VLOOKUP(NoviaFunds[[#This Row],[ISIN]],'Novia Web Query'!$A:$E,2,FALSE)</f>
        <v>Royal London Sustainable Diversified Trust C Acc TR in GB**</v>
      </c>
      <c r="C3470" t="str">
        <f>VLOOKUP(NoviaFunds[[#This Row],[ISIN]],'Novia Web Query'!$A:$E,3,FALSE)</f>
        <v>UT Mixed Investment 20-60% Shares</v>
      </c>
      <c r="D3470" s="139">
        <f>VLOOKUP(NoviaFunds[[#This Row],[ISIN]],'Novia Web Query'!$A:$E,4,FALSE)/100</f>
        <v>7.7000000000000002E-3</v>
      </c>
      <c r="E3470" s="3" t="str">
        <f>VLOOKUP(NoviaFunds[[#This Row],[ISIN]],'Novia Web Query'!$A:$E,5,FALSE)</f>
        <v>30/11/2021</v>
      </c>
      <c r="F3470" t="str">
        <f>VLOOKUP(NoviaFunds[[#This Row],[Sector]],Sectors[],2,FALSE)</f>
        <v>Mixed 20%-60%</v>
      </c>
    </row>
    <row r="3471" spans="1:6" x14ac:dyDescent="0.2">
      <c r="A3471" t="str">
        <f>'Novia Web Query'!A3467</f>
        <v>GB00B844WJ68</v>
      </c>
      <c r="B3471" t="str">
        <f>VLOOKUP(NoviaFunds[[#This Row],[ISIN]],'Novia Web Query'!$A:$E,2,FALSE)</f>
        <v>Royal London Sustainable Diversified Trust C Inc TR in GB</v>
      </c>
      <c r="C3471" t="str">
        <f>VLOOKUP(NoviaFunds[[#This Row],[ISIN]],'Novia Web Query'!$A:$E,3,FALSE)</f>
        <v>UT Mixed Investment 20-60% Shares</v>
      </c>
      <c r="D3471" s="139">
        <f>VLOOKUP(NoviaFunds[[#This Row],[ISIN]],'Novia Web Query'!$A:$E,4,FALSE)/100</f>
        <v>7.7000000000000002E-3</v>
      </c>
      <c r="E3471" s="3" t="str">
        <f>VLOOKUP(NoviaFunds[[#This Row],[ISIN]],'Novia Web Query'!$A:$E,5,FALSE)</f>
        <v>30/11/2021</v>
      </c>
      <c r="F3471" t="str">
        <f>VLOOKUP(NoviaFunds[[#This Row],[Sector]],Sectors[],2,FALSE)</f>
        <v>Mixed 20%-60%</v>
      </c>
    </row>
    <row r="3472" spans="1:6" x14ac:dyDescent="0.2">
      <c r="A3472" t="str">
        <f>'Novia Web Query'!A3468</f>
        <v>GB00B826H339</v>
      </c>
      <c r="B3472" t="str">
        <f>VLOOKUP(NoviaFunds[[#This Row],[ISIN]],'Novia Web Query'!$A:$E,2,FALSE)</f>
        <v>Royal London Sustainable Diversified Trust D Acc TR in GB**</v>
      </c>
      <c r="C3472" t="str">
        <f>VLOOKUP(NoviaFunds[[#This Row],[ISIN]],'Novia Web Query'!$A:$E,3,FALSE)</f>
        <v>UT Mixed Investment 20-60% Shares</v>
      </c>
      <c r="D3472" s="139">
        <f>VLOOKUP(NoviaFunds[[#This Row],[ISIN]],'Novia Web Query'!$A:$E,4,FALSE)/100</f>
        <v>6.1999999999999998E-3</v>
      </c>
      <c r="E3472" s="3" t="str">
        <f>VLOOKUP(NoviaFunds[[#This Row],[ISIN]],'Novia Web Query'!$A:$E,5,FALSE)</f>
        <v>30/11/2021</v>
      </c>
      <c r="F3472" t="str">
        <f>VLOOKUP(NoviaFunds[[#This Row],[Sector]],Sectors[],2,FALSE)</f>
        <v>Mixed 20%-60%</v>
      </c>
    </row>
    <row r="3473" spans="1:6" x14ac:dyDescent="0.2">
      <c r="A3473" t="str">
        <f>'Novia Web Query'!A3469</f>
        <v>GB00B8DR6Y90</v>
      </c>
      <c r="B3473" t="str">
        <f>VLOOKUP(NoviaFunds[[#This Row],[ISIN]],'Novia Web Query'!$A:$E,2,FALSE)</f>
        <v>Royal London Sustainable Diversified Trust D Inc TR in GB**</v>
      </c>
      <c r="C3473" t="str">
        <f>VLOOKUP(NoviaFunds[[#This Row],[ISIN]],'Novia Web Query'!$A:$E,3,FALSE)</f>
        <v>UT Mixed Investment 20-60% Shares</v>
      </c>
      <c r="D3473" s="139">
        <f>VLOOKUP(NoviaFunds[[#This Row],[ISIN]],'Novia Web Query'!$A:$E,4,FALSE)/100</f>
        <v>6.1999999999999998E-3</v>
      </c>
      <c r="E3473" s="3" t="str">
        <f>VLOOKUP(NoviaFunds[[#This Row],[ISIN]],'Novia Web Query'!$A:$E,5,FALSE)</f>
        <v>30/11/2021</v>
      </c>
      <c r="F3473" t="str">
        <f>VLOOKUP(NoviaFunds[[#This Row],[Sector]],Sectors[],2,FALSE)</f>
        <v>Mixed 20%-60%</v>
      </c>
    </row>
    <row r="3474" spans="1:6" x14ac:dyDescent="0.2">
      <c r="A3474" t="str">
        <f>'Novia Web Query'!A3470</f>
        <v>GB0001615102</v>
      </c>
      <c r="B3474" t="str">
        <f>VLOOKUP(NoviaFunds[[#This Row],[ISIN]],'Novia Web Query'!$A:$E,2,FALSE)</f>
        <v>Royal London Sustainable Leaders Trust A Inc TR in GB</v>
      </c>
      <c r="C3474" t="str">
        <f>VLOOKUP(NoviaFunds[[#This Row],[ISIN]],'Novia Web Query'!$A:$E,3,FALSE)</f>
        <v>UT UK All Companies</v>
      </c>
      <c r="D3474" s="139">
        <f>VLOOKUP(NoviaFunds[[#This Row],[ISIN]],'Novia Web Query'!$A:$E,4,FALSE)/100</f>
        <v>1.26E-2</v>
      </c>
      <c r="E3474" s="3" t="str">
        <f>VLOOKUP(NoviaFunds[[#This Row],[ISIN]],'Novia Web Query'!$A:$E,5,FALSE)</f>
        <v>30/11/2021</v>
      </c>
      <c r="F3474" t="str">
        <f>VLOOKUP(NoviaFunds[[#This Row],[Sector]],Sectors[],2,FALSE)</f>
        <v>UK Equities</v>
      </c>
    </row>
    <row r="3475" spans="1:6" x14ac:dyDescent="0.2">
      <c r="A3475" t="str">
        <f>'Novia Web Query'!A3471</f>
        <v>GB00B7V23Z99</v>
      </c>
      <c r="B3475" t="str">
        <f>VLOOKUP(NoviaFunds[[#This Row],[ISIN]],'Novia Web Query'!$A:$E,2,FALSE)</f>
        <v>Royal London Sustainable Leaders Trust C Acc TR in GB</v>
      </c>
      <c r="C3475" t="str">
        <f>VLOOKUP(NoviaFunds[[#This Row],[ISIN]],'Novia Web Query'!$A:$E,3,FALSE)</f>
        <v>UT UK All Companies</v>
      </c>
      <c r="D3475" s="139">
        <f>VLOOKUP(NoviaFunds[[#This Row],[ISIN]],'Novia Web Query'!$A:$E,4,FALSE)/100</f>
        <v>7.6E-3</v>
      </c>
      <c r="E3475" s="3" t="str">
        <f>VLOOKUP(NoviaFunds[[#This Row],[ISIN]],'Novia Web Query'!$A:$E,5,FALSE)</f>
        <v>30/11/2021</v>
      </c>
      <c r="F3475" t="str">
        <f>VLOOKUP(NoviaFunds[[#This Row],[Sector]],Sectors[],2,FALSE)</f>
        <v>UK Equities</v>
      </c>
    </row>
    <row r="3476" spans="1:6" x14ac:dyDescent="0.2">
      <c r="A3476" t="str">
        <f>'Novia Web Query'!A3472</f>
        <v>GB00B8HTH592</v>
      </c>
      <c r="B3476" t="str">
        <f>VLOOKUP(NoviaFunds[[#This Row],[ISIN]],'Novia Web Query'!$A:$E,2,FALSE)</f>
        <v>Royal London Sustainable Leaders Trust C Inc TR in GB**</v>
      </c>
      <c r="C3476" t="str">
        <f>VLOOKUP(NoviaFunds[[#This Row],[ISIN]],'Novia Web Query'!$A:$E,3,FALSE)</f>
        <v>UT UK All Companies</v>
      </c>
      <c r="D3476" s="139">
        <f>VLOOKUP(NoviaFunds[[#This Row],[ISIN]],'Novia Web Query'!$A:$E,4,FALSE)/100</f>
        <v>7.6E-3</v>
      </c>
      <c r="E3476" s="3" t="str">
        <f>VLOOKUP(NoviaFunds[[#This Row],[ISIN]],'Novia Web Query'!$A:$E,5,FALSE)</f>
        <v>30/11/2021</v>
      </c>
      <c r="F3476" t="str">
        <f>VLOOKUP(NoviaFunds[[#This Row],[Sector]],Sectors[],2,FALSE)</f>
        <v>UK Equities</v>
      </c>
    </row>
    <row r="3477" spans="1:6" x14ac:dyDescent="0.2">
      <c r="A3477" t="str">
        <f>'Novia Web Query'!A3473</f>
        <v>GB00B7SGTR82</v>
      </c>
      <c r="B3477" t="str">
        <f>VLOOKUP(NoviaFunds[[#This Row],[ISIN]],'Novia Web Query'!$A:$E,2,FALSE)</f>
        <v>Royal London Sustainable Leaders Trust D Acc TR in GB**</v>
      </c>
      <c r="C3477" t="str">
        <f>VLOOKUP(NoviaFunds[[#This Row],[ISIN]],'Novia Web Query'!$A:$E,3,FALSE)</f>
        <v>UT UK All Companies</v>
      </c>
      <c r="D3477" s="139">
        <f>VLOOKUP(NoviaFunds[[#This Row],[ISIN]],'Novia Web Query'!$A:$E,4,FALSE)/100</f>
        <v>6.0999999999999995E-3</v>
      </c>
      <c r="E3477" s="3" t="str">
        <f>VLOOKUP(NoviaFunds[[#This Row],[ISIN]],'Novia Web Query'!$A:$E,5,FALSE)</f>
        <v>30/11/2021</v>
      </c>
      <c r="F3477" t="str">
        <f>VLOOKUP(NoviaFunds[[#This Row],[Sector]],Sectors[],2,FALSE)</f>
        <v>UK Equities</v>
      </c>
    </row>
    <row r="3478" spans="1:6" x14ac:dyDescent="0.2">
      <c r="A3478" t="str">
        <f>'Novia Web Query'!A3474</f>
        <v>GB00B8C0JY03</v>
      </c>
      <c r="B3478" t="str">
        <f>VLOOKUP(NoviaFunds[[#This Row],[ISIN]],'Novia Web Query'!$A:$E,2,FALSE)</f>
        <v>Royal London Sustainable Leaders Trust D Inc TR in GB**</v>
      </c>
      <c r="C3478" t="str">
        <f>VLOOKUP(NoviaFunds[[#This Row],[ISIN]],'Novia Web Query'!$A:$E,3,FALSE)</f>
        <v>UT UK All Companies</v>
      </c>
      <c r="D3478" s="139">
        <f>VLOOKUP(NoviaFunds[[#This Row],[ISIN]],'Novia Web Query'!$A:$E,4,FALSE)/100</f>
        <v>6.0999999999999995E-3</v>
      </c>
      <c r="E3478" s="3" t="str">
        <f>VLOOKUP(NoviaFunds[[#This Row],[ISIN]],'Novia Web Query'!$A:$E,5,FALSE)</f>
        <v>30/11/2021</v>
      </c>
      <c r="F3478" t="str">
        <f>VLOOKUP(NoviaFunds[[#This Row],[Sector]],Sectors[],2,FALSE)</f>
        <v>UK Equities</v>
      </c>
    </row>
    <row r="3479" spans="1:6" x14ac:dyDescent="0.2">
      <c r="A3479" t="str">
        <f>'Novia Web Query'!A3475</f>
        <v>GB00B8H7XS88</v>
      </c>
      <c r="B3479" t="str">
        <f>VLOOKUP(NoviaFunds[[#This Row],[ISIN]],'Novia Web Query'!$A:$E,2,FALSE)</f>
        <v>Royal London Sustainable Managed Growth Trust C Acc in GB</v>
      </c>
      <c r="C3479" t="str">
        <f>VLOOKUP(NoviaFunds[[#This Row],[ISIN]],'Novia Web Query'!$A:$E,3,FALSE)</f>
        <v>UT Mixed Investment 0-35% Shares</v>
      </c>
      <c r="D3479" s="139">
        <f>VLOOKUP(NoviaFunds[[#This Row],[ISIN]],'Novia Web Query'!$A:$E,4,FALSE)/100</f>
        <v>6.7000000000000002E-3</v>
      </c>
      <c r="E3479" s="3" t="str">
        <f>VLOOKUP(NoviaFunds[[#This Row],[ISIN]],'Novia Web Query'!$A:$E,5,FALSE)</f>
        <v>30/11/2021</v>
      </c>
      <c r="F3479" t="str">
        <f>VLOOKUP(NoviaFunds[[#This Row],[Sector]],Sectors[],2,FALSE)</f>
        <v>Mixed 0%-35%</v>
      </c>
    </row>
    <row r="3480" spans="1:6" x14ac:dyDescent="0.2">
      <c r="A3480" t="str">
        <f>'Novia Web Query'!A3476</f>
        <v>GB00B8K34M44</v>
      </c>
      <c r="B3480" t="str">
        <f>VLOOKUP(NoviaFunds[[#This Row],[ISIN]],'Novia Web Query'!$A:$E,2,FALSE)</f>
        <v>Royal London Sustainable Managed Growth Trust C Inc TR in GB</v>
      </c>
      <c r="C3480" t="str">
        <f>VLOOKUP(NoviaFunds[[#This Row],[ISIN]],'Novia Web Query'!$A:$E,3,FALSE)</f>
        <v>UT Mixed Investment 0-35% Shares</v>
      </c>
      <c r="D3480" s="139">
        <f>VLOOKUP(NoviaFunds[[#This Row],[ISIN]],'Novia Web Query'!$A:$E,4,FALSE)/100</f>
        <v>6.7000000000000002E-3</v>
      </c>
      <c r="E3480" s="3" t="str">
        <f>VLOOKUP(NoviaFunds[[#This Row],[ISIN]],'Novia Web Query'!$A:$E,5,FALSE)</f>
        <v>30/11/2021</v>
      </c>
      <c r="F3480" t="str">
        <f>VLOOKUP(NoviaFunds[[#This Row],[Sector]],Sectors[],2,FALSE)</f>
        <v>Mixed 0%-35%</v>
      </c>
    </row>
    <row r="3481" spans="1:6" x14ac:dyDescent="0.2">
      <c r="A3481" t="str">
        <f>'Novia Web Query'!A3477</f>
        <v>GB00B6ZNVX59</v>
      </c>
      <c r="B3481" t="str">
        <f>VLOOKUP(NoviaFunds[[#This Row],[ISIN]],'Novia Web Query'!$A:$E,2,FALSE)</f>
        <v>Royal London Sustainable Managed Growth Trust D Acc in GB</v>
      </c>
      <c r="C3481" t="str">
        <f>VLOOKUP(NoviaFunds[[#This Row],[ISIN]],'Novia Web Query'!$A:$E,3,FALSE)</f>
        <v>UT Mixed Investment 0-35% Shares</v>
      </c>
      <c r="D3481" s="139">
        <f>VLOOKUP(NoviaFunds[[#This Row],[ISIN]],'Novia Web Query'!$A:$E,4,FALSE)/100</f>
        <v>5.6999999999999993E-3</v>
      </c>
      <c r="E3481" s="3" t="str">
        <f>VLOOKUP(NoviaFunds[[#This Row],[ISIN]],'Novia Web Query'!$A:$E,5,FALSE)</f>
        <v>30/11/2021</v>
      </c>
      <c r="F3481" t="str">
        <f>VLOOKUP(NoviaFunds[[#This Row],[Sector]],Sectors[],2,FALSE)</f>
        <v>Mixed 0%-35%</v>
      </c>
    </row>
    <row r="3482" spans="1:6" x14ac:dyDescent="0.2">
      <c r="A3482" t="str">
        <f>'Novia Web Query'!A3478</f>
        <v>GB00B7MXGZ25</v>
      </c>
      <c r="B3482" t="str">
        <f>VLOOKUP(NoviaFunds[[#This Row],[ISIN]],'Novia Web Query'!$A:$E,2,FALSE)</f>
        <v>Royal London Sustainable Managed Growth Trust D Inc TR in GB</v>
      </c>
      <c r="C3482" t="str">
        <f>VLOOKUP(NoviaFunds[[#This Row],[ISIN]],'Novia Web Query'!$A:$E,3,FALSE)</f>
        <v>UT Mixed Investment 0-35% Shares</v>
      </c>
      <c r="D3482" s="139">
        <f>VLOOKUP(NoviaFunds[[#This Row],[ISIN]],'Novia Web Query'!$A:$E,4,FALSE)/100</f>
        <v>5.6999999999999993E-3</v>
      </c>
      <c r="E3482" s="3" t="str">
        <f>VLOOKUP(NoviaFunds[[#This Row],[ISIN]],'Novia Web Query'!$A:$E,5,FALSE)</f>
        <v>30/11/2021</v>
      </c>
      <c r="F3482" t="str">
        <f>VLOOKUP(NoviaFunds[[#This Row],[Sector]],Sectors[],2,FALSE)</f>
        <v>Mixed 0%-35%</v>
      </c>
    </row>
    <row r="3483" spans="1:6" x14ac:dyDescent="0.2">
      <c r="A3483" t="str">
        <f>'Novia Web Query'!A3479</f>
        <v>GB00B8HNKY10</v>
      </c>
      <c r="B3483" t="str">
        <f>VLOOKUP(NoviaFunds[[#This Row],[ISIN]],'Novia Web Query'!$A:$E,2,FALSE)</f>
        <v>Royal London Sustainable Managed Income Trust C Acc in GB</v>
      </c>
      <c r="C3483" t="str">
        <f>VLOOKUP(NoviaFunds[[#This Row],[ISIN]],'Novia Web Query'!$A:$E,3,FALSE)</f>
        <v>UT Sterling Corporate Bond</v>
      </c>
      <c r="D3483" s="139">
        <f>VLOOKUP(NoviaFunds[[#This Row],[ISIN]],'Novia Web Query'!$A:$E,4,FALSE)/100</f>
        <v>5.7999999999999996E-3</v>
      </c>
      <c r="E3483" s="3" t="str">
        <f>VLOOKUP(NoviaFunds[[#This Row],[ISIN]],'Novia Web Query'!$A:$E,5,FALSE)</f>
        <v>30/11/2021</v>
      </c>
      <c r="F3483" t="str">
        <f>VLOOKUP(NoviaFunds[[#This Row],[Sector]],Sectors[],2,FALSE)</f>
        <v>Sterling Corporate Bonds</v>
      </c>
    </row>
    <row r="3484" spans="1:6" x14ac:dyDescent="0.2">
      <c r="A3484" t="str">
        <f>'Novia Web Query'!A3480</f>
        <v>GB00B84PHQ15</v>
      </c>
      <c r="B3484" t="str">
        <f>VLOOKUP(NoviaFunds[[#This Row],[ISIN]],'Novia Web Query'!$A:$E,2,FALSE)</f>
        <v>Royal London Sustainable Managed Income Trust C Inc TR in GB</v>
      </c>
      <c r="C3484" t="str">
        <f>VLOOKUP(NoviaFunds[[#This Row],[ISIN]],'Novia Web Query'!$A:$E,3,FALSE)</f>
        <v>UT Sterling Corporate Bond</v>
      </c>
      <c r="D3484" s="139">
        <f>VLOOKUP(NoviaFunds[[#This Row],[ISIN]],'Novia Web Query'!$A:$E,4,FALSE)/100</f>
        <v>5.7999999999999996E-3</v>
      </c>
      <c r="E3484" s="3" t="str">
        <f>VLOOKUP(NoviaFunds[[#This Row],[ISIN]],'Novia Web Query'!$A:$E,5,FALSE)</f>
        <v>30/11/2021</v>
      </c>
      <c r="F3484" t="str">
        <f>VLOOKUP(NoviaFunds[[#This Row],[Sector]],Sectors[],2,FALSE)</f>
        <v>Sterling Corporate Bonds</v>
      </c>
    </row>
    <row r="3485" spans="1:6" x14ac:dyDescent="0.2">
      <c r="A3485" t="str">
        <f>'Novia Web Query'!A3481</f>
        <v>GB00B8GJ0284</v>
      </c>
      <c r="B3485" t="str">
        <f>VLOOKUP(NoviaFunds[[#This Row],[ISIN]],'Novia Web Query'!$A:$E,2,FALSE)</f>
        <v>Royal London Sustainable Managed Income Trust D Acc in GB</v>
      </c>
      <c r="C3485" t="str">
        <f>VLOOKUP(NoviaFunds[[#This Row],[ISIN]],'Novia Web Query'!$A:$E,3,FALSE)</f>
        <v>UT Sterling Corporate Bond</v>
      </c>
      <c r="D3485" s="139">
        <f>VLOOKUP(NoviaFunds[[#This Row],[ISIN]],'Novia Web Query'!$A:$E,4,FALSE)/100</f>
        <v>4.3E-3</v>
      </c>
      <c r="E3485" s="3" t="str">
        <f>VLOOKUP(NoviaFunds[[#This Row],[ISIN]],'Novia Web Query'!$A:$E,5,FALSE)</f>
        <v>30/11/2021</v>
      </c>
      <c r="F3485" t="str">
        <f>VLOOKUP(NoviaFunds[[#This Row],[Sector]],Sectors[],2,FALSE)</f>
        <v>Sterling Corporate Bonds</v>
      </c>
    </row>
    <row r="3486" spans="1:6" x14ac:dyDescent="0.2">
      <c r="A3486" t="str">
        <f>'Novia Web Query'!A3482</f>
        <v>GB00B3PXJX09</v>
      </c>
      <c r="B3486" t="str">
        <f>VLOOKUP(NoviaFunds[[#This Row],[ISIN]],'Novia Web Query'!$A:$E,2,FALSE)</f>
        <v>Royal London Sustainable World Trust A Inc TR in GB</v>
      </c>
      <c r="C3486" t="str">
        <f>VLOOKUP(NoviaFunds[[#This Row],[ISIN]],'Novia Web Query'!$A:$E,3,FALSE)</f>
        <v>UT Mixed Investment 40-85% Shares</v>
      </c>
      <c r="D3486" s="139">
        <f>VLOOKUP(NoviaFunds[[#This Row],[ISIN]],'Novia Web Query'!$A:$E,4,FALSE)/100</f>
        <v>1.2699999999999999E-2</v>
      </c>
      <c r="E3486" s="3" t="str">
        <f>VLOOKUP(NoviaFunds[[#This Row],[ISIN]],'Novia Web Query'!$A:$E,5,FALSE)</f>
        <v>30/11/2021</v>
      </c>
      <c r="F3486" t="str">
        <f>VLOOKUP(NoviaFunds[[#This Row],[Sector]],Sectors[],2,FALSE)</f>
        <v>Mixed 40%-85%</v>
      </c>
    </row>
    <row r="3487" spans="1:6" x14ac:dyDescent="0.2">
      <c r="A3487" t="str">
        <f>'Novia Web Query'!A3483</f>
        <v>GB00B882H241</v>
      </c>
      <c r="B3487" t="str">
        <f>VLOOKUP(NoviaFunds[[#This Row],[ISIN]],'Novia Web Query'!$A:$E,2,FALSE)</f>
        <v>Royal London Sustainable World Trust C Acc TR in GB</v>
      </c>
      <c r="C3487" t="str">
        <f>VLOOKUP(NoviaFunds[[#This Row],[ISIN]],'Novia Web Query'!$A:$E,3,FALSE)</f>
        <v>UT Mixed Investment 40-85% Shares</v>
      </c>
      <c r="D3487" s="139">
        <f>VLOOKUP(NoviaFunds[[#This Row],[ISIN]],'Novia Web Query'!$A:$E,4,FALSE)/100</f>
        <v>7.7000000000000002E-3</v>
      </c>
      <c r="E3487" s="3" t="str">
        <f>VLOOKUP(NoviaFunds[[#This Row],[ISIN]],'Novia Web Query'!$A:$E,5,FALSE)</f>
        <v>30/11/2021</v>
      </c>
      <c r="F3487" t="str">
        <f>VLOOKUP(NoviaFunds[[#This Row],[Sector]],Sectors[],2,FALSE)</f>
        <v>Mixed 40%-85%</v>
      </c>
    </row>
    <row r="3488" spans="1:6" x14ac:dyDescent="0.2">
      <c r="A3488" t="str">
        <f>'Novia Web Query'!A3484</f>
        <v>GB00B8GG6326</v>
      </c>
      <c r="B3488" t="str">
        <f>VLOOKUP(NoviaFunds[[#This Row],[ISIN]],'Novia Web Query'!$A:$E,2,FALSE)</f>
        <v>Royal London Sustainable World Trust C Inc TR in GB**</v>
      </c>
      <c r="C3488" t="str">
        <f>VLOOKUP(NoviaFunds[[#This Row],[ISIN]],'Novia Web Query'!$A:$E,3,FALSE)</f>
        <v>UT Mixed Investment 40-85% Shares</v>
      </c>
      <c r="D3488" s="139">
        <f>VLOOKUP(NoviaFunds[[#This Row],[ISIN]],'Novia Web Query'!$A:$E,4,FALSE)/100</f>
        <v>7.7000000000000002E-3</v>
      </c>
      <c r="E3488" s="3" t="str">
        <f>VLOOKUP(NoviaFunds[[#This Row],[ISIN]],'Novia Web Query'!$A:$E,5,FALSE)</f>
        <v>30/11/2021</v>
      </c>
      <c r="F3488" t="str">
        <f>VLOOKUP(NoviaFunds[[#This Row],[Sector]],Sectors[],2,FALSE)</f>
        <v>Mixed 40%-85%</v>
      </c>
    </row>
    <row r="3489" spans="1:6" x14ac:dyDescent="0.2">
      <c r="A3489" t="str">
        <f>'Novia Web Query'!A3485</f>
        <v>GB00B8GHTZ84</v>
      </c>
      <c r="B3489" t="str">
        <f>VLOOKUP(NoviaFunds[[#This Row],[ISIN]],'Novia Web Query'!$A:$E,2,FALSE)</f>
        <v>Royal London Sustainable World Trust D Acc TR in GB**</v>
      </c>
      <c r="C3489" t="str">
        <f>VLOOKUP(NoviaFunds[[#This Row],[ISIN]],'Novia Web Query'!$A:$E,3,FALSE)</f>
        <v>UT Mixed Investment 40-85% Shares</v>
      </c>
      <c r="D3489" s="139">
        <f>VLOOKUP(NoviaFunds[[#This Row],[ISIN]],'Novia Web Query'!$A:$E,4,FALSE)/100</f>
        <v>6.1999999999999998E-3</v>
      </c>
      <c r="E3489" s="3" t="str">
        <f>VLOOKUP(NoviaFunds[[#This Row],[ISIN]],'Novia Web Query'!$A:$E,5,FALSE)</f>
        <v>30/11/2021</v>
      </c>
      <c r="F3489" t="str">
        <f>VLOOKUP(NoviaFunds[[#This Row],[Sector]],Sectors[],2,FALSE)</f>
        <v>Mixed 40%-85%</v>
      </c>
    </row>
    <row r="3490" spans="1:6" x14ac:dyDescent="0.2">
      <c r="A3490" t="str">
        <f>'Novia Web Query'!A3486</f>
        <v>GB00B8N25693</v>
      </c>
      <c r="B3490" t="str">
        <f>VLOOKUP(NoviaFunds[[#This Row],[ISIN]],'Novia Web Query'!$A:$E,2,FALSE)</f>
        <v>Royal London Sustainable World Trust D Inc TR in GB**</v>
      </c>
      <c r="C3490" t="str">
        <f>VLOOKUP(NoviaFunds[[#This Row],[ISIN]],'Novia Web Query'!$A:$E,3,FALSE)</f>
        <v>UT Mixed Investment 40-85% Shares</v>
      </c>
      <c r="D3490" s="139">
        <f>VLOOKUP(NoviaFunds[[#This Row],[ISIN]],'Novia Web Query'!$A:$E,4,FALSE)/100</f>
        <v>6.1999999999999998E-3</v>
      </c>
      <c r="E3490" s="3" t="str">
        <f>VLOOKUP(NoviaFunds[[#This Row],[ISIN]],'Novia Web Query'!$A:$E,5,FALSE)</f>
        <v>30/11/2021</v>
      </c>
      <c r="F3490" t="str">
        <f>VLOOKUP(NoviaFunds[[#This Row],[Sector]],Sectors[],2,FALSE)</f>
        <v>Mixed 40%-85%</v>
      </c>
    </row>
    <row r="3491" spans="1:6" x14ac:dyDescent="0.2">
      <c r="A3491" t="str">
        <f>'Novia Web Query'!A3487</f>
        <v>GB00B533V415</v>
      </c>
      <c r="B3491" t="str">
        <f>VLOOKUP(NoviaFunds[[#This Row],[ISIN]],'Novia Web Query'!$A:$E,2,FALSE)</f>
        <v>Royal London UK All Share Tracker Z Acc in GB</v>
      </c>
      <c r="C3491" t="str">
        <f>VLOOKUP(NoviaFunds[[#This Row],[ISIN]],'Novia Web Query'!$A:$E,3,FALSE)</f>
        <v>UT UK All Companies</v>
      </c>
      <c r="D3491" s="139">
        <f>VLOOKUP(NoviaFunds[[#This Row],[ISIN]],'Novia Web Query'!$A:$E,4,FALSE)/100</f>
        <v>1.5E-3</v>
      </c>
      <c r="E3491" s="3" t="str">
        <f>VLOOKUP(NoviaFunds[[#This Row],[ISIN]],'Novia Web Query'!$A:$E,5,FALSE)</f>
        <v>30/11/2021</v>
      </c>
      <c r="F3491" t="str">
        <f>VLOOKUP(NoviaFunds[[#This Row],[Sector]],Sectors[],2,FALSE)</f>
        <v>UK Equities</v>
      </c>
    </row>
    <row r="3492" spans="1:6" x14ac:dyDescent="0.2">
      <c r="A3492" t="str">
        <f>'Novia Web Query'!A3488</f>
        <v>GB00B523MH29</v>
      </c>
      <c r="B3492" t="str">
        <f>VLOOKUP(NoviaFunds[[#This Row],[ISIN]],'Novia Web Query'!$A:$E,2,FALSE)</f>
        <v>Royal London UK Core Equity Tilt Z Acc in GB</v>
      </c>
      <c r="C3492" t="str">
        <f>VLOOKUP(NoviaFunds[[#This Row],[ISIN]],'Novia Web Query'!$A:$E,3,FALSE)</f>
        <v>UT UK All Companies</v>
      </c>
      <c r="D3492" s="139">
        <f>VLOOKUP(NoviaFunds[[#This Row],[ISIN]],'Novia Web Query'!$A:$E,4,FALSE)/100</f>
        <v>1E-3</v>
      </c>
      <c r="E3492" s="3" t="str">
        <f>VLOOKUP(NoviaFunds[[#This Row],[ISIN]],'Novia Web Query'!$A:$E,5,FALSE)</f>
        <v>30/11/2021</v>
      </c>
      <c r="F3492" t="str">
        <f>VLOOKUP(NoviaFunds[[#This Row],[Sector]],Sectors[],2,FALSE)</f>
        <v>UK Equities</v>
      </c>
    </row>
    <row r="3493" spans="1:6" x14ac:dyDescent="0.2">
      <c r="A3493" t="str">
        <f>'Novia Web Query'!A3489</f>
        <v>GB00B63DTG61</v>
      </c>
      <c r="B3493" t="str">
        <f>VLOOKUP(NoviaFunds[[#This Row],[ISIN]],'Novia Web Query'!$A:$E,2,FALSE)</f>
        <v>Royal London UK Dividend Growth M Acc in GB</v>
      </c>
      <c r="C3493" t="str">
        <f>VLOOKUP(NoviaFunds[[#This Row],[ISIN]],'Novia Web Query'!$A:$E,3,FALSE)</f>
        <v>UT UK All Companies</v>
      </c>
      <c r="D3493" s="139">
        <f>VLOOKUP(NoviaFunds[[#This Row],[ISIN]],'Novia Web Query'!$A:$E,4,FALSE)/100</f>
        <v>7.0999999999999995E-3</v>
      </c>
      <c r="E3493" s="3" t="str">
        <f>VLOOKUP(NoviaFunds[[#This Row],[ISIN]],'Novia Web Query'!$A:$E,5,FALSE)</f>
        <v>30/11/2021</v>
      </c>
      <c r="F3493" t="str">
        <f>VLOOKUP(NoviaFunds[[#This Row],[Sector]],Sectors[],2,FALSE)</f>
        <v>UK Equities</v>
      </c>
    </row>
    <row r="3494" spans="1:6" x14ac:dyDescent="0.2">
      <c r="A3494" t="str">
        <f>'Novia Web Query'!A3490</f>
        <v>GB00B67N8655</v>
      </c>
      <c r="B3494" t="str">
        <f>VLOOKUP(NoviaFunds[[#This Row],[ISIN]],'Novia Web Query'!$A:$E,2,FALSE)</f>
        <v>Royal London UK Equity Income A Inc TR in GB</v>
      </c>
      <c r="C3494" t="str">
        <f>VLOOKUP(NoviaFunds[[#This Row],[ISIN]],'Novia Web Query'!$A:$E,3,FALSE)</f>
        <v>UT UK Equity Income</v>
      </c>
      <c r="D3494" s="139">
        <f>VLOOKUP(NoviaFunds[[#This Row],[ISIN]],'Novia Web Query'!$A:$E,4,FALSE)/100</f>
        <v>1.1299999999999999E-2</v>
      </c>
      <c r="E3494" s="3" t="str">
        <f>VLOOKUP(NoviaFunds[[#This Row],[ISIN]],'Novia Web Query'!$A:$E,5,FALSE)</f>
        <v>30/11/2021</v>
      </c>
      <c r="F3494" t="str">
        <f>VLOOKUP(NoviaFunds[[#This Row],[Sector]],Sectors[],2,FALSE)</f>
        <v>UK Equities</v>
      </c>
    </row>
    <row r="3495" spans="1:6" x14ac:dyDescent="0.2">
      <c r="A3495" t="str">
        <f>'Novia Web Query'!A3491</f>
        <v>GB00B8Y4ZB91</v>
      </c>
      <c r="B3495" t="str">
        <f>VLOOKUP(NoviaFunds[[#This Row],[ISIN]],'Novia Web Query'!$A:$E,2,FALSE)</f>
        <v>Royal London UK Equity Income M Acc TR in GB</v>
      </c>
      <c r="C3495" t="str">
        <f>VLOOKUP(NoviaFunds[[#This Row],[ISIN]],'Novia Web Query'!$A:$E,3,FALSE)</f>
        <v>UT UK Equity Income</v>
      </c>
      <c r="D3495" s="139">
        <f>VLOOKUP(NoviaFunds[[#This Row],[ISIN]],'Novia Web Query'!$A:$E,4,FALSE)/100</f>
        <v>7.1999999999999998E-3</v>
      </c>
      <c r="E3495" s="3" t="str">
        <f>VLOOKUP(NoviaFunds[[#This Row],[ISIN]],'Novia Web Query'!$A:$E,5,FALSE)</f>
        <v>30/11/2021</v>
      </c>
      <c r="F3495" t="str">
        <f>VLOOKUP(NoviaFunds[[#This Row],[Sector]],Sectors[],2,FALSE)</f>
        <v>UK Equities</v>
      </c>
    </row>
    <row r="3496" spans="1:6" x14ac:dyDescent="0.2">
      <c r="A3496" t="str">
        <f>'Novia Web Query'!A3492</f>
        <v>GB00B3M9JJ78</v>
      </c>
      <c r="B3496" t="str">
        <f>VLOOKUP(NoviaFunds[[#This Row],[ISIN]],'Novia Web Query'!$A:$E,2,FALSE)</f>
        <v>Royal London UK Equity Income M Inc TR in GB</v>
      </c>
      <c r="C3496" t="str">
        <f>VLOOKUP(NoviaFunds[[#This Row],[ISIN]],'Novia Web Query'!$A:$E,3,FALSE)</f>
        <v>UT UK Equity Income</v>
      </c>
      <c r="D3496" s="139">
        <f>VLOOKUP(NoviaFunds[[#This Row],[ISIN]],'Novia Web Query'!$A:$E,4,FALSE)/100</f>
        <v>7.1999999999999998E-3</v>
      </c>
      <c r="E3496" s="3" t="str">
        <f>VLOOKUP(NoviaFunds[[#This Row],[ISIN]],'Novia Web Query'!$A:$E,5,FALSE)</f>
        <v>30/11/2021</v>
      </c>
      <c r="F3496" t="str">
        <f>VLOOKUP(NoviaFunds[[#This Row],[Sector]],Sectors[],2,FALSE)</f>
        <v>UK Equities</v>
      </c>
    </row>
    <row r="3497" spans="1:6" x14ac:dyDescent="0.2">
      <c r="A3497" t="str">
        <f>'Novia Web Query'!A3493</f>
        <v>GB00B67MDN40</v>
      </c>
      <c r="B3497" t="str">
        <f>VLOOKUP(NoviaFunds[[#This Row],[ISIN]],'Novia Web Query'!$A:$E,2,FALSE)</f>
        <v>Royal London UK Equity M Acc in GB</v>
      </c>
      <c r="C3497" t="str">
        <f>VLOOKUP(NoviaFunds[[#This Row],[ISIN]],'Novia Web Query'!$A:$E,3,FALSE)</f>
        <v>UT UK All Companies</v>
      </c>
      <c r="D3497" s="139">
        <f>VLOOKUP(NoviaFunds[[#This Row],[ISIN]],'Novia Web Query'!$A:$E,4,FALSE)/100</f>
        <v>6.7000000000000002E-3</v>
      </c>
      <c r="E3497" s="3" t="str">
        <f>VLOOKUP(NoviaFunds[[#This Row],[ISIN]],'Novia Web Query'!$A:$E,5,FALSE)</f>
        <v>30/11/2021</v>
      </c>
      <c r="F3497" t="str">
        <f>VLOOKUP(NoviaFunds[[#This Row],[Sector]],Sectors[],2,FALSE)</f>
        <v>UK Equities</v>
      </c>
    </row>
    <row r="3498" spans="1:6" x14ac:dyDescent="0.2">
      <c r="A3498" t="str">
        <f>'Novia Web Query'!A3494</f>
        <v>GB00B3Q6WZ18</v>
      </c>
      <c r="B3498" t="str">
        <f>VLOOKUP(NoviaFunds[[#This Row],[ISIN]],'Novia Web Query'!$A:$E,2,FALSE)</f>
        <v>Royal London UK Government Bond A Inc TR in GB</v>
      </c>
      <c r="C3498" t="str">
        <f>VLOOKUP(NoviaFunds[[#This Row],[ISIN]],'Novia Web Query'!$A:$E,3,FALSE)</f>
        <v>UT UK Gilts</v>
      </c>
      <c r="D3498" s="139">
        <f>VLOOKUP(NoviaFunds[[#This Row],[ISIN]],'Novia Web Query'!$A:$E,4,FALSE)/100</f>
        <v>6.3E-3</v>
      </c>
      <c r="E3498" s="3" t="str">
        <f>VLOOKUP(NoviaFunds[[#This Row],[ISIN]],'Novia Web Query'!$A:$E,5,FALSE)</f>
        <v>30/11/2021</v>
      </c>
      <c r="F3498" t="str">
        <f>VLOOKUP(NoviaFunds[[#This Row],[Sector]],Sectors[],2,FALSE)</f>
        <v>Gilts</v>
      </c>
    </row>
    <row r="3499" spans="1:6" x14ac:dyDescent="0.2">
      <c r="A3499" t="str">
        <f>'Novia Web Query'!A3495</f>
        <v>GB00B881TW52</v>
      </c>
      <c r="B3499" t="str">
        <f>VLOOKUP(NoviaFunds[[#This Row],[ISIN]],'Novia Web Query'!$A:$E,2,FALSE)</f>
        <v>Royal London UK Government Bond M Acc TR in GB</v>
      </c>
      <c r="C3499" t="str">
        <f>VLOOKUP(NoviaFunds[[#This Row],[ISIN]],'Novia Web Query'!$A:$E,3,FALSE)</f>
        <v>UT UK Gilts</v>
      </c>
      <c r="D3499" s="139">
        <f>VLOOKUP(NoviaFunds[[#This Row],[ISIN]],'Novia Web Query'!$A:$E,4,FALSE)/100</f>
        <v>4.5000000000000005E-3</v>
      </c>
      <c r="E3499" s="3" t="str">
        <f>VLOOKUP(NoviaFunds[[#This Row],[ISIN]],'Novia Web Query'!$A:$E,5,FALSE)</f>
        <v>30/11/2021</v>
      </c>
      <c r="F3499" t="str">
        <f>VLOOKUP(NoviaFunds[[#This Row],[Sector]],Sectors[],2,FALSE)</f>
        <v>Gilts</v>
      </c>
    </row>
    <row r="3500" spans="1:6" x14ac:dyDescent="0.2">
      <c r="A3500" t="str">
        <f>'Novia Web Query'!A3496</f>
        <v>GB00B7QFPL36</v>
      </c>
      <c r="B3500" t="str">
        <f>VLOOKUP(NoviaFunds[[#This Row],[ISIN]],'Novia Web Query'!$A:$E,2,FALSE)</f>
        <v>Royal London UK Government Bond M Inc TR in GB**</v>
      </c>
      <c r="C3500" t="str">
        <f>VLOOKUP(NoviaFunds[[#This Row],[ISIN]],'Novia Web Query'!$A:$E,3,FALSE)</f>
        <v>UT UK Gilts</v>
      </c>
      <c r="D3500" s="139">
        <f>VLOOKUP(NoviaFunds[[#This Row],[ISIN]],'Novia Web Query'!$A:$E,4,FALSE)/100</f>
        <v>4.5000000000000005E-3</v>
      </c>
      <c r="E3500" s="3" t="str">
        <f>VLOOKUP(NoviaFunds[[#This Row],[ISIN]],'Novia Web Query'!$A:$E,5,FALSE)</f>
        <v>30/11/2021</v>
      </c>
      <c r="F3500" t="str">
        <f>VLOOKUP(NoviaFunds[[#This Row],[Sector]],Sectors[],2,FALSE)</f>
        <v>Gilts</v>
      </c>
    </row>
    <row r="3501" spans="1:6" x14ac:dyDescent="0.2">
      <c r="A3501" t="str">
        <f>'Novia Web Query'!A3497</f>
        <v>GB00B63M5F42</v>
      </c>
      <c r="B3501" t="str">
        <f>VLOOKUP(NoviaFunds[[#This Row],[ISIN]],'Novia Web Query'!$A:$E,2,FALSE)</f>
        <v>Royal London UK Government Bond Z Inc TR in GB**</v>
      </c>
      <c r="C3501" t="str">
        <f>VLOOKUP(NoviaFunds[[#This Row],[ISIN]],'Novia Web Query'!$A:$E,3,FALSE)</f>
        <v>UT UK Gilts</v>
      </c>
      <c r="D3501" s="139">
        <f>VLOOKUP(NoviaFunds[[#This Row],[ISIN]],'Novia Web Query'!$A:$E,4,FALSE)/100</f>
        <v>3.4999999999999996E-3</v>
      </c>
      <c r="E3501" s="3" t="str">
        <f>VLOOKUP(NoviaFunds[[#This Row],[ISIN]],'Novia Web Query'!$A:$E,5,FALSE)</f>
        <v>30/11/2021</v>
      </c>
      <c r="F3501" t="str">
        <f>VLOOKUP(NoviaFunds[[#This Row],[Sector]],Sectors[],2,FALSE)</f>
        <v>Gilts</v>
      </c>
    </row>
    <row r="3502" spans="1:6" x14ac:dyDescent="0.2">
      <c r="A3502" t="str">
        <f>'Novia Web Query'!A3498</f>
        <v>GB0001597979</v>
      </c>
      <c r="B3502" t="str">
        <f>VLOOKUP(NoviaFunds[[#This Row],[ISIN]],'Novia Web Query'!$A:$E,2,FALSE)</f>
        <v>Royal London UK Growth Trust Inc TR in GB</v>
      </c>
      <c r="C3502" t="str">
        <f>VLOOKUP(NoviaFunds[[#This Row],[ISIN]],'Novia Web Query'!$A:$E,3,FALSE)</f>
        <v>UT UK All Companies</v>
      </c>
      <c r="D3502" s="139">
        <f>VLOOKUP(NoviaFunds[[#This Row],[ISIN]],'Novia Web Query'!$A:$E,4,FALSE)/100</f>
        <v>1.26E-2</v>
      </c>
      <c r="E3502" s="3" t="str">
        <f>VLOOKUP(NoviaFunds[[#This Row],[ISIN]],'Novia Web Query'!$A:$E,5,FALSE)</f>
        <v>30/11/2021</v>
      </c>
      <c r="F3502" t="str">
        <f>VLOOKUP(NoviaFunds[[#This Row],[Sector]],Sectors[],2,FALSE)</f>
        <v>UK Equities</v>
      </c>
    </row>
    <row r="3503" spans="1:6" x14ac:dyDescent="0.2">
      <c r="A3503" t="str">
        <f>'Novia Web Query'!A3499</f>
        <v>GB0001598050</v>
      </c>
      <c r="B3503" t="str">
        <f>VLOOKUP(NoviaFunds[[#This Row],[ISIN]],'Novia Web Query'!$A:$E,2,FALSE)</f>
        <v>Royal London UK Income With Growth Trust Inc TR in GB</v>
      </c>
      <c r="C3503" t="str">
        <f>VLOOKUP(NoviaFunds[[#This Row],[ISIN]],'Novia Web Query'!$A:$E,3,FALSE)</f>
        <v>UT Mixed Investment 40-85% Shares</v>
      </c>
      <c r="D3503" s="139">
        <f>VLOOKUP(NoviaFunds[[#This Row],[ISIN]],'Novia Web Query'!$A:$E,4,FALSE)/100</f>
        <v>1.2800000000000001E-2</v>
      </c>
      <c r="E3503" s="3" t="str">
        <f>VLOOKUP(NoviaFunds[[#This Row],[ISIN]],'Novia Web Query'!$A:$E,5,FALSE)</f>
        <v>30/11/2021</v>
      </c>
      <c r="F3503" t="str">
        <f>VLOOKUP(NoviaFunds[[#This Row],[Sector]],Sectors[],2,FALSE)</f>
        <v>Mixed 40%-85%</v>
      </c>
    </row>
    <row r="3504" spans="1:6" x14ac:dyDescent="0.2">
      <c r="A3504" t="str">
        <f>'Novia Web Query'!A3500</f>
        <v>GB00B5BRW420</v>
      </c>
      <c r="B3504" t="str">
        <f>VLOOKUP(NoviaFunds[[#This Row],[ISIN]],'Novia Web Query'!$A:$E,2,FALSE)</f>
        <v>Royal London UK Mid-Cap Growth M Acc in GB</v>
      </c>
      <c r="C3504" t="str">
        <f>VLOOKUP(NoviaFunds[[#This Row],[ISIN]],'Novia Web Query'!$A:$E,3,FALSE)</f>
        <v>UT UK All Companies</v>
      </c>
      <c r="D3504" s="139">
        <f>VLOOKUP(NoviaFunds[[#This Row],[ISIN]],'Novia Web Query'!$A:$E,4,FALSE)/100</f>
        <v>7.7000000000000002E-3</v>
      </c>
      <c r="E3504" s="3" t="str">
        <f>VLOOKUP(NoviaFunds[[#This Row],[ISIN]],'Novia Web Query'!$A:$E,5,FALSE)</f>
        <v>30/11/2021</v>
      </c>
      <c r="F3504" t="str">
        <f>VLOOKUP(NoviaFunds[[#This Row],[Sector]],Sectors[],2,FALSE)</f>
        <v>UK Equities</v>
      </c>
    </row>
    <row r="3505" spans="1:6" x14ac:dyDescent="0.2">
      <c r="A3505" t="str">
        <f>'Novia Web Query'!A3501</f>
        <v>GB00B5BRWC09</v>
      </c>
      <c r="B3505" t="str">
        <f>VLOOKUP(NoviaFunds[[#This Row],[ISIN]],'Novia Web Query'!$A:$E,2,FALSE)</f>
        <v>Royal London UK Opportunities M Acc in GB</v>
      </c>
      <c r="C3505" t="str">
        <f>VLOOKUP(NoviaFunds[[#This Row],[ISIN]],'Novia Web Query'!$A:$E,3,FALSE)</f>
        <v>UT UK All Companies</v>
      </c>
      <c r="D3505" s="139">
        <f>VLOOKUP(NoviaFunds[[#This Row],[ISIN]],'Novia Web Query'!$A:$E,4,FALSE)/100</f>
        <v>7.7000000000000002E-3</v>
      </c>
      <c r="E3505" s="3" t="str">
        <f>VLOOKUP(NoviaFunds[[#This Row],[ISIN]],'Novia Web Query'!$A:$E,5,FALSE)</f>
        <v>30/11/2021</v>
      </c>
      <c r="F3505" t="str">
        <f>VLOOKUP(NoviaFunds[[#This Row],[Sector]],Sectors[],2,FALSE)</f>
        <v>UK Equities</v>
      </c>
    </row>
    <row r="3506" spans="1:6" x14ac:dyDescent="0.2">
      <c r="A3506" t="str">
        <f>'Novia Web Query'!A3502</f>
        <v>GB00B3NQHL55</v>
      </c>
      <c r="B3506" t="str">
        <f>VLOOKUP(NoviaFunds[[#This Row],[ISIN]],'Novia Web Query'!$A:$E,2,FALSE)</f>
        <v>Royal London UK Smaller Companies M Acc in GB</v>
      </c>
      <c r="C3506" t="str">
        <f>VLOOKUP(NoviaFunds[[#This Row],[ISIN]],'Novia Web Query'!$A:$E,3,FALSE)</f>
        <v>UT UK Smaller Companies</v>
      </c>
      <c r="D3506" s="139">
        <f>VLOOKUP(NoviaFunds[[#This Row],[ISIN]],'Novia Web Query'!$A:$E,4,FALSE)/100</f>
        <v>7.7000000000000002E-3</v>
      </c>
      <c r="E3506" s="3" t="str">
        <f>VLOOKUP(NoviaFunds[[#This Row],[ISIN]],'Novia Web Query'!$A:$E,5,FALSE)</f>
        <v>30/11/2021</v>
      </c>
      <c r="F3506" t="str">
        <f>VLOOKUP(NoviaFunds[[#This Row],[Sector]],Sectors[],2,FALSE)</f>
        <v>UK Equities</v>
      </c>
    </row>
    <row r="3507" spans="1:6" x14ac:dyDescent="0.2">
      <c r="A3507" t="str">
        <f>'Novia Web Query'!A3503</f>
        <v>GB00B5172X16</v>
      </c>
      <c r="B3507" t="str">
        <f>VLOOKUP(NoviaFunds[[#This Row],[ISIN]],'Novia Web Query'!$A:$E,2,FALSE)</f>
        <v>Royal London US Equity Tilt Z Acc in GB</v>
      </c>
      <c r="C3507" t="str">
        <f>VLOOKUP(NoviaFunds[[#This Row],[ISIN]],'Novia Web Query'!$A:$E,3,FALSE)</f>
        <v>UT North America</v>
      </c>
      <c r="D3507" s="139">
        <f>VLOOKUP(NoviaFunds[[#This Row],[ISIN]],'Novia Web Query'!$A:$E,4,FALSE)/100</f>
        <v>1.4000000000000002E-3</v>
      </c>
      <c r="E3507" s="3" t="str">
        <f>VLOOKUP(NoviaFunds[[#This Row],[ISIN]],'Novia Web Query'!$A:$E,5,FALSE)</f>
        <v>30/11/2021</v>
      </c>
      <c r="F3507" t="str">
        <f>VLOOKUP(NoviaFunds[[#This Row],[Sector]],Sectors[],2,FALSE)</f>
        <v>USA Equities</v>
      </c>
    </row>
    <row r="3508" spans="1:6" x14ac:dyDescent="0.2">
      <c r="A3508" t="str">
        <f>'Novia Web Query'!A3504</f>
        <v>GB0030038359</v>
      </c>
      <c r="B3508" t="str">
        <f>VLOOKUP(NoviaFunds[[#This Row],[ISIN]],'Novia Web Query'!$A:$E,2,FALSE)</f>
        <v>Royal London US Growth Trust Inc TR in GB</v>
      </c>
      <c r="C3508" t="str">
        <f>VLOOKUP(NoviaFunds[[#This Row],[ISIN]],'Novia Web Query'!$A:$E,3,FALSE)</f>
        <v>UT North America</v>
      </c>
      <c r="D3508" s="139">
        <f>VLOOKUP(NoviaFunds[[#This Row],[ISIN]],'Novia Web Query'!$A:$E,4,FALSE)/100</f>
        <v>1.2800000000000001E-2</v>
      </c>
      <c r="E3508" s="3" t="str">
        <f>VLOOKUP(NoviaFunds[[#This Row],[ISIN]],'Novia Web Query'!$A:$E,5,FALSE)</f>
        <v>30/11/2021</v>
      </c>
      <c r="F3508" t="str">
        <f>VLOOKUP(NoviaFunds[[#This Row],[Sector]],Sectors[],2,FALSE)</f>
        <v>USA Equities</v>
      </c>
    </row>
    <row r="3509" spans="1:6" x14ac:dyDescent="0.2">
      <c r="A3509" t="str">
        <f>'Novia Web Query'!A3505</f>
        <v>GB00B8350522</v>
      </c>
      <c r="B3509" t="str">
        <f>VLOOKUP(NoviaFunds[[#This Row],[ISIN]],'Novia Web Query'!$A:$E,2,FALSE)</f>
        <v>S&amp;W Revera UK Dynamic Corporate in GB</v>
      </c>
      <c r="C3509" t="str">
        <f>VLOOKUP(NoviaFunds[[#This Row],[ISIN]],'Novia Web Query'!$A:$E,3,FALSE)</f>
        <v>UT UK All Companies</v>
      </c>
      <c r="D3509" s="139">
        <f>VLOOKUP(NoviaFunds[[#This Row],[ISIN]],'Novia Web Query'!$A:$E,4,FALSE)/100</f>
        <v>8.0000000000000002E-3</v>
      </c>
      <c r="E3509" s="3" t="str">
        <f>VLOOKUP(NoviaFunds[[#This Row],[ISIN]],'Novia Web Query'!$A:$E,5,FALSE)</f>
        <v>02/02/2021</v>
      </c>
      <c r="F3509" t="str">
        <f>VLOOKUP(NoviaFunds[[#This Row],[Sector]],Sectors[],2,FALSE)</f>
        <v>UK Equities</v>
      </c>
    </row>
    <row r="3510" spans="1:6" x14ac:dyDescent="0.2">
      <c r="A3510" t="str">
        <f>'Novia Web Query'!A3506</f>
        <v>GB00BGHQ0W49</v>
      </c>
      <c r="B3510" t="str">
        <f>VLOOKUP(NoviaFunds[[#This Row],[ISIN]],'Novia Web Query'!$A:$E,2,FALSE)</f>
        <v>S&amp;W Saltus Fixed Income I Inc TR in GB</v>
      </c>
      <c r="C3510" t="str">
        <f>VLOOKUP(NoviaFunds[[#This Row],[ISIN]],'Novia Web Query'!$A:$E,3,FALSE)</f>
        <v>UT Global Bonds</v>
      </c>
      <c r="D3510" s="139">
        <f>VLOOKUP(NoviaFunds[[#This Row],[ISIN]],'Novia Web Query'!$A:$E,4,FALSE)/100</f>
        <v>1.9299999999999998E-2</v>
      </c>
      <c r="E3510" s="3" t="str">
        <f>VLOOKUP(NoviaFunds[[#This Row],[ISIN]],'Novia Web Query'!$A:$E,5,FALSE)</f>
        <v>03/02/2021</v>
      </c>
      <c r="F3510" t="str">
        <f>VLOOKUP(NoviaFunds[[#This Row],[Sector]],Sectors[],2,FALSE)</f>
        <v>Global Investment Grade</v>
      </c>
    </row>
    <row r="3511" spans="1:6" x14ac:dyDescent="0.2">
      <c r="A3511" t="str">
        <f>'Novia Web Query'!A3507</f>
        <v>GB00B6W08N84</v>
      </c>
      <c r="B3511" t="str">
        <f>VLOOKUP(NoviaFunds[[#This Row],[ISIN]],'Novia Web Query'!$A:$E,2,FALSE)</f>
        <v>S&amp;W Saltus Global Equity I Acc in GB</v>
      </c>
      <c r="C3511" t="str">
        <f>VLOOKUP(NoviaFunds[[#This Row],[ISIN]],'Novia Web Query'!$A:$E,3,FALSE)</f>
        <v>UT Global</v>
      </c>
      <c r="D3511" s="139">
        <f>VLOOKUP(NoviaFunds[[#This Row],[ISIN]],'Novia Web Query'!$A:$E,4,FALSE)/100</f>
        <v>2.0400000000000001E-2</v>
      </c>
      <c r="E3511" s="3" t="str">
        <f>VLOOKUP(NoviaFunds[[#This Row],[ISIN]],'Novia Web Query'!$A:$E,5,FALSE)</f>
        <v>03/02/2021</v>
      </c>
      <c r="F3511" t="str">
        <f>VLOOKUP(NoviaFunds[[#This Row],[Sector]],Sectors[],2,FALSE)</f>
        <v>Other Equities</v>
      </c>
    </row>
    <row r="3512" spans="1:6" x14ac:dyDescent="0.2">
      <c r="A3512" t="str">
        <f>'Novia Web Query'!A3508</f>
        <v>GB00B74V6098</v>
      </c>
      <c r="B3512" t="str">
        <f>VLOOKUP(NoviaFunds[[#This Row],[ISIN]],'Novia Web Query'!$A:$E,2,FALSE)</f>
        <v>S&amp;W Saltus Global Equity I Inc TR in GB</v>
      </c>
      <c r="C3512" t="str">
        <f>VLOOKUP(NoviaFunds[[#This Row],[ISIN]],'Novia Web Query'!$A:$E,3,FALSE)</f>
        <v>UT Global</v>
      </c>
      <c r="D3512" s="139">
        <f>VLOOKUP(NoviaFunds[[#This Row],[ISIN]],'Novia Web Query'!$A:$E,4,FALSE)/100</f>
        <v>2.0400000000000001E-2</v>
      </c>
      <c r="E3512" s="3" t="str">
        <f>VLOOKUP(NoviaFunds[[#This Row],[ISIN]],'Novia Web Query'!$A:$E,5,FALSE)</f>
        <v>03/02/2021</v>
      </c>
      <c r="F3512" t="str">
        <f>VLOOKUP(NoviaFunds[[#This Row],[Sector]],Sectors[],2,FALSE)</f>
        <v>Other Equities</v>
      </c>
    </row>
    <row r="3513" spans="1:6" x14ac:dyDescent="0.2">
      <c r="A3513" t="str">
        <f>'Novia Web Query'!A3509</f>
        <v>GB00BZ0WWJ33</v>
      </c>
      <c r="B3513" t="str">
        <f>VLOOKUP(NoviaFunds[[#This Row],[ISIN]],'Novia Web Query'!$A:$E,2,FALSE)</f>
        <v>S&amp;W Saltus Growth Assets I TR in GB</v>
      </c>
      <c r="C3513" t="str">
        <f>VLOOKUP(NoviaFunds[[#This Row],[ISIN]],'Novia Web Query'!$A:$E,3,FALSE)</f>
        <v>UT Flexible Investment</v>
      </c>
      <c r="D3513" s="139">
        <f>VLOOKUP(NoviaFunds[[#This Row],[ISIN]],'Novia Web Query'!$A:$E,4,FALSE)/100</f>
        <v>2.06E-2</v>
      </c>
      <c r="E3513" s="3" t="str">
        <f>VLOOKUP(NoviaFunds[[#This Row],[ISIN]],'Novia Web Query'!$A:$E,5,FALSE)</f>
        <v>03/02/2021</v>
      </c>
      <c r="F3513" t="str">
        <f>VLOOKUP(NoviaFunds[[#This Row],[Sector]],Sectors[],2,FALSE)</f>
        <v>Flexible</v>
      </c>
    </row>
    <row r="3514" spans="1:6" x14ac:dyDescent="0.2">
      <c r="A3514" t="str">
        <f>'Novia Web Query'!A3510</f>
        <v>GB00B6RPF480</v>
      </c>
      <c r="B3514" t="str">
        <f>VLOOKUP(NoviaFunds[[#This Row],[ISIN]],'Novia Web Query'!$A:$E,2,FALSE)</f>
        <v>S&amp;W Saltus Multi Asset Class X Acc in GB</v>
      </c>
      <c r="C3514" t="str">
        <f>VLOOKUP(NoviaFunds[[#This Row],[ISIN]],'Novia Web Query'!$A:$E,3,FALSE)</f>
        <v>UT Flexible Investment</v>
      </c>
      <c r="D3514" s="139">
        <f>VLOOKUP(NoviaFunds[[#This Row],[ISIN]],'Novia Web Query'!$A:$E,4,FALSE)/100</f>
        <v>1.29E-2</v>
      </c>
      <c r="E3514" s="3" t="str">
        <f>VLOOKUP(NoviaFunds[[#This Row],[ISIN]],'Novia Web Query'!$A:$E,5,FALSE)</f>
        <v>03/02/2021</v>
      </c>
      <c r="F3514" t="str">
        <f>VLOOKUP(NoviaFunds[[#This Row],[Sector]],Sectors[],2,FALSE)</f>
        <v>Flexible</v>
      </c>
    </row>
    <row r="3515" spans="1:6" x14ac:dyDescent="0.2">
      <c r="A3515" t="str">
        <f>'Novia Web Query'!A3511</f>
        <v>GB00B6S5RJ64</v>
      </c>
      <c r="B3515" t="str">
        <f>VLOOKUP(NoviaFunds[[#This Row],[ISIN]],'Novia Web Query'!$A:$E,2,FALSE)</f>
        <v>S&amp;W Saltus Multi Asset Class X Inc TR in GB</v>
      </c>
      <c r="C3515" t="str">
        <f>VLOOKUP(NoviaFunds[[#This Row],[ISIN]],'Novia Web Query'!$A:$E,3,FALSE)</f>
        <v>UT Flexible Investment</v>
      </c>
      <c r="D3515" s="139">
        <f>VLOOKUP(NoviaFunds[[#This Row],[ISIN]],'Novia Web Query'!$A:$E,4,FALSE)/100</f>
        <v>1.29E-2</v>
      </c>
      <c r="E3515" s="3" t="str">
        <f>VLOOKUP(NoviaFunds[[#This Row],[ISIN]],'Novia Web Query'!$A:$E,5,FALSE)</f>
        <v>03/02/2021</v>
      </c>
      <c r="F3515" t="str">
        <f>VLOOKUP(NoviaFunds[[#This Row],[Sector]],Sectors[],2,FALSE)</f>
        <v>Flexible</v>
      </c>
    </row>
    <row r="3516" spans="1:6" x14ac:dyDescent="0.2">
      <c r="A3516" t="str">
        <f>'Novia Web Query'!A3512</f>
        <v>GB00BGHQ1098</v>
      </c>
      <c r="B3516" t="str">
        <f>VLOOKUP(NoviaFunds[[#This Row],[ISIN]],'Novia Web Query'!$A:$E,2,FALSE)</f>
        <v>S&amp;W Saltus Real Return I Inc TR in GB</v>
      </c>
      <c r="C3516" t="str">
        <f>VLOOKUP(NoviaFunds[[#This Row],[ISIN]],'Novia Web Query'!$A:$E,3,FALSE)</f>
        <v>UT Flexible Investment</v>
      </c>
      <c r="D3516" s="139">
        <f>VLOOKUP(NoviaFunds[[#This Row],[ISIN]],'Novia Web Query'!$A:$E,4,FALSE)/100</f>
        <v>2.0499999999999997E-2</v>
      </c>
      <c r="E3516" s="3" t="str">
        <f>VLOOKUP(NoviaFunds[[#This Row],[ISIN]],'Novia Web Query'!$A:$E,5,FALSE)</f>
        <v>03/02/2021</v>
      </c>
      <c r="F3516" t="str">
        <f>VLOOKUP(NoviaFunds[[#This Row],[Sector]],Sectors[],2,FALSE)</f>
        <v>Flexible</v>
      </c>
    </row>
    <row r="3517" spans="1:6" x14ac:dyDescent="0.2">
      <c r="A3517" t="str">
        <f>'Novia Web Query'!A3513</f>
        <v>GB00B6RLZP73</v>
      </c>
      <c r="B3517" t="str">
        <f>VLOOKUP(NoviaFunds[[#This Row],[ISIN]],'Novia Web Query'!$A:$E,2,FALSE)</f>
        <v>S&amp;W Saltus Wealth X Acc in GB</v>
      </c>
      <c r="C3517" t="str">
        <f>VLOOKUP(NoviaFunds[[#This Row],[ISIN]],'Novia Web Query'!$A:$E,3,FALSE)</f>
        <v>UT Flexible Investment</v>
      </c>
      <c r="D3517" s="139">
        <f>VLOOKUP(NoviaFunds[[#This Row],[ISIN]],'Novia Web Query'!$A:$E,4,FALSE)/100</f>
        <v>1.3899999999999999E-2</v>
      </c>
      <c r="E3517" s="3" t="str">
        <f>VLOOKUP(NoviaFunds[[#This Row],[ISIN]],'Novia Web Query'!$A:$E,5,FALSE)</f>
        <v>03/02/2021</v>
      </c>
      <c r="F3517" t="str">
        <f>VLOOKUP(NoviaFunds[[#This Row],[Sector]],Sectors[],2,FALSE)</f>
        <v>Flexible</v>
      </c>
    </row>
    <row r="3518" spans="1:6" x14ac:dyDescent="0.2">
      <c r="A3518" t="str">
        <f>'Novia Web Query'!A3514</f>
        <v>GB00B6RYXB84</v>
      </c>
      <c r="B3518" t="str">
        <f>VLOOKUP(NoviaFunds[[#This Row],[ISIN]],'Novia Web Query'!$A:$E,2,FALSE)</f>
        <v>S&amp;W Saltus Wealth X Inc TR in GB</v>
      </c>
      <c r="C3518" t="str">
        <f>VLOOKUP(NoviaFunds[[#This Row],[ISIN]],'Novia Web Query'!$A:$E,3,FALSE)</f>
        <v>UT Flexible Investment</v>
      </c>
      <c r="D3518" s="139">
        <f>VLOOKUP(NoviaFunds[[#This Row],[ISIN]],'Novia Web Query'!$A:$E,4,FALSE)/100</f>
        <v>1.3899999999999999E-2</v>
      </c>
      <c r="E3518" s="3" t="str">
        <f>VLOOKUP(NoviaFunds[[#This Row],[ISIN]],'Novia Web Query'!$A:$E,5,FALSE)</f>
        <v>03/02/2021</v>
      </c>
      <c r="F3518" t="str">
        <f>VLOOKUP(NoviaFunds[[#This Row],[Sector]],Sectors[],2,FALSE)</f>
        <v>Flexible</v>
      </c>
    </row>
    <row r="3519" spans="1:6" x14ac:dyDescent="0.2">
      <c r="A3519" t="str">
        <f>'Novia Web Query'!A3515</f>
        <v>GB00B4WX4803</v>
      </c>
      <c r="B3519" t="str">
        <f>VLOOKUP(NoviaFunds[[#This Row],[ISIN]],'Novia Web Query'!$A:$E,2,FALSE)</f>
        <v>Santander Atlas Income Portfolio IA in GB**</v>
      </c>
      <c r="C3519" t="str">
        <f>VLOOKUP(NoviaFunds[[#This Row],[ISIN]],'Novia Web Query'!$A:$E,3,FALSE)</f>
        <v>UT Mixed Investment 20-60% Shares</v>
      </c>
      <c r="D3519" s="139">
        <f>VLOOKUP(NoviaFunds[[#This Row],[ISIN]],'Novia Web Query'!$A:$E,4,FALSE)/100</f>
        <v>8.6E-3</v>
      </c>
      <c r="E3519" s="3" t="str">
        <f>VLOOKUP(NoviaFunds[[#This Row],[ISIN]],'Novia Web Query'!$A:$E,5,FALSE)</f>
        <v>31/07/2021</v>
      </c>
      <c r="F3519" t="str">
        <f>VLOOKUP(NoviaFunds[[#This Row],[Sector]],Sectors[],2,FALSE)</f>
        <v>Mixed 20%-60%</v>
      </c>
    </row>
    <row r="3520" spans="1:6" x14ac:dyDescent="0.2">
      <c r="A3520" t="str">
        <f>'Novia Web Query'!A3516</f>
        <v>GB00B4WX4C46</v>
      </c>
      <c r="B3520" t="str">
        <f>VLOOKUP(NoviaFunds[[#This Row],[ISIN]],'Novia Web Query'!$A:$E,2,FALSE)</f>
        <v>Santander Atlas Income Portfolio II TR in GB**</v>
      </c>
      <c r="C3520" t="str">
        <f>VLOOKUP(NoviaFunds[[#This Row],[ISIN]],'Novia Web Query'!$A:$E,3,FALSE)</f>
        <v>UT Mixed Investment 20-60% Shares</v>
      </c>
      <c r="D3520" s="139">
        <f>VLOOKUP(NoviaFunds[[#This Row],[ISIN]],'Novia Web Query'!$A:$E,4,FALSE)/100</f>
        <v>8.6E-3</v>
      </c>
      <c r="E3520" s="3" t="str">
        <f>VLOOKUP(NoviaFunds[[#This Row],[ISIN]],'Novia Web Query'!$A:$E,5,FALSE)</f>
        <v>31/07/2021</v>
      </c>
      <c r="F3520" t="str">
        <f>VLOOKUP(NoviaFunds[[#This Row],[Sector]],Sectors[],2,FALSE)</f>
        <v>Mixed 20%-60%</v>
      </c>
    </row>
    <row r="3521" spans="1:6" x14ac:dyDescent="0.2">
      <c r="A3521" t="str">
        <f>'Novia Web Query'!A3517</f>
        <v>GB00BD3CW185</v>
      </c>
      <c r="B3521" t="str">
        <f>VLOOKUP(NoviaFunds[[#This Row],[ISIN]],'Novia Web Query'!$A:$E,2,FALSE)</f>
        <v>Santander Atlas Portfolio 3 IA in GB</v>
      </c>
      <c r="C3521" t="str">
        <f>VLOOKUP(NoviaFunds[[#This Row],[ISIN]],'Novia Web Query'!$A:$E,3,FALSE)</f>
        <v>UT Volatility Managed</v>
      </c>
      <c r="D3521" s="139">
        <f>VLOOKUP(NoviaFunds[[#This Row],[ISIN]],'Novia Web Query'!$A:$E,4,FALSE)/100</f>
        <v>6.7000000000000002E-3</v>
      </c>
      <c r="E3521" s="3" t="str">
        <f>VLOOKUP(NoviaFunds[[#This Row],[ISIN]],'Novia Web Query'!$A:$E,5,FALSE)</f>
        <v>01/06/2021</v>
      </c>
      <c r="F3521" t="e">
        <f>VLOOKUP(NoviaFunds[[#This Row],[Sector]],Sectors[],2,FALSE)</f>
        <v>#N/A</v>
      </c>
    </row>
    <row r="3522" spans="1:6" x14ac:dyDescent="0.2">
      <c r="A3522" t="str">
        <f>'Novia Web Query'!A3518</f>
        <v>GB00BD3CW292</v>
      </c>
      <c r="B3522" t="str">
        <f>VLOOKUP(NoviaFunds[[#This Row],[ISIN]],'Novia Web Query'!$A:$E,2,FALSE)</f>
        <v>Santander Atlas Portfolio 4 IA in GB</v>
      </c>
      <c r="C3522" t="str">
        <f>VLOOKUP(NoviaFunds[[#This Row],[ISIN]],'Novia Web Query'!$A:$E,3,FALSE)</f>
        <v>UT Volatility Managed</v>
      </c>
      <c r="D3522" s="139">
        <f>VLOOKUP(NoviaFunds[[#This Row],[ISIN]],'Novia Web Query'!$A:$E,4,FALSE)/100</f>
        <v>6.3E-3</v>
      </c>
      <c r="E3522" s="3" t="str">
        <f>VLOOKUP(NoviaFunds[[#This Row],[ISIN]],'Novia Web Query'!$A:$E,5,FALSE)</f>
        <v>01/06/2021</v>
      </c>
      <c r="F3522" t="e">
        <f>VLOOKUP(NoviaFunds[[#This Row],[Sector]],Sectors[],2,FALSE)</f>
        <v>#N/A</v>
      </c>
    </row>
    <row r="3523" spans="1:6" x14ac:dyDescent="0.2">
      <c r="A3523" t="str">
        <f>'Novia Web Query'!A3519</f>
        <v>GB00BD3CW300</v>
      </c>
      <c r="B3523" t="str">
        <f>VLOOKUP(NoviaFunds[[#This Row],[ISIN]],'Novia Web Query'!$A:$E,2,FALSE)</f>
        <v>Santander Atlas Portfolio 5 IA in GB</v>
      </c>
      <c r="C3523" t="str">
        <f>VLOOKUP(NoviaFunds[[#This Row],[ISIN]],'Novia Web Query'!$A:$E,3,FALSE)</f>
        <v>UT Volatility Managed</v>
      </c>
      <c r="D3523" s="139">
        <f>VLOOKUP(NoviaFunds[[#This Row],[ISIN]],'Novia Web Query'!$A:$E,4,FALSE)/100</f>
        <v>6.8999999999999999E-3</v>
      </c>
      <c r="E3523" s="3" t="str">
        <f>VLOOKUP(NoviaFunds[[#This Row],[ISIN]],'Novia Web Query'!$A:$E,5,FALSE)</f>
        <v>01/06/2021</v>
      </c>
      <c r="F3523" t="e">
        <f>VLOOKUP(NoviaFunds[[#This Row],[Sector]],Sectors[],2,FALSE)</f>
        <v>#N/A</v>
      </c>
    </row>
    <row r="3524" spans="1:6" x14ac:dyDescent="0.2">
      <c r="A3524" t="str">
        <f>'Novia Web Query'!A3520</f>
        <v>GB00BD3CW524</v>
      </c>
      <c r="B3524" t="str">
        <f>VLOOKUP(NoviaFunds[[#This Row],[ISIN]],'Novia Web Query'!$A:$E,2,FALSE)</f>
        <v>Santander Atlas Portfolio 6 IA in GB</v>
      </c>
      <c r="C3524" t="str">
        <f>VLOOKUP(NoviaFunds[[#This Row],[ISIN]],'Novia Web Query'!$A:$E,3,FALSE)</f>
        <v>UT Volatility Managed</v>
      </c>
      <c r="D3524" s="139">
        <f>VLOOKUP(NoviaFunds[[#This Row],[ISIN]],'Novia Web Query'!$A:$E,4,FALSE)/100</f>
        <v>6.1999999999999998E-3</v>
      </c>
      <c r="E3524" s="3" t="str">
        <f>VLOOKUP(NoviaFunds[[#This Row],[ISIN]],'Novia Web Query'!$A:$E,5,FALSE)</f>
        <v>30/09/2021</v>
      </c>
      <c r="F3524" t="e">
        <f>VLOOKUP(NoviaFunds[[#This Row],[Sector]],Sectors[],2,FALSE)</f>
        <v>#N/A</v>
      </c>
    </row>
    <row r="3525" spans="1:6" x14ac:dyDescent="0.2">
      <c r="A3525" t="str">
        <f>'Novia Web Query'!A3521</f>
        <v>GB00BD3CW417</v>
      </c>
      <c r="B3525" t="str">
        <f>VLOOKUP(NoviaFunds[[#This Row],[ISIN]],'Novia Web Query'!$A:$E,2,FALSE)</f>
        <v>Santander Atlas Portfolio 7 IA in GB</v>
      </c>
      <c r="C3525" t="str">
        <f>VLOOKUP(NoviaFunds[[#This Row],[ISIN]],'Novia Web Query'!$A:$E,3,FALSE)</f>
        <v>UT Volatility Managed</v>
      </c>
      <c r="D3525" s="139">
        <f>VLOOKUP(NoviaFunds[[#This Row],[ISIN]],'Novia Web Query'!$A:$E,4,FALSE)/100</f>
        <v>6.3E-3</v>
      </c>
      <c r="E3525" s="3" t="str">
        <f>VLOOKUP(NoviaFunds[[#This Row],[ISIN]],'Novia Web Query'!$A:$E,5,FALSE)</f>
        <v>01/06/2021</v>
      </c>
      <c r="F3525" t="e">
        <f>VLOOKUP(NoviaFunds[[#This Row],[Sector]],Sectors[],2,FALSE)</f>
        <v>#N/A</v>
      </c>
    </row>
    <row r="3526" spans="1:6" x14ac:dyDescent="0.2">
      <c r="A3526" t="str">
        <f>'Novia Web Query'!A3522</f>
        <v>GB00BWXBPQ49</v>
      </c>
      <c r="B3526" t="str">
        <f>VLOOKUP(NoviaFunds[[#This Row],[ISIN]],'Novia Web Query'!$A:$E,2,FALSE)</f>
        <v>Santander Enhanced Income Portfolio IA TR in GB</v>
      </c>
      <c r="C3526" t="str">
        <f>VLOOKUP(NoviaFunds[[#This Row],[ISIN]],'Novia Web Query'!$A:$E,3,FALSE)</f>
        <v>UT UK Equity Income</v>
      </c>
      <c r="D3526" s="139">
        <f>VLOOKUP(NoviaFunds[[#This Row],[ISIN]],'Novia Web Query'!$A:$E,4,FALSE)/100</f>
        <v>5.6000000000000008E-3</v>
      </c>
      <c r="E3526" s="3" t="str">
        <f>VLOOKUP(NoviaFunds[[#This Row],[ISIN]],'Novia Web Query'!$A:$E,5,FALSE)</f>
        <v>30/09/2021</v>
      </c>
      <c r="F3526" t="str">
        <f>VLOOKUP(NoviaFunds[[#This Row],[Sector]],Sectors[],2,FALSE)</f>
        <v>UK Equities</v>
      </c>
    </row>
    <row r="3527" spans="1:6" x14ac:dyDescent="0.2">
      <c r="A3527" t="str">
        <f>'Novia Web Query'!A3523</f>
        <v>GB00B3RJG579</v>
      </c>
      <c r="B3527" t="str">
        <f>VLOOKUP(NoviaFunds[[#This Row],[ISIN]],'Novia Web Query'!$A:$E,2,FALSE)</f>
        <v>Santander Enhanced Income Portfolio II TR in GB</v>
      </c>
      <c r="C3527" t="str">
        <f>VLOOKUP(NoviaFunds[[#This Row],[ISIN]],'Novia Web Query'!$A:$E,3,FALSE)</f>
        <v>UT UK Equity Income</v>
      </c>
      <c r="D3527" s="139">
        <f>VLOOKUP(NoviaFunds[[#This Row],[ISIN]],'Novia Web Query'!$A:$E,4,FALSE)/100</f>
        <v>5.6000000000000008E-3</v>
      </c>
      <c r="E3527" s="3" t="str">
        <f>VLOOKUP(NoviaFunds[[#This Row],[ISIN]],'Novia Web Query'!$A:$E,5,FALSE)</f>
        <v>30/09/2021</v>
      </c>
      <c r="F3527" t="str">
        <f>VLOOKUP(NoviaFunds[[#This Row],[Sector]],Sectors[],2,FALSE)</f>
        <v>UK Equities</v>
      </c>
    </row>
    <row r="3528" spans="1:6" x14ac:dyDescent="0.2">
      <c r="A3528" t="str">
        <f>'Novia Web Query'!A3524</f>
        <v>GB00BWX61H22</v>
      </c>
      <c r="B3528" t="str">
        <f>VLOOKUP(NoviaFunds[[#This Row],[ISIN]],'Novia Web Query'!$A:$E,2,FALSE)</f>
        <v>Santander Equity Income Unit Trust RA TR in GB</v>
      </c>
      <c r="C3528" t="str">
        <f>VLOOKUP(NoviaFunds[[#This Row],[ISIN]],'Novia Web Query'!$A:$E,3,FALSE)</f>
        <v>UT UK Equity Income</v>
      </c>
      <c r="D3528" s="139">
        <f>VLOOKUP(NoviaFunds[[#This Row],[ISIN]],'Novia Web Query'!$A:$E,4,FALSE)/100</f>
        <v>5.3E-3</v>
      </c>
      <c r="E3528" s="3" t="str">
        <f>VLOOKUP(NoviaFunds[[#This Row],[ISIN]],'Novia Web Query'!$A:$E,5,FALSE)</f>
        <v>15/08/2021</v>
      </c>
      <c r="F3528" t="str">
        <f>VLOOKUP(NoviaFunds[[#This Row],[Sector]],Sectors[],2,FALSE)</f>
        <v>UK Equities</v>
      </c>
    </row>
    <row r="3529" spans="1:6" x14ac:dyDescent="0.2">
      <c r="A3529" t="str">
        <f>'Novia Web Query'!A3525</f>
        <v>GB0002789047</v>
      </c>
      <c r="B3529" t="str">
        <f>VLOOKUP(NoviaFunds[[#This Row],[ISIN]],'Novia Web Query'!$A:$E,2,FALSE)</f>
        <v>Santander Europe (Excluding UK) Equities A in GB</v>
      </c>
      <c r="C3529" t="str">
        <f>VLOOKUP(NoviaFunds[[#This Row],[ISIN]],'Novia Web Query'!$A:$E,3,FALSE)</f>
        <v>UT Europe Excluding UK</v>
      </c>
      <c r="D3529" s="139">
        <f>VLOOKUP(NoviaFunds[[#This Row],[ISIN]],'Novia Web Query'!$A:$E,4,FALSE)/100</f>
        <v>7.8000000000000005E-3</v>
      </c>
      <c r="E3529" s="3" t="str">
        <f>VLOOKUP(NoviaFunds[[#This Row],[ISIN]],'Novia Web Query'!$A:$E,5,FALSE)</f>
        <v>30/04/2021</v>
      </c>
      <c r="F3529" t="str">
        <f>VLOOKUP(NoviaFunds[[#This Row],[Sector]],Sectors[],2,FALSE)</f>
        <v>European Equities</v>
      </c>
    </row>
    <row r="3530" spans="1:6" x14ac:dyDescent="0.2">
      <c r="A3530" t="str">
        <f>'Novia Web Query'!A3526</f>
        <v>GB0002791233</v>
      </c>
      <c r="B3530" t="str">
        <f>VLOOKUP(NoviaFunds[[#This Row],[ISIN]],'Novia Web Query'!$A:$E,2,FALSE)</f>
        <v>Santander Japan Equities A in GB</v>
      </c>
      <c r="C3530" t="str">
        <f>VLOOKUP(NoviaFunds[[#This Row],[ISIN]],'Novia Web Query'!$A:$E,3,FALSE)</f>
        <v>UT Japan</v>
      </c>
      <c r="D3530" s="139">
        <f>VLOOKUP(NoviaFunds[[#This Row],[ISIN]],'Novia Web Query'!$A:$E,4,FALSE)/100</f>
        <v>7.7000000000000002E-3</v>
      </c>
      <c r="E3530" s="3" t="str">
        <f>VLOOKUP(NoviaFunds[[#This Row],[ISIN]],'Novia Web Query'!$A:$E,5,FALSE)</f>
        <v>30/04/2021</v>
      </c>
      <c r="F3530" t="str">
        <f>VLOOKUP(NoviaFunds[[#This Row],[Sector]],Sectors[],2,FALSE)</f>
        <v>Japanese Equities</v>
      </c>
    </row>
    <row r="3531" spans="1:6" x14ac:dyDescent="0.2">
      <c r="A3531" t="str">
        <f>'Novia Web Query'!A3527</f>
        <v>GB00B3KKY195</v>
      </c>
      <c r="B3531" t="str">
        <f>VLOOKUP(NoviaFunds[[#This Row],[ISIN]],'Novia Web Query'!$A:$E,2,FALSE)</f>
        <v>Santander Max 50% Shares Portfolio RA in GB</v>
      </c>
      <c r="C3531" t="str">
        <f>VLOOKUP(NoviaFunds[[#This Row],[ISIN]],'Novia Web Query'!$A:$E,3,FALSE)</f>
        <v>UT Unclassified</v>
      </c>
      <c r="D3531" s="139">
        <f>VLOOKUP(NoviaFunds[[#This Row],[ISIN]],'Novia Web Query'!$A:$E,4,FALSE)/100</f>
        <v>8.6999999999999994E-3</v>
      </c>
      <c r="E3531" s="3" t="str">
        <f>VLOOKUP(NoviaFunds[[#This Row],[ISIN]],'Novia Web Query'!$A:$E,5,FALSE)</f>
        <v>30/09/2021</v>
      </c>
      <c r="F3531" t="str">
        <f>VLOOKUP(NoviaFunds[[#This Row],[Sector]],Sectors[],2,FALSE)</f>
        <v>Unclassified</v>
      </c>
    </row>
    <row r="3532" spans="1:6" x14ac:dyDescent="0.2">
      <c r="A3532" t="str">
        <f>'Novia Web Query'!A3528</f>
        <v>GB00B3KKWJ34</v>
      </c>
      <c r="B3532" t="str">
        <f>VLOOKUP(NoviaFunds[[#This Row],[ISIN]],'Novia Web Query'!$A:$E,2,FALSE)</f>
        <v>Santander Max 70% Shares Portfolio RA in GB</v>
      </c>
      <c r="C3532" t="str">
        <f>VLOOKUP(NoviaFunds[[#This Row],[ISIN]],'Novia Web Query'!$A:$E,3,FALSE)</f>
        <v>UT Unclassified</v>
      </c>
      <c r="D3532" s="139">
        <f>VLOOKUP(NoviaFunds[[#This Row],[ISIN]],'Novia Web Query'!$A:$E,4,FALSE)/100</f>
        <v>1.0800000000000001E-2</v>
      </c>
      <c r="E3532" s="3" t="str">
        <f>VLOOKUP(NoviaFunds[[#This Row],[ISIN]],'Novia Web Query'!$A:$E,5,FALSE)</f>
        <v>30/09/2021</v>
      </c>
      <c r="F3532" t="str">
        <f>VLOOKUP(NoviaFunds[[#This Row],[Sector]],Sectors[],2,FALSE)</f>
        <v>Unclassified</v>
      </c>
    </row>
    <row r="3533" spans="1:6" x14ac:dyDescent="0.2">
      <c r="A3533" t="str">
        <f>'Novia Web Query'!A3529</f>
        <v>GB00BVDPJ781</v>
      </c>
      <c r="B3533" t="str">
        <f>VLOOKUP(NoviaFunds[[#This Row],[ISIN]],'Novia Web Query'!$A:$E,2,FALSE)</f>
        <v>Santander Max 70% Shares Portfolio SA in GB</v>
      </c>
      <c r="C3533" t="str">
        <f>VLOOKUP(NoviaFunds[[#This Row],[ISIN]],'Novia Web Query'!$A:$E,3,FALSE)</f>
        <v>UT Unclassified</v>
      </c>
      <c r="D3533" s="139">
        <f>VLOOKUP(NoviaFunds[[#This Row],[ISIN]],'Novia Web Query'!$A:$E,4,FALSE)/100</f>
        <v>9.300000000000001E-3</v>
      </c>
      <c r="E3533" s="3" t="str">
        <f>VLOOKUP(NoviaFunds[[#This Row],[ISIN]],'Novia Web Query'!$A:$E,5,FALSE)</f>
        <v>30/09/2021</v>
      </c>
      <c r="F3533" t="str">
        <f>VLOOKUP(NoviaFunds[[#This Row],[Sector]],Sectors[],2,FALSE)</f>
        <v>Unclassified</v>
      </c>
    </row>
    <row r="3534" spans="1:6" x14ac:dyDescent="0.2">
      <c r="A3534" t="str">
        <f>'Novia Web Query'!A3530</f>
        <v>GB0006069255</v>
      </c>
      <c r="B3534" t="str">
        <f>VLOOKUP(NoviaFunds[[#This Row],[ISIN]],'Novia Web Query'!$A:$E,2,FALSE)</f>
        <v>Santander Max 70% Shares Unit Trust RA in GB</v>
      </c>
      <c r="C3534" t="str">
        <f>VLOOKUP(NoviaFunds[[#This Row],[ISIN]],'Novia Web Query'!$A:$E,3,FALSE)</f>
        <v>UT Mixed Investment 40-85% Shares</v>
      </c>
      <c r="D3534" s="139">
        <f>VLOOKUP(NoviaFunds[[#This Row],[ISIN]],'Novia Web Query'!$A:$E,4,FALSE)/100</f>
        <v>9.1000000000000004E-3</v>
      </c>
      <c r="E3534" s="3" t="str">
        <f>VLOOKUP(NoviaFunds[[#This Row],[ISIN]],'Novia Web Query'!$A:$E,5,FALSE)</f>
        <v>15/05/2021</v>
      </c>
      <c r="F3534" t="str">
        <f>VLOOKUP(NoviaFunds[[#This Row],[Sector]],Sectors[],2,FALSE)</f>
        <v>Mixed 40%-85%</v>
      </c>
    </row>
    <row r="3535" spans="1:6" x14ac:dyDescent="0.2">
      <c r="A3535" t="str">
        <f>'Novia Web Query'!A3531</f>
        <v>GB0002792199</v>
      </c>
      <c r="B3535" t="str">
        <f>VLOOKUP(NoviaFunds[[#This Row],[ISIN]],'Novia Web Query'!$A:$E,2,FALSE)</f>
        <v>Santander Pacific Basin (Excluding Japan) Equities A in GB</v>
      </c>
      <c r="C3535" t="str">
        <f>VLOOKUP(NoviaFunds[[#This Row],[ISIN]],'Novia Web Query'!$A:$E,3,FALSE)</f>
        <v>UT Asia Pacific Excluding Japan</v>
      </c>
      <c r="D3535" s="139">
        <f>VLOOKUP(NoviaFunds[[#This Row],[ISIN]],'Novia Web Query'!$A:$E,4,FALSE)/100</f>
        <v>8.8000000000000005E-3</v>
      </c>
      <c r="E3535" s="3" t="str">
        <f>VLOOKUP(NoviaFunds[[#This Row],[ISIN]],'Novia Web Query'!$A:$E,5,FALSE)</f>
        <v>30/04/2021</v>
      </c>
      <c r="F3535" t="str">
        <f>VLOOKUP(NoviaFunds[[#This Row],[Sector]],Sectors[],2,FALSE)</f>
        <v>Asia Pacific</v>
      </c>
    </row>
    <row r="3536" spans="1:6" x14ac:dyDescent="0.2">
      <c r="A3536" t="str">
        <f>'Novia Web Query'!A3532</f>
        <v>GB0002792314</v>
      </c>
      <c r="B3536" t="str">
        <f>VLOOKUP(NoviaFunds[[#This Row],[ISIN]],'Novia Web Query'!$A:$E,2,FALSE)</f>
        <v>Santander Sterling Bond A in GB</v>
      </c>
      <c r="C3536" t="str">
        <f>VLOOKUP(NoviaFunds[[#This Row],[ISIN]],'Novia Web Query'!$A:$E,3,FALSE)</f>
        <v>UT Sterling Strategic Bond</v>
      </c>
      <c r="D3536" s="139">
        <f>VLOOKUP(NoviaFunds[[#This Row],[ISIN]],'Novia Web Query'!$A:$E,4,FALSE)/100</f>
        <v>5.5000000000000005E-3</v>
      </c>
      <c r="E3536" s="3" t="str">
        <f>VLOOKUP(NoviaFunds[[#This Row],[ISIN]],'Novia Web Query'!$A:$E,5,FALSE)</f>
        <v>30/04/2021</v>
      </c>
      <c r="F3536" t="str">
        <f>VLOOKUP(NoviaFunds[[#This Row],[Sector]],Sectors[],2,FALSE)</f>
        <v>Other Bonds</v>
      </c>
    </row>
    <row r="3537" spans="1:6" x14ac:dyDescent="0.2">
      <c r="A3537" t="str">
        <f>'Novia Web Query'!A3533</f>
        <v>GB00B3KKXR82</v>
      </c>
      <c r="B3537" t="str">
        <f>VLOOKUP(NoviaFunds[[#This Row],[ISIN]],'Novia Web Query'!$A:$E,2,FALSE)</f>
        <v>Santander Sterling Bond Portfolio RA in GB</v>
      </c>
      <c r="C3537" t="str">
        <f>VLOOKUP(NoviaFunds[[#This Row],[ISIN]],'Novia Web Query'!$A:$E,3,FALSE)</f>
        <v>UT Unclassified</v>
      </c>
      <c r="D3537" s="139">
        <f>VLOOKUP(NoviaFunds[[#This Row],[ISIN]],'Novia Web Query'!$A:$E,4,FALSE)/100</f>
        <v>7.4999999999999997E-3</v>
      </c>
      <c r="E3537" s="3" t="str">
        <f>VLOOKUP(NoviaFunds[[#This Row],[ISIN]],'Novia Web Query'!$A:$E,5,FALSE)</f>
        <v>30/09/2021</v>
      </c>
      <c r="F3537" t="str">
        <f>VLOOKUP(NoviaFunds[[#This Row],[Sector]],Sectors[],2,FALSE)</f>
        <v>Unclassified</v>
      </c>
    </row>
    <row r="3538" spans="1:6" x14ac:dyDescent="0.2">
      <c r="A3538" t="str">
        <f>'Novia Web Query'!A3534</f>
        <v>GB00BSTLRG49</v>
      </c>
      <c r="B3538" t="str">
        <f>VLOOKUP(NoviaFunds[[#This Row],[ISIN]],'Novia Web Query'!$A:$E,2,FALSE)</f>
        <v>Santander Sterling Corporate Bond IA in GB</v>
      </c>
      <c r="C3538" t="str">
        <f>VLOOKUP(NoviaFunds[[#This Row],[ISIN]],'Novia Web Query'!$A:$E,3,FALSE)</f>
        <v>UT Sterling Corporate Bond</v>
      </c>
      <c r="D3538" s="139">
        <f>VLOOKUP(NoviaFunds[[#This Row],[ISIN]],'Novia Web Query'!$A:$E,4,FALSE)/100</f>
        <v>4.7999999999999996E-3</v>
      </c>
      <c r="E3538" s="3" t="str">
        <f>VLOOKUP(NoviaFunds[[#This Row],[ISIN]],'Novia Web Query'!$A:$E,5,FALSE)</f>
        <v>20/07/2021</v>
      </c>
      <c r="F3538" t="str">
        <f>VLOOKUP(NoviaFunds[[#This Row],[Sector]],Sectors[],2,FALSE)</f>
        <v>Sterling Corporate Bonds</v>
      </c>
    </row>
    <row r="3539" spans="1:6" x14ac:dyDescent="0.2">
      <c r="A3539" t="str">
        <f>'Novia Web Query'!A3535</f>
        <v>GB00BSTLRF32</v>
      </c>
      <c r="B3539" t="str">
        <f>VLOOKUP(NoviaFunds[[#This Row],[ISIN]],'Novia Web Query'!$A:$E,2,FALSE)</f>
        <v>Santander Sterling Corporate Bond II TR in GB</v>
      </c>
      <c r="C3539" t="str">
        <f>VLOOKUP(NoviaFunds[[#This Row],[ISIN]],'Novia Web Query'!$A:$E,3,FALSE)</f>
        <v>UT Sterling Corporate Bond</v>
      </c>
      <c r="D3539" s="139">
        <f>VLOOKUP(NoviaFunds[[#This Row],[ISIN]],'Novia Web Query'!$A:$E,4,FALSE)/100</f>
        <v>4.7999999999999996E-3</v>
      </c>
      <c r="E3539" s="3" t="str">
        <f>VLOOKUP(NoviaFunds[[#This Row],[ISIN]],'Novia Web Query'!$A:$E,5,FALSE)</f>
        <v>20/07/2021</v>
      </c>
      <c r="F3539" t="str">
        <f>VLOOKUP(NoviaFunds[[#This Row],[Sector]],Sectors[],2,FALSE)</f>
        <v>Sterling Corporate Bonds</v>
      </c>
    </row>
    <row r="3540" spans="1:6" x14ac:dyDescent="0.2">
      <c r="A3540" t="str">
        <f>'Novia Web Query'!A3536</f>
        <v>GB00BSTLRD18</v>
      </c>
      <c r="B3540" t="str">
        <f>VLOOKUP(NoviaFunds[[#This Row],[ISIN]],'Novia Web Query'!$A:$E,2,FALSE)</f>
        <v>Santander Sterling Government Bond IA TR in GB</v>
      </c>
      <c r="C3540" t="str">
        <f>VLOOKUP(NoviaFunds[[#This Row],[ISIN]],'Novia Web Query'!$A:$E,3,FALSE)</f>
        <v>UT UK Gilts</v>
      </c>
      <c r="D3540" s="139">
        <f>VLOOKUP(NoviaFunds[[#This Row],[ISIN]],'Novia Web Query'!$A:$E,4,FALSE)/100</f>
        <v>3.3E-3</v>
      </c>
      <c r="E3540" s="3" t="str">
        <f>VLOOKUP(NoviaFunds[[#This Row],[ISIN]],'Novia Web Query'!$A:$E,5,FALSE)</f>
        <v>15/03/2021</v>
      </c>
      <c r="F3540" t="str">
        <f>VLOOKUP(NoviaFunds[[#This Row],[Sector]],Sectors[],2,FALSE)</f>
        <v>Gilts</v>
      </c>
    </row>
    <row r="3541" spans="1:6" x14ac:dyDescent="0.2">
      <c r="A3541" t="str">
        <f>'Novia Web Query'!A3537</f>
        <v>GB00BSTLRC01</v>
      </c>
      <c r="B3541" t="str">
        <f>VLOOKUP(NoviaFunds[[#This Row],[ISIN]],'Novia Web Query'!$A:$E,2,FALSE)</f>
        <v>Santander Sterling Government Bond II TR in GB</v>
      </c>
      <c r="C3541" t="str">
        <f>VLOOKUP(NoviaFunds[[#This Row],[ISIN]],'Novia Web Query'!$A:$E,3,FALSE)</f>
        <v>UT UK Gilts</v>
      </c>
      <c r="D3541" s="139">
        <f>VLOOKUP(NoviaFunds[[#This Row],[ISIN]],'Novia Web Query'!$A:$E,4,FALSE)/100</f>
        <v>3.3E-3</v>
      </c>
      <c r="E3541" s="3" t="str">
        <f>VLOOKUP(NoviaFunds[[#This Row],[ISIN]],'Novia Web Query'!$A:$E,5,FALSE)</f>
        <v>15/03/2021</v>
      </c>
      <c r="F3541" t="str">
        <f>VLOOKUP(NoviaFunds[[#This Row],[Sector]],Sectors[],2,FALSE)</f>
        <v>Gilts</v>
      </c>
    </row>
    <row r="3542" spans="1:6" x14ac:dyDescent="0.2">
      <c r="A3542" t="str">
        <f>'Novia Web Query'!A3538</f>
        <v>GB0002795101</v>
      </c>
      <c r="B3542" t="str">
        <f>VLOOKUP(NoviaFunds[[#This Row],[ISIN]],'Novia Web Query'!$A:$E,2,FALSE)</f>
        <v>Santander UK Equities A in GB</v>
      </c>
      <c r="C3542" t="str">
        <f>VLOOKUP(NoviaFunds[[#This Row],[ISIN]],'Novia Web Query'!$A:$E,3,FALSE)</f>
        <v>UT UK All Companies</v>
      </c>
      <c r="D3542" s="139">
        <f>VLOOKUP(NoviaFunds[[#This Row],[ISIN]],'Novia Web Query'!$A:$E,4,FALSE)/100</f>
        <v>6.8999999999999999E-3</v>
      </c>
      <c r="E3542" s="3" t="str">
        <f>VLOOKUP(NoviaFunds[[#This Row],[ISIN]],'Novia Web Query'!$A:$E,5,FALSE)</f>
        <v>30/04/2021</v>
      </c>
      <c r="F3542" t="str">
        <f>VLOOKUP(NoviaFunds[[#This Row],[Sector]],Sectors[],2,FALSE)</f>
        <v>UK Equities</v>
      </c>
    </row>
    <row r="3543" spans="1:6" x14ac:dyDescent="0.2">
      <c r="A3543" t="str">
        <f>'Novia Web Query'!A3539</f>
        <v>GB0000353259</v>
      </c>
      <c r="B3543" t="str">
        <f>VLOOKUP(NoviaFunds[[#This Row],[ISIN]],'Novia Web Query'!$A:$E,2,FALSE)</f>
        <v>Santander UK Growth Unit Trust RA in GB</v>
      </c>
      <c r="C3543" t="str">
        <f>VLOOKUP(NoviaFunds[[#This Row],[ISIN]],'Novia Web Query'!$A:$E,3,FALSE)</f>
        <v>UT UK All Companies</v>
      </c>
      <c r="D3543" s="139">
        <f>VLOOKUP(NoviaFunds[[#This Row],[ISIN]],'Novia Web Query'!$A:$E,4,FALSE)/100</f>
        <v>6.6E-3</v>
      </c>
      <c r="E3543" s="3" t="str">
        <f>VLOOKUP(NoviaFunds[[#This Row],[ISIN]],'Novia Web Query'!$A:$E,5,FALSE)</f>
        <v>15/10/2021</v>
      </c>
      <c r="F3543" t="str">
        <f>VLOOKUP(NoviaFunds[[#This Row],[Sector]],Sectors[],2,FALSE)</f>
        <v>UK Equities</v>
      </c>
    </row>
    <row r="3544" spans="1:6" x14ac:dyDescent="0.2">
      <c r="A3544" t="str">
        <f>'Novia Web Query'!A3540</f>
        <v>GB0002824448</v>
      </c>
      <c r="B3544" t="str">
        <f>VLOOKUP(NoviaFunds[[#This Row],[ISIN]],'Novia Web Query'!$A:$E,2,FALSE)</f>
        <v>Santander United States Equities A in GB</v>
      </c>
      <c r="C3544" t="str">
        <f>VLOOKUP(NoviaFunds[[#This Row],[ISIN]],'Novia Web Query'!$A:$E,3,FALSE)</f>
        <v>UT North America</v>
      </c>
      <c r="D3544" s="139">
        <f>VLOOKUP(NoviaFunds[[#This Row],[ISIN]],'Novia Web Query'!$A:$E,4,FALSE)/100</f>
        <v>7.3000000000000001E-3</v>
      </c>
      <c r="E3544" s="3" t="str">
        <f>VLOOKUP(NoviaFunds[[#This Row],[ISIN]],'Novia Web Query'!$A:$E,5,FALSE)</f>
        <v>30/04/2021</v>
      </c>
      <c r="F3544" t="str">
        <f>VLOOKUP(NoviaFunds[[#This Row],[Sector]],Sectors[],2,FALSE)</f>
        <v>USA Equities</v>
      </c>
    </row>
    <row r="3545" spans="1:6" x14ac:dyDescent="0.2">
      <c r="A3545" t="str">
        <f>'Novia Web Query'!A3541</f>
        <v>GB00BMZNCQ73</v>
      </c>
      <c r="B3545" t="str">
        <f>VLOOKUP(NoviaFunds[[#This Row],[ISIN]],'Novia Web Query'!$A:$E,2,FALSE)</f>
        <v>Sarasin Digital Opportunities L Acc in GB</v>
      </c>
      <c r="C3545" t="str">
        <f>VLOOKUP(NoviaFunds[[#This Row],[ISIN]],'Novia Web Query'!$A:$E,3,FALSE)</f>
        <v>UT Technology &amp; Telecommunications</v>
      </c>
      <c r="D3545" s="139">
        <f>VLOOKUP(NoviaFunds[[#This Row],[ISIN]],'Novia Web Query'!$A:$E,4,FALSE)/100</f>
        <v>7.0999999999999995E-3</v>
      </c>
      <c r="E3545" s="3" t="str">
        <f>VLOOKUP(NoviaFunds[[#This Row],[ISIN]],'Novia Web Query'!$A:$E,5,FALSE)</f>
        <v>30/06/2021</v>
      </c>
      <c r="F3545" t="e">
        <f>VLOOKUP(NoviaFunds[[#This Row],[Sector]],Sectors[],2,FALSE)</f>
        <v>#N/A</v>
      </c>
    </row>
    <row r="3546" spans="1:6" x14ac:dyDescent="0.2">
      <c r="A3546" t="str">
        <f>'Novia Web Query'!A3542</f>
        <v>GB00BMZNCR80</v>
      </c>
      <c r="B3546" t="str">
        <f>VLOOKUP(NoviaFunds[[#This Row],[ISIN]],'Novia Web Query'!$A:$E,2,FALSE)</f>
        <v>Sarasin Digital Opportunities L Inc TR in GB</v>
      </c>
      <c r="C3546" t="str">
        <f>VLOOKUP(NoviaFunds[[#This Row],[ISIN]],'Novia Web Query'!$A:$E,3,FALSE)</f>
        <v>UT Technology &amp; Telecommunications</v>
      </c>
      <c r="D3546" s="139">
        <f>VLOOKUP(NoviaFunds[[#This Row],[ISIN]],'Novia Web Query'!$A:$E,4,FALSE)/100</f>
        <v>7.0999999999999995E-3</v>
      </c>
      <c r="E3546" s="3" t="str">
        <f>VLOOKUP(NoviaFunds[[#This Row],[ISIN]],'Novia Web Query'!$A:$E,5,FALSE)</f>
        <v>30/06/2021</v>
      </c>
      <c r="F3546" t="e">
        <f>VLOOKUP(NoviaFunds[[#This Row],[Sector]],Sectors[],2,FALSE)</f>
        <v>#N/A</v>
      </c>
    </row>
    <row r="3547" spans="1:6" x14ac:dyDescent="0.2">
      <c r="A3547" t="str">
        <f>'Novia Web Query'!A3543</f>
        <v>GB00BJP50G80</v>
      </c>
      <c r="B3547" t="str">
        <f>VLOOKUP(NoviaFunds[[#This Row],[ISIN]],'Novia Web Query'!$A:$E,2,FALSE)</f>
        <v>Sarasin Digital Opportunities P Acc in GB</v>
      </c>
      <c r="C3547" t="str">
        <f>VLOOKUP(NoviaFunds[[#This Row],[ISIN]],'Novia Web Query'!$A:$E,3,FALSE)</f>
        <v>UT Technology &amp; Telecommunications</v>
      </c>
      <c r="D3547" s="139">
        <f>VLOOKUP(NoviaFunds[[#This Row],[ISIN]],'Novia Web Query'!$A:$E,4,FALSE)/100</f>
        <v>9.5999999999999992E-3</v>
      </c>
      <c r="E3547" s="3" t="str">
        <f>VLOOKUP(NoviaFunds[[#This Row],[ISIN]],'Novia Web Query'!$A:$E,5,FALSE)</f>
        <v>30/06/2021</v>
      </c>
      <c r="F3547" t="e">
        <f>VLOOKUP(NoviaFunds[[#This Row],[Sector]],Sectors[],2,FALSE)</f>
        <v>#N/A</v>
      </c>
    </row>
    <row r="3548" spans="1:6" x14ac:dyDescent="0.2">
      <c r="A3548" t="str">
        <f>'Novia Web Query'!A3544</f>
        <v>GB00BJP50F73</v>
      </c>
      <c r="B3548" t="str">
        <f>VLOOKUP(NoviaFunds[[#This Row],[ISIN]],'Novia Web Query'!$A:$E,2,FALSE)</f>
        <v>Sarasin Digital Opportunities P Inc TR in GB</v>
      </c>
      <c r="C3548" t="str">
        <f>VLOOKUP(NoviaFunds[[#This Row],[ISIN]],'Novia Web Query'!$A:$E,3,FALSE)</f>
        <v>UT Technology &amp; Telecommunications</v>
      </c>
      <c r="D3548" s="139">
        <f>VLOOKUP(NoviaFunds[[#This Row],[ISIN]],'Novia Web Query'!$A:$E,4,FALSE)/100</f>
        <v>9.5999999999999992E-3</v>
      </c>
      <c r="E3548" s="3" t="str">
        <f>VLOOKUP(NoviaFunds[[#This Row],[ISIN]],'Novia Web Query'!$A:$E,5,FALSE)</f>
        <v>30/06/2021</v>
      </c>
      <c r="F3548" t="e">
        <f>VLOOKUP(NoviaFunds[[#This Row],[Sector]],Sectors[],2,FALSE)</f>
        <v>#N/A</v>
      </c>
    </row>
    <row r="3549" spans="1:6" x14ac:dyDescent="0.2">
      <c r="A3549" t="str">
        <f>'Novia Web Query'!A3545</f>
        <v>GB00B2Q8L643</v>
      </c>
      <c r="B3549" t="str">
        <f>VLOOKUP(NoviaFunds[[#This Row],[ISIN]],'Novia Web Query'!$A:$E,2,FALSE)</f>
        <v>Sarasin Food &amp; Agriculture Opportunities A Acc in GB</v>
      </c>
      <c r="C3549" t="str">
        <f>VLOOKUP(NoviaFunds[[#This Row],[ISIN]],'Novia Web Query'!$A:$E,3,FALSE)</f>
        <v>UT Specialist</v>
      </c>
      <c r="D3549" s="139">
        <f>VLOOKUP(NoviaFunds[[#This Row],[ISIN]],'Novia Web Query'!$A:$E,4,FALSE)/100</f>
        <v>1.7299999999999999E-2</v>
      </c>
      <c r="E3549" s="3" t="str">
        <f>VLOOKUP(NoviaFunds[[#This Row],[ISIN]],'Novia Web Query'!$A:$E,5,FALSE)</f>
        <v>30/06/2021</v>
      </c>
      <c r="F3549" t="str">
        <f>VLOOKUP(NoviaFunds[[#This Row],[Sector]],Sectors[],2,FALSE)</f>
        <v>Specialist</v>
      </c>
    </row>
    <row r="3550" spans="1:6" x14ac:dyDescent="0.2">
      <c r="A3550" t="str">
        <f>'Novia Web Query'!A3546</f>
        <v>GB00B2Q8L536</v>
      </c>
      <c r="B3550" t="str">
        <f>VLOOKUP(NoviaFunds[[#This Row],[ISIN]],'Novia Web Query'!$A:$E,2,FALSE)</f>
        <v>Sarasin Food &amp; Agriculture Opportunities A Inc TR in GB</v>
      </c>
      <c r="C3550" t="str">
        <f>VLOOKUP(NoviaFunds[[#This Row],[ISIN]],'Novia Web Query'!$A:$E,3,FALSE)</f>
        <v>UT Specialist</v>
      </c>
      <c r="D3550" s="139">
        <f>VLOOKUP(NoviaFunds[[#This Row],[ISIN]],'Novia Web Query'!$A:$E,4,FALSE)/100</f>
        <v>1.7299999999999999E-2</v>
      </c>
      <c r="E3550" s="3" t="str">
        <f>VLOOKUP(NoviaFunds[[#This Row],[ISIN]],'Novia Web Query'!$A:$E,5,FALSE)</f>
        <v>30/06/2021</v>
      </c>
      <c r="F3550" t="str">
        <f>VLOOKUP(NoviaFunds[[#This Row],[Sector]],Sectors[],2,FALSE)</f>
        <v>Specialist</v>
      </c>
    </row>
    <row r="3551" spans="1:6" x14ac:dyDescent="0.2">
      <c r="A3551" t="str">
        <f>'Novia Web Query'!A3547</f>
        <v>GB00B77DTQ97</v>
      </c>
      <c r="B3551" t="str">
        <f>VLOOKUP(NoviaFunds[[#This Row],[ISIN]],'Novia Web Query'!$A:$E,2,FALSE)</f>
        <v>Sarasin Food &amp; Agriculture Opportunities P Acc in GB</v>
      </c>
      <c r="C3551" t="str">
        <f>VLOOKUP(NoviaFunds[[#This Row],[ISIN]],'Novia Web Query'!$A:$E,3,FALSE)</f>
        <v>UT Specialist</v>
      </c>
      <c r="D3551" s="139">
        <f>VLOOKUP(NoviaFunds[[#This Row],[ISIN]],'Novia Web Query'!$A:$E,4,FALSE)/100</f>
        <v>9.7999999999999997E-3</v>
      </c>
      <c r="E3551" s="3" t="str">
        <f>VLOOKUP(NoviaFunds[[#This Row],[ISIN]],'Novia Web Query'!$A:$E,5,FALSE)</f>
        <v>30/06/2021</v>
      </c>
      <c r="F3551" t="str">
        <f>VLOOKUP(NoviaFunds[[#This Row],[Sector]],Sectors[],2,FALSE)</f>
        <v>Specialist</v>
      </c>
    </row>
    <row r="3552" spans="1:6" x14ac:dyDescent="0.2">
      <c r="A3552" t="str">
        <f>'Novia Web Query'!A3548</f>
        <v>GB00B8GJCL12</v>
      </c>
      <c r="B3552" t="str">
        <f>VLOOKUP(NoviaFunds[[#This Row],[ISIN]],'Novia Web Query'!$A:$E,2,FALSE)</f>
        <v>Sarasin Food &amp; Agriculture Opportunities P Inc TR in GB**</v>
      </c>
      <c r="C3552" t="str">
        <f>VLOOKUP(NoviaFunds[[#This Row],[ISIN]],'Novia Web Query'!$A:$E,3,FALSE)</f>
        <v>UT Specialist</v>
      </c>
      <c r="D3552" s="139">
        <f>VLOOKUP(NoviaFunds[[#This Row],[ISIN]],'Novia Web Query'!$A:$E,4,FALSE)/100</f>
        <v>9.7999999999999997E-3</v>
      </c>
      <c r="E3552" s="3" t="str">
        <f>VLOOKUP(NoviaFunds[[#This Row],[ISIN]],'Novia Web Query'!$A:$E,5,FALSE)</f>
        <v>30/06/2021</v>
      </c>
      <c r="F3552" t="str">
        <f>VLOOKUP(NoviaFunds[[#This Row],[Sector]],Sectors[],2,FALSE)</f>
        <v>Specialist</v>
      </c>
    </row>
    <row r="3553" spans="1:6" x14ac:dyDescent="0.2">
      <c r="A3553" t="str">
        <f>'Novia Web Query'!A3549</f>
        <v>GB00BGDF8F44</v>
      </c>
      <c r="B3553" t="str">
        <f>VLOOKUP(NoviaFunds[[#This Row],[ISIN]],'Novia Web Query'!$A:$E,2,FALSE)</f>
        <v>Sarasin Global Dividend P Acc in GB</v>
      </c>
      <c r="C3553" t="str">
        <f>VLOOKUP(NoviaFunds[[#This Row],[ISIN]],'Novia Web Query'!$A:$E,3,FALSE)</f>
        <v>UT Global Equity Income</v>
      </c>
      <c r="D3553" s="139">
        <f>VLOOKUP(NoviaFunds[[#This Row],[ISIN]],'Novia Web Query'!$A:$E,4,FALSE)/100</f>
        <v>9.7999999999999997E-3</v>
      </c>
      <c r="E3553" s="3" t="str">
        <f>VLOOKUP(NoviaFunds[[#This Row],[ISIN]],'Novia Web Query'!$A:$E,5,FALSE)</f>
        <v>30/06/2021</v>
      </c>
      <c r="F3553" t="str">
        <f>VLOOKUP(NoviaFunds[[#This Row],[Sector]],Sectors[],2,FALSE)</f>
        <v>Other Equities</v>
      </c>
    </row>
    <row r="3554" spans="1:6" x14ac:dyDescent="0.2">
      <c r="A3554" t="str">
        <f>'Novia Web Query'!A3550</f>
        <v>GB00BGDF8D20</v>
      </c>
      <c r="B3554" t="str">
        <f>VLOOKUP(NoviaFunds[[#This Row],[ISIN]],'Novia Web Query'!$A:$E,2,FALSE)</f>
        <v>Sarasin Global Dividend P Inc TR in GB</v>
      </c>
      <c r="C3554" t="str">
        <f>VLOOKUP(NoviaFunds[[#This Row],[ISIN]],'Novia Web Query'!$A:$E,3,FALSE)</f>
        <v>UT Global Equity Income</v>
      </c>
      <c r="D3554" s="139">
        <f>VLOOKUP(NoviaFunds[[#This Row],[ISIN]],'Novia Web Query'!$A:$E,4,FALSE)/100</f>
        <v>9.7999999999999997E-3</v>
      </c>
      <c r="E3554" s="3" t="str">
        <f>VLOOKUP(NoviaFunds[[#This Row],[ISIN]],'Novia Web Query'!$A:$E,5,FALSE)</f>
        <v>30/06/2021</v>
      </c>
      <c r="F3554" t="str">
        <f>VLOOKUP(NoviaFunds[[#This Row],[Sector]],Sectors[],2,FALSE)</f>
        <v>Other Equities</v>
      </c>
    </row>
    <row r="3555" spans="1:6" x14ac:dyDescent="0.2">
      <c r="A3555" t="str">
        <f>'Novia Web Query'!A3551</f>
        <v>GB00B13GW945</v>
      </c>
      <c r="B3555" t="str">
        <f>VLOOKUP(NoviaFunds[[#This Row],[ISIN]],'Novia Web Query'!$A:$E,2,FALSE)</f>
        <v>Sarasin Global Equity Real Return A Acc in GB</v>
      </c>
      <c r="C3555" t="str">
        <f>VLOOKUP(NoviaFunds[[#This Row],[ISIN]],'Novia Web Query'!$A:$E,3,FALSE)</f>
        <v>UT Mixed Investment 40-85% Shares</v>
      </c>
      <c r="D3555" s="139">
        <f>VLOOKUP(NoviaFunds[[#This Row],[ISIN]],'Novia Web Query'!$A:$E,4,FALSE)/100</f>
        <v>1.7299999999999999E-2</v>
      </c>
      <c r="E3555" s="3" t="str">
        <f>VLOOKUP(NoviaFunds[[#This Row],[ISIN]],'Novia Web Query'!$A:$E,5,FALSE)</f>
        <v>30/06/2021</v>
      </c>
      <c r="F3555" t="str">
        <f>VLOOKUP(NoviaFunds[[#This Row],[Sector]],Sectors[],2,FALSE)</f>
        <v>Mixed 40%-85%</v>
      </c>
    </row>
    <row r="3556" spans="1:6" x14ac:dyDescent="0.2">
      <c r="A3556" t="str">
        <f>'Novia Web Query'!A3552</f>
        <v>GB00B13GWB69</v>
      </c>
      <c r="B3556" t="str">
        <f>VLOOKUP(NoviaFunds[[#This Row],[ISIN]],'Novia Web Query'!$A:$E,2,FALSE)</f>
        <v>Sarasin Global Equity Real Return A Inc TR in GB</v>
      </c>
      <c r="C3556" t="str">
        <f>VLOOKUP(NoviaFunds[[#This Row],[ISIN]],'Novia Web Query'!$A:$E,3,FALSE)</f>
        <v>UT Mixed Investment 40-85% Shares</v>
      </c>
      <c r="D3556" s="139">
        <f>VLOOKUP(NoviaFunds[[#This Row],[ISIN]],'Novia Web Query'!$A:$E,4,FALSE)/100</f>
        <v>1.7299999999999999E-2</v>
      </c>
      <c r="E3556" s="3" t="str">
        <f>VLOOKUP(NoviaFunds[[#This Row],[ISIN]],'Novia Web Query'!$A:$E,5,FALSE)</f>
        <v>30/06/2021</v>
      </c>
      <c r="F3556" t="str">
        <f>VLOOKUP(NoviaFunds[[#This Row],[Sector]],Sectors[],2,FALSE)</f>
        <v>Mixed 40%-85%</v>
      </c>
    </row>
    <row r="3557" spans="1:6" x14ac:dyDescent="0.2">
      <c r="A3557" t="str">
        <f>'Novia Web Query'!A3553</f>
        <v>GB00B7W4B053</v>
      </c>
      <c r="B3557" t="str">
        <f>VLOOKUP(NoviaFunds[[#This Row],[ISIN]],'Novia Web Query'!$A:$E,2,FALSE)</f>
        <v>Sarasin Global Equity Real Return P Acc in GB</v>
      </c>
      <c r="C3557" t="str">
        <f>VLOOKUP(NoviaFunds[[#This Row],[ISIN]],'Novia Web Query'!$A:$E,3,FALSE)</f>
        <v>UT Mixed Investment 40-85% Shares</v>
      </c>
      <c r="D3557" s="139">
        <f>VLOOKUP(NoviaFunds[[#This Row],[ISIN]],'Novia Web Query'!$A:$E,4,FALSE)/100</f>
        <v>9.7999999999999997E-3</v>
      </c>
      <c r="E3557" s="3" t="str">
        <f>VLOOKUP(NoviaFunds[[#This Row],[ISIN]],'Novia Web Query'!$A:$E,5,FALSE)</f>
        <v>30/06/2021</v>
      </c>
      <c r="F3557" t="str">
        <f>VLOOKUP(NoviaFunds[[#This Row],[Sector]],Sectors[],2,FALSE)</f>
        <v>Mixed 40%-85%</v>
      </c>
    </row>
    <row r="3558" spans="1:6" x14ac:dyDescent="0.2">
      <c r="A3558" t="str">
        <f>'Novia Web Query'!A3554</f>
        <v>GB00B7SZSV27</v>
      </c>
      <c r="B3558" t="str">
        <f>VLOOKUP(NoviaFunds[[#This Row],[ISIN]],'Novia Web Query'!$A:$E,2,FALSE)</f>
        <v>Sarasin Global Equity Real Return P Inc TR in GB**</v>
      </c>
      <c r="C3558" t="str">
        <f>VLOOKUP(NoviaFunds[[#This Row],[ISIN]],'Novia Web Query'!$A:$E,3,FALSE)</f>
        <v>UT Mixed Investment 40-85% Shares</v>
      </c>
      <c r="D3558" s="139">
        <f>VLOOKUP(NoviaFunds[[#This Row],[ISIN]],'Novia Web Query'!$A:$E,4,FALSE)/100</f>
        <v>9.7999999999999997E-3</v>
      </c>
      <c r="E3558" s="3" t="str">
        <f>VLOOKUP(NoviaFunds[[#This Row],[ISIN]],'Novia Web Query'!$A:$E,5,FALSE)</f>
        <v>30/06/2021</v>
      </c>
      <c r="F3558" t="str">
        <f>VLOOKUP(NoviaFunds[[#This Row],[Sector]],Sectors[],2,FALSE)</f>
        <v>Mixed 40%-85%</v>
      </c>
    </row>
    <row r="3559" spans="1:6" x14ac:dyDescent="0.2">
      <c r="A3559" t="str">
        <f>'Novia Web Query'!A3555</f>
        <v>GB00B13GWH22</v>
      </c>
      <c r="B3559" t="str">
        <f>VLOOKUP(NoviaFunds[[#This Row],[ISIN]],'Novia Web Query'!$A:$E,2,FALSE)</f>
        <v>Sarasin Global Higher Dividend A Acc GBP in GB</v>
      </c>
      <c r="C3559" t="str">
        <f>VLOOKUP(NoviaFunds[[#This Row],[ISIN]],'Novia Web Query'!$A:$E,3,FALSE)</f>
        <v>UT Global Equity Income</v>
      </c>
      <c r="D3559" s="139">
        <f>VLOOKUP(NoviaFunds[[#This Row],[ISIN]],'Novia Web Query'!$A:$E,4,FALSE)/100</f>
        <v>1.7299999999999999E-2</v>
      </c>
      <c r="E3559" s="3" t="str">
        <f>VLOOKUP(NoviaFunds[[#This Row],[ISIN]],'Novia Web Query'!$A:$E,5,FALSE)</f>
        <v>30/06/2021</v>
      </c>
      <c r="F3559" t="str">
        <f>VLOOKUP(NoviaFunds[[#This Row],[Sector]],Sectors[],2,FALSE)</f>
        <v>Other Equities</v>
      </c>
    </row>
    <row r="3560" spans="1:6" x14ac:dyDescent="0.2">
      <c r="A3560" t="str">
        <f>'Novia Web Query'!A3556</f>
        <v>GB00B13GWJ46</v>
      </c>
      <c r="B3560" t="str">
        <f>VLOOKUP(NoviaFunds[[#This Row],[ISIN]],'Novia Web Query'!$A:$E,2,FALSE)</f>
        <v>Sarasin Global Higher Dividend A Inc GBP TR in GB</v>
      </c>
      <c r="C3560" t="str">
        <f>VLOOKUP(NoviaFunds[[#This Row],[ISIN]],'Novia Web Query'!$A:$E,3,FALSE)</f>
        <v>UT Global Equity Income</v>
      </c>
      <c r="D3560" s="139">
        <f>VLOOKUP(NoviaFunds[[#This Row],[ISIN]],'Novia Web Query'!$A:$E,4,FALSE)/100</f>
        <v>1.7299999999999999E-2</v>
      </c>
      <c r="E3560" s="3" t="str">
        <f>VLOOKUP(NoviaFunds[[#This Row],[ISIN]],'Novia Web Query'!$A:$E,5,FALSE)</f>
        <v>30/06/2021</v>
      </c>
      <c r="F3560" t="str">
        <f>VLOOKUP(NoviaFunds[[#This Row],[Sector]],Sectors[],2,FALSE)</f>
        <v>Other Equities</v>
      </c>
    </row>
    <row r="3561" spans="1:6" x14ac:dyDescent="0.2">
      <c r="A3561" t="str">
        <f>'Novia Web Query'!A3557</f>
        <v>GB00B84ZSV39</v>
      </c>
      <c r="B3561" t="str">
        <f>VLOOKUP(NoviaFunds[[#This Row],[ISIN]],'Novia Web Query'!$A:$E,2,FALSE)</f>
        <v>Sarasin Global Higher Dividend P Acc GBP in GB</v>
      </c>
      <c r="C3561" t="str">
        <f>VLOOKUP(NoviaFunds[[#This Row],[ISIN]],'Novia Web Query'!$A:$E,3,FALSE)</f>
        <v>UT Global Equity Income</v>
      </c>
      <c r="D3561" s="139">
        <f>VLOOKUP(NoviaFunds[[#This Row],[ISIN]],'Novia Web Query'!$A:$E,4,FALSE)/100</f>
        <v>9.7999999999999997E-3</v>
      </c>
      <c r="E3561" s="3" t="str">
        <f>VLOOKUP(NoviaFunds[[#This Row],[ISIN]],'Novia Web Query'!$A:$E,5,FALSE)</f>
        <v>30/06/2021</v>
      </c>
      <c r="F3561" t="str">
        <f>VLOOKUP(NoviaFunds[[#This Row],[Sector]],Sectors[],2,FALSE)</f>
        <v>Other Equities</v>
      </c>
    </row>
    <row r="3562" spans="1:6" x14ac:dyDescent="0.2">
      <c r="A3562" t="str">
        <f>'Novia Web Query'!A3558</f>
        <v>GB00BLB2NJ11</v>
      </c>
      <c r="B3562" t="str">
        <f>VLOOKUP(NoviaFunds[[#This Row],[ISIN]],'Novia Web Query'!$A:$E,2,FALSE)</f>
        <v>Sarasin Global Higher Dividend P Hedged Inc GBP TR in GB</v>
      </c>
      <c r="C3562" t="str">
        <f>VLOOKUP(NoviaFunds[[#This Row],[ISIN]],'Novia Web Query'!$A:$E,3,FALSE)</f>
        <v>UT Global Equity Income</v>
      </c>
      <c r="D3562" s="139">
        <f>VLOOKUP(NoviaFunds[[#This Row],[ISIN]],'Novia Web Query'!$A:$E,4,FALSE)/100</f>
        <v>9.7999999999999997E-3</v>
      </c>
      <c r="E3562" s="3" t="str">
        <f>VLOOKUP(NoviaFunds[[#This Row],[ISIN]],'Novia Web Query'!$A:$E,5,FALSE)</f>
        <v>30/06/2021</v>
      </c>
      <c r="F3562" t="str">
        <f>VLOOKUP(NoviaFunds[[#This Row],[Sector]],Sectors[],2,FALSE)</f>
        <v>Other Equities</v>
      </c>
    </row>
    <row r="3563" spans="1:6" x14ac:dyDescent="0.2">
      <c r="A3563" t="str">
        <f>'Novia Web Query'!A3559</f>
        <v>GB00B850BN01</v>
      </c>
      <c r="B3563" t="str">
        <f>VLOOKUP(NoviaFunds[[#This Row],[ISIN]],'Novia Web Query'!$A:$E,2,FALSE)</f>
        <v>Sarasin Global Higher Dividend P Inc GBP TR in GB**</v>
      </c>
      <c r="C3563" t="str">
        <f>VLOOKUP(NoviaFunds[[#This Row],[ISIN]],'Novia Web Query'!$A:$E,3,FALSE)</f>
        <v>UT Global Equity Income</v>
      </c>
      <c r="D3563" s="139">
        <f>VLOOKUP(NoviaFunds[[#This Row],[ISIN]],'Novia Web Query'!$A:$E,4,FALSE)/100</f>
        <v>9.7999999999999997E-3</v>
      </c>
      <c r="E3563" s="3" t="str">
        <f>VLOOKUP(NoviaFunds[[#This Row],[ISIN]],'Novia Web Query'!$A:$E,5,FALSE)</f>
        <v>30/06/2021</v>
      </c>
      <c r="F3563" t="str">
        <f>VLOOKUP(NoviaFunds[[#This Row],[Sector]],Sectors[],2,FALSE)</f>
        <v>Other Equities</v>
      </c>
    </row>
    <row r="3564" spans="1:6" x14ac:dyDescent="0.2">
      <c r="A3564" t="str">
        <f>'Novia Web Query'!A3560</f>
        <v>GB0009341768</v>
      </c>
      <c r="B3564" t="str">
        <f>VLOOKUP(NoviaFunds[[#This Row],[ISIN]],'Novia Web Query'!$A:$E,2,FALSE)</f>
        <v>Sarasin Multi Asset Strategic A Inc TR in GB</v>
      </c>
      <c r="C3564" t="str">
        <f>VLOOKUP(NoviaFunds[[#This Row],[ISIN]],'Novia Web Query'!$A:$E,3,FALSE)</f>
        <v>UT Mixed Investment 20-60% Shares</v>
      </c>
      <c r="D3564" s="139">
        <f>VLOOKUP(NoviaFunds[[#This Row],[ISIN]],'Novia Web Query'!$A:$E,4,FALSE)/100</f>
        <v>1.7899999999999999E-2</v>
      </c>
      <c r="E3564" s="3" t="str">
        <f>VLOOKUP(NoviaFunds[[#This Row],[ISIN]],'Novia Web Query'!$A:$E,5,FALSE)</f>
        <v>30/06/2021</v>
      </c>
      <c r="F3564" t="str">
        <f>VLOOKUP(NoviaFunds[[#This Row],[Sector]],Sectors[],2,FALSE)</f>
        <v>Mixed 20%-60%</v>
      </c>
    </row>
    <row r="3565" spans="1:6" x14ac:dyDescent="0.2">
      <c r="A3565" t="str">
        <f>'Novia Web Query'!A3561</f>
        <v>GB00B8DPZ138</v>
      </c>
      <c r="B3565" t="str">
        <f>VLOOKUP(NoviaFunds[[#This Row],[ISIN]],'Novia Web Query'!$A:$E,2,FALSE)</f>
        <v>Sarasin Multi Asset Strategic P Acc in GB</v>
      </c>
      <c r="C3565" t="str">
        <f>VLOOKUP(NoviaFunds[[#This Row],[ISIN]],'Novia Web Query'!$A:$E,3,FALSE)</f>
        <v>UT Mixed Investment 20-60% Shares</v>
      </c>
      <c r="D3565" s="139">
        <f>VLOOKUP(NoviaFunds[[#This Row],[ISIN]],'Novia Web Query'!$A:$E,4,FALSE)/100</f>
        <v>1.04E-2</v>
      </c>
      <c r="E3565" s="3" t="str">
        <f>VLOOKUP(NoviaFunds[[#This Row],[ISIN]],'Novia Web Query'!$A:$E,5,FALSE)</f>
        <v>30/06/2021</v>
      </c>
      <c r="F3565" t="str">
        <f>VLOOKUP(NoviaFunds[[#This Row],[Sector]],Sectors[],2,FALSE)</f>
        <v>Mixed 20%-60%</v>
      </c>
    </row>
    <row r="3566" spans="1:6" x14ac:dyDescent="0.2">
      <c r="A3566" t="str">
        <f>'Novia Web Query'!A3562</f>
        <v>GB00B7V4BG27</v>
      </c>
      <c r="B3566" t="str">
        <f>VLOOKUP(NoviaFunds[[#This Row],[ISIN]],'Novia Web Query'!$A:$E,2,FALSE)</f>
        <v>Sarasin Multi Asset Strategic P Inc TR in GB**</v>
      </c>
      <c r="C3566" t="str">
        <f>VLOOKUP(NoviaFunds[[#This Row],[ISIN]],'Novia Web Query'!$A:$E,3,FALSE)</f>
        <v>UT Mixed Investment 20-60% Shares</v>
      </c>
      <c r="D3566" s="139">
        <f>VLOOKUP(NoviaFunds[[#This Row],[ISIN]],'Novia Web Query'!$A:$E,4,FALSE)/100</f>
        <v>1.04E-2</v>
      </c>
      <c r="E3566" s="3" t="str">
        <f>VLOOKUP(NoviaFunds[[#This Row],[ISIN]],'Novia Web Query'!$A:$E,5,FALSE)</f>
        <v>30/06/2021</v>
      </c>
      <c r="F3566" t="str">
        <f>VLOOKUP(NoviaFunds[[#This Row],[Sector]],Sectors[],2,FALSE)</f>
        <v>Mixed 20%-60%</v>
      </c>
    </row>
    <row r="3567" spans="1:6" x14ac:dyDescent="0.2">
      <c r="A3567" t="str">
        <f>'Novia Web Query'!A3563</f>
        <v>GB00BYMB5T28</v>
      </c>
      <c r="B3567" t="str">
        <f>VLOOKUP(NoviaFunds[[#This Row],[ISIN]],'Novia Web Query'!$A:$E,2,FALSE)</f>
        <v>Sarasin Responsible Corporate Bond P Acc in GB</v>
      </c>
      <c r="C3567" t="str">
        <f>VLOOKUP(NoviaFunds[[#This Row],[ISIN]],'Novia Web Query'!$A:$E,3,FALSE)</f>
        <v>UT Sterling Corporate Bond</v>
      </c>
      <c r="D3567" s="139">
        <f>VLOOKUP(NoviaFunds[[#This Row],[ISIN]],'Novia Web Query'!$A:$E,4,FALSE)/100</f>
        <v>6.0999999999999995E-3</v>
      </c>
      <c r="E3567" s="3" t="str">
        <f>VLOOKUP(NoviaFunds[[#This Row],[ISIN]],'Novia Web Query'!$A:$E,5,FALSE)</f>
        <v>30/06/2021</v>
      </c>
      <c r="F3567" t="str">
        <f>VLOOKUP(NoviaFunds[[#This Row],[Sector]],Sectors[],2,FALSE)</f>
        <v>Sterling Corporate Bonds</v>
      </c>
    </row>
    <row r="3568" spans="1:6" x14ac:dyDescent="0.2">
      <c r="A3568" t="str">
        <f>'Novia Web Query'!A3564</f>
        <v>GB00BYMB5S11</v>
      </c>
      <c r="B3568" t="str">
        <f>VLOOKUP(NoviaFunds[[#This Row],[ISIN]],'Novia Web Query'!$A:$E,2,FALSE)</f>
        <v>Sarasin Responsible Corporate Bond P Inc TR in GB</v>
      </c>
      <c r="C3568" t="str">
        <f>VLOOKUP(NoviaFunds[[#This Row],[ISIN]],'Novia Web Query'!$A:$E,3,FALSE)</f>
        <v>UT Sterling Corporate Bond</v>
      </c>
      <c r="D3568" s="139">
        <f>VLOOKUP(NoviaFunds[[#This Row],[ISIN]],'Novia Web Query'!$A:$E,4,FALSE)/100</f>
        <v>6.0999999999999995E-3</v>
      </c>
      <c r="E3568" s="3" t="str">
        <f>VLOOKUP(NoviaFunds[[#This Row],[ISIN]],'Novia Web Query'!$A:$E,5,FALSE)</f>
        <v>30/06/2021</v>
      </c>
      <c r="F3568" t="str">
        <f>VLOOKUP(NoviaFunds[[#This Row],[Sector]],Sectors[],2,FALSE)</f>
        <v>Sterling Corporate Bonds</v>
      </c>
    </row>
    <row r="3569" spans="1:6" x14ac:dyDescent="0.2">
      <c r="A3569" t="str">
        <f>'Novia Web Query'!A3565</f>
        <v>GB00B4N86553</v>
      </c>
      <c r="B3569" t="str">
        <f>VLOOKUP(NoviaFunds[[#This Row],[ISIN]],'Novia Web Query'!$A:$E,2,FALSE)</f>
        <v>Sarasin Responsible Global Equity I Inc GBP TR in GB</v>
      </c>
      <c r="C3569" t="str">
        <f>VLOOKUP(NoviaFunds[[#This Row],[ISIN]],'Novia Web Query'!$A:$E,3,FALSE)</f>
        <v>UT Global</v>
      </c>
      <c r="D3569" s="139">
        <f>VLOOKUP(NoviaFunds[[#This Row],[ISIN]],'Novia Web Query'!$A:$E,4,FALSE)/100</f>
        <v>0.01</v>
      </c>
      <c r="E3569" s="3" t="str">
        <f>VLOOKUP(NoviaFunds[[#This Row],[ISIN]],'Novia Web Query'!$A:$E,5,FALSE)</f>
        <v>30/06/2021</v>
      </c>
      <c r="F3569" t="str">
        <f>VLOOKUP(NoviaFunds[[#This Row],[Sector]],Sectors[],2,FALSE)</f>
        <v>Other Equities</v>
      </c>
    </row>
    <row r="3570" spans="1:6" x14ac:dyDescent="0.2">
      <c r="A3570" t="str">
        <f>'Novia Web Query'!A3566</f>
        <v>GB00B8369M57</v>
      </c>
      <c r="B3570" t="str">
        <f>VLOOKUP(NoviaFunds[[#This Row],[ISIN]],'Novia Web Query'!$A:$E,2,FALSE)</f>
        <v>Sarasin Responsible Global Equity P Acc in GB</v>
      </c>
      <c r="C3570" t="str">
        <f>VLOOKUP(NoviaFunds[[#This Row],[ISIN]],'Novia Web Query'!$A:$E,3,FALSE)</f>
        <v>UT Global</v>
      </c>
      <c r="D3570" s="139">
        <f>VLOOKUP(NoviaFunds[[#This Row],[ISIN]],'Novia Web Query'!$A:$E,4,FALSE)/100</f>
        <v>9.5999999999999992E-3</v>
      </c>
      <c r="E3570" s="3" t="str">
        <f>VLOOKUP(NoviaFunds[[#This Row],[ISIN]],'Novia Web Query'!$A:$E,5,FALSE)</f>
        <v>30/06/2021</v>
      </c>
      <c r="F3570" t="str">
        <f>VLOOKUP(NoviaFunds[[#This Row],[Sector]],Sectors[],2,FALSE)</f>
        <v>Other Equities</v>
      </c>
    </row>
    <row r="3571" spans="1:6" x14ac:dyDescent="0.2">
      <c r="A3571" t="str">
        <f>'Novia Web Query'!A3567</f>
        <v>GB00BLB2NF72</v>
      </c>
      <c r="B3571" t="str">
        <f>VLOOKUP(NoviaFunds[[#This Row],[ISIN]],'Novia Web Query'!$A:$E,2,FALSE)</f>
        <v>Sarasin Responsible Global Equity P Hedged Acc GBP in GB</v>
      </c>
      <c r="C3571" t="str">
        <f>VLOOKUP(NoviaFunds[[#This Row],[ISIN]],'Novia Web Query'!$A:$E,3,FALSE)</f>
        <v>UT Global</v>
      </c>
      <c r="D3571" s="139">
        <f>VLOOKUP(NoviaFunds[[#This Row],[ISIN]],'Novia Web Query'!$A:$E,4,FALSE)/100</f>
        <v>9.5999999999999992E-3</v>
      </c>
      <c r="E3571" s="3" t="str">
        <f>VLOOKUP(NoviaFunds[[#This Row],[ISIN]],'Novia Web Query'!$A:$E,5,FALSE)</f>
        <v>30/06/2021</v>
      </c>
      <c r="F3571" t="str">
        <f>VLOOKUP(NoviaFunds[[#This Row],[Sector]],Sectors[],2,FALSE)</f>
        <v>Other Equities</v>
      </c>
    </row>
    <row r="3572" spans="1:6" x14ac:dyDescent="0.2">
      <c r="A3572" t="str">
        <f>'Novia Web Query'!A3568</f>
        <v>GB00B75JDT07</v>
      </c>
      <c r="B3572" t="str">
        <f>VLOOKUP(NoviaFunds[[#This Row],[ISIN]],'Novia Web Query'!$A:$E,2,FALSE)</f>
        <v>Sarasin Responsible Global Equity P Inc TR in GB</v>
      </c>
      <c r="C3572" t="str">
        <f>VLOOKUP(NoviaFunds[[#This Row],[ISIN]],'Novia Web Query'!$A:$E,3,FALSE)</f>
        <v>UT Global</v>
      </c>
      <c r="D3572" s="139">
        <f>VLOOKUP(NoviaFunds[[#This Row],[ISIN]],'Novia Web Query'!$A:$E,4,FALSE)/100</f>
        <v>9.5999999999999992E-3</v>
      </c>
      <c r="E3572" s="3" t="str">
        <f>VLOOKUP(NoviaFunds[[#This Row],[ISIN]],'Novia Web Query'!$A:$E,5,FALSE)</f>
        <v>30/06/2021</v>
      </c>
      <c r="F3572" t="str">
        <f>VLOOKUP(NoviaFunds[[#This Row],[Sector]],Sectors[],2,FALSE)</f>
        <v>Other Equities</v>
      </c>
    </row>
    <row r="3573" spans="1:6" x14ac:dyDescent="0.2">
      <c r="A3573" t="str">
        <f>'Novia Web Query'!A3569</f>
        <v>GB00B13GWF08</v>
      </c>
      <c r="B3573" t="str">
        <f>VLOOKUP(NoviaFunds[[#This Row],[ISIN]],'Novia Web Query'!$A:$E,2,FALSE)</f>
        <v>Sarasin Sterling Bond I Acc in GB</v>
      </c>
      <c r="C3573" t="str">
        <f>VLOOKUP(NoviaFunds[[#This Row],[ISIN]],'Novia Web Query'!$A:$E,3,FALSE)</f>
        <v>UT Sterling Strategic Bond</v>
      </c>
      <c r="D3573" s="139">
        <f>VLOOKUP(NoviaFunds[[#This Row],[ISIN]],'Novia Web Query'!$A:$E,4,FALSE)/100</f>
        <v>7.0999999999999995E-3</v>
      </c>
      <c r="E3573" s="3" t="str">
        <f>VLOOKUP(NoviaFunds[[#This Row],[ISIN]],'Novia Web Query'!$A:$E,5,FALSE)</f>
        <v>30/06/2021</v>
      </c>
      <c r="F3573" t="str">
        <f>VLOOKUP(NoviaFunds[[#This Row],[Sector]],Sectors[],2,FALSE)</f>
        <v>Other Bonds</v>
      </c>
    </row>
    <row r="3574" spans="1:6" x14ac:dyDescent="0.2">
      <c r="A3574" t="str">
        <f>'Novia Web Query'!A3570</f>
        <v>GB00B13GWG15</v>
      </c>
      <c r="B3574" t="str">
        <f>VLOOKUP(NoviaFunds[[#This Row],[ISIN]],'Novia Web Query'!$A:$E,2,FALSE)</f>
        <v>Sarasin Sterling Bond I Inc TR in GB</v>
      </c>
      <c r="C3574" t="str">
        <f>VLOOKUP(NoviaFunds[[#This Row],[ISIN]],'Novia Web Query'!$A:$E,3,FALSE)</f>
        <v>UT Sterling Strategic Bond</v>
      </c>
      <c r="D3574" s="139">
        <f>VLOOKUP(NoviaFunds[[#This Row],[ISIN]],'Novia Web Query'!$A:$E,4,FALSE)/100</f>
        <v>7.0999999999999995E-3</v>
      </c>
      <c r="E3574" s="3" t="str">
        <f>VLOOKUP(NoviaFunds[[#This Row],[ISIN]],'Novia Web Query'!$A:$E,5,FALSE)</f>
        <v>30/06/2021</v>
      </c>
      <c r="F3574" t="str">
        <f>VLOOKUP(NoviaFunds[[#This Row],[Sector]],Sectors[],2,FALSE)</f>
        <v>Other Bonds</v>
      </c>
    </row>
    <row r="3575" spans="1:6" x14ac:dyDescent="0.2">
      <c r="A3575" t="str">
        <f>'Novia Web Query'!A3571</f>
        <v>GB0009341214</v>
      </c>
      <c r="B3575" t="str">
        <f>VLOOKUP(NoviaFunds[[#This Row],[ISIN]],'Novia Web Query'!$A:$E,2,FALSE)</f>
        <v>Sarasin Thematic Global Equity A Acc in GB</v>
      </c>
      <c r="C3575" t="str">
        <f>VLOOKUP(NoviaFunds[[#This Row],[ISIN]],'Novia Web Query'!$A:$E,3,FALSE)</f>
        <v>UT Global</v>
      </c>
      <c r="D3575" s="139">
        <f>VLOOKUP(NoviaFunds[[#This Row],[ISIN]],'Novia Web Query'!$A:$E,4,FALSE)/100</f>
        <v>1.7100000000000001E-2</v>
      </c>
      <c r="E3575" s="3" t="str">
        <f>VLOOKUP(NoviaFunds[[#This Row],[ISIN]],'Novia Web Query'!$A:$E,5,FALSE)</f>
        <v>30/06/2021</v>
      </c>
      <c r="F3575" t="str">
        <f>VLOOKUP(NoviaFunds[[#This Row],[Sector]],Sectors[],2,FALSE)</f>
        <v>Other Equities</v>
      </c>
    </row>
    <row r="3576" spans="1:6" x14ac:dyDescent="0.2">
      <c r="A3576" t="str">
        <f>'Novia Web Query'!A3572</f>
        <v>GB0009340919</v>
      </c>
      <c r="B3576" t="str">
        <f>VLOOKUP(NoviaFunds[[#This Row],[ISIN]],'Novia Web Query'!$A:$E,2,FALSE)</f>
        <v>Sarasin Thematic Global Equity A Inc TR in GB</v>
      </c>
      <c r="C3576" t="str">
        <f>VLOOKUP(NoviaFunds[[#This Row],[ISIN]],'Novia Web Query'!$A:$E,3,FALSE)</f>
        <v>UT Global</v>
      </c>
      <c r="D3576" s="139">
        <f>VLOOKUP(NoviaFunds[[#This Row],[ISIN]],'Novia Web Query'!$A:$E,4,FALSE)/100</f>
        <v>1.7100000000000001E-2</v>
      </c>
      <c r="E3576" s="3" t="str">
        <f>VLOOKUP(NoviaFunds[[#This Row],[ISIN]],'Novia Web Query'!$A:$E,5,FALSE)</f>
        <v>30/06/2021</v>
      </c>
      <c r="F3576" t="str">
        <f>VLOOKUP(NoviaFunds[[#This Row],[Sector]],Sectors[],2,FALSE)</f>
        <v>Other Equities</v>
      </c>
    </row>
    <row r="3577" spans="1:6" x14ac:dyDescent="0.2">
      <c r="A3577" t="str">
        <f>'Novia Web Query'!A3573</f>
        <v>GB0009341651</v>
      </c>
      <c r="B3577" t="str">
        <f>VLOOKUP(NoviaFunds[[#This Row],[ISIN]],'Novia Web Query'!$A:$E,2,FALSE)</f>
        <v>Sarasin Thematic Global Equity I Acc in GB</v>
      </c>
      <c r="C3577" t="str">
        <f>VLOOKUP(NoviaFunds[[#This Row],[ISIN]],'Novia Web Query'!$A:$E,3,FALSE)</f>
        <v>UT Global</v>
      </c>
      <c r="D3577" s="139">
        <f>VLOOKUP(NoviaFunds[[#This Row],[ISIN]],'Novia Web Query'!$A:$E,4,FALSE)/100</f>
        <v>1.06E-2</v>
      </c>
      <c r="E3577" s="3" t="str">
        <f>VLOOKUP(NoviaFunds[[#This Row],[ISIN]],'Novia Web Query'!$A:$E,5,FALSE)</f>
        <v>30/06/2021</v>
      </c>
      <c r="F3577" t="str">
        <f>VLOOKUP(NoviaFunds[[#This Row],[Sector]],Sectors[],2,FALSE)</f>
        <v>Other Equities</v>
      </c>
    </row>
    <row r="3578" spans="1:6" x14ac:dyDescent="0.2">
      <c r="A3578" t="str">
        <f>'Novia Web Query'!A3574</f>
        <v>GB00B8BPJF77</v>
      </c>
      <c r="B3578" t="str">
        <f>VLOOKUP(NoviaFunds[[#This Row],[ISIN]],'Novia Web Query'!$A:$E,2,FALSE)</f>
        <v>Sarasin Thematic Global Equity P Acc in GB</v>
      </c>
      <c r="C3578" t="str">
        <f>VLOOKUP(NoviaFunds[[#This Row],[ISIN]],'Novia Web Query'!$A:$E,3,FALSE)</f>
        <v>UT Global</v>
      </c>
      <c r="D3578" s="139">
        <f>VLOOKUP(NoviaFunds[[#This Row],[ISIN]],'Novia Web Query'!$A:$E,4,FALSE)/100</f>
        <v>9.5999999999999992E-3</v>
      </c>
      <c r="E3578" s="3" t="str">
        <f>VLOOKUP(NoviaFunds[[#This Row],[ISIN]],'Novia Web Query'!$A:$E,5,FALSE)</f>
        <v>30/06/2021</v>
      </c>
      <c r="F3578" t="str">
        <f>VLOOKUP(NoviaFunds[[#This Row],[Sector]],Sectors[],2,FALSE)</f>
        <v>Other Equities</v>
      </c>
    </row>
    <row r="3579" spans="1:6" x14ac:dyDescent="0.2">
      <c r="A3579" t="str">
        <f>'Novia Web Query'!A3575</f>
        <v>GB00BLB2NL33</v>
      </c>
      <c r="B3579" t="str">
        <f>VLOOKUP(NoviaFunds[[#This Row],[ISIN]],'Novia Web Query'!$A:$E,2,FALSE)</f>
        <v>Sarasin Thematic Global Equity P Hedged Acc GBP in GB</v>
      </c>
      <c r="C3579" t="str">
        <f>VLOOKUP(NoviaFunds[[#This Row],[ISIN]],'Novia Web Query'!$A:$E,3,FALSE)</f>
        <v>UT Global</v>
      </c>
      <c r="D3579" s="139">
        <f>VLOOKUP(NoviaFunds[[#This Row],[ISIN]],'Novia Web Query'!$A:$E,4,FALSE)/100</f>
        <v>9.5999999999999992E-3</v>
      </c>
      <c r="E3579" s="3" t="str">
        <f>VLOOKUP(NoviaFunds[[#This Row],[ISIN]],'Novia Web Query'!$A:$E,5,FALSE)</f>
        <v>30/06/2021</v>
      </c>
      <c r="F3579" t="str">
        <f>VLOOKUP(NoviaFunds[[#This Row],[Sector]],Sectors[],2,FALSE)</f>
        <v>Other Equities</v>
      </c>
    </row>
    <row r="3580" spans="1:6" x14ac:dyDescent="0.2">
      <c r="A3580" t="str">
        <f>'Novia Web Query'!A3576</f>
        <v>GB00B7MSZ499</v>
      </c>
      <c r="B3580" t="str">
        <f>VLOOKUP(NoviaFunds[[#This Row],[ISIN]],'Novia Web Query'!$A:$E,2,FALSE)</f>
        <v>Sarasin Thematic Global Equity P Inc TR in GB**</v>
      </c>
      <c r="C3580" t="str">
        <f>VLOOKUP(NoviaFunds[[#This Row],[ISIN]],'Novia Web Query'!$A:$E,3,FALSE)</f>
        <v>UT Global</v>
      </c>
      <c r="D3580" s="139">
        <f>VLOOKUP(NoviaFunds[[#This Row],[ISIN]],'Novia Web Query'!$A:$E,4,FALSE)/100</f>
        <v>9.5999999999999992E-3</v>
      </c>
      <c r="E3580" s="3" t="str">
        <f>VLOOKUP(NoviaFunds[[#This Row],[ISIN]],'Novia Web Query'!$A:$E,5,FALSE)</f>
        <v>30/06/2021</v>
      </c>
      <c r="F3580" t="str">
        <f>VLOOKUP(NoviaFunds[[#This Row],[Sector]],Sectors[],2,FALSE)</f>
        <v>Other Equities</v>
      </c>
    </row>
    <row r="3581" spans="1:6" x14ac:dyDescent="0.2">
      <c r="A3581" t="str">
        <f>'Novia Web Query'!A3577</f>
        <v>GB00B7XS1T58</v>
      </c>
      <c r="B3581" t="str">
        <f>VLOOKUP(NoviaFunds[[#This Row],[ISIN]],'Novia Web Query'!$A:$E,2,FALSE)</f>
        <v>Sarasin UK Thematic Smaller Companies P Acc in GB</v>
      </c>
      <c r="C3581" t="str">
        <f>VLOOKUP(NoviaFunds[[#This Row],[ISIN]],'Novia Web Query'!$A:$E,3,FALSE)</f>
        <v>UT UK Smaller Companies</v>
      </c>
      <c r="D3581" s="139">
        <f>VLOOKUP(NoviaFunds[[#This Row],[ISIN]],'Novia Web Query'!$A:$E,4,FALSE)/100</f>
        <v>9.5999999999999992E-3</v>
      </c>
      <c r="E3581" s="3" t="str">
        <f>VLOOKUP(NoviaFunds[[#This Row],[ISIN]],'Novia Web Query'!$A:$E,5,FALSE)</f>
        <v>30/06/2021</v>
      </c>
      <c r="F3581" t="str">
        <f>VLOOKUP(NoviaFunds[[#This Row],[Sector]],Sectors[],2,FALSE)</f>
        <v>UK Equities</v>
      </c>
    </row>
    <row r="3582" spans="1:6" x14ac:dyDescent="0.2">
      <c r="A3582" t="str">
        <f>'Novia Web Query'!A3578</f>
        <v>GB00B887BV65</v>
      </c>
      <c r="B3582" t="str">
        <f>VLOOKUP(NoviaFunds[[#This Row],[ISIN]],'Novia Web Query'!$A:$E,2,FALSE)</f>
        <v>Sarasin UK Thematic Smaller Companies P Inc TR in GB**</v>
      </c>
      <c r="C3582" t="str">
        <f>VLOOKUP(NoviaFunds[[#This Row],[ISIN]],'Novia Web Query'!$A:$E,3,FALSE)</f>
        <v>UT UK Smaller Companies</v>
      </c>
      <c r="D3582" s="139">
        <f>VLOOKUP(NoviaFunds[[#This Row],[ISIN]],'Novia Web Query'!$A:$E,4,FALSE)/100</f>
        <v>9.5999999999999992E-3</v>
      </c>
      <c r="E3582" s="3" t="str">
        <f>VLOOKUP(NoviaFunds[[#This Row],[ISIN]],'Novia Web Query'!$A:$E,5,FALSE)</f>
        <v>30/06/2021</v>
      </c>
      <c r="F3582" t="str">
        <f>VLOOKUP(NoviaFunds[[#This Row],[Sector]],Sectors[],2,FALSE)</f>
        <v>UK Equities</v>
      </c>
    </row>
    <row r="3583" spans="1:6" x14ac:dyDescent="0.2">
      <c r="A3583" t="str">
        <f>'Novia Web Query'!A3579</f>
        <v>GB0007905945</v>
      </c>
      <c r="B3583" t="str">
        <f>VLOOKUP(NoviaFunds[[#This Row],[ISIN]],'Novia Web Query'!$A:$E,2,FALSE)</f>
        <v>Schroder Absolute Return Bond A Acc in GB</v>
      </c>
      <c r="C3583" t="str">
        <f>VLOOKUP(NoviaFunds[[#This Row],[ISIN]],'Novia Web Query'!$A:$E,3,FALSE)</f>
        <v>UT Targeted Absolute Return</v>
      </c>
      <c r="D3583" s="139">
        <f>VLOOKUP(NoviaFunds[[#This Row],[ISIN]],'Novia Web Query'!$A:$E,4,FALSE)/100</f>
        <v>1.0700000000000001E-2</v>
      </c>
      <c r="E3583" s="3" t="str">
        <f>VLOOKUP(NoviaFunds[[#This Row],[ISIN]],'Novia Web Query'!$A:$E,5,FALSE)</f>
        <v>14/01/2021</v>
      </c>
      <c r="F3583" t="str">
        <f>VLOOKUP(NoviaFunds[[#This Row],[Sector]],Sectors[],2,FALSE)</f>
        <v>Absolute Return</v>
      </c>
    </row>
    <row r="3584" spans="1:6" x14ac:dyDescent="0.2">
      <c r="A3584" t="str">
        <f>'Novia Web Query'!A3580</f>
        <v>GB0007905721</v>
      </c>
      <c r="B3584" t="str">
        <f>VLOOKUP(NoviaFunds[[#This Row],[ISIN]],'Novia Web Query'!$A:$E,2,FALSE)</f>
        <v>Schroder Absolute Return Bond A Inc TR in GB</v>
      </c>
      <c r="C3584" t="str">
        <f>VLOOKUP(NoviaFunds[[#This Row],[ISIN]],'Novia Web Query'!$A:$E,3,FALSE)</f>
        <v>UT Targeted Absolute Return</v>
      </c>
      <c r="D3584" s="139">
        <f>VLOOKUP(NoviaFunds[[#This Row],[ISIN]],'Novia Web Query'!$A:$E,4,FALSE)/100</f>
        <v>1.0700000000000001E-2</v>
      </c>
      <c r="E3584" s="3" t="str">
        <f>VLOOKUP(NoviaFunds[[#This Row],[ISIN]],'Novia Web Query'!$A:$E,5,FALSE)</f>
        <v>14/01/2021</v>
      </c>
      <c r="F3584" t="str">
        <f>VLOOKUP(NoviaFunds[[#This Row],[Sector]],Sectors[],2,FALSE)</f>
        <v>Absolute Return</v>
      </c>
    </row>
    <row r="3585" spans="1:6" x14ac:dyDescent="0.2">
      <c r="A3585" t="str">
        <f>'Novia Web Query'!A3581</f>
        <v>GB00B57BFC79</v>
      </c>
      <c r="B3585" t="str">
        <f>VLOOKUP(NoviaFunds[[#This Row],[ISIN]],'Novia Web Query'!$A:$E,2,FALSE)</f>
        <v>Schroder Absolute Return Bond Z Acc in GB</v>
      </c>
      <c r="C3585" t="str">
        <f>VLOOKUP(NoviaFunds[[#This Row],[ISIN]],'Novia Web Query'!$A:$E,3,FALSE)</f>
        <v>UT Targeted Absolute Return</v>
      </c>
      <c r="D3585" s="139">
        <f>VLOOKUP(NoviaFunds[[#This Row],[ISIN]],'Novia Web Query'!$A:$E,4,FALSE)/100</f>
        <v>6.5000000000000006E-3</v>
      </c>
      <c r="E3585" s="3" t="str">
        <f>VLOOKUP(NoviaFunds[[#This Row],[ISIN]],'Novia Web Query'!$A:$E,5,FALSE)</f>
        <v>08/12/2021</v>
      </c>
      <c r="F3585" t="str">
        <f>VLOOKUP(NoviaFunds[[#This Row],[Sector]],Sectors[],2,FALSE)</f>
        <v>Absolute Return</v>
      </c>
    </row>
    <row r="3586" spans="1:6" x14ac:dyDescent="0.2">
      <c r="A3586" t="str">
        <f>'Novia Web Query'!A3582</f>
        <v>GB00B5W01T86</v>
      </c>
      <c r="B3586" t="str">
        <f>VLOOKUP(NoviaFunds[[#This Row],[ISIN]],'Novia Web Query'!$A:$E,2,FALSE)</f>
        <v>Schroder Absolute Return Bond Z Inc TR in GB</v>
      </c>
      <c r="C3586" t="str">
        <f>VLOOKUP(NoviaFunds[[#This Row],[ISIN]],'Novia Web Query'!$A:$E,3,FALSE)</f>
        <v>UT Targeted Absolute Return</v>
      </c>
      <c r="D3586" s="139">
        <f>VLOOKUP(NoviaFunds[[#This Row],[ISIN]],'Novia Web Query'!$A:$E,4,FALSE)/100</f>
        <v>6.7000000000000002E-3</v>
      </c>
      <c r="E3586" s="3" t="str">
        <f>VLOOKUP(NoviaFunds[[#This Row],[ISIN]],'Novia Web Query'!$A:$E,5,FALSE)</f>
        <v>14/01/2021</v>
      </c>
      <c r="F3586" t="str">
        <f>VLOOKUP(NoviaFunds[[#This Row],[Sector]],Sectors[],2,FALSE)</f>
        <v>Absolute Return</v>
      </c>
    </row>
    <row r="3587" spans="1:6" x14ac:dyDescent="0.2">
      <c r="A3587" t="str">
        <f>'Novia Web Query'!A3583</f>
        <v>GB00B55K8Z03</v>
      </c>
      <c r="B3587" t="str">
        <f>VLOOKUP(NoviaFunds[[#This Row],[ISIN]],'Novia Web Query'!$A:$E,2,FALSE)</f>
        <v>Schroder All Maturities Corporate Bond A Inc TR in GB</v>
      </c>
      <c r="C3587" t="str">
        <f>VLOOKUP(NoviaFunds[[#This Row],[ISIN]],'Novia Web Query'!$A:$E,3,FALSE)</f>
        <v>UT Sterling Corporate Bond</v>
      </c>
      <c r="D3587" s="139">
        <f>VLOOKUP(NoviaFunds[[#This Row],[ISIN]],'Novia Web Query'!$A:$E,4,FALSE)/100</f>
        <v>1.09E-2</v>
      </c>
      <c r="E3587" s="3" t="str">
        <f>VLOOKUP(NoviaFunds[[#This Row],[ISIN]],'Novia Web Query'!$A:$E,5,FALSE)</f>
        <v>21/04/2021</v>
      </c>
      <c r="F3587" t="str">
        <f>VLOOKUP(NoviaFunds[[#This Row],[Sector]],Sectors[],2,FALSE)</f>
        <v>Sterling Corporate Bonds</v>
      </c>
    </row>
    <row r="3588" spans="1:6" x14ac:dyDescent="0.2">
      <c r="A3588" t="str">
        <f>'Novia Web Query'!A3584</f>
        <v>GB00B4V0R051</v>
      </c>
      <c r="B3588" t="str">
        <f>VLOOKUP(NoviaFunds[[#This Row],[ISIN]],'Novia Web Query'!$A:$E,2,FALSE)</f>
        <v>Schroder All Maturities Corporate Bond Z Acc in GB**</v>
      </c>
      <c r="C3588" t="str">
        <f>VLOOKUP(NoviaFunds[[#This Row],[ISIN]],'Novia Web Query'!$A:$E,3,FALSE)</f>
        <v>UT Sterling Corporate Bond</v>
      </c>
      <c r="D3588" s="139">
        <f>VLOOKUP(NoviaFunds[[#This Row],[ISIN]],'Novia Web Query'!$A:$E,4,FALSE)/100</f>
        <v>5.4000000000000003E-3</v>
      </c>
      <c r="E3588" s="3" t="str">
        <f>VLOOKUP(NoviaFunds[[#This Row],[ISIN]],'Novia Web Query'!$A:$E,5,FALSE)</f>
        <v>21/04/2021</v>
      </c>
      <c r="F3588" t="str">
        <f>VLOOKUP(NoviaFunds[[#This Row],[Sector]],Sectors[],2,FALSE)</f>
        <v>Sterling Corporate Bonds</v>
      </c>
    </row>
    <row r="3589" spans="1:6" x14ac:dyDescent="0.2">
      <c r="A3589" t="str">
        <f>'Novia Web Query'!A3585</f>
        <v>GB00B4V0R507</v>
      </c>
      <c r="B3589" t="str">
        <f>VLOOKUP(NoviaFunds[[#This Row],[ISIN]],'Novia Web Query'!$A:$E,2,FALSE)</f>
        <v>Schroder All Maturities Corporate Bond Z Inc TR in GB**</v>
      </c>
      <c r="C3589" t="str">
        <f>VLOOKUP(NoviaFunds[[#This Row],[ISIN]],'Novia Web Query'!$A:$E,3,FALSE)</f>
        <v>UT Sterling Corporate Bond</v>
      </c>
      <c r="D3589" s="139">
        <f>VLOOKUP(NoviaFunds[[#This Row],[ISIN]],'Novia Web Query'!$A:$E,4,FALSE)/100</f>
        <v>5.4000000000000003E-3</v>
      </c>
      <c r="E3589" s="3" t="str">
        <f>VLOOKUP(NoviaFunds[[#This Row],[ISIN]],'Novia Web Query'!$A:$E,5,FALSE)</f>
        <v>21/04/2021</v>
      </c>
      <c r="F3589" t="str">
        <f>VLOOKUP(NoviaFunds[[#This Row],[Sector]],Sectors[],2,FALSE)</f>
        <v>Sterling Corporate Bonds</v>
      </c>
    </row>
    <row r="3590" spans="1:6" x14ac:dyDescent="0.2">
      <c r="A3590" t="str">
        <f>'Novia Web Query'!A3586</f>
        <v>GB00B284G093</v>
      </c>
      <c r="B3590" t="str">
        <f>VLOOKUP(NoviaFunds[[#This Row],[ISIN]],'Novia Web Query'!$A:$E,2,FALSE)</f>
        <v>Schroder Asian Alpha Plus A Acc in GB</v>
      </c>
      <c r="C3590" t="str">
        <f>VLOOKUP(NoviaFunds[[#This Row],[ISIN]],'Novia Web Query'!$A:$E,3,FALSE)</f>
        <v>UT Asia Pacific Excluding Japan</v>
      </c>
      <c r="D3590" s="139">
        <f>VLOOKUP(NoviaFunds[[#This Row],[ISIN]],'Novia Web Query'!$A:$E,4,FALSE)/100</f>
        <v>1.67E-2</v>
      </c>
      <c r="E3590" s="3" t="str">
        <f>VLOOKUP(NoviaFunds[[#This Row],[ISIN]],'Novia Web Query'!$A:$E,5,FALSE)</f>
        <v>21/04/2021</v>
      </c>
      <c r="F3590" t="str">
        <f>VLOOKUP(NoviaFunds[[#This Row],[Sector]],Sectors[],2,FALSE)</f>
        <v>Asia Pacific</v>
      </c>
    </row>
    <row r="3591" spans="1:6" x14ac:dyDescent="0.2">
      <c r="A3591" t="str">
        <f>'Novia Web Query'!A3587</f>
        <v>GB00B284G325</v>
      </c>
      <c r="B3591" t="str">
        <f>VLOOKUP(NoviaFunds[[#This Row],[ISIN]],'Novia Web Query'!$A:$E,2,FALSE)</f>
        <v>Schroder Asian Alpha Plus A Inc TR in GB</v>
      </c>
      <c r="C3591" t="str">
        <f>VLOOKUP(NoviaFunds[[#This Row],[ISIN]],'Novia Web Query'!$A:$E,3,FALSE)</f>
        <v>UT Asia Pacific Excluding Japan</v>
      </c>
      <c r="D3591" s="139">
        <f>VLOOKUP(NoviaFunds[[#This Row],[ISIN]],'Novia Web Query'!$A:$E,4,FALSE)/100</f>
        <v>1.67E-2</v>
      </c>
      <c r="E3591" s="3" t="str">
        <f>VLOOKUP(NoviaFunds[[#This Row],[ISIN]],'Novia Web Query'!$A:$E,5,FALSE)</f>
        <v>21/04/2021</v>
      </c>
      <c r="F3591" t="str">
        <f>VLOOKUP(NoviaFunds[[#This Row],[Sector]],Sectors[],2,FALSE)</f>
        <v>Asia Pacific</v>
      </c>
    </row>
    <row r="3592" spans="1:6" x14ac:dyDescent="0.2">
      <c r="A3592" t="str">
        <f>'Novia Web Query'!A3588</f>
        <v>GB00BDD27J12</v>
      </c>
      <c r="B3592" t="str">
        <f>VLOOKUP(NoviaFunds[[#This Row],[ISIN]],'Novia Web Query'!$A:$E,2,FALSE)</f>
        <v>Schroder Asian Alpha Plus L Acc in GB</v>
      </c>
      <c r="C3592" t="str">
        <f>VLOOKUP(NoviaFunds[[#This Row],[ISIN]],'Novia Web Query'!$A:$E,3,FALSE)</f>
        <v>UT Asia Pacific Excluding Japan</v>
      </c>
      <c r="D3592" s="139">
        <f>VLOOKUP(NoviaFunds[[#This Row],[ISIN]],'Novia Web Query'!$A:$E,4,FALSE)/100</f>
        <v>8.3999999999999995E-3</v>
      </c>
      <c r="E3592" s="3" t="str">
        <f>VLOOKUP(NoviaFunds[[#This Row],[ISIN]],'Novia Web Query'!$A:$E,5,FALSE)</f>
        <v>21/04/2021</v>
      </c>
      <c r="F3592" t="str">
        <f>VLOOKUP(NoviaFunds[[#This Row],[Sector]],Sectors[],2,FALSE)</f>
        <v>Asia Pacific</v>
      </c>
    </row>
    <row r="3593" spans="1:6" x14ac:dyDescent="0.2">
      <c r="A3593" t="str">
        <f>'Novia Web Query'!A3589</f>
        <v>GB00BDD27K27</v>
      </c>
      <c r="B3593" t="str">
        <f>VLOOKUP(NoviaFunds[[#This Row],[ISIN]],'Novia Web Query'!$A:$E,2,FALSE)</f>
        <v>Schroder Asian Alpha Plus L Inc TR in GB</v>
      </c>
      <c r="C3593" t="str">
        <f>VLOOKUP(NoviaFunds[[#This Row],[ISIN]],'Novia Web Query'!$A:$E,3,FALSE)</f>
        <v>UT Asia Pacific Excluding Japan</v>
      </c>
      <c r="D3593" s="139">
        <f>VLOOKUP(NoviaFunds[[#This Row],[ISIN]],'Novia Web Query'!$A:$E,4,FALSE)/100</f>
        <v>8.3999999999999995E-3</v>
      </c>
      <c r="E3593" s="3" t="str">
        <f>VLOOKUP(NoviaFunds[[#This Row],[ISIN]],'Novia Web Query'!$A:$E,5,FALSE)</f>
        <v>21/04/2021</v>
      </c>
      <c r="F3593" t="str">
        <f>VLOOKUP(NoviaFunds[[#This Row],[Sector]],Sectors[],2,FALSE)</f>
        <v>Asia Pacific</v>
      </c>
    </row>
    <row r="3594" spans="1:6" x14ac:dyDescent="0.2">
      <c r="A3594" t="str">
        <f>'Novia Web Query'!A3590</f>
        <v>GB00B5BG4980</v>
      </c>
      <c r="B3594" t="str">
        <f>VLOOKUP(NoviaFunds[[#This Row],[ISIN]],'Novia Web Query'!$A:$E,2,FALSE)</f>
        <v>Schroder Asian Alpha Plus Z Acc in GB</v>
      </c>
      <c r="C3594" t="str">
        <f>VLOOKUP(NoviaFunds[[#This Row],[ISIN]],'Novia Web Query'!$A:$E,3,FALSE)</f>
        <v>UT Asia Pacific Excluding Japan</v>
      </c>
      <c r="D3594" s="139">
        <f>VLOOKUP(NoviaFunds[[#This Row],[ISIN]],'Novia Web Query'!$A:$E,4,FALSE)/100</f>
        <v>9.1999999999999998E-3</v>
      </c>
      <c r="E3594" s="3" t="str">
        <f>VLOOKUP(NoviaFunds[[#This Row],[ISIN]],'Novia Web Query'!$A:$E,5,FALSE)</f>
        <v>21/04/2021</v>
      </c>
      <c r="F3594" t="str">
        <f>VLOOKUP(NoviaFunds[[#This Row],[Sector]],Sectors[],2,FALSE)</f>
        <v>Asia Pacific</v>
      </c>
    </row>
    <row r="3595" spans="1:6" x14ac:dyDescent="0.2">
      <c r="A3595" t="str">
        <f>'Novia Web Query'!A3591</f>
        <v>GB00B5V2VR34</v>
      </c>
      <c r="B3595" t="str">
        <f>VLOOKUP(NoviaFunds[[#This Row],[ISIN]],'Novia Web Query'!$A:$E,2,FALSE)</f>
        <v>Schroder Asian Alpha Plus Z Inc TR in GB</v>
      </c>
      <c r="C3595" t="str">
        <f>VLOOKUP(NoviaFunds[[#This Row],[ISIN]],'Novia Web Query'!$A:$E,3,FALSE)</f>
        <v>UT Asia Pacific Excluding Japan</v>
      </c>
      <c r="D3595" s="139">
        <f>VLOOKUP(NoviaFunds[[#This Row],[ISIN]],'Novia Web Query'!$A:$E,4,FALSE)/100</f>
        <v>9.1999999999999998E-3</v>
      </c>
      <c r="E3595" s="3" t="str">
        <f>VLOOKUP(NoviaFunds[[#This Row],[ISIN]],'Novia Web Query'!$A:$E,5,FALSE)</f>
        <v>21/04/2021</v>
      </c>
      <c r="F3595" t="str">
        <f>VLOOKUP(NoviaFunds[[#This Row],[Sector]],Sectors[],2,FALSE)</f>
        <v>Asia Pacific</v>
      </c>
    </row>
    <row r="3596" spans="1:6" x14ac:dyDescent="0.2">
      <c r="A3596" t="str">
        <f>'Novia Web Query'!A3592</f>
        <v>GB0007809600</v>
      </c>
      <c r="B3596" t="str">
        <f>VLOOKUP(NoviaFunds[[#This Row],[ISIN]],'Novia Web Query'!$A:$E,2,FALSE)</f>
        <v>Schroder Asian Income A Acc in GB</v>
      </c>
      <c r="C3596" t="str">
        <f>VLOOKUP(NoviaFunds[[#This Row],[ISIN]],'Novia Web Query'!$A:$E,3,FALSE)</f>
        <v>UT Asia Pacific Excluding Japan</v>
      </c>
      <c r="D3596" s="139">
        <f>VLOOKUP(NoviaFunds[[#This Row],[ISIN]],'Novia Web Query'!$A:$E,4,FALSE)/100</f>
        <v>1.6500000000000001E-2</v>
      </c>
      <c r="E3596" s="3" t="str">
        <f>VLOOKUP(NoviaFunds[[#This Row],[ISIN]],'Novia Web Query'!$A:$E,5,FALSE)</f>
        <v>21/04/2021</v>
      </c>
      <c r="F3596" t="str">
        <f>VLOOKUP(NoviaFunds[[#This Row],[Sector]],Sectors[],2,FALSE)</f>
        <v>Asia Pacific</v>
      </c>
    </row>
    <row r="3597" spans="1:6" x14ac:dyDescent="0.2">
      <c r="A3597" t="str">
        <f>'Novia Web Query'!A3593</f>
        <v>GB0007809592</v>
      </c>
      <c r="B3597" t="str">
        <f>VLOOKUP(NoviaFunds[[#This Row],[ISIN]],'Novia Web Query'!$A:$E,2,FALSE)</f>
        <v>Schroder Asian Income A Inc TR in GB</v>
      </c>
      <c r="C3597" t="str">
        <f>VLOOKUP(NoviaFunds[[#This Row],[ISIN]],'Novia Web Query'!$A:$E,3,FALSE)</f>
        <v>UT Asia Pacific Excluding Japan</v>
      </c>
      <c r="D3597" s="139">
        <f>VLOOKUP(NoviaFunds[[#This Row],[ISIN]],'Novia Web Query'!$A:$E,4,FALSE)/100</f>
        <v>1.6500000000000001E-2</v>
      </c>
      <c r="E3597" s="3" t="str">
        <f>VLOOKUP(NoviaFunds[[#This Row],[ISIN]],'Novia Web Query'!$A:$E,5,FALSE)</f>
        <v>21/04/2021</v>
      </c>
      <c r="F3597" t="str">
        <f>VLOOKUP(NoviaFunds[[#This Row],[Sector]],Sectors[],2,FALSE)</f>
        <v>Asia Pacific</v>
      </c>
    </row>
    <row r="3598" spans="1:6" x14ac:dyDescent="0.2">
      <c r="A3598" t="str">
        <f>'Novia Web Query'!A3594</f>
        <v>GB00BDD29732</v>
      </c>
      <c r="B3598" t="str">
        <f>VLOOKUP(NoviaFunds[[#This Row],[ISIN]],'Novia Web Query'!$A:$E,2,FALSE)</f>
        <v>Schroder Asian Income L Acc in GB</v>
      </c>
      <c r="C3598" t="str">
        <f>VLOOKUP(NoviaFunds[[#This Row],[ISIN]],'Novia Web Query'!$A:$E,3,FALSE)</f>
        <v>UT Asia Pacific Excluding Japan</v>
      </c>
      <c r="D3598" s="139">
        <f>VLOOKUP(NoviaFunds[[#This Row],[ISIN]],'Novia Web Query'!$A:$E,4,FALSE)/100</f>
        <v>8.3000000000000001E-3</v>
      </c>
      <c r="E3598" s="3" t="str">
        <f>VLOOKUP(NoviaFunds[[#This Row],[ISIN]],'Novia Web Query'!$A:$E,5,FALSE)</f>
        <v>14/01/2021</v>
      </c>
      <c r="F3598" t="str">
        <f>VLOOKUP(NoviaFunds[[#This Row],[Sector]],Sectors[],2,FALSE)</f>
        <v>Asia Pacific</v>
      </c>
    </row>
    <row r="3599" spans="1:6" x14ac:dyDescent="0.2">
      <c r="A3599" t="str">
        <f>'Novia Web Query'!A3595</f>
        <v>GB00BDD29849</v>
      </c>
      <c r="B3599" t="str">
        <f>VLOOKUP(NoviaFunds[[#This Row],[ISIN]],'Novia Web Query'!$A:$E,2,FALSE)</f>
        <v>Schroder Asian Income L Inc TR in GB</v>
      </c>
      <c r="C3599" t="str">
        <f>VLOOKUP(NoviaFunds[[#This Row],[ISIN]],'Novia Web Query'!$A:$E,3,FALSE)</f>
        <v>UT Asia Pacific Excluding Japan</v>
      </c>
      <c r="D3599" s="139">
        <f>VLOOKUP(NoviaFunds[[#This Row],[ISIN]],'Novia Web Query'!$A:$E,4,FALSE)/100</f>
        <v>8.3000000000000001E-3</v>
      </c>
      <c r="E3599" s="3" t="str">
        <f>VLOOKUP(NoviaFunds[[#This Row],[ISIN]],'Novia Web Query'!$A:$E,5,FALSE)</f>
        <v>14/01/2021</v>
      </c>
      <c r="F3599" t="str">
        <f>VLOOKUP(NoviaFunds[[#This Row],[Sector]],Sectors[],2,FALSE)</f>
        <v>Asia Pacific</v>
      </c>
    </row>
    <row r="3600" spans="1:6" x14ac:dyDescent="0.2">
      <c r="A3600" t="str">
        <f>'Novia Web Query'!A3596</f>
        <v>GB00B3SF6658</v>
      </c>
      <c r="B3600" t="str">
        <f>VLOOKUP(NoviaFunds[[#This Row],[ISIN]],'Novia Web Query'!$A:$E,2,FALSE)</f>
        <v>Schroder Asian Income Maximiser A Acc in GB</v>
      </c>
      <c r="C3600" t="str">
        <f>VLOOKUP(NoviaFunds[[#This Row],[ISIN]],'Novia Web Query'!$A:$E,3,FALSE)</f>
        <v>UT Asia Pacific Excluding Japan</v>
      </c>
      <c r="D3600" s="139">
        <f>VLOOKUP(NoviaFunds[[#This Row],[ISIN]],'Novia Web Query'!$A:$E,4,FALSE)/100</f>
        <v>1.6899999999999998E-2</v>
      </c>
      <c r="E3600" s="3" t="str">
        <f>VLOOKUP(NoviaFunds[[#This Row],[ISIN]],'Novia Web Query'!$A:$E,5,FALSE)</f>
        <v>14/01/2021</v>
      </c>
      <c r="F3600" t="str">
        <f>VLOOKUP(NoviaFunds[[#This Row],[Sector]],Sectors[],2,FALSE)</f>
        <v>Asia Pacific</v>
      </c>
    </row>
    <row r="3601" spans="1:6" x14ac:dyDescent="0.2">
      <c r="A3601" t="str">
        <f>'Novia Web Query'!A3597</f>
        <v>GB00B3SB3287</v>
      </c>
      <c r="B3601" t="str">
        <f>VLOOKUP(NoviaFunds[[#This Row],[ISIN]],'Novia Web Query'!$A:$E,2,FALSE)</f>
        <v>Schroder Asian Income Maximiser A Inc TR in GB</v>
      </c>
      <c r="C3601" t="str">
        <f>VLOOKUP(NoviaFunds[[#This Row],[ISIN]],'Novia Web Query'!$A:$E,3,FALSE)</f>
        <v>UT Asia Pacific Excluding Japan</v>
      </c>
      <c r="D3601" s="139">
        <f>VLOOKUP(NoviaFunds[[#This Row],[ISIN]],'Novia Web Query'!$A:$E,4,FALSE)/100</f>
        <v>1.6899999999999998E-2</v>
      </c>
      <c r="E3601" s="3" t="str">
        <f>VLOOKUP(NoviaFunds[[#This Row],[ISIN]],'Novia Web Query'!$A:$E,5,FALSE)</f>
        <v>14/01/2021</v>
      </c>
      <c r="F3601" t="str">
        <f>VLOOKUP(NoviaFunds[[#This Row],[Sector]],Sectors[],2,FALSE)</f>
        <v>Asia Pacific</v>
      </c>
    </row>
    <row r="3602" spans="1:6" x14ac:dyDescent="0.2">
      <c r="A3602" t="str">
        <f>'Novia Web Query'!A3598</f>
        <v>GB00BDD29F14</v>
      </c>
      <c r="B3602" t="str">
        <f>VLOOKUP(NoviaFunds[[#This Row],[ISIN]],'Novia Web Query'!$A:$E,2,FALSE)</f>
        <v>Schroder Asian Income Maximiser L Inc TR in GB</v>
      </c>
      <c r="C3602" t="str">
        <f>VLOOKUP(NoviaFunds[[#This Row],[ISIN]],'Novia Web Query'!$A:$E,3,FALSE)</f>
        <v>UT Asia Pacific Excluding Japan</v>
      </c>
      <c r="D3602" s="139">
        <f>VLOOKUP(NoviaFunds[[#This Row],[ISIN]],'Novia Web Query'!$A:$E,4,FALSE)/100</f>
        <v>8.6999999999999994E-3</v>
      </c>
      <c r="E3602" s="3" t="str">
        <f>VLOOKUP(NoviaFunds[[#This Row],[ISIN]],'Novia Web Query'!$A:$E,5,FALSE)</f>
        <v>21/04/2021</v>
      </c>
      <c r="F3602" t="str">
        <f>VLOOKUP(NoviaFunds[[#This Row],[Sector]],Sectors[],2,FALSE)</f>
        <v>Asia Pacific</v>
      </c>
    </row>
    <row r="3603" spans="1:6" x14ac:dyDescent="0.2">
      <c r="A3603" t="str">
        <f>'Novia Web Query'!A3599</f>
        <v>GB00B581S493</v>
      </c>
      <c r="B3603" t="str">
        <f>VLOOKUP(NoviaFunds[[#This Row],[ISIN]],'Novia Web Query'!$A:$E,2,FALSE)</f>
        <v>Schroder Asian Income Maximiser Z Acc in GB</v>
      </c>
      <c r="C3603" t="str">
        <f>VLOOKUP(NoviaFunds[[#This Row],[ISIN]],'Novia Web Query'!$A:$E,3,FALSE)</f>
        <v>UT Asia Pacific Excluding Japan</v>
      </c>
      <c r="D3603" s="139">
        <f>VLOOKUP(NoviaFunds[[#This Row],[ISIN]],'Novia Web Query'!$A:$E,4,FALSE)/100</f>
        <v>9.3999999999999986E-3</v>
      </c>
      <c r="E3603" s="3" t="str">
        <f>VLOOKUP(NoviaFunds[[#This Row],[ISIN]],'Novia Web Query'!$A:$E,5,FALSE)</f>
        <v>14/01/2021</v>
      </c>
      <c r="F3603" t="str">
        <f>VLOOKUP(NoviaFunds[[#This Row],[Sector]],Sectors[],2,FALSE)</f>
        <v>Asia Pacific</v>
      </c>
    </row>
    <row r="3604" spans="1:6" x14ac:dyDescent="0.2">
      <c r="A3604" t="str">
        <f>'Novia Web Query'!A3600</f>
        <v>GB00B52QVQ30</v>
      </c>
      <c r="B3604" t="str">
        <f>VLOOKUP(NoviaFunds[[#This Row],[ISIN]],'Novia Web Query'!$A:$E,2,FALSE)</f>
        <v>Schroder Asian Income Maximiser Z Inc TR in GB</v>
      </c>
      <c r="C3604" t="str">
        <f>VLOOKUP(NoviaFunds[[#This Row],[ISIN]],'Novia Web Query'!$A:$E,3,FALSE)</f>
        <v>UT Asia Pacific Excluding Japan</v>
      </c>
      <c r="D3604" s="139">
        <f>VLOOKUP(NoviaFunds[[#This Row],[ISIN]],'Novia Web Query'!$A:$E,4,FALSE)/100</f>
        <v>9.3999999999999986E-3</v>
      </c>
      <c r="E3604" s="3" t="str">
        <f>VLOOKUP(NoviaFunds[[#This Row],[ISIN]],'Novia Web Query'!$A:$E,5,FALSE)</f>
        <v>14/01/2021</v>
      </c>
      <c r="F3604" t="str">
        <f>VLOOKUP(NoviaFunds[[#This Row],[Sector]],Sectors[],2,FALSE)</f>
        <v>Asia Pacific</v>
      </c>
    </row>
    <row r="3605" spans="1:6" x14ac:dyDescent="0.2">
      <c r="A3605" t="str">
        <f>'Novia Web Query'!A3601</f>
        <v>GB00B5BJ7M17</v>
      </c>
      <c r="B3605" t="str">
        <f>VLOOKUP(NoviaFunds[[#This Row],[ISIN]],'Novia Web Query'!$A:$E,2,FALSE)</f>
        <v>Schroder Asian Income Z Acc in GB</v>
      </c>
      <c r="C3605" t="str">
        <f>VLOOKUP(NoviaFunds[[#This Row],[ISIN]],'Novia Web Query'!$A:$E,3,FALSE)</f>
        <v>UT Asia Pacific Excluding Japan</v>
      </c>
      <c r="D3605" s="139">
        <f>VLOOKUP(NoviaFunds[[#This Row],[ISIN]],'Novia Web Query'!$A:$E,4,FALSE)/100</f>
        <v>9.0000000000000011E-3</v>
      </c>
      <c r="E3605" s="3" t="str">
        <f>VLOOKUP(NoviaFunds[[#This Row],[ISIN]],'Novia Web Query'!$A:$E,5,FALSE)</f>
        <v>21/04/2021</v>
      </c>
      <c r="F3605" t="str">
        <f>VLOOKUP(NoviaFunds[[#This Row],[Sector]],Sectors[],2,FALSE)</f>
        <v>Asia Pacific</v>
      </c>
    </row>
    <row r="3606" spans="1:6" x14ac:dyDescent="0.2">
      <c r="A3606" t="str">
        <f>'Novia Web Query'!A3602</f>
        <v>GB00B559X853</v>
      </c>
      <c r="B3606" t="str">
        <f>VLOOKUP(NoviaFunds[[#This Row],[ISIN]],'Novia Web Query'!$A:$E,2,FALSE)</f>
        <v>Schroder Asian Income Z Inc TR in GB</v>
      </c>
      <c r="C3606" t="str">
        <f>VLOOKUP(NoviaFunds[[#This Row],[ISIN]],'Novia Web Query'!$A:$E,3,FALSE)</f>
        <v>UT Asia Pacific Excluding Japan</v>
      </c>
      <c r="D3606" s="139">
        <f>VLOOKUP(NoviaFunds[[#This Row],[ISIN]],'Novia Web Query'!$A:$E,4,FALSE)/100</f>
        <v>9.0000000000000011E-3</v>
      </c>
      <c r="E3606" s="3" t="str">
        <f>VLOOKUP(NoviaFunds[[#This Row],[ISIN]],'Novia Web Query'!$A:$E,5,FALSE)</f>
        <v>21/04/2021</v>
      </c>
      <c r="F3606" t="str">
        <f>VLOOKUP(NoviaFunds[[#This Row],[Sector]],Sectors[],2,FALSE)</f>
        <v>Asia Pacific</v>
      </c>
    </row>
    <row r="3607" spans="1:6" x14ac:dyDescent="0.2">
      <c r="A3607" t="str">
        <f>'Novia Web Query'!A3603</f>
        <v>GB00BF780N49</v>
      </c>
      <c r="B3607" t="str">
        <f>VLOOKUP(NoviaFunds[[#This Row],[ISIN]],'Novia Web Query'!$A:$E,2,FALSE)</f>
        <v>Schroder Blended Portfolio 3 Z Acc GBP in GB</v>
      </c>
      <c r="C3607" t="str">
        <f>VLOOKUP(NoviaFunds[[#This Row],[ISIN]],'Novia Web Query'!$A:$E,3,FALSE)</f>
        <v>UT Mixed Investment 0-35% Shares</v>
      </c>
      <c r="D3607" s="139">
        <f>VLOOKUP(NoviaFunds[[#This Row],[ISIN]],'Novia Web Query'!$A:$E,4,FALSE)/100</f>
        <v>5.8999999999999999E-3</v>
      </c>
      <c r="E3607" s="3" t="str">
        <f>VLOOKUP(NoviaFunds[[#This Row],[ISIN]],'Novia Web Query'!$A:$E,5,FALSE)</f>
        <v>22/10/2021</v>
      </c>
      <c r="F3607" t="str">
        <f>VLOOKUP(NoviaFunds[[#This Row],[Sector]],Sectors[],2,FALSE)</f>
        <v>Mixed 0%-35%</v>
      </c>
    </row>
    <row r="3608" spans="1:6" x14ac:dyDescent="0.2">
      <c r="A3608" t="str">
        <f>'Novia Web Query'!A3604</f>
        <v>GB00BF780P62</v>
      </c>
      <c r="B3608" t="str">
        <f>VLOOKUP(NoviaFunds[[#This Row],[ISIN]],'Novia Web Query'!$A:$E,2,FALSE)</f>
        <v>Schroder Blended Portfolio 4 Z Acc GBP in GB</v>
      </c>
      <c r="C3608" t="str">
        <f>VLOOKUP(NoviaFunds[[#This Row],[ISIN]],'Novia Web Query'!$A:$E,3,FALSE)</f>
        <v>UT Mixed Investment 20-60% Shares</v>
      </c>
      <c r="D3608" s="139">
        <f>VLOOKUP(NoviaFunds[[#This Row],[ISIN]],'Novia Web Query'!$A:$E,4,FALSE)/100</f>
        <v>6.5000000000000006E-3</v>
      </c>
      <c r="E3608" s="3" t="str">
        <f>VLOOKUP(NoviaFunds[[#This Row],[ISIN]],'Novia Web Query'!$A:$E,5,FALSE)</f>
        <v>22/10/2021</v>
      </c>
      <c r="F3608" t="str">
        <f>VLOOKUP(NoviaFunds[[#This Row],[Sector]],Sectors[],2,FALSE)</f>
        <v>Mixed 20%-60%</v>
      </c>
    </row>
    <row r="3609" spans="1:6" x14ac:dyDescent="0.2">
      <c r="A3609" t="str">
        <f>'Novia Web Query'!A3605</f>
        <v>GB00BF780Q79</v>
      </c>
      <c r="B3609" t="str">
        <f>VLOOKUP(NoviaFunds[[#This Row],[ISIN]],'Novia Web Query'!$A:$E,2,FALSE)</f>
        <v>Schroder Blended Portfolio 5 Z Acc GBP in GB</v>
      </c>
      <c r="C3609" t="str">
        <f>VLOOKUP(NoviaFunds[[#This Row],[ISIN]],'Novia Web Query'!$A:$E,3,FALSE)</f>
        <v>UT Mixed Investment 20-60% Shares</v>
      </c>
      <c r="D3609" s="139">
        <f>VLOOKUP(NoviaFunds[[#This Row],[ISIN]],'Novia Web Query'!$A:$E,4,FALSE)/100</f>
        <v>6.7000000000000002E-3</v>
      </c>
      <c r="E3609" s="3" t="str">
        <f>VLOOKUP(NoviaFunds[[#This Row],[ISIN]],'Novia Web Query'!$A:$E,5,FALSE)</f>
        <v>22/10/2021</v>
      </c>
      <c r="F3609" t="str">
        <f>VLOOKUP(NoviaFunds[[#This Row],[Sector]],Sectors[],2,FALSE)</f>
        <v>Mixed 20%-60%</v>
      </c>
    </row>
    <row r="3610" spans="1:6" x14ac:dyDescent="0.2">
      <c r="A3610" t="str">
        <f>'Novia Web Query'!A3606</f>
        <v>GB00BF780R86</v>
      </c>
      <c r="B3610" t="str">
        <f>VLOOKUP(NoviaFunds[[#This Row],[ISIN]],'Novia Web Query'!$A:$E,2,FALSE)</f>
        <v>Schroder Blended Portfolio 6 Z Acc GBP in GB**</v>
      </c>
      <c r="C3610" t="str">
        <f>VLOOKUP(NoviaFunds[[#This Row],[ISIN]],'Novia Web Query'!$A:$E,3,FALSE)</f>
        <v>UT Mixed Investment 40-85% Shares</v>
      </c>
      <c r="D3610" s="139">
        <f>VLOOKUP(NoviaFunds[[#This Row],[ISIN]],'Novia Web Query'!$A:$E,4,FALSE)/100</f>
        <v>7.0999999999999995E-3</v>
      </c>
      <c r="E3610" s="3" t="str">
        <f>VLOOKUP(NoviaFunds[[#This Row],[ISIN]],'Novia Web Query'!$A:$E,5,FALSE)</f>
        <v>22/10/2021</v>
      </c>
      <c r="F3610" t="str">
        <f>VLOOKUP(NoviaFunds[[#This Row],[Sector]],Sectors[],2,FALSE)</f>
        <v>Mixed 40%-85%</v>
      </c>
    </row>
    <row r="3611" spans="1:6" x14ac:dyDescent="0.2">
      <c r="A3611" t="str">
        <f>'Novia Web Query'!A3607</f>
        <v>GB00BF780S93</v>
      </c>
      <c r="B3611" t="str">
        <f>VLOOKUP(NoviaFunds[[#This Row],[ISIN]],'Novia Web Query'!$A:$E,2,FALSE)</f>
        <v>Schroder Blended Portfolio 7 Z Acc GBP in GB</v>
      </c>
      <c r="C3611" t="str">
        <f>VLOOKUP(NoviaFunds[[#This Row],[ISIN]],'Novia Web Query'!$A:$E,3,FALSE)</f>
        <v>UT Mixed Investment 40-85% Shares</v>
      </c>
      <c r="D3611" s="139">
        <f>VLOOKUP(NoviaFunds[[#This Row],[ISIN]],'Novia Web Query'!$A:$E,4,FALSE)/100</f>
        <v>7.4000000000000003E-3</v>
      </c>
      <c r="E3611" s="3" t="str">
        <f>VLOOKUP(NoviaFunds[[#This Row],[ISIN]],'Novia Web Query'!$A:$E,5,FALSE)</f>
        <v>22/10/2021</v>
      </c>
      <c r="F3611" t="str">
        <f>VLOOKUP(NoviaFunds[[#This Row],[Sector]],Sectors[],2,FALSE)</f>
        <v>Mixed 40%-85%</v>
      </c>
    </row>
    <row r="3612" spans="1:6" x14ac:dyDescent="0.2">
      <c r="A3612" t="str">
        <f>'Novia Web Query'!A3608</f>
        <v>GB00BF780T01</v>
      </c>
      <c r="B3612" t="str">
        <f>VLOOKUP(NoviaFunds[[#This Row],[ISIN]],'Novia Web Query'!$A:$E,2,FALSE)</f>
        <v>Schroder Blended Portfolio 8 Z Acc GBP in GB</v>
      </c>
      <c r="C3612" t="str">
        <f>VLOOKUP(NoviaFunds[[#This Row],[ISIN]],'Novia Web Query'!$A:$E,3,FALSE)</f>
        <v>UT Flexible Investment</v>
      </c>
      <c r="D3612" s="139">
        <f>VLOOKUP(NoviaFunds[[#This Row],[ISIN]],'Novia Web Query'!$A:$E,4,FALSE)/100</f>
        <v>7.6E-3</v>
      </c>
      <c r="E3612" s="3" t="str">
        <f>VLOOKUP(NoviaFunds[[#This Row],[ISIN]],'Novia Web Query'!$A:$E,5,FALSE)</f>
        <v>22/10/2021</v>
      </c>
      <c r="F3612" t="str">
        <f>VLOOKUP(NoviaFunds[[#This Row],[Sector]],Sectors[],2,FALSE)</f>
        <v>Flexible</v>
      </c>
    </row>
    <row r="3613" spans="1:6" x14ac:dyDescent="0.2">
      <c r="A3613" t="str">
        <f>'Novia Web Query'!A3609</f>
        <v>GB00B2Q1N560</v>
      </c>
      <c r="B3613" t="str">
        <f>VLOOKUP(NoviaFunds[[#This Row],[ISIN]],'Novia Web Query'!$A:$E,2,FALSE)</f>
        <v>Schroder Dynamic Multi Asset Z Acc in GB</v>
      </c>
      <c r="C3613" t="str">
        <f>VLOOKUP(NoviaFunds[[#This Row],[ISIN]],'Novia Web Query'!$A:$E,3,FALSE)</f>
        <v>UT Flexible Investment</v>
      </c>
      <c r="D3613" s="139">
        <f>VLOOKUP(NoviaFunds[[#This Row],[ISIN]],'Novia Web Query'!$A:$E,4,FALSE)/100</f>
        <v>3.4000000000000002E-3</v>
      </c>
      <c r="E3613" s="3" t="str">
        <f>VLOOKUP(NoviaFunds[[#This Row],[ISIN]],'Novia Web Query'!$A:$E,5,FALSE)</f>
        <v>17/08/2021</v>
      </c>
      <c r="F3613" t="str">
        <f>VLOOKUP(NoviaFunds[[#This Row],[Sector]],Sectors[],2,FALSE)</f>
        <v>Flexible</v>
      </c>
    </row>
    <row r="3614" spans="1:6" x14ac:dyDescent="0.2">
      <c r="A3614" t="str">
        <f>'Novia Web Query'!A3610</f>
        <v>GB00B2Q1N909</v>
      </c>
      <c r="B3614" t="str">
        <f>VLOOKUP(NoviaFunds[[#This Row],[ISIN]],'Novia Web Query'!$A:$E,2,FALSE)</f>
        <v>Schroder Dynamic Multi Asset Z Inc TR in GB</v>
      </c>
      <c r="C3614" t="str">
        <f>VLOOKUP(NoviaFunds[[#This Row],[ISIN]],'Novia Web Query'!$A:$E,3,FALSE)</f>
        <v>UT Flexible Investment</v>
      </c>
      <c r="D3614" s="139">
        <f>VLOOKUP(NoviaFunds[[#This Row],[ISIN]],'Novia Web Query'!$A:$E,4,FALSE)/100</f>
        <v>3.4000000000000002E-3</v>
      </c>
      <c r="E3614" s="3" t="str">
        <f>VLOOKUP(NoviaFunds[[#This Row],[ISIN]],'Novia Web Query'!$A:$E,5,FALSE)</f>
        <v>17/08/2021</v>
      </c>
      <c r="F3614" t="str">
        <f>VLOOKUP(NoviaFunds[[#This Row],[Sector]],Sectors[],2,FALSE)</f>
        <v>Flexible</v>
      </c>
    </row>
    <row r="3615" spans="1:6" x14ac:dyDescent="0.2">
      <c r="A3615" t="str">
        <f>'Novia Web Query'!A3611</f>
        <v>GB00B68H8S84</v>
      </c>
      <c r="B3615" t="str">
        <f>VLOOKUP(NoviaFunds[[#This Row],[ISIN]],'Novia Web Query'!$A:$E,2,FALSE)</f>
        <v>Schroder European A Acc in GB</v>
      </c>
      <c r="C3615" t="str">
        <f>VLOOKUP(NoviaFunds[[#This Row],[ISIN]],'Novia Web Query'!$A:$E,3,FALSE)</f>
        <v>UT Europe Excluding UK</v>
      </c>
      <c r="D3615" s="139">
        <f>VLOOKUP(NoviaFunds[[#This Row],[ISIN]],'Novia Web Query'!$A:$E,4,FALSE)/100</f>
        <v>1.6500000000000001E-2</v>
      </c>
      <c r="E3615" s="3" t="str">
        <f>VLOOKUP(NoviaFunds[[#This Row],[ISIN]],'Novia Web Query'!$A:$E,5,FALSE)</f>
        <v>21/04/2021</v>
      </c>
      <c r="F3615" t="str">
        <f>VLOOKUP(NoviaFunds[[#This Row],[Sector]],Sectors[],2,FALSE)</f>
        <v>European Equities</v>
      </c>
    </row>
    <row r="3616" spans="1:6" x14ac:dyDescent="0.2">
      <c r="A3616" t="str">
        <f>'Novia Web Query'!A3612</f>
        <v>GB0033302877</v>
      </c>
      <c r="B3616" t="str">
        <f>VLOOKUP(NoviaFunds[[#This Row],[ISIN]],'Novia Web Query'!$A:$E,2,FALSE)</f>
        <v>Schroder European Alpha Plus A Acc in GB</v>
      </c>
      <c r="C3616" t="str">
        <f>VLOOKUP(NoviaFunds[[#This Row],[ISIN]],'Novia Web Query'!$A:$E,3,FALSE)</f>
        <v>UT Europe Excluding UK</v>
      </c>
      <c r="D3616" s="139">
        <f>VLOOKUP(NoviaFunds[[#This Row],[ISIN]],'Novia Web Query'!$A:$E,4,FALSE)/100</f>
        <v>1.72E-2</v>
      </c>
      <c r="E3616" s="3" t="str">
        <f>VLOOKUP(NoviaFunds[[#This Row],[ISIN]],'Novia Web Query'!$A:$E,5,FALSE)</f>
        <v>14/01/2021</v>
      </c>
      <c r="F3616" t="str">
        <f>VLOOKUP(NoviaFunds[[#This Row],[Sector]],Sectors[],2,FALSE)</f>
        <v>European Equities</v>
      </c>
    </row>
    <row r="3617" spans="1:6" x14ac:dyDescent="0.2">
      <c r="A3617" t="str">
        <f>'Novia Web Query'!A3613</f>
        <v>GB0033302760</v>
      </c>
      <c r="B3617" t="str">
        <f>VLOOKUP(NoviaFunds[[#This Row],[ISIN]],'Novia Web Query'!$A:$E,2,FALSE)</f>
        <v>Schroder European Alpha Plus A Inc TR in GB</v>
      </c>
      <c r="C3617" t="str">
        <f>VLOOKUP(NoviaFunds[[#This Row],[ISIN]],'Novia Web Query'!$A:$E,3,FALSE)</f>
        <v>UT Europe Excluding UK</v>
      </c>
      <c r="D3617" s="139">
        <f>VLOOKUP(NoviaFunds[[#This Row],[ISIN]],'Novia Web Query'!$A:$E,4,FALSE)/100</f>
        <v>1.72E-2</v>
      </c>
      <c r="E3617" s="3" t="str">
        <f>VLOOKUP(NoviaFunds[[#This Row],[ISIN]],'Novia Web Query'!$A:$E,5,FALSE)</f>
        <v>14/01/2021</v>
      </c>
      <c r="F3617" t="str">
        <f>VLOOKUP(NoviaFunds[[#This Row],[Sector]],Sectors[],2,FALSE)</f>
        <v>European Equities</v>
      </c>
    </row>
    <row r="3618" spans="1:6" x14ac:dyDescent="0.2">
      <c r="A3618" t="str">
        <f>'Novia Web Query'!A3614</f>
        <v>GB00B7LDKR32</v>
      </c>
      <c r="B3618" t="str">
        <f>VLOOKUP(NoviaFunds[[#This Row],[ISIN]],'Novia Web Query'!$A:$E,2,FALSE)</f>
        <v>Schroder European Alpha Plus Z Acc in GB</v>
      </c>
      <c r="C3618" t="str">
        <f>VLOOKUP(NoviaFunds[[#This Row],[ISIN]],'Novia Web Query'!$A:$E,3,FALSE)</f>
        <v>UT Europe Excluding UK</v>
      </c>
      <c r="D3618" s="139">
        <f>VLOOKUP(NoviaFunds[[#This Row],[ISIN]],'Novia Web Query'!$A:$E,4,FALSE)/100</f>
        <v>9.7000000000000003E-3</v>
      </c>
      <c r="E3618" s="3" t="str">
        <f>VLOOKUP(NoviaFunds[[#This Row],[ISIN]],'Novia Web Query'!$A:$E,5,FALSE)</f>
        <v>14/01/2021</v>
      </c>
      <c r="F3618" t="str">
        <f>VLOOKUP(NoviaFunds[[#This Row],[Sector]],Sectors[],2,FALSE)</f>
        <v>European Equities</v>
      </c>
    </row>
    <row r="3619" spans="1:6" x14ac:dyDescent="0.2">
      <c r="A3619" t="str">
        <f>'Novia Web Query'!A3615</f>
        <v>GB00B91WD971</v>
      </c>
      <c r="B3619" t="str">
        <f>VLOOKUP(NoviaFunds[[#This Row],[ISIN]],'Novia Web Query'!$A:$E,2,FALSE)</f>
        <v>Schroder European Alpha Plus Z Hedged Acc GBP in GB**</v>
      </c>
      <c r="C3619" t="str">
        <f>VLOOKUP(NoviaFunds[[#This Row],[ISIN]],'Novia Web Query'!$A:$E,3,FALSE)</f>
        <v>UT Europe Excluding UK</v>
      </c>
      <c r="D3619" s="139">
        <f>VLOOKUP(NoviaFunds[[#This Row],[ISIN]],'Novia Web Query'!$A:$E,4,FALSE)/100</f>
        <v>0.01</v>
      </c>
      <c r="E3619" s="3" t="str">
        <f>VLOOKUP(NoviaFunds[[#This Row],[ISIN]],'Novia Web Query'!$A:$E,5,FALSE)</f>
        <v>14/01/2021</v>
      </c>
      <c r="F3619" t="str">
        <f>VLOOKUP(NoviaFunds[[#This Row],[Sector]],Sectors[],2,FALSE)</f>
        <v>European Equities</v>
      </c>
    </row>
    <row r="3620" spans="1:6" x14ac:dyDescent="0.2">
      <c r="A3620" t="str">
        <f>'Novia Web Query'!A3616</f>
        <v>GB00B91YVB14</v>
      </c>
      <c r="B3620" t="str">
        <f>VLOOKUP(NoviaFunds[[#This Row],[ISIN]],'Novia Web Query'!$A:$E,2,FALSE)</f>
        <v>Schroder European Alpha Plus Z Hedged Inc GBP TR in GB**</v>
      </c>
      <c r="C3620" t="str">
        <f>VLOOKUP(NoviaFunds[[#This Row],[ISIN]],'Novia Web Query'!$A:$E,3,FALSE)</f>
        <v>UT Europe Excluding UK</v>
      </c>
      <c r="D3620" s="139">
        <f>VLOOKUP(NoviaFunds[[#This Row],[ISIN]],'Novia Web Query'!$A:$E,4,FALSE)/100</f>
        <v>0.01</v>
      </c>
      <c r="E3620" s="3" t="str">
        <f>VLOOKUP(NoviaFunds[[#This Row],[ISIN]],'Novia Web Query'!$A:$E,5,FALSE)</f>
        <v>14/01/2021</v>
      </c>
      <c r="F3620" t="str">
        <f>VLOOKUP(NoviaFunds[[#This Row],[Sector]],Sectors[],2,FALSE)</f>
        <v>European Equities</v>
      </c>
    </row>
    <row r="3621" spans="1:6" x14ac:dyDescent="0.2">
      <c r="A3621" t="str">
        <f>'Novia Web Query'!A3617</f>
        <v>GB00B7LDKT55</v>
      </c>
      <c r="B3621" t="str">
        <f>VLOOKUP(NoviaFunds[[#This Row],[ISIN]],'Novia Web Query'!$A:$E,2,FALSE)</f>
        <v>Schroder European Alpha Plus Z Inc TR in GB</v>
      </c>
      <c r="C3621" t="str">
        <f>VLOOKUP(NoviaFunds[[#This Row],[ISIN]],'Novia Web Query'!$A:$E,3,FALSE)</f>
        <v>UT Europe Excluding UK</v>
      </c>
      <c r="D3621" s="139">
        <f>VLOOKUP(NoviaFunds[[#This Row],[ISIN]],'Novia Web Query'!$A:$E,4,FALSE)/100</f>
        <v>9.7000000000000003E-3</v>
      </c>
      <c r="E3621" s="3" t="str">
        <f>VLOOKUP(NoviaFunds[[#This Row],[ISIN]],'Novia Web Query'!$A:$E,5,FALSE)</f>
        <v>14/01/2021</v>
      </c>
      <c r="F3621" t="str">
        <f>VLOOKUP(NoviaFunds[[#This Row],[Sector]],Sectors[],2,FALSE)</f>
        <v>European Equities</v>
      </c>
    </row>
    <row r="3622" spans="1:6" x14ac:dyDescent="0.2">
      <c r="A3622" t="str">
        <f>'Novia Web Query'!A3618</f>
        <v>GB00BDD2CK71</v>
      </c>
      <c r="B3622" t="str">
        <f>VLOOKUP(NoviaFunds[[#This Row],[ISIN]],'Novia Web Query'!$A:$E,2,FALSE)</f>
        <v>Schroder European L Inc TR in GB</v>
      </c>
      <c r="C3622" t="str">
        <f>VLOOKUP(NoviaFunds[[#This Row],[ISIN]],'Novia Web Query'!$A:$E,3,FALSE)</f>
        <v>UT Europe Excluding UK</v>
      </c>
      <c r="D3622" s="139">
        <f>VLOOKUP(NoviaFunds[[#This Row],[ISIN]],'Novia Web Query'!$A:$E,4,FALSE)/100</f>
        <v>8.3000000000000001E-3</v>
      </c>
      <c r="E3622" s="3" t="str">
        <f>VLOOKUP(NoviaFunds[[#This Row],[ISIN]],'Novia Web Query'!$A:$E,5,FALSE)</f>
        <v>14/01/2021</v>
      </c>
      <c r="F3622" t="str">
        <f>VLOOKUP(NoviaFunds[[#This Row],[Sector]],Sectors[],2,FALSE)</f>
        <v>European Equities</v>
      </c>
    </row>
    <row r="3623" spans="1:6" x14ac:dyDescent="0.2">
      <c r="A3623" t="str">
        <f>'Novia Web Query'!A3619</f>
        <v>GB0031093353</v>
      </c>
      <c r="B3623" t="str">
        <f>VLOOKUP(NoviaFunds[[#This Row],[ISIN]],'Novia Web Query'!$A:$E,2,FALSE)</f>
        <v>Schroder European Recovery A Acc in GB</v>
      </c>
      <c r="C3623" t="str">
        <f>VLOOKUP(NoviaFunds[[#This Row],[ISIN]],'Novia Web Query'!$A:$E,3,FALSE)</f>
        <v>UT Europe Excluding UK</v>
      </c>
      <c r="D3623" s="139">
        <f>VLOOKUP(NoviaFunds[[#This Row],[ISIN]],'Novia Web Query'!$A:$E,4,FALSE)/100</f>
        <v>1.7000000000000001E-2</v>
      </c>
      <c r="E3623" s="3" t="str">
        <f>VLOOKUP(NoviaFunds[[#This Row],[ISIN]],'Novia Web Query'!$A:$E,5,FALSE)</f>
        <v>14/01/2021</v>
      </c>
      <c r="F3623" t="str">
        <f>VLOOKUP(NoviaFunds[[#This Row],[Sector]],Sectors[],2,FALSE)</f>
        <v>European Equities</v>
      </c>
    </row>
    <row r="3624" spans="1:6" x14ac:dyDescent="0.2">
      <c r="A3624" t="str">
        <f>'Novia Web Query'!A3620</f>
        <v>GB0007221772</v>
      </c>
      <c r="B3624" t="str">
        <f>VLOOKUP(NoviaFunds[[#This Row],[ISIN]],'Novia Web Query'!$A:$E,2,FALSE)</f>
        <v>Schroder European Recovery C Acc in GB</v>
      </c>
      <c r="C3624" t="str">
        <f>VLOOKUP(NoviaFunds[[#This Row],[ISIN]],'Novia Web Query'!$A:$E,3,FALSE)</f>
        <v>UT Europe Excluding UK</v>
      </c>
      <c r="D3624" s="139">
        <f>VLOOKUP(NoviaFunds[[#This Row],[ISIN]],'Novia Web Query'!$A:$E,4,FALSE)/100</f>
        <v>9.4999999999999998E-3</v>
      </c>
      <c r="E3624" s="3" t="str">
        <f>VLOOKUP(NoviaFunds[[#This Row],[ISIN]],'Novia Web Query'!$A:$E,5,FALSE)</f>
        <v>14/01/2021</v>
      </c>
      <c r="F3624" t="str">
        <f>VLOOKUP(NoviaFunds[[#This Row],[Sector]],Sectors[],2,FALSE)</f>
        <v>European Equities</v>
      </c>
    </row>
    <row r="3625" spans="1:6" x14ac:dyDescent="0.2">
      <c r="A3625" t="str">
        <f>'Novia Web Query'!A3621</f>
        <v>GB0007221889</v>
      </c>
      <c r="B3625" t="str">
        <f>VLOOKUP(NoviaFunds[[#This Row],[ISIN]],'Novia Web Query'!$A:$E,2,FALSE)</f>
        <v>Schroder European Recovery Z Acc in GB</v>
      </c>
      <c r="C3625" t="str">
        <f>VLOOKUP(NoviaFunds[[#This Row],[ISIN]],'Novia Web Query'!$A:$E,3,FALSE)</f>
        <v>UT Europe Excluding UK</v>
      </c>
      <c r="D3625" s="139">
        <f>VLOOKUP(NoviaFunds[[#This Row],[ISIN]],'Novia Web Query'!$A:$E,4,FALSE)/100</f>
        <v>9.4999999999999998E-3</v>
      </c>
      <c r="E3625" s="3" t="str">
        <f>VLOOKUP(NoviaFunds[[#This Row],[ISIN]],'Novia Web Query'!$A:$E,5,FALSE)</f>
        <v>14/01/2021</v>
      </c>
      <c r="F3625" t="str">
        <f>VLOOKUP(NoviaFunds[[#This Row],[Sector]],Sectors[],2,FALSE)</f>
        <v>European Equities</v>
      </c>
    </row>
    <row r="3626" spans="1:6" x14ac:dyDescent="0.2">
      <c r="A3626" t="str">
        <f>'Novia Web Query'!A3622</f>
        <v>GB00B60BTP24</v>
      </c>
      <c r="B3626" t="str">
        <f>VLOOKUP(NoviaFunds[[#This Row],[ISIN]],'Novia Web Query'!$A:$E,2,FALSE)</f>
        <v>Schroder European Recovery Z Inc TR in GB</v>
      </c>
      <c r="C3626" t="str">
        <f>VLOOKUP(NoviaFunds[[#This Row],[ISIN]],'Novia Web Query'!$A:$E,3,FALSE)</f>
        <v>UT Europe Excluding UK</v>
      </c>
      <c r="D3626" s="139">
        <f>VLOOKUP(NoviaFunds[[#This Row],[ISIN]],'Novia Web Query'!$A:$E,4,FALSE)/100</f>
        <v>9.4999999999999998E-3</v>
      </c>
      <c r="E3626" s="3" t="str">
        <f>VLOOKUP(NoviaFunds[[#This Row],[ISIN]],'Novia Web Query'!$A:$E,5,FALSE)</f>
        <v>14/01/2021</v>
      </c>
      <c r="F3626" t="str">
        <f>VLOOKUP(NoviaFunds[[#This Row],[Sector]],Sectors[],2,FALSE)</f>
        <v>European Equities</v>
      </c>
    </row>
    <row r="3627" spans="1:6" x14ac:dyDescent="0.2">
      <c r="A3627" t="str">
        <f>'Novia Web Query'!A3623</f>
        <v>GB0007648891</v>
      </c>
      <c r="B3627" t="str">
        <f>VLOOKUP(NoviaFunds[[#This Row],[ISIN]],'Novia Web Query'!$A:$E,2,FALSE)</f>
        <v>Schroder European Smaller Companies A Acc in GB</v>
      </c>
      <c r="C3627" t="str">
        <f>VLOOKUP(NoviaFunds[[#This Row],[ISIN]],'Novia Web Query'!$A:$E,3,FALSE)</f>
        <v>UT European Smaller Companies</v>
      </c>
      <c r="D3627" s="139">
        <f>VLOOKUP(NoviaFunds[[#This Row],[ISIN]],'Novia Web Query'!$A:$E,4,FALSE)/100</f>
        <v>1.6899999999999998E-2</v>
      </c>
      <c r="E3627" s="3" t="str">
        <f>VLOOKUP(NoviaFunds[[#This Row],[ISIN]],'Novia Web Query'!$A:$E,5,FALSE)</f>
        <v>21/04/2021</v>
      </c>
      <c r="F3627" t="str">
        <f>VLOOKUP(NoviaFunds[[#This Row],[Sector]],Sectors[],2,FALSE)</f>
        <v>European Equities</v>
      </c>
    </row>
    <row r="3628" spans="1:6" x14ac:dyDescent="0.2">
      <c r="A3628" t="str">
        <f>'Novia Web Query'!A3624</f>
        <v>GB00B76V5M20</v>
      </c>
      <c r="B3628" t="str">
        <f>VLOOKUP(NoviaFunds[[#This Row],[ISIN]],'Novia Web Query'!$A:$E,2,FALSE)</f>
        <v>Schroder European Smaller Companies Z Acc in GB</v>
      </c>
      <c r="C3628" t="str">
        <f>VLOOKUP(NoviaFunds[[#This Row],[ISIN]],'Novia Web Query'!$A:$E,3,FALSE)</f>
        <v>UT European Smaller Companies</v>
      </c>
      <c r="D3628" s="139">
        <f>VLOOKUP(NoviaFunds[[#This Row],[ISIN]],'Novia Web Query'!$A:$E,4,FALSE)/100</f>
        <v>9.3999999999999986E-3</v>
      </c>
      <c r="E3628" s="3" t="str">
        <f>VLOOKUP(NoviaFunds[[#This Row],[ISIN]],'Novia Web Query'!$A:$E,5,FALSE)</f>
        <v>21/04/2021</v>
      </c>
      <c r="F3628" t="str">
        <f>VLOOKUP(NoviaFunds[[#This Row],[Sector]],Sectors[],2,FALSE)</f>
        <v>European Equities</v>
      </c>
    </row>
    <row r="3629" spans="1:6" x14ac:dyDescent="0.2">
      <c r="A3629" t="str">
        <f>'Novia Web Query'!A3625</f>
        <v>GB00B76V5P50</v>
      </c>
      <c r="B3629" t="str">
        <f>VLOOKUP(NoviaFunds[[#This Row],[ISIN]],'Novia Web Query'!$A:$E,2,FALSE)</f>
        <v>Schroder European Smaller Companies Z Inc TR in GB</v>
      </c>
      <c r="C3629" t="str">
        <f>VLOOKUP(NoviaFunds[[#This Row],[ISIN]],'Novia Web Query'!$A:$E,3,FALSE)</f>
        <v>UT European Smaller Companies</v>
      </c>
      <c r="D3629" s="139">
        <f>VLOOKUP(NoviaFunds[[#This Row],[ISIN]],'Novia Web Query'!$A:$E,4,FALSE)/100</f>
        <v>9.3999999999999986E-3</v>
      </c>
      <c r="E3629" s="3" t="str">
        <f>VLOOKUP(NoviaFunds[[#This Row],[ISIN]],'Novia Web Query'!$A:$E,5,FALSE)</f>
        <v>21/04/2021</v>
      </c>
      <c r="F3629" t="str">
        <f>VLOOKUP(NoviaFunds[[#This Row],[Sector]],Sectors[],2,FALSE)</f>
        <v>European Equities</v>
      </c>
    </row>
    <row r="3630" spans="1:6" x14ac:dyDescent="0.2">
      <c r="A3630" t="str">
        <f>'Novia Web Query'!A3626</f>
        <v>GB00B9GTQ502</v>
      </c>
      <c r="B3630" t="str">
        <f>VLOOKUP(NoviaFunds[[#This Row],[ISIN]],'Novia Web Query'!$A:$E,2,FALSE)</f>
        <v>Schroder European Sustainable Equity L Acc in GB</v>
      </c>
      <c r="C3630" t="str">
        <f>VLOOKUP(NoviaFunds[[#This Row],[ISIN]],'Novia Web Query'!$A:$E,3,FALSE)</f>
        <v>UT Europe Excluding UK</v>
      </c>
      <c r="D3630" s="139">
        <f>VLOOKUP(NoviaFunds[[#This Row],[ISIN]],'Novia Web Query'!$A:$E,4,FALSE)/100</f>
        <v>8.5000000000000006E-3</v>
      </c>
      <c r="E3630" s="3" t="str">
        <f>VLOOKUP(NoviaFunds[[#This Row],[ISIN]],'Novia Web Query'!$A:$E,5,FALSE)</f>
        <v>08/12/2021</v>
      </c>
      <c r="F3630" t="str">
        <f>VLOOKUP(NoviaFunds[[#This Row],[Sector]],Sectors[],2,FALSE)</f>
        <v>European Equities</v>
      </c>
    </row>
    <row r="3631" spans="1:6" x14ac:dyDescent="0.2">
      <c r="A3631" t="str">
        <f>'Novia Web Query'!A3627</f>
        <v>GB00B94WQJ53</v>
      </c>
      <c r="B3631" t="str">
        <f>VLOOKUP(NoviaFunds[[#This Row],[ISIN]],'Novia Web Query'!$A:$E,2,FALSE)</f>
        <v>Schroder European Sustainable Equity L Inc TR in GB</v>
      </c>
      <c r="C3631" t="str">
        <f>VLOOKUP(NoviaFunds[[#This Row],[ISIN]],'Novia Web Query'!$A:$E,3,FALSE)</f>
        <v>UT Europe Excluding UK</v>
      </c>
      <c r="D3631" s="139">
        <f>VLOOKUP(NoviaFunds[[#This Row],[ISIN]],'Novia Web Query'!$A:$E,4,FALSE)/100</f>
        <v>8.5000000000000006E-3</v>
      </c>
      <c r="E3631" s="3" t="str">
        <f>VLOOKUP(NoviaFunds[[#This Row],[ISIN]],'Novia Web Query'!$A:$E,5,FALSE)</f>
        <v>08/12/2021</v>
      </c>
      <c r="F3631" t="str">
        <f>VLOOKUP(NoviaFunds[[#This Row],[Sector]],Sectors[],2,FALSE)</f>
        <v>European Equities</v>
      </c>
    </row>
    <row r="3632" spans="1:6" x14ac:dyDescent="0.2">
      <c r="A3632" t="str">
        <f>'Novia Web Query'!A3628</f>
        <v>GB00B6S00Y77</v>
      </c>
      <c r="B3632" t="str">
        <f>VLOOKUP(NoviaFunds[[#This Row],[ISIN]],'Novia Web Query'!$A:$E,2,FALSE)</f>
        <v>Schroder European Sustainable Equity Z Acc in GB</v>
      </c>
      <c r="C3632" t="str">
        <f>VLOOKUP(NoviaFunds[[#This Row],[ISIN]],'Novia Web Query'!$A:$E,3,FALSE)</f>
        <v>UT Europe Excluding UK</v>
      </c>
      <c r="D3632" s="139">
        <f>VLOOKUP(NoviaFunds[[#This Row],[ISIN]],'Novia Web Query'!$A:$E,4,FALSE)/100</f>
        <v>9.300000000000001E-3</v>
      </c>
      <c r="E3632" s="3" t="str">
        <f>VLOOKUP(NoviaFunds[[#This Row],[ISIN]],'Novia Web Query'!$A:$E,5,FALSE)</f>
        <v>14/01/2021</v>
      </c>
      <c r="F3632" t="str">
        <f>VLOOKUP(NoviaFunds[[#This Row],[Sector]],Sectors[],2,FALSE)</f>
        <v>European Equities</v>
      </c>
    </row>
    <row r="3633" spans="1:6" x14ac:dyDescent="0.2">
      <c r="A3633" t="str">
        <f>'Novia Web Query'!A3629</f>
        <v>GB00B9DLYT99</v>
      </c>
      <c r="B3633" t="str">
        <f>VLOOKUP(NoviaFunds[[#This Row],[ISIN]],'Novia Web Query'!$A:$E,2,FALSE)</f>
        <v>Schroder European Sustainable Equity Z Hedged Inc TR in GB</v>
      </c>
      <c r="C3633" t="str">
        <f>VLOOKUP(NoviaFunds[[#This Row],[ISIN]],'Novia Web Query'!$A:$E,3,FALSE)</f>
        <v>UT Europe Excluding UK</v>
      </c>
      <c r="D3633" s="139">
        <f>VLOOKUP(NoviaFunds[[#This Row],[ISIN]],'Novia Web Query'!$A:$E,4,FALSE)/100</f>
        <v>9.5999999999999992E-3</v>
      </c>
      <c r="E3633" s="3" t="str">
        <f>VLOOKUP(NoviaFunds[[#This Row],[ISIN]],'Novia Web Query'!$A:$E,5,FALSE)</f>
        <v>08/12/2021</v>
      </c>
      <c r="F3633" t="str">
        <f>VLOOKUP(NoviaFunds[[#This Row],[Sector]],Sectors[],2,FALSE)</f>
        <v>European Equities</v>
      </c>
    </row>
    <row r="3634" spans="1:6" x14ac:dyDescent="0.2">
      <c r="A3634" t="str">
        <f>'Novia Web Query'!A3630</f>
        <v>GB00B7FHV230</v>
      </c>
      <c r="B3634" t="str">
        <f>VLOOKUP(NoviaFunds[[#This Row],[ISIN]],'Novia Web Query'!$A:$E,2,FALSE)</f>
        <v>Schroder European Sustainable Equity Z Inc TR in GB</v>
      </c>
      <c r="C3634" t="str">
        <f>VLOOKUP(NoviaFunds[[#This Row],[ISIN]],'Novia Web Query'!$A:$E,3,FALSE)</f>
        <v>UT Europe Excluding UK</v>
      </c>
      <c r="D3634" s="139">
        <f>VLOOKUP(NoviaFunds[[#This Row],[ISIN]],'Novia Web Query'!$A:$E,4,FALSE)/100</f>
        <v>9.300000000000001E-3</v>
      </c>
      <c r="E3634" s="3" t="str">
        <f>VLOOKUP(NoviaFunds[[#This Row],[ISIN]],'Novia Web Query'!$A:$E,5,FALSE)</f>
        <v>14/01/2021</v>
      </c>
      <c r="F3634" t="str">
        <f>VLOOKUP(NoviaFunds[[#This Row],[Sector]],Sectors[],2,FALSE)</f>
        <v>European Equities</v>
      </c>
    </row>
    <row r="3635" spans="1:6" x14ac:dyDescent="0.2">
      <c r="A3635" t="str">
        <f>'Novia Web Query'!A3631</f>
        <v>GB00B76V8C37</v>
      </c>
      <c r="B3635" t="str">
        <f>VLOOKUP(NoviaFunds[[#This Row],[ISIN]],'Novia Web Query'!$A:$E,2,FALSE)</f>
        <v>Schroder European Z Acc in GB</v>
      </c>
      <c r="C3635" t="str">
        <f>VLOOKUP(NoviaFunds[[#This Row],[ISIN]],'Novia Web Query'!$A:$E,3,FALSE)</f>
        <v>UT Europe Excluding UK</v>
      </c>
      <c r="D3635" s="139">
        <f>VLOOKUP(NoviaFunds[[#This Row],[ISIN]],'Novia Web Query'!$A:$E,4,FALSE)/100</f>
        <v>9.1000000000000004E-3</v>
      </c>
      <c r="E3635" s="3" t="str">
        <f>VLOOKUP(NoviaFunds[[#This Row],[ISIN]],'Novia Web Query'!$A:$E,5,FALSE)</f>
        <v>14/01/2021</v>
      </c>
      <c r="F3635" t="str">
        <f>VLOOKUP(NoviaFunds[[#This Row],[Sector]],Sectors[],2,FALSE)</f>
        <v>European Equities</v>
      </c>
    </row>
    <row r="3636" spans="1:6" x14ac:dyDescent="0.2">
      <c r="A3636" t="str">
        <f>'Novia Web Query'!A3632</f>
        <v>GB00B7Y9XK24</v>
      </c>
      <c r="B3636" t="str">
        <f>VLOOKUP(NoviaFunds[[#This Row],[ISIN]],'Novia Web Query'!$A:$E,2,FALSE)</f>
        <v>Schroder European Z Hedged Acc GBP in GB**</v>
      </c>
      <c r="C3636" t="str">
        <f>VLOOKUP(NoviaFunds[[#This Row],[ISIN]],'Novia Web Query'!$A:$E,3,FALSE)</f>
        <v>UT Europe Excluding UK</v>
      </c>
      <c r="D3636" s="139">
        <f>VLOOKUP(NoviaFunds[[#This Row],[ISIN]],'Novia Web Query'!$A:$E,4,FALSE)/100</f>
        <v>9.300000000000001E-3</v>
      </c>
      <c r="E3636" s="3" t="str">
        <f>VLOOKUP(NoviaFunds[[#This Row],[ISIN]],'Novia Web Query'!$A:$E,5,FALSE)</f>
        <v>21/04/2021</v>
      </c>
      <c r="F3636" t="str">
        <f>VLOOKUP(NoviaFunds[[#This Row],[Sector]],Sectors[],2,FALSE)</f>
        <v>European Equities</v>
      </c>
    </row>
    <row r="3637" spans="1:6" x14ac:dyDescent="0.2">
      <c r="A3637" t="str">
        <f>'Novia Web Query'!A3633</f>
        <v>GB00B8FGLQ10</v>
      </c>
      <c r="B3637" t="str">
        <f>VLOOKUP(NoviaFunds[[#This Row],[ISIN]],'Novia Web Query'!$A:$E,2,FALSE)</f>
        <v>Schroder European Z Hedged Inc GBP TR in GB**</v>
      </c>
      <c r="C3637" t="str">
        <f>VLOOKUP(NoviaFunds[[#This Row],[ISIN]],'Novia Web Query'!$A:$E,3,FALSE)</f>
        <v>UT Europe Excluding UK</v>
      </c>
      <c r="D3637" s="139">
        <f>VLOOKUP(NoviaFunds[[#This Row],[ISIN]],'Novia Web Query'!$A:$E,4,FALSE)/100</f>
        <v>9.300000000000001E-3</v>
      </c>
      <c r="E3637" s="3" t="str">
        <f>VLOOKUP(NoviaFunds[[#This Row],[ISIN]],'Novia Web Query'!$A:$E,5,FALSE)</f>
        <v>21/04/2021</v>
      </c>
      <c r="F3637" t="str">
        <f>VLOOKUP(NoviaFunds[[#This Row],[Sector]],Sectors[],2,FALSE)</f>
        <v>European Equities</v>
      </c>
    </row>
    <row r="3638" spans="1:6" x14ac:dyDescent="0.2">
      <c r="A3638" t="str">
        <f>'Novia Web Query'!A3634</f>
        <v>GB00B76V8D44</v>
      </c>
      <c r="B3638" t="str">
        <f>VLOOKUP(NoviaFunds[[#This Row],[ISIN]],'Novia Web Query'!$A:$E,2,FALSE)</f>
        <v>Schroder European Z Inc TR in GB</v>
      </c>
      <c r="C3638" t="str">
        <f>VLOOKUP(NoviaFunds[[#This Row],[ISIN]],'Novia Web Query'!$A:$E,3,FALSE)</f>
        <v>UT Europe Excluding UK</v>
      </c>
      <c r="D3638" s="139">
        <f>VLOOKUP(NoviaFunds[[#This Row],[ISIN]],'Novia Web Query'!$A:$E,4,FALSE)/100</f>
        <v>9.1000000000000004E-3</v>
      </c>
      <c r="E3638" s="3" t="str">
        <f>VLOOKUP(NoviaFunds[[#This Row],[ISIN]],'Novia Web Query'!$A:$E,5,FALSE)</f>
        <v>14/01/2021</v>
      </c>
      <c r="F3638" t="str">
        <f>VLOOKUP(NoviaFunds[[#This Row],[Sector]],Sectors[],2,FALSE)</f>
        <v>European Equities</v>
      </c>
    </row>
    <row r="3639" spans="1:6" x14ac:dyDescent="0.2">
      <c r="A3639" t="str">
        <f>'Novia Web Query'!A3635</f>
        <v>GB0007647489</v>
      </c>
      <c r="B3639" t="str">
        <f>VLOOKUP(NoviaFunds[[#This Row],[ISIN]],'Novia Web Query'!$A:$E,2,FALSE)</f>
        <v>Schroder Gilt &amp; Fixed Interest A Acc in GB</v>
      </c>
      <c r="C3639" t="str">
        <f>VLOOKUP(NoviaFunds[[#This Row],[ISIN]],'Novia Web Query'!$A:$E,3,FALSE)</f>
        <v>UT UK Gilts</v>
      </c>
      <c r="D3639" s="139">
        <f>VLOOKUP(NoviaFunds[[#This Row],[ISIN]],'Novia Web Query'!$A:$E,4,FALSE)/100</f>
        <v>5.7999999999999996E-3</v>
      </c>
      <c r="E3639" s="3" t="str">
        <f>VLOOKUP(NoviaFunds[[#This Row],[ISIN]],'Novia Web Query'!$A:$E,5,FALSE)</f>
        <v>21/04/2021</v>
      </c>
      <c r="F3639" t="str">
        <f>VLOOKUP(NoviaFunds[[#This Row],[Sector]],Sectors[],2,FALSE)</f>
        <v>Gilts</v>
      </c>
    </row>
    <row r="3640" spans="1:6" x14ac:dyDescent="0.2">
      <c r="A3640" t="str">
        <f>'Novia Web Query'!A3636</f>
        <v>GB0007647372</v>
      </c>
      <c r="B3640" t="str">
        <f>VLOOKUP(NoviaFunds[[#This Row],[ISIN]],'Novia Web Query'!$A:$E,2,FALSE)</f>
        <v>Schroder Gilt &amp; Fixed Interest A Inc TR in GB</v>
      </c>
      <c r="C3640" t="str">
        <f>VLOOKUP(NoviaFunds[[#This Row],[ISIN]],'Novia Web Query'!$A:$E,3,FALSE)</f>
        <v>UT UK Gilts</v>
      </c>
      <c r="D3640" s="139">
        <f>VLOOKUP(NoviaFunds[[#This Row],[ISIN]],'Novia Web Query'!$A:$E,4,FALSE)/100</f>
        <v>5.7999999999999996E-3</v>
      </c>
      <c r="E3640" s="3" t="str">
        <f>VLOOKUP(NoviaFunds[[#This Row],[ISIN]],'Novia Web Query'!$A:$E,5,FALSE)</f>
        <v>21/04/2021</v>
      </c>
      <c r="F3640" t="str">
        <f>VLOOKUP(NoviaFunds[[#This Row],[Sector]],Sectors[],2,FALSE)</f>
        <v>Gilts</v>
      </c>
    </row>
    <row r="3641" spans="1:6" x14ac:dyDescent="0.2">
      <c r="A3641" t="str">
        <f>'Novia Web Query'!A3637</f>
        <v>GB00BYTQ7F09</v>
      </c>
      <c r="B3641" t="str">
        <f>VLOOKUP(NoviaFunds[[#This Row],[ISIN]],'Novia Web Query'!$A:$E,2,FALSE)</f>
        <v>Schroder Gilt &amp; Fixed Interest Z Acc in GB</v>
      </c>
      <c r="C3641" t="str">
        <f>VLOOKUP(NoviaFunds[[#This Row],[ISIN]],'Novia Web Query'!$A:$E,3,FALSE)</f>
        <v>UT UK Gilts</v>
      </c>
      <c r="D3641" s="139">
        <f>VLOOKUP(NoviaFunds[[#This Row],[ISIN]],'Novia Web Query'!$A:$E,4,FALSE)/100</f>
        <v>3.8E-3</v>
      </c>
      <c r="E3641" s="3" t="str">
        <f>VLOOKUP(NoviaFunds[[#This Row],[ISIN]],'Novia Web Query'!$A:$E,5,FALSE)</f>
        <v>21/04/2021</v>
      </c>
      <c r="F3641" t="str">
        <f>VLOOKUP(NoviaFunds[[#This Row],[Sector]],Sectors[],2,FALSE)</f>
        <v>Gilts</v>
      </c>
    </row>
    <row r="3642" spans="1:6" x14ac:dyDescent="0.2">
      <c r="A3642" t="str">
        <f>'Novia Web Query'!A3638</f>
        <v>GB00BYTQ7D84</v>
      </c>
      <c r="B3642" t="str">
        <f>VLOOKUP(NoviaFunds[[#This Row],[ISIN]],'Novia Web Query'!$A:$E,2,FALSE)</f>
        <v>Schroder Gilt &amp; Fixed Interest Z Inc TR in GB</v>
      </c>
      <c r="C3642" t="str">
        <f>VLOOKUP(NoviaFunds[[#This Row],[ISIN]],'Novia Web Query'!$A:$E,3,FALSE)</f>
        <v>UT UK Gilts</v>
      </c>
      <c r="D3642" s="139">
        <f>VLOOKUP(NoviaFunds[[#This Row],[ISIN]],'Novia Web Query'!$A:$E,4,FALSE)/100</f>
        <v>3.8E-3</v>
      </c>
      <c r="E3642" s="3" t="str">
        <f>VLOOKUP(NoviaFunds[[#This Row],[ISIN]],'Novia Web Query'!$A:$E,5,FALSE)</f>
        <v>21/04/2021</v>
      </c>
      <c r="F3642" t="str">
        <f>VLOOKUP(NoviaFunds[[#This Row],[Sector]],Sectors[],2,FALSE)</f>
        <v>Gilts</v>
      </c>
    </row>
    <row r="3643" spans="1:6" x14ac:dyDescent="0.2">
      <c r="A3643" t="str">
        <f>'Novia Web Query'!A3639</f>
        <v>GB00B0LGSD59</v>
      </c>
      <c r="B3643" t="str">
        <f>VLOOKUP(NoviaFunds[[#This Row],[ISIN]],'Novia Web Query'!$A:$E,2,FALSE)</f>
        <v>Schroder Global Cities Real Estate A Acc in GB</v>
      </c>
      <c r="C3643" t="str">
        <f>VLOOKUP(NoviaFunds[[#This Row],[ISIN]],'Novia Web Query'!$A:$E,3,FALSE)</f>
        <v>UT Property Other</v>
      </c>
      <c r="D3643" s="139">
        <f>VLOOKUP(NoviaFunds[[#This Row],[ISIN]],'Novia Web Query'!$A:$E,4,FALSE)/100</f>
        <v>1.6500000000000001E-2</v>
      </c>
      <c r="E3643" s="3" t="str">
        <f>VLOOKUP(NoviaFunds[[#This Row],[ISIN]],'Novia Web Query'!$A:$E,5,FALSE)</f>
        <v>21/10/2021</v>
      </c>
      <c r="F3643" t="e">
        <f>VLOOKUP(NoviaFunds[[#This Row],[Sector]],Sectors[],2,FALSE)</f>
        <v>#N/A</v>
      </c>
    </row>
    <row r="3644" spans="1:6" x14ac:dyDescent="0.2">
      <c r="A3644" t="str">
        <f>'Novia Web Query'!A3640</f>
        <v>GB00B0LGTF49</v>
      </c>
      <c r="B3644" t="str">
        <f>VLOOKUP(NoviaFunds[[#This Row],[ISIN]],'Novia Web Query'!$A:$E,2,FALSE)</f>
        <v>Schroder Global Cities Real Estate A Inc TR in GB</v>
      </c>
      <c r="C3644" t="str">
        <f>VLOOKUP(NoviaFunds[[#This Row],[ISIN]],'Novia Web Query'!$A:$E,3,FALSE)</f>
        <v>UT Property Other</v>
      </c>
      <c r="D3644" s="139">
        <f>VLOOKUP(NoviaFunds[[#This Row],[ISIN]],'Novia Web Query'!$A:$E,4,FALSE)/100</f>
        <v>1.6500000000000001E-2</v>
      </c>
      <c r="E3644" s="3" t="str">
        <f>VLOOKUP(NoviaFunds[[#This Row],[ISIN]],'Novia Web Query'!$A:$E,5,FALSE)</f>
        <v>21/10/2021</v>
      </c>
      <c r="F3644" t="e">
        <f>VLOOKUP(NoviaFunds[[#This Row],[Sector]],Sectors[],2,FALSE)</f>
        <v>#N/A</v>
      </c>
    </row>
    <row r="3645" spans="1:6" x14ac:dyDescent="0.2">
      <c r="A3645" t="str">
        <f>'Novia Web Query'!A3641</f>
        <v>GB00B4XCGK27</v>
      </c>
      <c r="B3645" t="str">
        <f>VLOOKUP(NoviaFunds[[#This Row],[ISIN]],'Novia Web Query'!$A:$E,2,FALSE)</f>
        <v>Schroder Global Cities Real Estate Income A Acc in GB</v>
      </c>
      <c r="C3645" t="str">
        <f>VLOOKUP(NoviaFunds[[#This Row],[ISIN]],'Novia Web Query'!$A:$E,3,FALSE)</f>
        <v>UT Property Other</v>
      </c>
      <c r="D3645" s="139">
        <f>VLOOKUP(NoviaFunds[[#This Row],[ISIN]],'Novia Web Query'!$A:$E,4,FALSE)/100</f>
        <v>1.7000000000000001E-2</v>
      </c>
      <c r="E3645" s="3" t="str">
        <f>VLOOKUP(NoviaFunds[[#This Row],[ISIN]],'Novia Web Query'!$A:$E,5,FALSE)</f>
        <v>21/04/2021</v>
      </c>
      <c r="F3645" t="e">
        <f>VLOOKUP(NoviaFunds[[#This Row],[Sector]],Sectors[],2,FALSE)</f>
        <v>#N/A</v>
      </c>
    </row>
    <row r="3646" spans="1:6" x14ac:dyDescent="0.2">
      <c r="A3646" t="str">
        <f>'Novia Web Query'!A3642</f>
        <v>GB00B52V9F34</v>
      </c>
      <c r="B3646" t="str">
        <f>VLOOKUP(NoviaFunds[[#This Row],[ISIN]],'Novia Web Query'!$A:$E,2,FALSE)</f>
        <v>Schroder Global Cities Real Estate Income A Inc TR in GB</v>
      </c>
      <c r="C3646" t="str">
        <f>VLOOKUP(NoviaFunds[[#This Row],[ISIN]],'Novia Web Query'!$A:$E,3,FALSE)</f>
        <v>UT Property Other</v>
      </c>
      <c r="D3646" s="139">
        <f>VLOOKUP(NoviaFunds[[#This Row],[ISIN]],'Novia Web Query'!$A:$E,4,FALSE)/100</f>
        <v>1.7000000000000001E-2</v>
      </c>
      <c r="E3646" s="3" t="str">
        <f>VLOOKUP(NoviaFunds[[#This Row],[ISIN]],'Novia Web Query'!$A:$E,5,FALSE)</f>
        <v>21/04/2021</v>
      </c>
      <c r="F3646" t="e">
        <f>VLOOKUP(NoviaFunds[[#This Row],[Sector]],Sectors[],2,FALSE)</f>
        <v>#N/A</v>
      </c>
    </row>
    <row r="3647" spans="1:6" x14ac:dyDescent="0.2">
      <c r="A3647" t="str">
        <f>'Novia Web Query'!A3643</f>
        <v>GB00BDD2DK47</v>
      </c>
      <c r="B3647" t="str">
        <f>VLOOKUP(NoviaFunds[[#This Row],[ISIN]],'Novia Web Query'!$A:$E,2,FALSE)</f>
        <v>Schroder Global Cities Real Estate Income L Inc TR in GB</v>
      </c>
      <c r="C3647" t="str">
        <f>VLOOKUP(NoviaFunds[[#This Row],[ISIN]],'Novia Web Query'!$A:$E,3,FALSE)</f>
        <v>UT Property Other</v>
      </c>
      <c r="D3647" s="139">
        <f>VLOOKUP(NoviaFunds[[#This Row],[ISIN]],'Novia Web Query'!$A:$E,4,FALSE)/100</f>
        <v>8.8000000000000005E-3</v>
      </c>
      <c r="E3647" s="3" t="str">
        <f>VLOOKUP(NoviaFunds[[#This Row],[ISIN]],'Novia Web Query'!$A:$E,5,FALSE)</f>
        <v>21/04/2021</v>
      </c>
      <c r="F3647" t="e">
        <f>VLOOKUP(NoviaFunds[[#This Row],[Sector]],Sectors[],2,FALSE)</f>
        <v>#N/A</v>
      </c>
    </row>
    <row r="3648" spans="1:6" x14ac:dyDescent="0.2">
      <c r="A3648" t="str">
        <f>'Novia Web Query'!A3644</f>
        <v>GB00B50MLC91</v>
      </c>
      <c r="B3648" t="str">
        <f>VLOOKUP(NoviaFunds[[#This Row],[ISIN]],'Novia Web Query'!$A:$E,2,FALSE)</f>
        <v>Schroder Global Cities Real Estate Income Z Acc in GB</v>
      </c>
      <c r="C3648" t="str">
        <f>VLOOKUP(NoviaFunds[[#This Row],[ISIN]],'Novia Web Query'!$A:$E,3,FALSE)</f>
        <v>UT Property Other</v>
      </c>
      <c r="D3648" s="139">
        <f>VLOOKUP(NoviaFunds[[#This Row],[ISIN]],'Novia Web Query'!$A:$E,4,FALSE)/100</f>
        <v>9.4999999999999998E-3</v>
      </c>
      <c r="E3648" s="3" t="str">
        <f>VLOOKUP(NoviaFunds[[#This Row],[ISIN]],'Novia Web Query'!$A:$E,5,FALSE)</f>
        <v>21/04/2021</v>
      </c>
      <c r="F3648" t="e">
        <f>VLOOKUP(NoviaFunds[[#This Row],[Sector]],Sectors[],2,FALSE)</f>
        <v>#N/A</v>
      </c>
    </row>
    <row r="3649" spans="1:6" x14ac:dyDescent="0.2">
      <c r="A3649" t="str">
        <f>'Novia Web Query'!A3645</f>
        <v>GB00B53VQ629</v>
      </c>
      <c r="B3649" t="str">
        <f>VLOOKUP(NoviaFunds[[#This Row],[ISIN]],'Novia Web Query'!$A:$E,2,FALSE)</f>
        <v>Schroder Global Cities Real Estate Income Z Inc TR in GB</v>
      </c>
      <c r="C3649" t="str">
        <f>VLOOKUP(NoviaFunds[[#This Row],[ISIN]],'Novia Web Query'!$A:$E,3,FALSE)</f>
        <v>UT Property Other</v>
      </c>
      <c r="D3649" s="139">
        <f>VLOOKUP(NoviaFunds[[#This Row],[ISIN]],'Novia Web Query'!$A:$E,4,FALSE)/100</f>
        <v>9.4999999999999998E-3</v>
      </c>
      <c r="E3649" s="3" t="str">
        <f>VLOOKUP(NoviaFunds[[#This Row],[ISIN]],'Novia Web Query'!$A:$E,5,FALSE)</f>
        <v>21/04/2021</v>
      </c>
      <c r="F3649" t="e">
        <f>VLOOKUP(NoviaFunds[[#This Row],[Sector]],Sectors[],2,FALSE)</f>
        <v>#N/A</v>
      </c>
    </row>
    <row r="3650" spans="1:6" x14ac:dyDescent="0.2">
      <c r="A3650" t="str">
        <f>'Novia Web Query'!A3646</f>
        <v>GB00BDD2DQ09</v>
      </c>
      <c r="B3650" t="str">
        <f>VLOOKUP(NoviaFunds[[#This Row],[ISIN]],'Novia Web Query'!$A:$E,2,FALSE)</f>
        <v>Schroder Global Cities Real Estate L Acc in GB</v>
      </c>
      <c r="C3650" t="str">
        <f>VLOOKUP(NoviaFunds[[#This Row],[ISIN]],'Novia Web Query'!$A:$E,3,FALSE)</f>
        <v>UT Property Other</v>
      </c>
      <c r="D3650" s="139">
        <f>VLOOKUP(NoviaFunds[[#This Row],[ISIN]],'Novia Web Query'!$A:$E,4,FALSE)/100</f>
        <v>8.3000000000000001E-3</v>
      </c>
      <c r="E3650" s="3" t="str">
        <f>VLOOKUP(NoviaFunds[[#This Row],[ISIN]],'Novia Web Query'!$A:$E,5,FALSE)</f>
        <v>14/01/2021</v>
      </c>
      <c r="F3650" t="e">
        <f>VLOOKUP(NoviaFunds[[#This Row],[Sector]],Sectors[],2,FALSE)</f>
        <v>#N/A</v>
      </c>
    </row>
    <row r="3651" spans="1:6" x14ac:dyDescent="0.2">
      <c r="A3651" t="str">
        <f>'Novia Web Query'!A3647</f>
        <v>GB00BF785Q25</v>
      </c>
      <c r="B3651" t="str">
        <f>VLOOKUP(NoviaFunds[[#This Row],[ISIN]],'Novia Web Query'!$A:$E,2,FALSE)</f>
        <v>Schroder Global Cities Real Estate L Hedged Acc in GB</v>
      </c>
      <c r="C3651" t="str">
        <f>VLOOKUP(NoviaFunds[[#This Row],[ISIN]],'Novia Web Query'!$A:$E,3,FALSE)</f>
        <v>UT Property Other</v>
      </c>
      <c r="D3651" s="139">
        <f>VLOOKUP(NoviaFunds[[#This Row],[ISIN]],'Novia Web Query'!$A:$E,4,FALSE)/100</f>
        <v>8.6E-3</v>
      </c>
      <c r="E3651" s="3" t="str">
        <f>VLOOKUP(NoviaFunds[[#This Row],[ISIN]],'Novia Web Query'!$A:$E,5,FALSE)</f>
        <v>14/01/2021</v>
      </c>
      <c r="F3651" t="e">
        <f>VLOOKUP(NoviaFunds[[#This Row],[Sector]],Sectors[],2,FALSE)</f>
        <v>#N/A</v>
      </c>
    </row>
    <row r="3652" spans="1:6" x14ac:dyDescent="0.2">
      <c r="A3652" t="str">
        <f>'Novia Web Query'!A3648</f>
        <v>GB00BDD2DR16</v>
      </c>
      <c r="B3652" t="str">
        <f>VLOOKUP(NoviaFunds[[#This Row],[ISIN]],'Novia Web Query'!$A:$E,2,FALSE)</f>
        <v>Schroder Global Cities Real Estate L Inc TR in GB</v>
      </c>
      <c r="C3652" t="str">
        <f>VLOOKUP(NoviaFunds[[#This Row],[ISIN]],'Novia Web Query'!$A:$E,3,FALSE)</f>
        <v>UT Property Other</v>
      </c>
      <c r="D3652" s="139">
        <f>VLOOKUP(NoviaFunds[[#This Row],[ISIN]],'Novia Web Query'!$A:$E,4,FALSE)/100</f>
        <v>8.3000000000000001E-3</v>
      </c>
      <c r="E3652" s="3" t="str">
        <f>VLOOKUP(NoviaFunds[[#This Row],[ISIN]],'Novia Web Query'!$A:$E,5,FALSE)</f>
        <v>14/01/2021</v>
      </c>
      <c r="F3652" t="e">
        <f>VLOOKUP(NoviaFunds[[#This Row],[Sector]],Sectors[],2,FALSE)</f>
        <v>#N/A</v>
      </c>
    </row>
    <row r="3653" spans="1:6" x14ac:dyDescent="0.2">
      <c r="A3653" t="str">
        <f>'Novia Web Query'!A3649</f>
        <v>GB00B1VPTY75</v>
      </c>
      <c r="B3653" t="str">
        <f>VLOOKUP(NoviaFunds[[#This Row],[ISIN]],'Novia Web Query'!$A:$E,2,FALSE)</f>
        <v>Schroder Global Cities Real Estate Z Acc in GB</v>
      </c>
      <c r="C3653" t="str">
        <f>VLOOKUP(NoviaFunds[[#This Row],[ISIN]],'Novia Web Query'!$A:$E,3,FALSE)</f>
        <v>UT Property Other</v>
      </c>
      <c r="D3653" s="139">
        <f>VLOOKUP(NoviaFunds[[#This Row],[ISIN]],'Novia Web Query'!$A:$E,4,FALSE)/100</f>
        <v>9.0000000000000011E-3</v>
      </c>
      <c r="E3653" s="3" t="str">
        <f>VLOOKUP(NoviaFunds[[#This Row],[ISIN]],'Novia Web Query'!$A:$E,5,FALSE)</f>
        <v>21/10/2021</v>
      </c>
      <c r="F3653" t="e">
        <f>VLOOKUP(NoviaFunds[[#This Row],[Sector]],Sectors[],2,FALSE)</f>
        <v>#N/A</v>
      </c>
    </row>
    <row r="3654" spans="1:6" x14ac:dyDescent="0.2">
      <c r="A3654" t="str">
        <f>'Novia Web Query'!A3650</f>
        <v>GB00B1VPTW51</v>
      </c>
      <c r="B3654" t="str">
        <f>VLOOKUP(NoviaFunds[[#This Row],[ISIN]],'Novia Web Query'!$A:$E,2,FALSE)</f>
        <v>Schroder Global Cities Real Estate Z Inc TR in GB</v>
      </c>
      <c r="C3654" t="str">
        <f>VLOOKUP(NoviaFunds[[#This Row],[ISIN]],'Novia Web Query'!$A:$E,3,FALSE)</f>
        <v>UT Property Other</v>
      </c>
      <c r="D3654" s="139">
        <f>VLOOKUP(NoviaFunds[[#This Row],[ISIN]],'Novia Web Query'!$A:$E,4,FALSE)/100</f>
        <v>9.0000000000000011E-3</v>
      </c>
      <c r="E3654" s="3" t="str">
        <f>VLOOKUP(NoviaFunds[[#This Row],[ISIN]],'Novia Web Query'!$A:$E,5,FALSE)</f>
        <v>21/10/2021</v>
      </c>
      <c r="F3654" t="e">
        <f>VLOOKUP(NoviaFunds[[#This Row],[Sector]],Sectors[],2,FALSE)</f>
        <v>#N/A</v>
      </c>
    </row>
    <row r="3655" spans="1:6" x14ac:dyDescent="0.2">
      <c r="A3655" t="str">
        <f>'Novia Web Query'!A3651</f>
        <v>GB0007906463</v>
      </c>
      <c r="B3655" t="str">
        <f>VLOOKUP(NoviaFunds[[#This Row],[ISIN]],'Novia Web Query'!$A:$E,2,FALSE)</f>
        <v>Schroder Global Emerging Markets A Acc in GB</v>
      </c>
      <c r="C3655" t="str">
        <f>VLOOKUP(NoviaFunds[[#This Row],[ISIN]],'Novia Web Query'!$A:$E,3,FALSE)</f>
        <v>UT Global Emerging Markets</v>
      </c>
      <c r="D3655" s="139">
        <f>VLOOKUP(NoviaFunds[[#This Row],[ISIN]],'Novia Web Query'!$A:$E,4,FALSE)/100</f>
        <v>1.7100000000000001E-2</v>
      </c>
      <c r="E3655" s="3" t="str">
        <f>VLOOKUP(NoviaFunds[[#This Row],[ISIN]],'Novia Web Query'!$A:$E,5,FALSE)</f>
        <v>14/01/2021</v>
      </c>
      <c r="F3655" t="str">
        <f>VLOOKUP(NoviaFunds[[#This Row],[Sector]],Sectors[],2,FALSE)</f>
        <v>Emerging Markets</v>
      </c>
    </row>
    <row r="3656" spans="1:6" x14ac:dyDescent="0.2">
      <c r="A3656" t="str">
        <f>'Novia Web Query'!A3652</f>
        <v>GB0007906356</v>
      </c>
      <c r="B3656" t="str">
        <f>VLOOKUP(NoviaFunds[[#This Row],[ISIN]],'Novia Web Query'!$A:$E,2,FALSE)</f>
        <v>Schroder Global Emerging Markets A Inc TR in GB</v>
      </c>
      <c r="C3656" t="str">
        <f>VLOOKUP(NoviaFunds[[#This Row],[ISIN]],'Novia Web Query'!$A:$E,3,FALSE)</f>
        <v>UT Global Emerging Markets</v>
      </c>
      <c r="D3656" s="139">
        <f>VLOOKUP(NoviaFunds[[#This Row],[ISIN]],'Novia Web Query'!$A:$E,4,FALSE)/100</f>
        <v>1.7100000000000001E-2</v>
      </c>
      <c r="E3656" s="3" t="str">
        <f>VLOOKUP(NoviaFunds[[#This Row],[ISIN]],'Novia Web Query'!$A:$E,5,FALSE)</f>
        <v>14/01/2021</v>
      </c>
      <c r="F3656" t="str">
        <f>VLOOKUP(NoviaFunds[[#This Row],[Sector]],Sectors[],2,FALSE)</f>
        <v>Emerging Markets</v>
      </c>
    </row>
    <row r="3657" spans="1:6" x14ac:dyDescent="0.2">
      <c r="A3657" t="str">
        <f>'Novia Web Query'!A3653</f>
        <v>GB00B76V5Q67</v>
      </c>
      <c r="B3657" t="str">
        <f>VLOOKUP(NoviaFunds[[#This Row],[ISIN]],'Novia Web Query'!$A:$E,2,FALSE)</f>
        <v>Schroder Global Emerging Markets Z Acc in GB</v>
      </c>
      <c r="C3657" t="str">
        <f>VLOOKUP(NoviaFunds[[#This Row],[ISIN]],'Novia Web Query'!$A:$E,3,FALSE)</f>
        <v>UT Global Emerging Markets</v>
      </c>
      <c r="D3657" s="139">
        <f>VLOOKUP(NoviaFunds[[#This Row],[ISIN]],'Novia Web Query'!$A:$E,4,FALSE)/100</f>
        <v>9.4999999999999998E-3</v>
      </c>
      <c r="E3657" s="3" t="str">
        <f>VLOOKUP(NoviaFunds[[#This Row],[ISIN]],'Novia Web Query'!$A:$E,5,FALSE)</f>
        <v>14/01/2021</v>
      </c>
      <c r="F3657" t="str">
        <f>VLOOKUP(NoviaFunds[[#This Row],[Sector]],Sectors[],2,FALSE)</f>
        <v>Emerging Markets</v>
      </c>
    </row>
    <row r="3658" spans="1:6" x14ac:dyDescent="0.2">
      <c r="A3658" t="str">
        <f>'Novia Web Query'!A3654</f>
        <v>GB00B76V5R74</v>
      </c>
      <c r="B3658" t="str">
        <f>VLOOKUP(NoviaFunds[[#This Row],[ISIN]],'Novia Web Query'!$A:$E,2,FALSE)</f>
        <v>Schroder Global Emerging Markets Z Inc TR in GB</v>
      </c>
      <c r="C3658" t="str">
        <f>VLOOKUP(NoviaFunds[[#This Row],[ISIN]],'Novia Web Query'!$A:$E,3,FALSE)</f>
        <v>UT Global Emerging Markets</v>
      </c>
      <c r="D3658" s="139">
        <f>VLOOKUP(NoviaFunds[[#This Row],[ISIN]],'Novia Web Query'!$A:$E,4,FALSE)/100</f>
        <v>9.4999999999999998E-3</v>
      </c>
      <c r="E3658" s="3" t="str">
        <f>VLOOKUP(NoviaFunds[[#This Row],[ISIN]],'Novia Web Query'!$A:$E,5,FALSE)</f>
        <v>14/01/2021</v>
      </c>
      <c r="F3658" t="str">
        <f>VLOOKUP(NoviaFunds[[#This Row],[Sector]],Sectors[],2,FALSE)</f>
        <v>Emerging Markets</v>
      </c>
    </row>
    <row r="3659" spans="1:6" x14ac:dyDescent="0.2">
      <c r="A3659" t="str">
        <f>'Novia Web Query'!A3655</f>
        <v>GB00BF781D16</v>
      </c>
      <c r="B3659" t="str">
        <f>VLOOKUP(NoviaFunds[[#This Row],[ISIN]],'Novia Web Query'!$A:$E,2,FALSE)</f>
        <v>Schroder Global Energy Transition Q1 Inc GBP TR in GB</v>
      </c>
      <c r="C3659" t="str">
        <f>VLOOKUP(NoviaFunds[[#This Row],[ISIN]],'Novia Web Query'!$A:$E,3,FALSE)</f>
        <v>UT Global</v>
      </c>
      <c r="D3659" s="139">
        <f>VLOOKUP(NoviaFunds[[#This Row],[ISIN]],'Novia Web Query'!$A:$E,4,FALSE)/100</f>
        <v>7.1999999999999998E-3</v>
      </c>
      <c r="E3659" s="3" t="str">
        <f>VLOOKUP(NoviaFunds[[#This Row],[ISIN]],'Novia Web Query'!$A:$E,5,FALSE)</f>
        <v>31/12/2020</v>
      </c>
      <c r="F3659" t="str">
        <f>VLOOKUP(NoviaFunds[[#This Row],[Sector]],Sectors[],2,FALSE)</f>
        <v>Other Equities</v>
      </c>
    </row>
    <row r="3660" spans="1:6" x14ac:dyDescent="0.2">
      <c r="A3660" t="str">
        <f>'Novia Web Query'!A3656</f>
        <v>GB00BF781K82</v>
      </c>
      <c r="B3660" t="str">
        <f>VLOOKUP(NoviaFunds[[#This Row],[ISIN]],'Novia Web Query'!$A:$E,2,FALSE)</f>
        <v>Schroder Global Energy Transition Z Acc GBP in GB</v>
      </c>
      <c r="C3660" t="str">
        <f>VLOOKUP(NoviaFunds[[#This Row],[ISIN]],'Novia Web Query'!$A:$E,3,FALSE)</f>
        <v>UT Global</v>
      </c>
      <c r="D3660" s="139">
        <f>VLOOKUP(NoviaFunds[[#This Row],[ISIN]],'Novia Web Query'!$A:$E,4,FALSE)/100</f>
        <v>9.7000000000000003E-3</v>
      </c>
      <c r="E3660" s="3" t="str">
        <f>VLOOKUP(NoviaFunds[[#This Row],[ISIN]],'Novia Web Query'!$A:$E,5,FALSE)</f>
        <v>31/12/2020</v>
      </c>
      <c r="F3660" t="str">
        <f>VLOOKUP(NoviaFunds[[#This Row],[Sector]],Sectors[],2,FALSE)</f>
        <v>Other Equities</v>
      </c>
    </row>
    <row r="3661" spans="1:6" x14ac:dyDescent="0.2">
      <c r="A3661" t="str">
        <f>'Novia Web Query'!A3657</f>
        <v>GB0007646309</v>
      </c>
      <c r="B3661" t="str">
        <f>VLOOKUP(NoviaFunds[[#This Row],[ISIN]],'Novia Web Query'!$A:$E,2,FALSE)</f>
        <v>Schroder Global Equity I Acc in GB</v>
      </c>
      <c r="C3661" t="str">
        <f>VLOOKUP(NoviaFunds[[#This Row],[ISIN]],'Novia Web Query'!$A:$E,3,FALSE)</f>
        <v>UT Global</v>
      </c>
      <c r="D3661" s="139">
        <f>VLOOKUP(NoviaFunds[[#This Row],[ISIN]],'Novia Web Query'!$A:$E,4,FALSE)/100</f>
        <v>5.1999999999999998E-3</v>
      </c>
      <c r="E3661" s="3" t="str">
        <f>VLOOKUP(NoviaFunds[[#This Row],[ISIN]],'Novia Web Query'!$A:$E,5,FALSE)</f>
        <v>21/04/2021</v>
      </c>
      <c r="F3661" t="str">
        <f>VLOOKUP(NoviaFunds[[#This Row],[Sector]],Sectors[],2,FALSE)</f>
        <v>Other Equities</v>
      </c>
    </row>
    <row r="3662" spans="1:6" x14ac:dyDescent="0.2">
      <c r="A3662" t="str">
        <f>'Novia Web Query'!A3658</f>
        <v>GB0007659781</v>
      </c>
      <c r="B3662" t="str">
        <f>VLOOKUP(NoviaFunds[[#This Row],[ISIN]],'Novia Web Query'!$A:$E,2,FALSE)</f>
        <v>Schroder Global Equity I Inc TR in GB</v>
      </c>
      <c r="C3662" t="str">
        <f>VLOOKUP(NoviaFunds[[#This Row],[ISIN]],'Novia Web Query'!$A:$E,3,FALSE)</f>
        <v>UT Global</v>
      </c>
      <c r="D3662" s="139">
        <f>VLOOKUP(NoviaFunds[[#This Row],[ISIN]],'Novia Web Query'!$A:$E,4,FALSE)/100</f>
        <v>5.1999999999999998E-3</v>
      </c>
      <c r="E3662" s="3" t="str">
        <f>VLOOKUP(NoviaFunds[[#This Row],[ISIN]],'Novia Web Query'!$A:$E,5,FALSE)</f>
        <v>21/04/2021</v>
      </c>
      <c r="F3662" t="str">
        <f>VLOOKUP(NoviaFunds[[#This Row],[Sector]],Sectors[],2,FALSE)</f>
        <v>Other Equities</v>
      </c>
    </row>
    <row r="3663" spans="1:6" x14ac:dyDescent="0.2">
      <c r="A3663" t="str">
        <f>'Novia Web Query'!A3659</f>
        <v>GB00B1N91F21</v>
      </c>
      <c r="B3663" t="str">
        <f>VLOOKUP(NoviaFunds[[#This Row],[ISIN]],'Novia Web Query'!$A:$E,2,FALSE)</f>
        <v>Schroder Global Equity Income A Acc in GB</v>
      </c>
      <c r="C3663" t="str">
        <f>VLOOKUP(NoviaFunds[[#This Row],[ISIN]],'Novia Web Query'!$A:$E,3,FALSE)</f>
        <v>UT Global Equity Income</v>
      </c>
      <c r="D3663" s="139">
        <f>VLOOKUP(NoviaFunds[[#This Row],[ISIN]],'Novia Web Query'!$A:$E,4,FALSE)/100</f>
        <v>1.6899999999999998E-2</v>
      </c>
      <c r="E3663" s="3" t="str">
        <f>VLOOKUP(NoviaFunds[[#This Row],[ISIN]],'Novia Web Query'!$A:$E,5,FALSE)</f>
        <v>14/01/2021</v>
      </c>
      <c r="F3663" t="str">
        <f>VLOOKUP(NoviaFunds[[#This Row],[Sector]],Sectors[],2,FALSE)</f>
        <v>Other Equities</v>
      </c>
    </row>
    <row r="3664" spans="1:6" x14ac:dyDescent="0.2">
      <c r="A3664" t="str">
        <f>'Novia Web Query'!A3660</f>
        <v>GB00B1N91C99</v>
      </c>
      <c r="B3664" t="str">
        <f>VLOOKUP(NoviaFunds[[#This Row],[ISIN]],'Novia Web Query'!$A:$E,2,FALSE)</f>
        <v>Schroder Global Equity Income A Inc TR in GB</v>
      </c>
      <c r="C3664" t="str">
        <f>VLOOKUP(NoviaFunds[[#This Row],[ISIN]],'Novia Web Query'!$A:$E,3,FALSE)</f>
        <v>UT Global Equity Income</v>
      </c>
      <c r="D3664" s="139">
        <f>VLOOKUP(NoviaFunds[[#This Row],[ISIN]],'Novia Web Query'!$A:$E,4,FALSE)/100</f>
        <v>1.6899999999999998E-2</v>
      </c>
      <c r="E3664" s="3" t="str">
        <f>VLOOKUP(NoviaFunds[[#This Row],[ISIN]],'Novia Web Query'!$A:$E,5,FALSE)</f>
        <v>14/01/2021</v>
      </c>
      <c r="F3664" t="str">
        <f>VLOOKUP(NoviaFunds[[#This Row],[Sector]],Sectors[],2,FALSE)</f>
        <v>Other Equities</v>
      </c>
    </row>
    <row r="3665" spans="1:6" x14ac:dyDescent="0.2">
      <c r="A3665" t="str">
        <f>'Novia Web Query'!A3661</f>
        <v>GB00BDD2CM95</v>
      </c>
      <c r="B3665" t="str">
        <f>VLOOKUP(NoviaFunds[[#This Row],[ISIN]],'Novia Web Query'!$A:$E,2,FALSE)</f>
        <v>Schroder Global Equity Income L Inc TR in GB</v>
      </c>
      <c r="C3665" t="str">
        <f>VLOOKUP(NoviaFunds[[#This Row],[ISIN]],'Novia Web Query'!$A:$E,3,FALSE)</f>
        <v>UT Global Equity Income</v>
      </c>
      <c r="D3665" s="139">
        <f>VLOOKUP(NoviaFunds[[#This Row],[ISIN]],'Novia Web Query'!$A:$E,4,FALSE)/100</f>
        <v>8.6999999999999994E-3</v>
      </c>
      <c r="E3665" s="3" t="str">
        <f>VLOOKUP(NoviaFunds[[#This Row],[ISIN]],'Novia Web Query'!$A:$E,5,FALSE)</f>
        <v>21/04/2021</v>
      </c>
      <c r="F3665" t="str">
        <f>VLOOKUP(NoviaFunds[[#This Row],[Sector]],Sectors[],2,FALSE)</f>
        <v>Other Equities</v>
      </c>
    </row>
    <row r="3666" spans="1:6" x14ac:dyDescent="0.2">
      <c r="A3666" t="str">
        <f>'Novia Web Query'!A3662</f>
        <v>GB00B76V7M69</v>
      </c>
      <c r="B3666" t="str">
        <f>VLOOKUP(NoviaFunds[[#This Row],[ISIN]],'Novia Web Query'!$A:$E,2,FALSE)</f>
        <v>Schroder Global Equity Income Z Acc in GB</v>
      </c>
      <c r="C3666" t="str">
        <f>VLOOKUP(NoviaFunds[[#This Row],[ISIN]],'Novia Web Query'!$A:$E,3,FALSE)</f>
        <v>UT Global Equity Income</v>
      </c>
      <c r="D3666" s="139">
        <f>VLOOKUP(NoviaFunds[[#This Row],[ISIN]],'Novia Web Query'!$A:$E,4,FALSE)/100</f>
        <v>9.3999999999999986E-3</v>
      </c>
      <c r="E3666" s="3" t="str">
        <f>VLOOKUP(NoviaFunds[[#This Row],[ISIN]],'Novia Web Query'!$A:$E,5,FALSE)</f>
        <v>14/01/2021</v>
      </c>
      <c r="F3666" t="str">
        <f>VLOOKUP(NoviaFunds[[#This Row],[Sector]],Sectors[],2,FALSE)</f>
        <v>Other Equities</v>
      </c>
    </row>
    <row r="3667" spans="1:6" x14ac:dyDescent="0.2">
      <c r="A3667" t="str">
        <f>'Novia Web Query'!A3663</f>
        <v>GB00B76V7N76</v>
      </c>
      <c r="B3667" t="str">
        <f>VLOOKUP(NoviaFunds[[#This Row],[ISIN]],'Novia Web Query'!$A:$E,2,FALSE)</f>
        <v>Schroder Global Equity Income Z Inc TR in GB</v>
      </c>
      <c r="C3667" t="str">
        <f>VLOOKUP(NoviaFunds[[#This Row],[ISIN]],'Novia Web Query'!$A:$E,3,FALSE)</f>
        <v>UT Global Equity Income</v>
      </c>
      <c r="D3667" s="139">
        <f>VLOOKUP(NoviaFunds[[#This Row],[ISIN]],'Novia Web Query'!$A:$E,4,FALSE)/100</f>
        <v>9.3999999999999986E-3</v>
      </c>
      <c r="E3667" s="3" t="str">
        <f>VLOOKUP(NoviaFunds[[#This Row],[ISIN]],'Novia Web Query'!$A:$E,5,FALSE)</f>
        <v>14/01/2021</v>
      </c>
      <c r="F3667" t="str">
        <f>VLOOKUP(NoviaFunds[[#This Row],[Sector]],Sectors[],2,FALSE)</f>
        <v>Other Equities</v>
      </c>
    </row>
    <row r="3668" spans="1:6" x14ac:dyDescent="0.2">
      <c r="A3668" t="str">
        <f>'Novia Web Query'!A3664</f>
        <v>GB00BD8RLG68</v>
      </c>
      <c r="B3668" t="str">
        <f>VLOOKUP(NoviaFunds[[#This Row],[ISIN]],'Novia Web Query'!$A:$E,2,FALSE)</f>
        <v>Schroder Global Equity L Inc TR in GB**</v>
      </c>
      <c r="C3668" t="str">
        <f>VLOOKUP(NoviaFunds[[#This Row],[ISIN]],'Novia Web Query'!$A:$E,3,FALSE)</f>
        <v>UT Global</v>
      </c>
      <c r="D3668" s="139">
        <f>VLOOKUP(NoviaFunds[[#This Row],[ISIN]],'Novia Web Query'!$A:$E,4,FALSE)/100</f>
        <v>5.7999999999999996E-3</v>
      </c>
      <c r="E3668" s="3" t="str">
        <f>VLOOKUP(NoviaFunds[[#This Row],[ISIN]],'Novia Web Query'!$A:$E,5,FALSE)</f>
        <v>21/04/2021</v>
      </c>
      <c r="F3668" t="str">
        <f>VLOOKUP(NoviaFunds[[#This Row],[Sector]],Sectors[],2,FALSE)</f>
        <v>Other Equities</v>
      </c>
    </row>
    <row r="3669" spans="1:6" x14ac:dyDescent="0.2">
      <c r="A3669" t="str">
        <f>'Novia Web Query'!A3665</f>
        <v>GB00BD8RLF51</v>
      </c>
      <c r="B3669" t="str">
        <f>VLOOKUP(NoviaFunds[[#This Row],[ISIN]],'Novia Web Query'!$A:$E,2,FALSE)</f>
        <v>Schroder Global Equity Z Acc in GB</v>
      </c>
      <c r="C3669" t="str">
        <f>VLOOKUP(NoviaFunds[[#This Row],[ISIN]],'Novia Web Query'!$A:$E,3,FALSE)</f>
        <v>UT Global</v>
      </c>
      <c r="D3669" s="139">
        <f>VLOOKUP(NoviaFunds[[#This Row],[ISIN]],'Novia Web Query'!$A:$E,4,FALSE)/100</f>
        <v>6.1999999999999998E-3</v>
      </c>
      <c r="E3669" s="3" t="str">
        <f>VLOOKUP(NoviaFunds[[#This Row],[ISIN]],'Novia Web Query'!$A:$E,5,FALSE)</f>
        <v>21/04/2021</v>
      </c>
      <c r="F3669" t="str">
        <f>VLOOKUP(NoviaFunds[[#This Row],[Sector]],Sectors[],2,FALSE)</f>
        <v>Other Equities</v>
      </c>
    </row>
    <row r="3670" spans="1:6" x14ac:dyDescent="0.2">
      <c r="A3670" t="str">
        <f>'Novia Web Query'!A3666</f>
        <v>GB00BD8RLD38</v>
      </c>
      <c r="B3670" t="str">
        <f>VLOOKUP(NoviaFunds[[#This Row],[ISIN]],'Novia Web Query'!$A:$E,2,FALSE)</f>
        <v>Schroder Global Equity Z Inc TR in GB</v>
      </c>
      <c r="C3670" t="str">
        <f>VLOOKUP(NoviaFunds[[#This Row],[ISIN]],'Novia Web Query'!$A:$E,3,FALSE)</f>
        <v>UT Global</v>
      </c>
      <c r="D3670" s="139">
        <f>VLOOKUP(NoviaFunds[[#This Row],[ISIN]],'Novia Web Query'!$A:$E,4,FALSE)/100</f>
        <v>6.1999999999999998E-3</v>
      </c>
      <c r="E3670" s="3" t="str">
        <f>VLOOKUP(NoviaFunds[[#This Row],[ISIN]],'Novia Web Query'!$A:$E,5,FALSE)</f>
        <v>21/04/2021</v>
      </c>
      <c r="F3670" t="str">
        <f>VLOOKUP(NoviaFunds[[#This Row],[Sector]],Sectors[],2,FALSE)</f>
        <v>Other Equities</v>
      </c>
    </row>
    <row r="3671" spans="1:6" x14ac:dyDescent="0.2">
      <c r="A3671" t="str">
        <f>'Novia Web Query'!A3667</f>
        <v>GB0003880183</v>
      </c>
      <c r="B3671" t="str">
        <f>VLOOKUP(NoviaFunds[[#This Row],[ISIN]],'Novia Web Query'!$A:$E,2,FALSE)</f>
        <v>Schroder Global Healthcare A Acc in GB</v>
      </c>
      <c r="C3671" t="str">
        <f>VLOOKUP(NoviaFunds[[#This Row],[ISIN]],'Novia Web Query'!$A:$E,3,FALSE)</f>
        <v>UT Global</v>
      </c>
      <c r="D3671" s="139">
        <f>VLOOKUP(NoviaFunds[[#This Row],[ISIN]],'Novia Web Query'!$A:$E,4,FALSE)/100</f>
        <v>1.67E-2</v>
      </c>
      <c r="E3671" s="3" t="str">
        <f>VLOOKUP(NoviaFunds[[#This Row],[ISIN]],'Novia Web Query'!$A:$E,5,FALSE)</f>
        <v>21/04/2021</v>
      </c>
      <c r="F3671" t="str">
        <f>VLOOKUP(NoviaFunds[[#This Row],[Sector]],Sectors[],2,FALSE)</f>
        <v>Other Equities</v>
      </c>
    </row>
    <row r="3672" spans="1:6" x14ac:dyDescent="0.2">
      <c r="A3672" t="str">
        <f>'Novia Web Query'!A3668</f>
        <v>GB0003880290</v>
      </c>
      <c r="B3672" t="str">
        <f>VLOOKUP(NoviaFunds[[#This Row],[ISIN]],'Novia Web Query'!$A:$E,2,FALSE)</f>
        <v>Schroder Global Healthcare A Inc TR in GB</v>
      </c>
      <c r="C3672" t="str">
        <f>VLOOKUP(NoviaFunds[[#This Row],[ISIN]],'Novia Web Query'!$A:$E,3,FALSE)</f>
        <v>UT Global</v>
      </c>
      <c r="D3672" s="139">
        <f>VLOOKUP(NoviaFunds[[#This Row],[ISIN]],'Novia Web Query'!$A:$E,4,FALSE)/100</f>
        <v>1.67E-2</v>
      </c>
      <c r="E3672" s="3" t="str">
        <f>VLOOKUP(NoviaFunds[[#This Row],[ISIN]],'Novia Web Query'!$A:$E,5,FALSE)</f>
        <v>21/04/2021</v>
      </c>
      <c r="F3672" t="str">
        <f>VLOOKUP(NoviaFunds[[#This Row],[Sector]],Sectors[],2,FALSE)</f>
        <v>Other Equities</v>
      </c>
    </row>
    <row r="3673" spans="1:6" x14ac:dyDescent="0.2">
      <c r="A3673" t="str">
        <f>'Novia Web Query'!A3669</f>
        <v>GB00B76V7Q08</v>
      </c>
      <c r="B3673" t="str">
        <f>VLOOKUP(NoviaFunds[[#This Row],[ISIN]],'Novia Web Query'!$A:$E,2,FALSE)</f>
        <v>Schroder Global Healthcare Z Acc in GB</v>
      </c>
      <c r="C3673" t="str">
        <f>VLOOKUP(NoviaFunds[[#This Row],[ISIN]],'Novia Web Query'!$A:$E,3,FALSE)</f>
        <v>UT Global</v>
      </c>
      <c r="D3673" s="139">
        <f>VLOOKUP(NoviaFunds[[#This Row],[ISIN]],'Novia Web Query'!$A:$E,4,FALSE)/100</f>
        <v>9.1999999999999998E-3</v>
      </c>
      <c r="E3673" s="3" t="str">
        <f>VLOOKUP(NoviaFunds[[#This Row],[ISIN]],'Novia Web Query'!$A:$E,5,FALSE)</f>
        <v>21/04/2021</v>
      </c>
      <c r="F3673" t="str">
        <f>VLOOKUP(NoviaFunds[[#This Row],[Sector]],Sectors[],2,FALSE)</f>
        <v>Other Equities</v>
      </c>
    </row>
    <row r="3674" spans="1:6" x14ac:dyDescent="0.2">
      <c r="A3674" t="str">
        <f>'Novia Web Query'!A3670</f>
        <v>GB00B76V7R15</v>
      </c>
      <c r="B3674" t="str">
        <f>VLOOKUP(NoviaFunds[[#This Row],[ISIN]],'Novia Web Query'!$A:$E,2,FALSE)</f>
        <v>Schroder Global Healthcare Z Inc TR in GB</v>
      </c>
      <c r="C3674" t="str">
        <f>VLOOKUP(NoviaFunds[[#This Row],[ISIN]],'Novia Web Query'!$A:$E,3,FALSE)</f>
        <v>UT Global</v>
      </c>
      <c r="D3674" s="139">
        <f>VLOOKUP(NoviaFunds[[#This Row],[ISIN]],'Novia Web Query'!$A:$E,4,FALSE)/100</f>
        <v>9.1999999999999998E-3</v>
      </c>
      <c r="E3674" s="3" t="str">
        <f>VLOOKUP(NoviaFunds[[#This Row],[ISIN]],'Novia Web Query'!$A:$E,5,FALSE)</f>
        <v>21/04/2021</v>
      </c>
      <c r="F3674" t="str">
        <f>VLOOKUP(NoviaFunds[[#This Row],[Sector]],Sectors[],2,FALSE)</f>
        <v>Other Equities</v>
      </c>
    </row>
    <row r="3675" spans="1:6" x14ac:dyDescent="0.2">
      <c r="A3675" t="str">
        <f>'Novia Web Query'!A3671</f>
        <v>GB00BYRJXP30</v>
      </c>
      <c r="B3675" t="str">
        <f>VLOOKUP(NoviaFunds[[#This Row],[ISIN]],'Novia Web Query'!$A:$E,2,FALSE)</f>
        <v>Schroder Global Recovery L Acc in GB</v>
      </c>
      <c r="C3675" t="str">
        <f>VLOOKUP(NoviaFunds[[#This Row],[ISIN]],'Novia Web Query'!$A:$E,3,FALSE)</f>
        <v>UT Global</v>
      </c>
      <c r="D3675" s="139">
        <f>VLOOKUP(NoviaFunds[[#This Row],[ISIN]],'Novia Web Query'!$A:$E,4,FALSE)/100</f>
        <v>8.6E-3</v>
      </c>
      <c r="E3675" s="3" t="str">
        <f>VLOOKUP(NoviaFunds[[#This Row],[ISIN]],'Novia Web Query'!$A:$E,5,FALSE)</f>
        <v>14/01/2021</v>
      </c>
      <c r="F3675" t="str">
        <f>VLOOKUP(NoviaFunds[[#This Row],[Sector]],Sectors[],2,FALSE)</f>
        <v>Other Equities</v>
      </c>
    </row>
    <row r="3676" spans="1:6" x14ac:dyDescent="0.2">
      <c r="A3676" t="str">
        <f>'Novia Web Query'!A3672</f>
        <v>GB00BYRJXL91</v>
      </c>
      <c r="B3676" t="str">
        <f>VLOOKUP(NoviaFunds[[#This Row],[ISIN]],'Novia Web Query'!$A:$E,2,FALSE)</f>
        <v>Schroder Global Recovery Z Acc in GB</v>
      </c>
      <c r="C3676" t="str">
        <f>VLOOKUP(NoviaFunds[[#This Row],[ISIN]],'Novia Web Query'!$A:$E,3,FALSE)</f>
        <v>UT Global</v>
      </c>
      <c r="D3676" s="139">
        <f>VLOOKUP(NoviaFunds[[#This Row],[ISIN]],'Novia Web Query'!$A:$E,4,FALSE)/100</f>
        <v>9.300000000000001E-3</v>
      </c>
      <c r="E3676" s="3" t="str">
        <f>VLOOKUP(NoviaFunds[[#This Row],[ISIN]],'Novia Web Query'!$A:$E,5,FALSE)</f>
        <v>14/01/2021</v>
      </c>
      <c r="F3676" t="str">
        <f>VLOOKUP(NoviaFunds[[#This Row],[Sector]],Sectors[],2,FALSE)</f>
        <v>Other Equities</v>
      </c>
    </row>
    <row r="3677" spans="1:6" x14ac:dyDescent="0.2">
      <c r="A3677" t="str">
        <f>'Novia Web Query'!A3673</f>
        <v>GB00BYRJXM09</v>
      </c>
      <c r="B3677" t="str">
        <f>VLOOKUP(NoviaFunds[[#This Row],[ISIN]],'Novia Web Query'!$A:$E,2,FALSE)</f>
        <v>Schroder Global Recovery Z Inc TR in GB</v>
      </c>
      <c r="C3677" t="str">
        <f>VLOOKUP(NoviaFunds[[#This Row],[ISIN]],'Novia Web Query'!$A:$E,3,FALSE)</f>
        <v>UT Global</v>
      </c>
      <c r="D3677" s="139">
        <f>VLOOKUP(NoviaFunds[[#This Row],[ISIN]],'Novia Web Query'!$A:$E,4,FALSE)/100</f>
        <v>9.300000000000001E-3</v>
      </c>
      <c r="E3677" s="3" t="str">
        <f>VLOOKUP(NoviaFunds[[#This Row],[ISIN]],'Novia Web Query'!$A:$E,5,FALSE)</f>
        <v>14/01/2021</v>
      </c>
      <c r="F3677" t="str">
        <f>VLOOKUP(NoviaFunds[[#This Row],[Sector]],Sectors[],2,FALSE)</f>
        <v>Other Equities</v>
      </c>
    </row>
    <row r="3678" spans="1:6" x14ac:dyDescent="0.2">
      <c r="A3678" t="str">
        <f>'Novia Web Query'!A3674</f>
        <v>GB00BF781R51</v>
      </c>
      <c r="B3678" t="str">
        <f>VLOOKUP(NoviaFunds[[#This Row],[ISIN]],'Novia Web Query'!$A:$E,2,FALSE)</f>
        <v>Schroder Global Sustainable Growth Z Acc in GB</v>
      </c>
      <c r="C3678" t="str">
        <f>VLOOKUP(NoviaFunds[[#This Row],[ISIN]],'Novia Web Query'!$A:$E,3,FALSE)</f>
        <v>UT Global</v>
      </c>
      <c r="D3678" s="139">
        <f>VLOOKUP(NoviaFunds[[#This Row],[ISIN]],'Novia Web Query'!$A:$E,4,FALSE)/100</f>
        <v>8.3999999999999995E-3</v>
      </c>
      <c r="E3678" s="3" t="str">
        <f>VLOOKUP(NoviaFunds[[#This Row],[ISIN]],'Novia Web Query'!$A:$E,5,FALSE)</f>
        <v>19/01/2021</v>
      </c>
      <c r="F3678" t="str">
        <f>VLOOKUP(NoviaFunds[[#This Row],[Sector]],Sectors[],2,FALSE)</f>
        <v>Other Equities</v>
      </c>
    </row>
    <row r="3679" spans="1:6" x14ac:dyDescent="0.2">
      <c r="A3679" t="str">
        <f>'Novia Web Query'!A3675</f>
        <v>GB00BF781Q45</v>
      </c>
      <c r="B3679" t="str">
        <f>VLOOKUP(NoviaFunds[[#This Row],[ISIN]],'Novia Web Query'!$A:$E,2,FALSE)</f>
        <v>Schroder Global Sustainable Growth Z Dis TR in GB**</v>
      </c>
      <c r="C3679" t="str">
        <f>VLOOKUP(NoviaFunds[[#This Row],[ISIN]],'Novia Web Query'!$A:$E,3,FALSE)</f>
        <v>UT Global</v>
      </c>
      <c r="D3679" s="139">
        <f>VLOOKUP(NoviaFunds[[#This Row],[ISIN]],'Novia Web Query'!$A:$E,4,FALSE)/100</f>
        <v>8.3999999999999995E-3</v>
      </c>
      <c r="E3679" s="3" t="str">
        <f>VLOOKUP(NoviaFunds[[#This Row],[ISIN]],'Novia Web Query'!$A:$E,5,FALSE)</f>
        <v>19/01/2021</v>
      </c>
      <c r="F3679" t="str">
        <f>VLOOKUP(NoviaFunds[[#This Row],[Sector]],Sectors[],2,FALSE)</f>
        <v>Other Equities</v>
      </c>
    </row>
    <row r="3680" spans="1:6" x14ac:dyDescent="0.2">
      <c r="A3680" t="str">
        <f>'Novia Web Query'!A3676</f>
        <v>GB00BF783V38</v>
      </c>
      <c r="B3680" t="str">
        <f>VLOOKUP(NoviaFunds[[#This Row],[ISIN]],'Novia Web Query'!$A:$E,2,FALSE)</f>
        <v>Schroder Global Sustainable Value Equity Z in GB</v>
      </c>
      <c r="C3680" t="str">
        <f>VLOOKUP(NoviaFunds[[#This Row],[ISIN]],'Novia Web Query'!$A:$E,3,FALSE)</f>
        <v>UT Global</v>
      </c>
      <c r="D3680" s="139">
        <f>VLOOKUP(NoviaFunds[[#This Row],[ISIN]],'Novia Web Query'!$A:$E,4,FALSE)/100</f>
        <v>9.4999999999999998E-3</v>
      </c>
      <c r="E3680" s="3" t="str">
        <f>VLOOKUP(NoviaFunds[[#This Row],[ISIN]],'Novia Web Query'!$A:$E,5,FALSE)</f>
        <v>14/01/2021</v>
      </c>
      <c r="F3680" t="str">
        <f>VLOOKUP(NoviaFunds[[#This Row],[Sector]],Sectors[],2,FALSE)</f>
        <v>Other Equities</v>
      </c>
    </row>
    <row r="3681" spans="1:6" x14ac:dyDescent="0.2">
      <c r="A3681" t="str">
        <f>'Novia Web Query'!A3677</f>
        <v>GB0009505693</v>
      </c>
      <c r="B3681" t="str">
        <f>VLOOKUP(NoviaFunds[[#This Row],[ISIN]],'Novia Web Query'!$A:$E,2,FALSE)</f>
        <v>Schroder High Yield Opportunities A Acc in GB</v>
      </c>
      <c r="C3681" t="str">
        <f>VLOOKUP(NoviaFunds[[#This Row],[ISIN]],'Novia Web Query'!$A:$E,3,FALSE)</f>
        <v>UT Sterling High Yield</v>
      </c>
      <c r="D3681" s="139">
        <f>VLOOKUP(NoviaFunds[[#This Row],[ISIN]],'Novia Web Query'!$A:$E,4,FALSE)/100</f>
        <v>1.37E-2</v>
      </c>
      <c r="E3681" s="3" t="str">
        <f>VLOOKUP(NoviaFunds[[#This Row],[ISIN]],'Novia Web Query'!$A:$E,5,FALSE)</f>
        <v>17/08/2021</v>
      </c>
      <c r="F3681" t="str">
        <f>VLOOKUP(NoviaFunds[[#This Row],[Sector]],Sectors[],2,FALSE)</f>
        <v>High Yield</v>
      </c>
    </row>
    <row r="3682" spans="1:6" x14ac:dyDescent="0.2">
      <c r="A3682" t="str">
        <f>'Novia Web Query'!A3678</f>
        <v>GB0009505586</v>
      </c>
      <c r="B3682" t="str">
        <f>VLOOKUP(NoviaFunds[[#This Row],[ISIN]],'Novia Web Query'!$A:$E,2,FALSE)</f>
        <v>Schroder High Yield Opportunities A Inc TR in GB</v>
      </c>
      <c r="C3682" t="str">
        <f>VLOOKUP(NoviaFunds[[#This Row],[ISIN]],'Novia Web Query'!$A:$E,3,FALSE)</f>
        <v>UT Sterling High Yield</v>
      </c>
      <c r="D3682" s="139">
        <f>VLOOKUP(NoviaFunds[[#This Row],[ISIN]],'Novia Web Query'!$A:$E,4,FALSE)/100</f>
        <v>1.37E-2</v>
      </c>
      <c r="E3682" s="3" t="str">
        <f>VLOOKUP(NoviaFunds[[#This Row],[ISIN]],'Novia Web Query'!$A:$E,5,FALSE)</f>
        <v>17/08/2021</v>
      </c>
      <c r="F3682" t="str">
        <f>VLOOKUP(NoviaFunds[[#This Row],[Sector]],Sectors[],2,FALSE)</f>
        <v>High Yield</v>
      </c>
    </row>
    <row r="3683" spans="1:6" x14ac:dyDescent="0.2">
      <c r="A3683" t="str">
        <f>'Novia Web Query'!A3679</f>
        <v>GB00B83RDY83</v>
      </c>
      <c r="B3683" t="str">
        <f>VLOOKUP(NoviaFunds[[#This Row],[ISIN]],'Novia Web Query'!$A:$E,2,FALSE)</f>
        <v>Schroder High Yield Opportunities Z Acc in GB</v>
      </c>
      <c r="C3683" t="str">
        <f>VLOOKUP(NoviaFunds[[#This Row],[ISIN]],'Novia Web Query'!$A:$E,3,FALSE)</f>
        <v>UT Sterling High Yield</v>
      </c>
      <c r="D3683" s="139">
        <f>VLOOKUP(NoviaFunds[[#This Row],[ISIN]],'Novia Web Query'!$A:$E,4,FALSE)/100</f>
        <v>7.1999999999999998E-3</v>
      </c>
      <c r="E3683" s="3" t="str">
        <f>VLOOKUP(NoviaFunds[[#This Row],[ISIN]],'Novia Web Query'!$A:$E,5,FALSE)</f>
        <v>17/08/2021</v>
      </c>
      <c r="F3683" t="str">
        <f>VLOOKUP(NoviaFunds[[#This Row],[Sector]],Sectors[],2,FALSE)</f>
        <v>High Yield</v>
      </c>
    </row>
    <row r="3684" spans="1:6" x14ac:dyDescent="0.2">
      <c r="A3684" t="str">
        <f>'Novia Web Query'!A3680</f>
        <v>GB00B5143284</v>
      </c>
      <c r="B3684" t="str">
        <f>VLOOKUP(NoviaFunds[[#This Row],[ISIN]],'Novia Web Query'!$A:$E,2,FALSE)</f>
        <v>Schroder High Yield Opportunities Z Inc TR in GB</v>
      </c>
      <c r="C3684" t="str">
        <f>VLOOKUP(NoviaFunds[[#This Row],[ISIN]],'Novia Web Query'!$A:$E,3,FALSE)</f>
        <v>UT Sterling High Yield</v>
      </c>
      <c r="D3684" s="139">
        <f>VLOOKUP(NoviaFunds[[#This Row],[ISIN]],'Novia Web Query'!$A:$E,4,FALSE)/100</f>
        <v>7.1999999999999998E-3</v>
      </c>
      <c r="E3684" s="3" t="str">
        <f>VLOOKUP(NoviaFunds[[#This Row],[ISIN]],'Novia Web Query'!$A:$E,5,FALSE)</f>
        <v>17/08/2021</v>
      </c>
      <c r="F3684" t="str">
        <f>VLOOKUP(NoviaFunds[[#This Row],[Sector]],Sectors[],2,FALSE)</f>
        <v>High Yield</v>
      </c>
    </row>
    <row r="3685" spans="1:6" x14ac:dyDescent="0.2">
      <c r="A3685" t="str">
        <f>'Novia Web Query'!A3681</f>
        <v>GB0007649196</v>
      </c>
      <c r="B3685" t="str">
        <f>VLOOKUP(NoviaFunds[[#This Row],[ISIN]],'Novia Web Query'!$A:$E,2,FALSE)</f>
        <v>Schroder Income A Acc in GB</v>
      </c>
      <c r="C3685" t="str">
        <f>VLOOKUP(NoviaFunds[[#This Row],[ISIN]],'Novia Web Query'!$A:$E,3,FALSE)</f>
        <v>UT UK Equity Income</v>
      </c>
      <c r="D3685" s="139">
        <f>VLOOKUP(NoviaFunds[[#This Row],[ISIN]],'Novia Web Query'!$A:$E,4,FALSE)/100</f>
        <v>1.6399999999999998E-2</v>
      </c>
      <c r="E3685" s="3" t="str">
        <f>VLOOKUP(NoviaFunds[[#This Row],[ISIN]],'Novia Web Query'!$A:$E,5,FALSE)</f>
        <v>21/04/2021</v>
      </c>
      <c r="F3685" t="str">
        <f>VLOOKUP(NoviaFunds[[#This Row],[Sector]],Sectors[],2,FALSE)</f>
        <v>UK Equities</v>
      </c>
    </row>
    <row r="3686" spans="1:6" x14ac:dyDescent="0.2">
      <c r="A3686" t="str">
        <f>'Novia Web Query'!A3682</f>
        <v>GB0007648909</v>
      </c>
      <c r="B3686" t="str">
        <f>VLOOKUP(NoviaFunds[[#This Row],[ISIN]],'Novia Web Query'!$A:$E,2,FALSE)</f>
        <v>Schroder Income A Inc TR in GB</v>
      </c>
      <c r="C3686" t="str">
        <f>VLOOKUP(NoviaFunds[[#This Row],[ISIN]],'Novia Web Query'!$A:$E,3,FALSE)</f>
        <v>UT UK Equity Income</v>
      </c>
      <c r="D3686" s="139">
        <f>VLOOKUP(NoviaFunds[[#This Row],[ISIN]],'Novia Web Query'!$A:$E,4,FALSE)/100</f>
        <v>1.6399999999999998E-2</v>
      </c>
      <c r="E3686" s="3" t="str">
        <f>VLOOKUP(NoviaFunds[[#This Row],[ISIN]],'Novia Web Query'!$A:$E,5,FALSE)</f>
        <v>21/04/2021</v>
      </c>
      <c r="F3686" t="str">
        <f>VLOOKUP(NoviaFunds[[#This Row],[Sector]],Sectors[],2,FALSE)</f>
        <v>UK Equities</v>
      </c>
    </row>
    <row r="3687" spans="1:6" x14ac:dyDescent="0.2">
      <c r="A3687" t="str">
        <f>'Novia Web Query'!A3683</f>
        <v>GB00B0HWHK75</v>
      </c>
      <c r="B3687" t="str">
        <f>VLOOKUP(NoviaFunds[[#This Row],[ISIN]],'Novia Web Query'!$A:$E,2,FALSE)</f>
        <v>Schroder Income Maximiser A Acc in GB</v>
      </c>
      <c r="C3687" t="str">
        <f>VLOOKUP(NoviaFunds[[#This Row],[ISIN]],'Novia Web Query'!$A:$E,3,FALSE)</f>
        <v>UT UK Equity Income</v>
      </c>
      <c r="D3687" s="139">
        <f>VLOOKUP(NoviaFunds[[#This Row],[ISIN]],'Novia Web Query'!$A:$E,4,FALSE)/100</f>
        <v>1.66E-2</v>
      </c>
      <c r="E3687" s="3" t="str">
        <f>VLOOKUP(NoviaFunds[[#This Row],[ISIN]],'Novia Web Query'!$A:$E,5,FALSE)</f>
        <v>21/04/2021</v>
      </c>
      <c r="F3687" t="str">
        <f>VLOOKUP(NoviaFunds[[#This Row],[Sector]],Sectors[],2,FALSE)</f>
        <v>UK Equities</v>
      </c>
    </row>
    <row r="3688" spans="1:6" x14ac:dyDescent="0.2">
      <c r="A3688" t="str">
        <f>'Novia Web Query'!A3684</f>
        <v>GB00B0HWJ904</v>
      </c>
      <c r="B3688" t="str">
        <f>VLOOKUP(NoviaFunds[[#This Row],[ISIN]],'Novia Web Query'!$A:$E,2,FALSE)</f>
        <v>Schroder Income Maximiser A Inc TR in GB</v>
      </c>
      <c r="C3688" t="str">
        <f>VLOOKUP(NoviaFunds[[#This Row],[ISIN]],'Novia Web Query'!$A:$E,3,FALSE)</f>
        <v>UT UK Equity Income</v>
      </c>
      <c r="D3688" s="139">
        <f>VLOOKUP(NoviaFunds[[#This Row],[ISIN]],'Novia Web Query'!$A:$E,4,FALSE)/100</f>
        <v>1.66E-2</v>
      </c>
      <c r="E3688" s="3" t="str">
        <f>VLOOKUP(NoviaFunds[[#This Row],[ISIN]],'Novia Web Query'!$A:$E,5,FALSE)</f>
        <v>21/04/2021</v>
      </c>
      <c r="F3688" t="str">
        <f>VLOOKUP(NoviaFunds[[#This Row],[Sector]],Sectors[],2,FALSE)</f>
        <v>UK Equities</v>
      </c>
    </row>
    <row r="3689" spans="1:6" x14ac:dyDescent="0.2">
      <c r="A3689" t="str">
        <f>'Novia Web Query'!A3685</f>
        <v>GB00BDD2F083</v>
      </c>
      <c r="B3689" t="str">
        <f>VLOOKUP(NoviaFunds[[#This Row],[ISIN]],'Novia Web Query'!$A:$E,2,FALSE)</f>
        <v>Schroder Income Maximiser L Inc TR in GB</v>
      </c>
      <c r="C3689" t="str">
        <f>VLOOKUP(NoviaFunds[[#This Row],[ISIN]],'Novia Web Query'!$A:$E,3,FALSE)</f>
        <v>UT UK Equity Income</v>
      </c>
      <c r="D3689" s="139">
        <f>VLOOKUP(NoviaFunds[[#This Row],[ISIN]],'Novia Web Query'!$A:$E,4,FALSE)/100</f>
        <v>8.3999999999999995E-3</v>
      </c>
      <c r="E3689" s="3" t="str">
        <f>VLOOKUP(NoviaFunds[[#This Row],[ISIN]],'Novia Web Query'!$A:$E,5,FALSE)</f>
        <v>21/04/2021</v>
      </c>
      <c r="F3689" t="str">
        <f>VLOOKUP(NoviaFunds[[#This Row],[Sector]],Sectors[],2,FALSE)</f>
        <v>UK Equities</v>
      </c>
    </row>
    <row r="3690" spans="1:6" x14ac:dyDescent="0.2">
      <c r="A3690" t="str">
        <f>'Novia Web Query'!A3686</f>
        <v>GB00B5B0KM51</v>
      </c>
      <c r="B3690" t="str">
        <f>VLOOKUP(NoviaFunds[[#This Row],[ISIN]],'Novia Web Query'!$A:$E,2,FALSE)</f>
        <v>Schroder Income Maximiser Z Acc in GB</v>
      </c>
      <c r="C3690" t="str">
        <f>VLOOKUP(NoviaFunds[[#This Row],[ISIN]],'Novia Web Query'!$A:$E,3,FALSE)</f>
        <v>UT UK Equity Income</v>
      </c>
      <c r="D3690" s="139">
        <f>VLOOKUP(NoviaFunds[[#This Row],[ISIN]],'Novia Web Query'!$A:$E,4,FALSE)/100</f>
        <v>9.1000000000000004E-3</v>
      </c>
      <c r="E3690" s="3" t="str">
        <f>VLOOKUP(NoviaFunds[[#This Row],[ISIN]],'Novia Web Query'!$A:$E,5,FALSE)</f>
        <v>21/04/2021</v>
      </c>
      <c r="F3690" t="str">
        <f>VLOOKUP(NoviaFunds[[#This Row],[Sector]],Sectors[],2,FALSE)</f>
        <v>UK Equities</v>
      </c>
    </row>
    <row r="3691" spans="1:6" x14ac:dyDescent="0.2">
      <c r="A3691" t="str">
        <f>'Novia Web Query'!A3687</f>
        <v>GB00B53FRD82</v>
      </c>
      <c r="B3691" t="str">
        <f>VLOOKUP(NoviaFunds[[#This Row],[ISIN]],'Novia Web Query'!$A:$E,2,FALSE)</f>
        <v>Schroder Income Maximiser Z Inc TR in GB</v>
      </c>
      <c r="C3691" t="str">
        <f>VLOOKUP(NoviaFunds[[#This Row],[ISIN]],'Novia Web Query'!$A:$E,3,FALSE)</f>
        <v>UT UK Equity Income</v>
      </c>
      <c r="D3691" s="139">
        <f>VLOOKUP(NoviaFunds[[#This Row],[ISIN]],'Novia Web Query'!$A:$E,4,FALSE)/100</f>
        <v>9.1000000000000004E-3</v>
      </c>
      <c r="E3691" s="3" t="str">
        <f>VLOOKUP(NoviaFunds[[#This Row],[ISIN]],'Novia Web Query'!$A:$E,5,FALSE)</f>
        <v>21/04/2021</v>
      </c>
      <c r="F3691" t="str">
        <f>VLOOKUP(NoviaFunds[[#This Row],[Sector]],Sectors[],2,FALSE)</f>
        <v>UK Equities</v>
      </c>
    </row>
    <row r="3692" spans="1:6" x14ac:dyDescent="0.2">
      <c r="A3692" t="str">
        <f>'Novia Web Query'!A3688</f>
        <v>GB00B432ML56</v>
      </c>
      <c r="B3692" t="str">
        <f>VLOOKUP(NoviaFunds[[#This Row],[ISIN]],'Novia Web Query'!$A:$E,2,FALSE)</f>
        <v>Schroder Income Portfolio A Acc in GB</v>
      </c>
      <c r="C3692" t="str">
        <f>VLOOKUP(NoviaFunds[[#This Row],[ISIN]],'Novia Web Query'!$A:$E,3,FALSE)</f>
        <v>UT Mixed Investment 20-60% Shares</v>
      </c>
      <c r="D3692" s="139">
        <f>VLOOKUP(NoviaFunds[[#This Row],[ISIN]],'Novia Web Query'!$A:$E,4,FALSE)/100</f>
        <v>6.0000000000000001E-3</v>
      </c>
      <c r="E3692" s="3" t="str">
        <f>VLOOKUP(NoviaFunds[[#This Row],[ISIN]],'Novia Web Query'!$A:$E,5,FALSE)</f>
        <v>24/11/2021</v>
      </c>
      <c r="F3692" t="str">
        <f>VLOOKUP(NoviaFunds[[#This Row],[Sector]],Sectors[],2,FALSE)</f>
        <v>Mixed 20%-60%</v>
      </c>
    </row>
    <row r="3693" spans="1:6" x14ac:dyDescent="0.2">
      <c r="A3693" t="str">
        <f>'Novia Web Query'!A3689</f>
        <v>GB00B41LY520</v>
      </c>
      <c r="B3693" t="str">
        <f>VLOOKUP(NoviaFunds[[#This Row],[ISIN]],'Novia Web Query'!$A:$E,2,FALSE)</f>
        <v>Schroder Income Portfolio A Inc TR in GB</v>
      </c>
      <c r="C3693" t="str">
        <f>VLOOKUP(NoviaFunds[[#This Row],[ISIN]],'Novia Web Query'!$A:$E,3,FALSE)</f>
        <v>UT Mixed Investment 20-60% Shares</v>
      </c>
      <c r="D3693" s="139">
        <f>VLOOKUP(NoviaFunds[[#This Row],[ISIN]],'Novia Web Query'!$A:$E,4,FALSE)/100</f>
        <v>6.0000000000000001E-3</v>
      </c>
      <c r="E3693" s="3" t="str">
        <f>VLOOKUP(NoviaFunds[[#This Row],[ISIN]],'Novia Web Query'!$A:$E,5,FALSE)</f>
        <v>24/11/2021</v>
      </c>
      <c r="F3693" t="str">
        <f>VLOOKUP(NoviaFunds[[#This Row],[Sector]],Sectors[],2,FALSE)</f>
        <v>Mixed 20%-60%</v>
      </c>
    </row>
    <row r="3694" spans="1:6" x14ac:dyDescent="0.2">
      <c r="A3694" t="str">
        <f>'Novia Web Query'!A3690</f>
        <v>GB00B4K1MN77</v>
      </c>
      <c r="B3694" t="str">
        <f>VLOOKUP(NoviaFunds[[#This Row],[ISIN]],'Novia Web Query'!$A:$E,2,FALSE)</f>
        <v>Schroder Income Portfolio Z Acc in GB</v>
      </c>
      <c r="C3694" t="str">
        <f>VLOOKUP(NoviaFunds[[#This Row],[ISIN]],'Novia Web Query'!$A:$E,3,FALSE)</f>
        <v>UT Mixed Investment 20-60% Shares</v>
      </c>
      <c r="D3694" s="139">
        <f>VLOOKUP(NoviaFunds[[#This Row],[ISIN]],'Novia Web Query'!$A:$E,4,FALSE)/100</f>
        <v>6.0000000000000001E-3</v>
      </c>
      <c r="E3694" s="3" t="str">
        <f>VLOOKUP(NoviaFunds[[#This Row],[ISIN]],'Novia Web Query'!$A:$E,5,FALSE)</f>
        <v>24/11/2021</v>
      </c>
      <c r="F3694" t="str">
        <f>VLOOKUP(NoviaFunds[[#This Row],[Sector]],Sectors[],2,FALSE)</f>
        <v>Mixed 20%-60%</v>
      </c>
    </row>
    <row r="3695" spans="1:6" x14ac:dyDescent="0.2">
      <c r="A3695" t="str">
        <f>'Novia Web Query'!A3691</f>
        <v>GB00B418R656</v>
      </c>
      <c r="B3695" t="str">
        <f>VLOOKUP(NoviaFunds[[#This Row],[ISIN]],'Novia Web Query'!$A:$E,2,FALSE)</f>
        <v>Schroder Income Portfolio Z Inc TR in GB</v>
      </c>
      <c r="C3695" t="str">
        <f>VLOOKUP(NoviaFunds[[#This Row],[ISIN]],'Novia Web Query'!$A:$E,3,FALSE)</f>
        <v>UT Mixed Investment 20-60% Shares</v>
      </c>
      <c r="D3695" s="139">
        <f>VLOOKUP(NoviaFunds[[#This Row],[ISIN]],'Novia Web Query'!$A:$E,4,FALSE)/100</f>
        <v>6.0000000000000001E-3</v>
      </c>
      <c r="E3695" s="3" t="str">
        <f>VLOOKUP(NoviaFunds[[#This Row],[ISIN]],'Novia Web Query'!$A:$E,5,FALSE)</f>
        <v>24/11/2021</v>
      </c>
      <c r="F3695" t="str">
        <f>VLOOKUP(NoviaFunds[[#This Row],[Sector]],Sectors[],2,FALSE)</f>
        <v>Mixed 20%-60%</v>
      </c>
    </row>
    <row r="3696" spans="1:6" x14ac:dyDescent="0.2">
      <c r="A3696" t="str">
        <f>'Novia Web Query'!A3692</f>
        <v>GB00B3PM1190</v>
      </c>
      <c r="B3696" t="str">
        <f>VLOOKUP(NoviaFunds[[#This Row],[ISIN]],'Novia Web Query'!$A:$E,2,FALSE)</f>
        <v>Schroder Income Z Acc in GB</v>
      </c>
      <c r="C3696" t="str">
        <f>VLOOKUP(NoviaFunds[[#This Row],[ISIN]],'Novia Web Query'!$A:$E,3,FALSE)</f>
        <v>UT UK Equity Income</v>
      </c>
      <c r="D3696" s="139">
        <f>VLOOKUP(NoviaFunds[[#This Row],[ISIN]],'Novia Web Query'!$A:$E,4,FALSE)/100</f>
        <v>8.8999999999999999E-3</v>
      </c>
      <c r="E3696" s="3" t="str">
        <f>VLOOKUP(NoviaFunds[[#This Row],[ISIN]],'Novia Web Query'!$A:$E,5,FALSE)</f>
        <v>21/04/2021</v>
      </c>
      <c r="F3696" t="str">
        <f>VLOOKUP(NoviaFunds[[#This Row],[Sector]],Sectors[],2,FALSE)</f>
        <v>UK Equities</v>
      </c>
    </row>
    <row r="3697" spans="1:6" x14ac:dyDescent="0.2">
      <c r="A3697" t="str">
        <f>'Novia Web Query'!A3693</f>
        <v>GB00B5WJCB41</v>
      </c>
      <c r="B3697" t="str">
        <f>VLOOKUP(NoviaFunds[[#This Row],[ISIN]],'Novia Web Query'!$A:$E,2,FALSE)</f>
        <v>Schroder Income Z Inc TR in GB</v>
      </c>
      <c r="C3697" t="str">
        <f>VLOOKUP(NoviaFunds[[#This Row],[ISIN]],'Novia Web Query'!$A:$E,3,FALSE)</f>
        <v>UT UK Equity Income</v>
      </c>
      <c r="D3697" s="139">
        <f>VLOOKUP(NoviaFunds[[#This Row],[ISIN]],'Novia Web Query'!$A:$E,4,FALSE)/100</f>
        <v>8.8999999999999999E-3</v>
      </c>
      <c r="E3697" s="3" t="str">
        <f>VLOOKUP(NoviaFunds[[#This Row],[ISIN]],'Novia Web Query'!$A:$E,5,FALSE)</f>
        <v>21/04/2021</v>
      </c>
      <c r="F3697" t="str">
        <f>VLOOKUP(NoviaFunds[[#This Row],[Sector]],Sectors[],2,FALSE)</f>
        <v>UK Equities</v>
      </c>
    </row>
    <row r="3698" spans="1:6" x14ac:dyDescent="0.2">
      <c r="A3698" t="str">
        <f>'Novia Web Query'!A3694</f>
        <v>GB0007646747</v>
      </c>
      <c r="B3698" t="str">
        <f>VLOOKUP(NoviaFunds[[#This Row],[ISIN]],'Novia Web Query'!$A:$E,2,FALSE)</f>
        <v>Schroder Institutional Pacific I Acc in GB</v>
      </c>
      <c r="C3698" t="str">
        <f>VLOOKUP(NoviaFunds[[#This Row],[ISIN]],'Novia Web Query'!$A:$E,3,FALSE)</f>
        <v>UT Asia Pacific Excluding Japan</v>
      </c>
      <c r="D3698" s="139">
        <f>VLOOKUP(NoviaFunds[[#This Row],[ISIN]],'Novia Web Query'!$A:$E,4,FALSE)/100</f>
        <v>5.3E-3</v>
      </c>
      <c r="E3698" s="3" t="str">
        <f>VLOOKUP(NoviaFunds[[#This Row],[ISIN]],'Novia Web Query'!$A:$E,5,FALSE)</f>
        <v>14/01/2021</v>
      </c>
      <c r="F3698" t="str">
        <f>VLOOKUP(NoviaFunds[[#This Row],[Sector]],Sectors[],2,FALSE)</f>
        <v>Asia Pacific</v>
      </c>
    </row>
    <row r="3699" spans="1:6" x14ac:dyDescent="0.2">
      <c r="A3699" t="str">
        <f>'Novia Web Query'!A3695</f>
        <v>GB0009569327</v>
      </c>
      <c r="B3699" t="str">
        <f>VLOOKUP(NoviaFunds[[#This Row],[ISIN]],'Novia Web Query'!$A:$E,2,FALSE)</f>
        <v>Schroder Long Dated Corporate Bond I Acc in GB</v>
      </c>
      <c r="C3699" t="str">
        <f>VLOOKUP(NoviaFunds[[#This Row],[ISIN]],'Novia Web Query'!$A:$E,3,FALSE)</f>
        <v>UT Sterling Corporate Bond</v>
      </c>
      <c r="D3699" s="139">
        <f>VLOOKUP(NoviaFunds[[#This Row],[ISIN]],'Novia Web Query'!$A:$E,4,FALSE)/100</f>
        <v>2.7000000000000001E-3</v>
      </c>
      <c r="E3699" s="3" t="str">
        <f>VLOOKUP(NoviaFunds[[#This Row],[ISIN]],'Novia Web Query'!$A:$E,5,FALSE)</f>
        <v>21/04/2021</v>
      </c>
      <c r="F3699" t="str">
        <f>VLOOKUP(NoviaFunds[[#This Row],[Sector]],Sectors[],2,FALSE)</f>
        <v>Sterling Corporate Bonds</v>
      </c>
    </row>
    <row r="3700" spans="1:6" x14ac:dyDescent="0.2">
      <c r="A3700" t="str">
        <f>'Novia Web Query'!A3696</f>
        <v>GB00BF77ZL43</v>
      </c>
      <c r="B3700" t="str">
        <f>VLOOKUP(NoviaFunds[[#This Row],[ISIN]],'Novia Web Query'!$A:$E,2,FALSE)</f>
        <v>Schroder Long Dated Corporate Bond Y Acc in GB</v>
      </c>
      <c r="C3700" t="str">
        <f>VLOOKUP(NoviaFunds[[#This Row],[ISIN]],'Novia Web Query'!$A:$E,3,FALSE)</f>
        <v>UT Sterling Corporate Bond</v>
      </c>
      <c r="D3700" s="139">
        <f>VLOOKUP(NoviaFunds[[#This Row],[ISIN]],'Novia Web Query'!$A:$E,4,FALSE)/100</f>
        <v>2.2000000000000001E-3</v>
      </c>
      <c r="E3700" s="3" t="str">
        <f>VLOOKUP(NoviaFunds[[#This Row],[ISIN]],'Novia Web Query'!$A:$E,5,FALSE)</f>
        <v>21/04/2021</v>
      </c>
      <c r="F3700" t="str">
        <f>VLOOKUP(NoviaFunds[[#This Row],[Sector]],Sectors[],2,FALSE)</f>
        <v>Sterling Corporate Bonds</v>
      </c>
    </row>
    <row r="3701" spans="1:6" x14ac:dyDescent="0.2">
      <c r="A3701" t="str">
        <f>'Novia Web Query'!A3697</f>
        <v>GB00B1G5TD15</v>
      </c>
      <c r="B3701" t="str">
        <f>VLOOKUP(NoviaFunds[[#This Row],[ISIN]],'Novia Web Query'!$A:$E,2,FALSE)</f>
        <v>Schroder Managed Balanced A Acc in GB</v>
      </c>
      <c r="C3701" t="str">
        <f>VLOOKUP(NoviaFunds[[#This Row],[ISIN]],'Novia Web Query'!$A:$E,3,FALSE)</f>
        <v>UT Mixed Investment 40-85% Shares</v>
      </c>
      <c r="D3701" s="139">
        <f>VLOOKUP(NoviaFunds[[#This Row],[ISIN]],'Novia Web Query'!$A:$E,4,FALSE)/100</f>
        <v>1.6799999999999999E-2</v>
      </c>
      <c r="E3701" s="3" t="str">
        <f>VLOOKUP(NoviaFunds[[#This Row],[ISIN]],'Novia Web Query'!$A:$E,5,FALSE)</f>
        <v>14/01/2021</v>
      </c>
      <c r="F3701" t="str">
        <f>VLOOKUP(NoviaFunds[[#This Row],[Sector]],Sectors[],2,FALSE)</f>
        <v>Mixed 40%-85%</v>
      </c>
    </row>
    <row r="3702" spans="1:6" x14ac:dyDescent="0.2">
      <c r="A3702" t="str">
        <f>'Novia Web Query'!A3698</f>
        <v>GB00BDZDTG38</v>
      </c>
      <c r="B3702" t="str">
        <f>VLOOKUP(NoviaFunds[[#This Row],[ISIN]],'Novia Web Query'!$A:$E,2,FALSE)</f>
        <v>Schroder Managed Balanced Z Acc in GB</v>
      </c>
      <c r="C3702" t="str">
        <f>VLOOKUP(NoviaFunds[[#This Row],[ISIN]],'Novia Web Query'!$A:$E,3,FALSE)</f>
        <v>UT Mixed Investment 40-85% Shares</v>
      </c>
      <c r="D3702" s="139">
        <f>VLOOKUP(NoviaFunds[[#This Row],[ISIN]],'Novia Web Query'!$A:$E,4,FALSE)/100</f>
        <v>9.7999999999999997E-3</v>
      </c>
      <c r="E3702" s="3" t="str">
        <f>VLOOKUP(NoviaFunds[[#This Row],[ISIN]],'Novia Web Query'!$A:$E,5,FALSE)</f>
        <v>21/04/2021</v>
      </c>
      <c r="F3702" t="str">
        <f>VLOOKUP(NoviaFunds[[#This Row],[Sector]],Sectors[],2,FALSE)</f>
        <v>Mixed 40%-85%</v>
      </c>
    </row>
    <row r="3703" spans="1:6" x14ac:dyDescent="0.2">
      <c r="A3703" t="str">
        <f>'Novia Web Query'!A3699</f>
        <v>GB00BDZDTH45</v>
      </c>
      <c r="B3703" t="str">
        <f>VLOOKUP(NoviaFunds[[#This Row],[ISIN]],'Novia Web Query'!$A:$E,2,FALSE)</f>
        <v>Schroder Managed Balanced Z Inc TR in GB</v>
      </c>
      <c r="C3703" t="str">
        <f>VLOOKUP(NoviaFunds[[#This Row],[ISIN]],'Novia Web Query'!$A:$E,3,FALSE)</f>
        <v>UT Mixed Investment 40-85% Shares</v>
      </c>
      <c r="D3703" s="139">
        <f>VLOOKUP(NoviaFunds[[#This Row],[ISIN]],'Novia Web Query'!$A:$E,4,FALSE)/100</f>
        <v>9.7999999999999997E-3</v>
      </c>
      <c r="E3703" s="3" t="str">
        <f>VLOOKUP(NoviaFunds[[#This Row],[ISIN]],'Novia Web Query'!$A:$E,5,FALSE)</f>
        <v>21/04/2021</v>
      </c>
      <c r="F3703" t="str">
        <f>VLOOKUP(NoviaFunds[[#This Row],[Sector]],Sectors[],2,FALSE)</f>
        <v>Mixed 40%-85%</v>
      </c>
    </row>
    <row r="3704" spans="1:6" x14ac:dyDescent="0.2">
      <c r="A3704" t="str">
        <f>'Novia Web Query'!A3700</f>
        <v>GB0007897308</v>
      </c>
      <c r="B3704" t="str">
        <f>VLOOKUP(NoviaFunds[[#This Row],[ISIN]],'Novia Web Query'!$A:$E,2,FALSE)</f>
        <v>Schroder Managed Wealth Portfolio A Acc in GB</v>
      </c>
      <c r="C3704" t="str">
        <f>VLOOKUP(NoviaFunds[[#This Row],[ISIN]],'Novia Web Query'!$A:$E,3,FALSE)</f>
        <v>UT Mixed Investment 20-60% Shares</v>
      </c>
      <c r="D3704" s="139">
        <f>VLOOKUP(NoviaFunds[[#This Row],[ISIN]],'Novia Web Query'!$A:$E,4,FALSE)/100</f>
        <v>2.0099999999999996E-2</v>
      </c>
      <c r="E3704" s="3" t="str">
        <f>VLOOKUP(NoviaFunds[[#This Row],[ISIN]],'Novia Web Query'!$A:$E,5,FALSE)</f>
        <v>14/01/2021</v>
      </c>
      <c r="F3704" t="str">
        <f>VLOOKUP(NoviaFunds[[#This Row],[Sector]],Sectors[],2,FALSE)</f>
        <v>Mixed 20%-60%</v>
      </c>
    </row>
    <row r="3705" spans="1:6" x14ac:dyDescent="0.2">
      <c r="A3705" t="str">
        <f>'Novia Web Query'!A3701</f>
        <v>GB0007897290</v>
      </c>
      <c r="B3705" t="str">
        <f>VLOOKUP(NoviaFunds[[#This Row],[ISIN]],'Novia Web Query'!$A:$E,2,FALSE)</f>
        <v>Schroder Managed Wealth Portfolio A Inc TR in GB</v>
      </c>
      <c r="C3705" t="str">
        <f>VLOOKUP(NoviaFunds[[#This Row],[ISIN]],'Novia Web Query'!$A:$E,3,FALSE)</f>
        <v>UT Mixed Investment 20-60% Shares</v>
      </c>
      <c r="D3705" s="139">
        <f>VLOOKUP(NoviaFunds[[#This Row],[ISIN]],'Novia Web Query'!$A:$E,4,FALSE)/100</f>
        <v>2.0099999999999996E-2</v>
      </c>
      <c r="E3705" s="3" t="str">
        <f>VLOOKUP(NoviaFunds[[#This Row],[ISIN]],'Novia Web Query'!$A:$E,5,FALSE)</f>
        <v>14/01/2021</v>
      </c>
      <c r="F3705" t="str">
        <f>VLOOKUP(NoviaFunds[[#This Row],[Sector]],Sectors[],2,FALSE)</f>
        <v>Mixed 20%-60%</v>
      </c>
    </row>
    <row r="3706" spans="1:6" x14ac:dyDescent="0.2">
      <c r="A3706" t="str">
        <f>'Novia Web Query'!A3702</f>
        <v>GB00B84YNB54</v>
      </c>
      <c r="B3706" t="str">
        <f>VLOOKUP(NoviaFunds[[#This Row],[ISIN]],'Novia Web Query'!$A:$E,2,FALSE)</f>
        <v>Schroder Managed Wealth Portfolio Z Acc in GB</v>
      </c>
      <c r="C3706" t="str">
        <f>VLOOKUP(NoviaFunds[[#This Row],[ISIN]],'Novia Web Query'!$A:$E,3,FALSE)</f>
        <v>UT Mixed Investment 20-60% Shares</v>
      </c>
      <c r="D3706" s="139">
        <f>VLOOKUP(NoviaFunds[[#This Row],[ISIN]],'Novia Web Query'!$A:$E,4,FALSE)/100</f>
        <v>1.26E-2</v>
      </c>
      <c r="E3706" s="3" t="str">
        <f>VLOOKUP(NoviaFunds[[#This Row],[ISIN]],'Novia Web Query'!$A:$E,5,FALSE)</f>
        <v>14/01/2021</v>
      </c>
      <c r="F3706" t="str">
        <f>VLOOKUP(NoviaFunds[[#This Row],[Sector]],Sectors[],2,FALSE)</f>
        <v>Mixed 20%-60%</v>
      </c>
    </row>
    <row r="3707" spans="1:6" x14ac:dyDescent="0.2">
      <c r="A3707" t="str">
        <f>'Novia Web Query'!A3703</f>
        <v>GB00B7134X76</v>
      </c>
      <c r="B3707" t="str">
        <f>VLOOKUP(NoviaFunds[[#This Row],[ISIN]],'Novia Web Query'!$A:$E,2,FALSE)</f>
        <v>Schroder Managed Wealth Portfolio Z Inc TR in GB</v>
      </c>
      <c r="C3707" t="str">
        <f>VLOOKUP(NoviaFunds[[#This Row],[ISIN]],'Novia Web Query'!$A:$E,3,FALSE)</f>
        <v>UT Mixed Investment 20-60% Shares</v>
      </c>
      <c r="D3707" s="139">
        <f>VLOOKUP(NoviaFunds[[#This Row],[ISIN]],'Novia Web Query'!$A:$E,4,FALSE)/100</f>
        <v>1.26E-2</v>
      </c>
      <c r="E3707" s="3" t="str">
        <f>VLOOKUP(NoviaFunds[[#This Row],[ISIN]],'Novia Web Query'!$A:$E,5,FALSE)</f>
        <v>14/01/2021</v>
      </c>
      <c r="F3707" t="str">
        <f>VLOOKUP(NoviaFunds[[#This Row],[Sector]],Sectors[],2,FALSE)</f>
        <v>Mixed 20%-60%</v>
      </c>
    </row>
    <row r="3708" spans="1:6" x14ac:dyDescent="0.2">
      <c r="A3708" t="str">
        <f>'Novia Web Query'!A3704</f>
        <v>GB0031549263</v>
      </c>
      <c r="B3708" t="str">
        <f>VLOOKUP(NoviaFunds[[#This Row],[ISIN]],'Novia Web Query'!$A:$E,2,FALSE)</f>
        <v>Schroder MM Diversity A Acc in GB</v>
      </c>
      <c r="C3708" t="str">
        <f>VLOOKUP(NoviaFunds[[#This Row],[ISIN]],'Novia Web Query'!$A:$E,3,FALSE)</f>
        <v>UT Mixed Investment 20-60% Shares</v>
      </c>
      <c r="D3708" s="139">
        <f>VLOOKUP(NoviaFunds[[#This Row],[ISIN]],'Novia Web Query'!$A:$E,4,FALSE)/100</f>
        <v>1.8500000000000003E-2</v>
      </c>
      <c r="E3708" s="3" t="str">
        <f>VLOOKUP(NoviaFunds[[#This Row],[ISIN]],'Novia Web Query'!$A:$E,5,FALSE)</f>
        <v>17/08/2021</v>
      </c>
      <c r="F3708" t="str">
        <f>VLOOKUP(NoviaFunds[[#This Row],[Sector]],Sectors[],2,FALSE)</f>
        <v>Mixed 20%-60%</v>
      </c>
    </row>
    <row r="3709" spans="1:6" x14ac:dyDescent="0.2">
      <c r="A3709" t="str">
        <f>'Novia Web Query'!A3705</f>
        <v>GB0031537300</v>
      </c>
      <c r="B3709" t="str">
        <f>VLOOKUP(NoviaFunds[[#This Row],[ISIN]],'Novia Web Query'!$A:$E,2,FALSE)</f>
        <v>Schroder MM Diversity A Inc TR in GB</v>
      </c>
      <c r="C3709" t="str">
        <f>VLOOKUP(NoviaFunds[[#This Row],[ISIN]],'Novia Web Query'!$A:$E,3,FALSE)</f>
        <v>UT Mixed Investment 20-60% Shares</v>
      </c>
      <c r="D3709" s="139">
        <f>VLOOKUP(NoviaFunds[[#This Row],[ISIN]],'Novia Web Query'!$A:$E,4,FALSE)/100</f>
        <v>1.8500000000000003E-2</v>
      </c>
      <c r="E3709" s="3" t="str">
        <f>VLOOKUP(NoviaFunds[[#This Row],[ISIN]],'Novia Web Query'!$A:$E,5,FALSE)</f>
        <v>17/08/2021</v>
      </c>
      <c r="F3709" t="str">
        <f>VLOOKUP(NoviaFunds[[#This Row],[Sector]],Sectors[],2,FALSE)</f>
        <v>Mixed 20%-60%</v>
      </c>
    </row>
    <row r="3710" spans="1:6" x14ac:dyDescent="0.2">
      <c r="A3710" t="str">
        <f>'Novia Web Query'!A3706</f>
        <v>GB00B60CZD52</v>
      </c>
      <c r="B3710" t="str">
        <f>VLOOKUP(NoviaFunds[[#This Row],[ISIN]],'Novia Web Query'!$A:$E,2,FALSE)</f>
        <v>Schroder MM Diversity Z Acc in GB</v>
      </c>
      <c r="C3710" t="str">
        <f>VLOOKUP(NoviaFunds[[#This Row],[ISIN]],'Novia Web Query'!$A:$E,3,FALSE)</f>
        <v>UT Mixed Investment 20-60% Shares</v>
      </c>
      <c r="D3710" s="139">
        <f>VLOOKUP(NoviaFunds[[#This Row],[ISIN]],'Novia Web Query'!$A:$E,4,FALSE)/100</f>
        <v>1.3500000000000002E-2</v>
      </c>
      <c r="E3710" s="3" t="str">
        <f>VLOOKUP(NoviaFunds[[#This Row],[ISIN]],'Novia Web Query'!$A:$E,5,FALSE)</f>
        <v>17/08/2021</v>
      </c>
      <c r="F3710" t="str">
        <f>VLOOKUP(NoviaFunds[[#This Row],[Sector]],Sectors[],2,FALSE)</f>
        <v>Mixed 20%-60%</v>
      </c>
    </row>
    <row r="3711" spans="1:6" x14ac:dyDescent="0.2">
      <c r="A3711" t="str">
        <f>'Novia Web Query'!A3707</f>
        <v>GB00B602JM21</v>
      </c>
      <c r="B3711" t="str">
        <f>VLOOKUP(NoviaFunds[[#This Row],[ISIN]],'Novia Web Query'!$A:$E,2,FALSE)</f>
        <v>Schroder MM Diversity Z Inc TR in GB</v>
      </c>
      <c r="C3711" t="str">
        <f>VLOOKUP(NoviaFunds[[#This Row],[ISIN]],'Novia Web Query'!$A:$E,3,FALSE)</f>
        <v>UT Mixed Investment 20-60% Shares</v>
      </c>
      <c r="D3711" s="139">
        <f>VLOOKUP(NoviaFunds[[#This Row],[ISIN]],'Novia Web Query'!$A:$E,4,FALSE)/100</f>
        <v>1.3500000000000002E-2</v>
      </c>
      <c r="E3711" s="3" t="str">
        <f>VLOOKUP(NoviaFunds[[#This Row],[ISIN]],'Novia Web Query'!$A:$E,5,FALSE)</f>
        <v>17/08/2021</v>
      </c>
      <c r="F3711" t="str">
        <f>VLOOKUP(NoviaFunds[[#This Row],[Sector]],Sectors[],2,FALSE)</f>
        <v>Mixed 20%-60%</v>
      </c>
    </row>
    <row r="3712" spans="1:6" x14ac:dyDescent="0.2">
      <c r="A3712" t="str">
        <f>'Novia Web Query'!A3708</f>
        <v>GB00B78ST188</v>
      </c>
      <c r="B3712" t="str">
        <f>VLOOKUP(NoviaFunds[[#This Row],[ISIN]],'Novia Web Query'!$A:$E,2,FALSE)</f>
        <v>Schroder Monthly Income Z Acc in GB</v>
      </c>
      <c r="C3712" t="str">
        <f>VLOOKUP(NoviaFunds[[#This Row],[ISIN]],'Novia Web Query'!$A:$E,3,FALSE)</f>
        <v>UT Mixed Investment 20-60% Shares</v>
      </c>
      <c r="D3712" s="139">
        <f>VLOOKUP(NoviaFunds[[#This Row],[ISIN]],'Novia Web Query'!$A:$E,4,FALSE)/100</f>
        <v>9.1000000000000004E-3</v>
      </c>
      <c r="E3712" s="3" t="str">
        <f>VLOOKUP(NoviaFunds[[#This Row],[ISIN]],'Novia Web Query'!$A:$E,5,FALSE)</f>
        <v>17/08/2021</v>
      </c>
      <c r="F3712" t="str">
        <f>VLOOKUP(NoviaFunds[[#This Row],[Sector]],Sectors[],2,FALSE)</f>
        <v>Mixed 20%-60%</v>
      </c>
    </row>
    <row r="3713" spans="1:6" x14ac:dyDescent="0.2">
      <c r="A3713" t="str">
        <f>'Novia Web Query'!A3709</f>
        <v>GB00B66FVB83</v>
      </c>
      <c r="B3713" t="str">
        <f>VLOOKUP(NoviaFunds[[#This Row],[ISIN]],'Novia Web Query'!$A:$E,2,FALSE)</f>
        <v>Schroder Monthly Income Z Inc TR in GB</v>
      </c>
      <c r="C3713" t="str">
        <f>VLOOKUP(NoviaFunds[[#This Row],[ISIN]],'Novia Web Query'!$A:$E,3,FALSE)</f>
        <v>UT Mixed Investment 20-60% Shares</v>
      </c>
      <c r="D3713" s="139">
        <f>VLOOKUP(NoviaFunds[[#This Row],[ISIN]],'Novia Web Query'!$A:$E,4,FALSE)/100</f>
        <v>9.1000000000000004E-3</v>
      </c>
      <c r="E3713" s="3" t="str">
        <f>VLOOKUP(NoviaFunds[[#This Row],[ISIN]],'Novia Web Query'!$A:$E,5,FALSE)</f>
        <v>17/08/2021</v>
      </c>
      <c r="F3713" t="str">
        <f>VLOOKUP(NoviaFunds[[#This Row],[Sector]],Sectors[],2,FALSE)</f>
        <v>Mixed 20%-60%</v>
      </c>
    </row>
    <row r="3714" spans="1:6" x14ac:dyDescent="0.2">
      <c r="A3714" t="str">
        <f>'Novia Web Query'!A3710</f>
        <v>GB00BYXYVZ82</v>
      </c>
      <c r="B3714" t="str">
        <f>VLOOKUP(NoviaFunds[[#This Row],[ISIN]],'Novia Web Query'!$A:$E,2,FALSE)</f>
        <v>Schroder Multi-Asset Total Return Z Acc in GB</v>
      </c>
      <c r="C3714" t="str">
        <f>VLOOKUP(NoviaFunds[[#This Row],[ISIN]],'Novia Web Query'!$A:$E,3,FALSE)</f>
        <v>UT Targeted Absolute Return</v>
      </c>
      <c r="D3714" s="139">
        <f>VLOOKUP(NoviaFunds[[#This Row],[ISIN]],'Novia Web Query'!$A:$E,4,FALSE)/100</f>
        <v>8.6999999999999994E-3</v>
      </c>
      <c r="E3714" s="3" t="str">
        <f>VLOOKUP(NoviaFunds[[#This Row],[ISIN]],'Novia Web Query'!$A:$E,5,FALSE)</f>
        <v>14/01/2021</v>
      </c>
      <c r="F3714" t="str">
        <f>VLOOKUP(NoviaFunds[[#This Row],[Sector]],Sectors[],2,FALSE)</f>
        <v>Absolute Return</v>
      </c>
    </row>
    <row r="3715" spans="1:6" x14ac:dyDescent="0.2">
      <c r="A3715" t="str">
        <f>'Novia Web Query'!A3711</f>
        <v>GB00BYXYVX68</v>
      </c>
      <c r="B3715" t="str">
        <f>VLOOKUP(NoviaFunds[[#This Row],[ISIN]],'Novia Web Query'!$A:$E,2,FALSE)</f>
        <v>Schroder Multi-Asset Total Return Z Inc TR in GB</v>
      </c>
      <c r="C3715" t="str">
        <f>VLOOKUP(NoviaFunds[[#This Row],[ISIN]],'Novia Web Query'!$A:$E,3,FALSE)</f>
        <v>UT Targeted Absolute Return</v>
      </c>
      <c r="D3715" s="139">
        <f>VLOOKUP(NoviaFunds[[#This Row],[ISIN]],'Novia Web Query'!$A:$E,4,FALSE)/100</f>
        <v>8.6999999999999994E-3</v>
      </c>
      <c r="E3715" s="3" t="str">
        <f>VLOOKUP(NoviaFunds[[#This Row],[ISIN]],'Novia Web Query'!$A:$E,5,FALSE)</f>
        <v>14/01/2021</v>
      </c>
      <c r="F3715" t="str">
        <f>VLOOKUP(NoviaFunds[[#This Row],[Sector]],Sectors[],2,FALSE)</f>
        <v>Absolute Return</v>
      </c>
    </row>
    <row r="3716" spans="1:6" x14ac:dyDescent="0.2">
      <c r="A3716" t="str">
        <f>'Novia Web Query'!A3712</f>
        <v>GB00B0QQ0W32</v>
      </c>
      <c r="B3716" t="str">
        <f>VLOOKUP(NoviaFunds[[#This Row],[ISIN]],'Novia Web Query'!$A:$E,2,FALSE)</f>
        <v>Schroder QEP Global Active Value A Acc in GB</v>
      </c>
      <c r="C3716" t="str">
        <f>VLOOKUP(NoviaFunds[[#This Row],[ISIN]],'Novia Web Query'!$A:$E,3,FALSE)</f>
        <v>UT Global</v>
      </c>
      <c r="D3716" s="139">
        <f>VLOOKUP(NoviaFunds[[#This Row],[ISIN]],'Novia Web Query'!$A:$E,4,FALSE)/100</f>
        <v>1.4999999999999999E-2</v>
      </c>
      <c r="E3716" s="3" t="str">
        <f>VLOOKUP(NoviaFunds[[#This Row],[ISIN]],'Novia Web Query'!$A:$E,5,FALSE)</f>
        <v>21/04/2021</v>
      </c>
      <c r="F3716" t="str">
        <f>VLOOKUP(NoviaFunds[[#This Row],[Sector]],Sectors[],2,FALSE)</f>
        <v>Other Equities</v>
      </c>
    </row>
    <row r="3717" spans="1:6" x14ac:dyDescent="0.2">
      <c r="A3717" t="str">
        <f>'Novia Web Query'!A3713</f>
        <v>GB00B76V8G74</v>
      </c>
      <c r="B3717" t="str">
        <f>VLOOKUP(NoviaFunds[[#This Row],[ISIN]],'Novia Web Query'!$A:$E,2,FALSE)</f>
        <v>Schroder QEP Global Active Value Z Acc in GB</v>
      </c>
      <c r="C3717" t="str">
        <f>VLOOKUP(NoviaFunds[[#This Row],[ISIN]],'Novia Web Query'!$A:$E,3,FALSE)</f>
        <v>UT Global</v>
      </c>
      <c r="D3717" s="139">
        <f>VLOOKUP(NoviaFunds[[#This Row],[ISIN]],'Novia Web Query'!$A:$E,4,FALSE)/100</f>
        <v>8.5000000000000006E-3</v>
      </c>
      <c r="E3717" s="3" t="str">
        <f>VLOOKUP(NoviaFunds[[#This Row],[ISIN]],'Novia Web Query'!$A:$E,5,FALSE)</f>
        <v>21/04/2021</v>
      </c>
      <c r="F3717" t="str">
        <f>VLOOKUP(NoviaFunds[[#This Row],[Sector]],Sectors[],2,FALSE)</f>
        <v>Other Equities</v>
      </c>
    </row>
    <row r="3718" spans="1:6" x14ac:dyDescent="0.2">
      <c r="A3718" t="str">
        <f>'Novia Web Query'!A3714</f>
        <v>GB00B76V8H81</v>
      </c>
      <c r="B3718" t="str">
        <f>VLOOKUP(NoviaFunds[[#This Row],[ISIN]],'Novia Web Query'!$A:$E,2,FALSE)</f>
        <v>Schroder QEP Global Active Value Z Inc TR in GB</v>
      </c>
      <c r="C3718" t="str">
        <f>VLOOKUP(NoviaFunds[[#This Row],[ISIN]],'Novia Web Query'!$A:$E,3,FALSE)</f>
        <v>UT Global</v>
      </c>
      <c r="D3718" s="139">
        <f>VLOOKUP(NoviaFunds[[#This Row],[ISIN]],'Novia Web Query'!$A:$E,4,FALSE)/100</f>
        <v>8.5000000000000006E-3</v>
      </c>
      <c r="E3718" s="3" t="str">
        <f>VLOOKUP(NoviaFunds[[#This Row],[ISIN]],'Novia Web Query'!$A:$E,5,FALSE)</f>
        <v>21/04/2021</v>
      </c>
      <c r="F3718" t="str">
        <f>VLOOKUP(NoviaFunds[[#This Row],[Sector]],Sectors[],2,FALSE)</f>
        <v>Other Equities</v>
      </c>
    </row>
    <row r="3719" spans="1:6" x14ac:dyDescent="0.2">
      <c r="A3719" t="str">
        <f>'Novia Web Query'!A3715</f>
        <v>GB00B5310487</v>
      </c>
      <c r="B3719" t="str">
        <f>VLOOKUP(NoviaFunds[[#This Row],[ISIN]],'Novia Web Query'!$A:$E,2,FALSE)</f>
        <v>Schroder QEP Global Core A Acc in GB</v>
      </c>
      <c r="C3719" t="str">
        <f>VLOOKUP(NoviaFunds[[#This Row],[ISIN]],'Novia Web Query'!$A:$E,3,FALSE)</f>
        <v>UT Global</v>
      </c>
      <c r="D3719" s="139">
        <f>VLOOKUP(NoviaFunds[[#This Row],[ISIN]],'Novia Web Query'!$A:$E,4,FALSE)/100</f>
        <v>3.2000000000000002E-3</v>
      </c>
      <c r="E3719" s="3" t="str">
        <f>VLOOKUP(NoviaFunds[[#This Row],[ISIN]],'Novia Web Query'!$A:$E,5,FALSE)</f>
        <v>21/04/2021</v>
      </c>
      <c r="F3719" t="str">
        <f>VLOOKUP(NoviaFunds[[#This Row],[Sector]],Sectors[],2,FALSE)</f>
        <v>Other Equities</v>
      </c>
    </row>
    <row r="3720" spans="1:6" x14ac:dyDescent="0.2">
      <c r="A3720" t="str">
        <f>'Novia Web Query'!A3716</f>
        <v>GB00B53G9Z70</v>
      </c>
      <c r="B3720" t="str">
        <f>VLOOKUP(NoviaFunds[[#This Row],[ISIN]],'Novia Web Query'!$A:$E,2,FALSE)</f>
        <v>Schroder QEP Global Core A Inc TR in GB</v>
      </c>
      <c r="C3720" t="str">
        <f>VLOOKUP(NoviaFunds[[#This Row],[ISIN]],'Novia Web Query'!$A:$E,3,FALSE)</f>
        <v>UT Global</v>
      </c>
      <c r="D3720" s="139">
        <f>VLOOKUP(NoviaFunds[[#This Row],[ISIN]],'Novia Web Query'!$A:$E,4,FALSE)/100</f>
        <v>3.2000000000000002E-3</v>
      </c>
      <c r="E3720" s="3" t="str">
        <f>VLOOKUP(NoviaFunds[[#This Row],[ISIN]],'Novia Web Query'!$A:$E,5,FALSE)</f>
        <v>21/04/2021</v>
      </c>
      <c r="F3720" t="str">
        <f>VLOOKUP(NoviaFunds[[#This Row],[Sector]],Sectors[],2,FALSE)</f>
        <v>Other Equities</v>
      </c>
    </row>
    <row r="3721" spans="1:6" x14ac:dyDescent="0.2">
      <c r="A3721" t="str">
        <f>'Novia Web Query'!A3717</f>
        <v>GB00BNGY5232</v>
      </c>
      <c r="B3721" t="str">
        <f>VLOOKUP(NoviaFunds[[#This Row],[ISIN]],'Novia Web Query'!$A:$E,2,FALSE)</f>
        <v>Schroder QEP Global Emerging Markets Z Acc in GB</v>
      </c>
      <c r="C3721" t="str">
        <f>VLOOKUP(NoviaFunds[[#This Row],[ISIN]],'Novia Web Query'!$A:$E,3,FALSE)</f>
        <v>UT Global Emerging Markets</v>
      </c>
      <c r="D3721" s="139">
        <f>VLOOKUP(NoviaFunds[[#This Row],[ISIN]],'Novia Web Query'!$A:$E,4,FALSE)/100</f>
        <v>8.5000000000000006E-3</v>
      </c>
      <c r="E3721" s="3" t="str">
        <f>VLOOKUP(NoviaFunds[[#This Row],[ISIN]],'Novia Web Query'!$A:$E,5,FALSE)</f>
        <v>21/10/2021</v>
      </c>
      <c r="F3721" t="str">
        <f>VLOOKUP(NoviaFunds[[#This Row],[Sector]],Sectors[],2,FALSE)</f>
        <v>Emerging Markets</v>
      </c>
    </row>
    <row r="3722" spans="1:6" x14ac:dyDescent="0.2">
      <c r="A3722" t="str">
        <f>'Novia Web Query'!A3718</f>
        <v>GB0007648347</v>
      </c>
      <c r="B3722" t="str">
        <f>VLOOKUP(NoviaFunds[[#This Row],[ISIN]],'Novia Web Query'!$A:$E,2,FALSE)</f>
        <v>Schroder QEP US Core Inst Acc in GB</v>
      </c>
      <c r="C3722" t="str">
        <f>VLOOKUP(NoviaFunds[[#This Row],[ISIN]],'Novia Web Query'!$A:$E,3,FALSE)</f>
        <v>UT North America</v>
      </c>
      <c r="D3722" s="139">
        <f>VLOOKUP(NoviaFunds[[#This Row],[ISIN]],'Novia Web Query'!$A:$E,4,FALSE)/100</f>
        <v>3.3E-3</v>
      </c>
      <c r="E3722" s="3" t="str">
        <f>VLOOKUP(NoviaFunds[[#This Row],[ISIN]],'Novia Web Query'!$A:$E,5,FALSE)</f>
        <v>21/04/2021</v>
      </c>
      <c r="F3722" t="str">
        <f>VLOOKUP(NoviaFunds[[#This Row],[Sector]],Sectors[],2,FALSE)</f>
        <v>USA Equities</v>
      </c>
    </row>
    <row r="3723" spans="1:6" x14ac:dyDescent="0.2">
      <c r="A3723" t="str">
        <f>'Novia Web Query'!A3719</f>
        <v>GB0007648230</v>
      </c>
      <c r="B3723" t="str">
        <f>VLOOKUP(NoviaFunds[[#This Row],[ISIN]],'Novia Web Query'!$A:$E,2,FALSE)</f>
        <v>Schroder QEP US Core Inst Inc TR in GB</v>
      </c>
      <c r="C3723" t="str">
        <f>VLOOKUP(NoviaFunds[[#This Row],[ISIN]],'Novia Web Query'!$A:$E,3,FALSE)</f>
        <v>UT North America</v>
      </c>
      <c r="D3723" s="139">
        <f>VLOOKUP(NoviaFunds[[#This Row],[ISIN]],'Novia Web Query'!$A:$E,4,FALSE)/100</f>
        <v>3.3E-3</v>
      </c>
      <c r="E3723" s="3" t="str">
        <f>VLOOKUP(NoviaFunds[[#This Row],[ISIN]],'Novia Web Query'!$A:$E,5,FALSE)</f>
        <v>21/04/2021</v>
      </c>
      <c r="F3723" t="str">
        <f>VLOOKUP(NoviaFunds[[#This Row],[Sector]],Sectors[],2,FALSE)</f>
        <v>USA Equities</v>
      </c>
    </row>
    <row r="3724" spans="1:6" x14ac:dyDescent="0.2">
      <c r="A3724" t="str">
        <f>'Novia Web Query'!A3720</f>
        <v>GB0007893760</v>
      </c>
      <c r="B3724" t="str">
        <f>VLOOKUP(NoviaFunds[[#This Row],[ISIN]],'Novia Web Query'!$A:$E,2,FALSE)</f>
        <v>Schroder Recovery A Acc in GB</v>
      </c>
      <c r="C3724" t="str">
        <f>VLOOKUP(NoviaFunds[[#This Row],[ISIN]],'Novia Web Query'!$A:$E,3,FALSE)</f>
        <v>UT UK All Companies</v>
      </c>
      <c r="D3724" s="139">
        <f>VLOOKUP(NoviaFunds[[#This Row],[ISIN]],'Novia Web Query'!$A:$E,4,FALSE)/100</f>
        <v>1.66E-2</v>
      </c>
      <c r="E3724" s="3" t="str">
        <f>VLOOKUP(NoviaFunds[[#This Row],[ISIN]],'Novia Web Query'!$A:$E,5,FALSE)</f>
        <v>21/04/2021</v>
      </c>
      <c r="F3724" t="str">
        <f>VLOOKUP(NoviaFunds[[#This Row],[Sector]],Sectors[],2,FALSE)</f>
        <v>UK Equities</v>
      </c>
    </row>
    <row r="3725" spans="1:6" x14ac:dyDescent="0.2">
      <c r="A3725" t="str">
        <f>'Novia Web Query'!A3721</f>
        <v>GB0007809824</v>
      </c>
      <c r="B3725" t="str">
        <f>VLOOKUP(NoviaFunds[[#This Row],[ISIN]],'Novia Web Query'!$A:$E,2,FALSE)</f>
        <v>Schroder Recovery A Inc TR in GB</v>
      </c>
      <c r="C3725" t="str">
        <f>VLOOKUP(NoviaFunds[[#This Row],[ISIN]],'Novia Web Query'!$A:$E,3,FALSE)</f>
        <v>UT UK All Companies</v>
      </c>
      <c r="D3725" s="139">
        <f>VLOOKUP(NoviaFunds[[#This Row],[ISIN]],'Novia Web Query'!$A:$E,4,FALSE)/100</f>
        <v>1.66E-2</v>
      </c>
      <c r="E3725" s="3" t="str">
        <f>VLOOKUP(NoviaFunds[[#This Row],[ISIN]],'Novia Web Query'!$A:$E,5,FALSE)</f>
        <v>21/04/2021</v>
      </c>
      <c r="F3725" t="str">
        <f>VLOOKUP(NoviaFunds[[#This Row],[Sector]],Sectors[],2,FALSE)</f>
        <v>UK Equities</v>
      </c>
    </row>
    <row r="3726" spans="1:6" x14ac:dyDescent="0.2">
      <c r="A3726" t="str">
        <f>'Novia Web Query'!A3722</f>
        <v>GB00BDD2F190</v>
      </c>
      <c r="B3726" t="str">
        <f>VLOOKUP(NoviaFunds[[#This Row],[ISIN]],'Novia Web Query'!$A:$E,2,FALSE)</f>
        <v>Schroder Recovery L Acc in GB**</v>
      </c>
      <c r="C3726" t="str">
        <f>VLOOKUP(NoviaFunds[[#This Row],[ISIN]],'Novia Web Query'!$A:$E,3,FALSE)</f>
        <v>UT UK All Companies</v>
      </c>
      <c r="D3726" s="139">
        <f>VLOOKUP(NoviaFunds[[#This Row],[ISIN]],'Novia Web Query'!$A:$E,4,FALSE)/100</f>
        <v>8.3999999999999995E-3</v>
      </c>
      <c r="E3726" s="3" t="str">
        <f>VLOOKUP(NoviaFunds[[#This Row],[ISIN]],'Novia Web Query'!$A:$E,5,FALSE)</f>
        <v>21/04/2021</v>
      </c>
      <c r="F3726" t="str">
        <f>VLOOKUP(NoviaFunds[[#This Row],[Sector]],Sectors[],2,FALSE)</f>
        <v>UK Equities</v>
      </c>
    </row>
    <row r="3727" spans="1:6" x14ac:dyDescent="0.2">
      <c r="A3727" t="str">
        <f>'Novia Web Query'!A3723</f>
        <v>GB00B3VVG600</v>
      </c>
      <c r="B3727" t="str">
        <f>VLOOKUP(NoviaFunds[[#This Row],[ISIN]],'Novia Web Query'!$A:$E,2,FALSE)</f>
        <v>Schroder Recovery Z Acc in GB</v>
      </c>
      <c r="C3727" t="str">
        <f>VLOOKUP(NoviaFunds[[#This Row],[ISIN]],'Novia Web Query'!$A:$E,3,FALSE)</f>
        <v>UT UK All Companies</v>
      </c>
      <c r="D3727" s="139">
        <f>VLOOKUP(NoviaFunds[[#This Row],[ISIN]],'Novia Web Query'!$A:$E,4,FALSE)/100</f>
        <v>9.1000000000000004E-3</v>
      </c>
      <c r="E3727" s="3" t="str">
        <f>VLOOKUP(NoviaFunds[[#This Row],[ISIN]],'Novia Web Query'!$A:$E,5,FALSE)</f>
        <v>21/04/2021</v>
      </c>
      <c r="F3727" t="str">
        <f>VLOOKUP(NoviaFunds[[#This Row],[Sector]],Sectors[],2,FALSE)</f>
        <v>UK Equities</v>
      </c>
    </row>
    <row r="3728" spans="1:6" x14ac:dyDescent="0.2">
      <c r="A3728" t="str">
        <f>'Novia Web Query'!A3724</f>
        <v>GB00B3W2HM55</v>
      </c>
      <c r="B3728" t="str">
        <f>VLOOKUP(NoviaFunds[[#This Row],[ISIN]],'Novia Web Query'!$A:$E,2,FALSE)</f>
        <v>Schroder Recovery Z Inc TR in GB</v>
      </c>
      <c r="C3728" t="str">
        <f>VLOOKUP(NoviaFunds[[#This Row],[ISIN]],'Novia Web Query'!$A:$E,3,FALSE)</f>
        <v>UT UK All Companies</v>
      </c>
      <c r="D3728" s="139">
        <f>VLOOKUP(NoviaFunds[[#This Row],[ISIN]],'Novia Web Query'!$A:$E,4,FALSE)/100</f>
        <v>9.1000000000000004E-3</v>
      </c>
      <c r="E3728" s="3" t="str">
        <f>VLOOKUP(NoviaFunds[[#This Row],[ISIN]],'Novia Web Query'!$A:$E,5,FALSE)</f>
        <v>21/04/2021</v>
      </c>
      <c r="F3728" t="str">
        <f>VLOOKUP(NoviaFunds[[#This Row],[Sector]],Sectors[],2,FALSE)</f>
        <v>UK Equities</v>
      </c>
    </row>
    <row r="3729" spans="1:6" x14ac:dyDescent="0.2">
      <c r="A3729" t="str">
        <f>'Novia Web Query'!A3725</f>
        <v>GB00B5NX4423</v>
      </c>
      <c r="B3729" t="str">
        <f>VLOOKUP(NoviaFunds[[#This Row],[ISIN]],'Novia Web Query'!$A:$E,2,FALSE)</f>
        <v>Schroder Small Cap Discovery A Acc in GB</v>
      </c>
      <c r="C3729" t="str">
        <f>VLOOKUP(NoviaFunds[[#This Row],[ISIN]],'Novia Web Query'!$A:$E,3,FALSE)</f>
        <v>UT Specialist</v>
      </c>
      <c r="D3729" s="139">
        <f>VLOOKUP(NoviaFunds[[#This Row],[ISIN]],'Novia Web Query'!$A:$E,4,FALSE)/100</f>
        <v>1.7000000000000001E-2</v>
      </c>
      <c r="E3729" s="3" t="str">
        <f>VLOOKUP(NoviaFunds[[#This Row],[ISIN]],'Novia Web Query'!$A:$E,5,FALSE)</f>
        <v>24/05/2021</v>
      </c>
      <c r="F3729" t="str">
        <f>VLOOKUP(NoviaFunds[[#This Row],[Sector]],Sectors[],2,FALSE)</f>
        <v>Specialist</v>
      </c>
    </row>
    <row r="3730" spans="1:6" x14ac:dyDescent="0.2">
      <c r="A3730" t="str">
        <f>'Novia Web Query'!A3726</f>
        <v>GB00B4ZV6P20</v>
      </c>
      <c r="B3730" t="str">
        <f>VLOOKUP(NoviaFunds[[#This Row],[ISIN]],'Novia Web Query'!$A:$E,2,FALSE)</f>
        <v>Schroder Small Cap Discovery A Inc TR in GB</v>
      </c>
      <c r="C3730" t="str">
        <f>VLOOKUP(NoviaFunds[[#This Row],[ISIN]],'Novia Web Query'!$A:$E,3,FALSE)</f>
        <v>UT Specialist</v>
      </c>
      <c r="D3730" s="139">
        <f>VLOOKUP(NoviaFunds[[#This Row],[ISIN]],'Novia Web Query'!$A:$E,4,FALSE)/100</f>
        <v>1.7000000000000001E-2</v>
      </c>
      <c r="E3730" s="3" t="str">
        <f>VLOOKUP(NoviaFunds[[#This Row],[ISIN]],'Novia Web Query'!$A:$E,5,FALSE)</f>
        <v>01/06/2021</v>
      </c>
      <c r="F3730" t="str">
        <f>VLOOKUP(NoviaFunds[[#This Row],[Sector]],Sectors[],2,FALSE)</f>
        <v>Specialist</v>
      </c>
    </row>
    <row r="3731" spans="1:6" x14ac:dyDescent="0.2">
      <c r="A3731" t="str">
        <f>'Novia Web Query'!A3727</f>
        <v>GB00B5ZS9V71</v>
      </c>
      <c r="B3731" t="str">
        <f>VLOOKUP(NoviaFunds[[#This Row],[ISIN]],'Novia Web Query'!$A:$E,2,FALSE)</f>
        <v>Schroder Small Cap Discovery Z Acc in GB</v>
      </c>
      <c r="C3731" t="str">
        <f>VLOOKUP(NoviaFunds[[#This Row],[ISIN]],'Novia Web Query'!$A:$E,3,FALSE)</f>
        <v>UT Specialist</v>
      </c>
      <c r="D3731" s="139">
        <f>VLOOKUP(NoviaFunds[[#This Row],[ISIN]],'Novia Web Query'!$A:$E,4,FALSE)/100</f>
        <v>9.4999999999999998E-3</v>
      </c>
      <c r="E3731" s="3" t="str">
        <f>VLOOKUP(NoviaFunds[[#This Row],[ISIN]],'Novia Web Query'!$A:$E,5,FALSE)</f>
        <v>01/06/2021</v>
      </c>
      <c r="F3731" t="str">
        <f>VLOOKUP(NoviaFunds[[#This Row],[Sector]],Sectors[],2,FALSE)</f>
        <v>Specialist</v>
      </c>
    </row>
    <row r="3732" spans="1:6" x14ac:dyDescent="0.2">
      <c r="A3732" t="str">
        <f>'Novia Web Query'!A3728</f>
        <v>GB00B4Y8PY67</v>
      </c>
      <c r="B3732" t="str">
        <f>VLOOKUP(NoviaFunds[[#This Row],[ISIN]],'Novia Web Query'!$A:$E,2,FALSE)</f>
        <v>Schroder Small Cap Discovery Z Inc TR in GB</v>
      </c>
      <c r="C3732" t="str">
        <f>VLOOKUP(NoviaFunds[[#This Row],[ISIN]],'Novia Web Query'!$A:$E,3,FALSE)</f>
        <v>UT Specialist</v>
      </c>
      <c r="D3732" s="139">
        <f>VLOOKUP(NoviaFunds[[#This Row],[ISIN]],'Novia Web Query'!$A:$E,4,FALSE)/100</f>
        <v>9.4999999999999998E-3</v>
      </c>
      <c r="E3732" s="3" t="str">
        <f>VLOOKUP(NoviaFunds[[#This Row],[ISIN]],'Novia Web Query'!$A:$E,5,FALSE)</f>
        <v>01/06/2021</v>
      </c>
      <c r="F3732" t="str">
        <f>VLOOKUP(NoviaFunds[[#This Row],[Sector]],Sectors[],2,FALSE)</f>
        <v>Specialist</v>
      </c>
    </row>
    <row r="3733" spans="1:6" x14ac:dyDescent="0.2">
      <c r="A3733" t="str">
        <f>'Novia Web Query'!A3729</f>
        <v>GB00BDV0KY38</v>
      </c>
      <c r="B3733" t="str">
        <f>VLOOKUP(NoviaFunds[[#This Row],[ISIN]],'Novia Web Query'!$A:$E,2,FALSE)</f>
        <v>Schroder Sterling Corporate Bond A Acc in GB</v>
      </c>
      <c r="C3733" t="str">
        <f>VLOOKUP(NoviaFunds[[#This Row],[ISIN]],'Novia Web Query'!$A:$E,3,FALSE)</f>
        <v>UT Sterling Corporate Bond</v>
      </c>
      <c r="D3733" s="139">
        <f>VLOOKUP(NoviaFunds[[#This Row],[ISIN]],'Novia Web Query'!$A:$E,4,FALSE)/100</f>
        <v>1.09E-2</v>
      </c>
      <c r="E3733" s="3" t="str">
        <f>VLOOKUP(NoviaFunds[[#This Row],[ISIN]],'Novia Web Query'!$A:$E,5,FALSE)</f>
        <v>14/01/2021</v>
      </c>
      <c r="F3733" t="str">
        <f>VLOOKUP(NoviaFunds[[#This Row],[Sector]],Sectors[],2,FALSE)</f>
        <v>Sterling Corporate Bonds</v>
      </c>
    </row>
    <row r="3734" spans="1:6" x14ac:dyDescent="0.2">
      <c r="A3734" t="str">
        <f>'Novia Web Query'!A3730</f>
        <v>GB0031093247</v>
      </c>
      <c r="B3734" t="str">
        <f>VLOOKUP(NoviaFunds[[#This Row],[ISIN]],'Novia Web Query'!$A:$E,2,FALSE)</f>
        <v>Schroder Sterling Corporate Bond A Inc TR in GB</v>
      </c>
      <c r="C3734" t="str">
        <f>VLOOKUP(NoviaFunds[[#This Row],[ISIN]],'Novia Web Query'!$A:$E,3,FALSE)</f>
        <v>UT Sterling Corporate Bond</v>
      </c>
      <c r="D3734" s="139">
        <f>VLOOKUP(NoviaFunds[[#This Row],[ISIN]],'Novia Web Query'!$A:$E,4,FALSE)/100</f>
        <v>1.09E-2</v>
      </c>
      <c r="E3734" s="3" t="str">
        <f>VLOOKUP(NoviaFunds[[#This Row],[ISIN]],'Novia Web Query'!$A:$E,5,FALSE)</f>
        <v>14/01/2021</v>
      </c>
      <c r="F3734" t="str">
        <f>VLOOKUP(NoviaFunds[[#This Row],[Sector]],Sectors[],2,FALSE)</f>
        <v>Sterling Corporate Bonds</v>
      </c>
    </row>
    <row r="3735" spans="1:6" x14ac:dyDescent="0.2">
      <c r="A3735" t="str">
        <f>'Novia Web Query'!A3731</f>
        <v>GB0007220584</v>
      </c>
      <c r="B3735" t="str">
        <f>VLOOKUP(NoviaFunds[[#This Row],[ISIN]],'Novia Web Query'!$A:$E,2,FALSE)</f>
        <v>Schroder Sterling Corporate Bond C Inc TR in GB</v>
      </c>
      <c r="C3735" t="str">
        <f>VLOOKUP(NoviaFunds[[#This Row],[ISIN]],'Novia Web Query'!$A:$E,3,FALSE)</f>
        <v>UT Sterling Corporate Bond</v>
      </c>
      <c r="D3735" s="139">
        <f>VLOOKUP(NoviaFunds[[#This Row],[ISIN]],'Novia Web Query'!$A:$E,4,FALSE)/100</f>
        <v>5.8999999999999999E-3</v>
      </c>
      <c r="E3735" s="3" t="str">
        <f>VLOOKUP(NoviaFunds[[#This Row],[ISIN]],'Novia Web Query'!$A:$E,5,FALSE)</f>
        <v>14/01/2021</v>
      </c>
      <c r="F3735" t="str">
        <f>VLOOKUP(NoviaFunds[[#This Row],[Sector]],Sectors[],2,FALSE)</f>
        <v>Sterling Corporate Bonds</v>
      </c>
    </row>
    <row r="3736" spans="1:6" x14ac:dyDescent="0.2">
      <c r="A3736" t="str">
        <f>'Novia Web Query'!A3732</f>
        <v>GB0009379370</v>
      </c>
      <c r="B3736" t="str">
        <f>VLOOKUP(NoviaFunds[[#This Row],[ISIN]],'Novia Web Query'!$A:$E,2,FALSE)</f>
        <v>Schroder Sterling Corporate Bond Z Acc TR in GB**</v>
      </c>
      <c r="C3736" t="str">
        <f>VLOOKUP(NoviaFunds[[#This Row],[ISIN]],'Novia Web Query'!$A:$E,3,FALSE)</f>
        <v>UT Sterling Corporate Bond</v>
      </c>
      <c r="D3736" s="139">
        <f>VLOOKUP(NoviaFunds[[#This Row],[ISIN]],'Novia Web Query'!$A:$E,4,FALSE)/100</f>
        <v>5.8999999999999999E-3</v>
      </c>
      <c r="E3736" s="3" t="str">
        <f>VLOOKUP(NoviaFunds[[#This Row],[ISIN]],'Novia Web Query'!$A:$E,5,FALSE)</f>
        <v>14/01/2021</v>
      </c>
      <c r="F3736" t="str">
        <f>VLOOKUP(NoviaFunds[[#This Row],[Sector]],Sectors[],2,FALSE)</f>
        <v>Sterling Corporate Bonds</v>
      </c>
    </row>
    <row r="3737" spans="1:6" x14ac:dyDescent="0.2">
      <c r="A3737" t="str">
        <f>'Novia Web Query'!A3733</f>
        <v>GB00B7458508</v>
      </c>
      <c r="B3737" t="str">
        <f>VLOOKUP(NoviaFunds[[#This Row],[ISIN]],'Novia Web Query'!$A:$E,2,FALSE)</f>
        <v>Schroder Sterling Corporate Bond Z Inc TR in GB</v>
      </c>
      <c r="C3737" t="str">
        <f>VLOOKUP(NoviaFunds[[#This Row],[ISIN]],'Novia Web Query'!$A:$E,3,FALSE)</f>
        <v>UT Sterling Corporate Bond</v>
      </c>
      <c r="D3737" s="139">
        <f>VLOOKUP(NoviaFunds[[#This Row],[ISIN]],'Novia Web Query'!$A:$E,4,FALSE)/100</f>
        <v>5.8999999999999999E-3</v>
      </c>
      <c r="E3737" s="3" t="str">
        <f>VLOOKUP(NoviaFunds[[#This Row],[ISIN]],'Novia Web Query'!$A:$E,5,FALSE)</f>
        <v>14/01/2021</v>
      </c>
      <c r="F3737" t="str">
        <f>VLOOKUP(NoviaFunds[[#This Row],[Sector]],Sectors[],2,FALSE)</f>
        <v>Sterling Corporate Bonds</v>
      </c>
    </row>
    <row r="3738" spans="1:6" x14ac:dyDescent="0.2">
      <c r="A3738" t="str">
        <f>'Novia Web Query'!A3734</f>
        <v>GB00B7FPS593</v>
      </c>
      <c r="B3738" t="str">
        <f>VLOOKUP(NoviaFunds[[#This Row],[ISIN]],'Novia Web Query'!$A:$E,2,FALSE)</f>
        <v>Schroder Strategic Bond Z Acc in GB</v>
      </c>
      <c r="C3738" t="str">
        <f>VLOOKUP(NoviaFunds[[#This Row],[ISIN]],'Novia Web Query'!$A:$E,3,FALSE)</f>
        <v>UT Sterling Strategic Bond</v>
      </c>
      <c r="D3738" s="139">
        <f>VLOOKUP(NoviaFunds[[#This Row],[ISIN]],'Novia Web Query'!$A:$E,4,FALSE)/100</f>
        <v>6.9999999999999993E-3</v>
      </c>
      <c r="E3738" s="3" t="str">
        <f>VLOOKUP(NoviaFunds[[#This Row],[ISIN]],'Novia Web Query'!$A:$E,5,FALSE)</f>
        <v>21/04/2021</v>
      </c>
      <c r="F3738" t="str">
        <f>VLOOKUP(NoviaFunds[[#This Row],[Sector]],Sectors[],2,FALSE)</f>
        <v>Other Bonds</v>
      </c>
    </row>
    <row r="3739" spans="1:6" x14ac:dyDescent="0.2">
      <c r="A3739" t="str">
        <f>'Novia Web Query'!A3735</f>
        <v>GB00B717KH50</v>
      </c>
      <c r="B3739" t="str">
        <f>VLOOKUP(NoviaFunds[[#This Row],[ISIN]],'Novia Web Query'!$A:$E,2,FALSE)</f>
        <v>Schroder Strategic Bond Z Inc TR in GB</v>
      </c>
      <c r="C3739" t="str">
        <f>VLOOKUP(NoviaFunds[[#This Row],[ISIN]],'Novia Web Query'!$A:$E,3,FALSE)</f>
        <v>UT Sterling Strategic Bond</v>
      </c>
      <c r="D3739" s="139">
        <f>VLOOKUP(NoviaFunds[[#This Row],[ISIN]],'Novia Web Query'!$A:$E,4,FALSE)/100</f>
        <v>6.9999999999999993E-3</v>
      </c>
      <c r="E3739" s="3" t="str">
        <f>VLOOKUP(NoviaFunds[[#This Row],[ISIN]],'Novia Web Query'!$A:$E,5,FALSE)</f>
        <v>21/04/2021</v>
      </c>
      <c r="F3739" t="str">
        <f>VLOOKUP(NoviaFunds[[#This Row],[Sector]],Sectors[],2,FALSE)</f>
        <v>Other Bonds</v>
      </c>
    </row>
    <row r="3740" spans="1:6" x14ac:dyDescent="0.2">
      <c r="A3740" t="str">
        <f>'Novia Web Query'!A3736</f>
        <v>GB00B11DNZ00</v>
      </c>
      <c r="B3740" t="str">
        <f>VLOOKUP(NoviaFunds[[#This Row],[ISIN]],'Novia Web Query'!$A:$E,2,FALSE)</f>
        <v>Schroder Strategic Credit A Acc in GB</v>
      </c>
      <c r="C3740" t="str">
        <f>VLOOKUP(NoviaFunds[[#This Row],[ISIN]],'Novia Web Query'!$A:$E,3,FALSE)</f>
        <v>UT Sterling Strategic Bond</v>
      </c>
      <c r="D3740" s="139">
        <f>VLOOKUP(NoviaFunds[[#This Row],[ISIN]],'Novia Web Query'!$A:$E,4,FALSE)/100</f>
        <v>1.1599999999999999E-2</v>
      </c>
      <c r="E3740" s="3" t="str">
        <f>VLOOKUP(NoviaFunds[[#This Row],[ISIN]],'Novia Web Query'!$A:$E,5,FALSE)</f>
        <v>14/01/2021</v>
      </c>
      <c r="F3740" t="str">
        <f>VLOOKUP(NoviaFunds[[#This Row],[Sector]],Sectors[],2,FALSE)</f>
        <v>Other Bonds</v>
      </c>
    </row>
    <row r="3741" spans="1:6" x14ac:dyDescent="0.2">
      <c r="A3741" t="str">
        <f>'Novia Web Query'!A3737</f>
        <v>GB00B11DNY92</v>
      </c>
      <c r="B3741" t="str">
        <f>VLOOKUP(NoviaFunds[[#This Row],[ISIN]],'Novia Web Query'!$A:$E,2,FALSE)</f>
        <v>Schroder Strategic Credit A Inc TR in GB</v>
      </c>
      <c r="C3741" t="str">
        <f>VLOOKUP(NoviaFunds[[#This Row],[ISIN]],'Novia Web Query'!$A:$E,3,FALSE)</f>
        <v>UT Sterling Strategic Bond</v>
      </c>
      <c r="D3741" s="139">
        <f>VLOOKUP(NoviaFunds[[#This Row],[ISIN]],'Novia Web Query'!$A:$E,4,FALSE)/100</f>
        <v>1.1599999999999999E-2</v>
      </c>
      <c r="E3741" s="3" t="str">
        <f>VLOOKUP(NoviaFunds[[#This Row],[ISIN]],'Novia Web Query'!$A:$E,5,FALSE)</f>
        <v>14/01/2021</v>
      </c>
      <c r="F3741" t="str">
        <f>VLOOKUP(NoviaFunds[[#This Row],[Sector]],Sectors[],2,FALSE)</f>
        <v>Other Bonds</v>
      </c>
    </row>
    <row r="3742" spans="1:6" x14ac:dyDescent="0.2">
      <c r="A3742" t="str">
        <f>'Novia Web Query'!A3738</f>
        <v>GB00B11DP106</v>
      </c>
      <c r="B3742" t="str">
        <f>VLOOKUP(NoviaFunds[[#This Row],[ISIN]],'Novia Web Query'!$A:$E,2,FALSE)</f>
        <v>Schroder Strategic Credit L Acc in GB</v>
      </c>
      <c r="C3742" t="str">
        <f>VLOOKUP(NoviaFunds[[#This Row],[ISIN]],'Novia Web Query'!$A:$E,3,FALSE)</f>
        <v>UT Sterling Strategic Bond</v>
      </c>
      <c r="D3742" s="139">
        <f>VLOOKUP(NoviaFunds[[#This Row],[ISIN]],'Novia Web Query'!$A:$E,4,FALSE)/100</f>
        <v>6.6E-3</v>
      </c>
      <c r="E3742" s="3" t="str">
        <f>VLOOKUP(NoviaFunds[[#This Row],[ISIN]],'Novia Web Query'!$A:$E,5,FALSE)</f>
        <v>14/01/2021</v>
      </c>
      <c r="F3742" t="str">
        <f>VLOOKUP(NoviaFunds[[#This Row],[Sector]],Sectors[],2,FALSE)</f>
        <v>Other Bonds</v>
      </c>
    </row>
    <row r="3743" spans="1:6" x14ac:dyDescent="0.2">
      <c r="A3743" t="str">
        <f>'Novia Web Query'!A3739</f>
        <v>GB00B11DP098</v>
      </c>
      <c r="B3743" t="str">
        <f>VLOOKUP(NoviaFunds[[#This Row],[ISIN]],'Novia Web Query'!$A:$E,2,FALSE)</f>
        <v>Schroder Strategic Credit L Inc TR in GB</v>
      </c>
      <c r="C3743" t="str">
        <f>VLOOKUP(NoviaFunds[[#This Row],[ISIN]],'Novia Web Query'!$A:$E,3,FALSE)</f>
        <v>UT Sterling Strategic Bond</v>
      </c>
      <c r="D3743" s="139">
        <f>VLOOKUP(NoviaFunds[[#This Row],[ISIN]],'Novia Web Query'!$A:$E,4,FALSE)/100</f>
        <v>6.6E-3</v>
      </c>
      <c r="E3743" s="3" t="str">
        <f>VLOOKUP(NoviaFunds[[#This Row],[ISIN]],'Novia Web Query'!$A:$E,5,FALSE)</f>
        <v>14/01/2021</v>
      </c>
      <c r="F3743" t="str">
        <f>VLOOKUP(NoviaFunds[[#This Row],[Sector]],Sectors[],2,FALSE)</f>
        <v>Other Bonds</v>
      </c>
    </row>
    <row r="3744" spans="1:6" x14ac:dyDescent="0.2">
      <c r="A3744" t="str">
        <f>'Novia Web Query'!A3740</f>
        <v>GB00BJZ2ZC09</v>
      </c>
      <c r="B3744" t="str">
        <f>VLOOKUP(NoviaFunds[[#This Row],[ISIN]],'Novia Web Query'!$A:$E,2,FALSE)</f>
        <v>Schroder Strategic Credit Z Acc in GB</v>
      </c>
      <c r="C3744" t="str">
        <f>VLOOKUP(NoviaFunds[[#This Row],[ISIN]],'Novia Web Query'!$A:$E,3,FALSE)</f>
        <v>UT Sterling Strategic Bond</v>
      </c>
      <c r="D3744" s="139">
        <f>VLOOKUP(NoviaFunds[[#This Row],[ISIN]],'Novia Web Query'!$A:$E,4,FALSE)/100</f>
        <v>7.6E-3</v>
      </c>
      <c r="E3744" s="3" t="str">
        <f>VLOOKUP(NoviaFunds[[#This Row],[ISIN]],'Novia Web Query'!$A:$E,5,FALSE)</f>
        <v>14/01/2021</v>
      </c>
      <c r="F3744" t="str">
        <f>VLOOKUP(NoviaFunds[[#This Row],[Sector]],Sectors[],2,FALSE)</f>
        <v>Other Bonds</v>
      </c>
    </row>
    <row r="3745" spans="1:6" x14ac:dyDescent="0.2">
      <c r="A3745" t="str">
        <f>'Novia Web Query'!A3741</f>
        <v>GB00BJZ2ZK82</v>
      </c>
      <c r="B3745" t="str">
        <f>VLOOKUP(NoviaFunds[[#This Row],[ISIN]],'Novia Web Query'!$A:$E,2,FALSE)</f>
        <v>Schroder Strategic Credit Z Inc TR in GB**</v>
      </c>
      <c r="C3745" t="str">
        <f>VLOOKUP(NoviaFunds[[#This Row],[ISIN]],'Novia Web Query'!$A:$E,3,FALSE)</f>
        <v>UT Sterling Strategic Bond</v>
      </c>
      <c r="D3745" s="139">
        <f>VLOOKUP(NoviaFunds[[#This Row],[ISIN]],'Novia Web Query'!$A:$E,4,FALSE)/100</f>
        <v>7.6E-3</v>
      </c>
      <c r="E3745" s="3" t="str">
        <f>VLOOKUP(NoviaFunds[[#This Row],[ISIN]],'Novia Web Query'!$A:$E,5,FALSE)</f>
        <v>14/01/2021</v>
      </c>
      <c r="F3745" t="str">
        <f>VLOOKUP(NoviaFunds[[#This Row],[Sector]],Sectors[],2,FALSE)</f>
        <v>Other Bonds</v>
      </c>
    </row>
    <row r="3746" spans="1:6" x14ac:dyDescent="0.2">
      <c r="A3746" t="str">
        <f>'Novia Web Query'!A3742</f>
        <v>GB0032312505</v>
      </c>
      <c r="B3746" t="str">
        <f>VLOOKUP(NoviaFunds[[#This Row],[ISIN]],'Novia Web Query'!$A:$E,2,FALSE)</f>
        <v>Schroder Sustainable UK Equity A Acc in GB</v>
      </c>
      <c r="C3746" t="str">
        <f>VLOOKUP(NoviaFunds[[#This Row],[ISIN]],'Novia Web Query'!$A:$E,3,FALSE)</f>
        <v>UT UK All Companies</v>
      </c>
      <c r="D3746" s="139">
        <f>VLOOKUP(NoviaFunds[[#This Row],[ISIN]],'Novia Web Query'!$A:$E,4,FALSE)/100</f>
        <v>1.44E-2</v>
      </c>
      <c r="E3746" s="3" t="str">
        <f>VLOOKUP(NoviaFunds[[#This Row],[ISIN]],'Novia Web Query'!$A:$E,5,FALSE)</f>
        <v>14/01/2021</v>
      </c>
      <c r="F3746" t="str">
        <f>VLOOKUP(NoviaFunds[[#This Row],[Sector]],Sectors[],2,FALSE)</f>
        <v>UK Equities</v>
      </c>
    </row>
    <row r="3747" spans="1:6" x14ac:dyDescent="0.2">
      <c r="A3747" t="str">
        <f>'Novia Web Query'!A3743</f>
        <v>GB0032312497</v>
      </c>
      <c r="B3747" t="str">
        <f>VLOOKUP(NoviaFunds[[#This Row],[ISIN]],'Novia Web Query'!$A:$E,2,FALSE)</f>
        <v>Schroder Sustainable UK Equity A Inc TR in GB</v>
      </c>
      <c r="C3747" t="str">
        <f>VLOOKUP(NoviaFunds[[#This Row],[ISIN]],'Novia Web Query'!$A:$E,3,FALSE)</f>
        <v>UT UK All Companies</v>
      </c>
      <c r="D3747" s="139">
        <f>VLOOKUP(NoviaFunds[[#This Row],[ISIN]],'Novia Web Query'!$A:$E,4,FALSE)/100</f>
        <v>1.44E-2</v>
      </c>
      <c r="E3747" s="3" t="str">
        <f>VLOOKUP(NoviaFunds[[#This Row],[ISIN]],'Novia Web Query'!$A:$E,5,FALSE)</f>
        <v>14/01/2021</v>
      </c>
      <c r="F3747" t="str">
        <f>VLOOKUP(NoviaFunds[[#This Row],[Sector]],Sectors[],2,FALSE)</f>
        <v>UK Equities</v>
      </c>
    </row>
    <row r="3748" spans="1:6" x14ac:dyDescent="0.2">
      <c r="A3748" t="str">
        <f>'Novia Web Query'!A3744</f>
        <v>GB0032312729</v>
      </c>
      <c r="B3748" t="str">
        <f>VLOOKUP(NoviaFunds[[#This Row],[ISIN]],'Novia Web Query'!$A:$E,2,FALSE)</f>
        <v>Schroder Sustainable UK Equity Z Acc in GB</v>
      </c>
      <c r="C3748" t="str">
        <f>VLOOKUP(NoviaFunds[[#This Row],[ISIN]],'Novia Web Query'!$A:$E,3,FALSE)</f>
        <v>UT UK All Companies</v>
      </c>
      <c r="D3748" s="139">
        <f>VLOOKUP(NoviaFunds[[#This Row],[ISIN]],'Novia Web Query'!$A:$E,4,FALSE)/100</f>
        <v>8.199999999999999E-3</v>
      </c>
      <c r="E3748" s="3" t="str">
        <f>VLOOKUP(NoviaFunds[[#This Row],[ISIN]],'Novia Web Query'!$A:$E,5,FALSE)</f>
        <v>14/01/2021</v>
      </c>
      <c r="F3748" t="str">
        <f>VLOOKUP(NoviaFunds[[#This Row],[Sector]],Sectors[],2,FALSE)</f>
        <v>UK Equities</v>
      </c>
    </row>
    <row r="3749" spans="1:6" x14ac:dyDescent="0.2">
      <c r="A3749" t="str">
        <f>'Novia Web Query'!A3745</f>
        <v>GB0032312612</v>
      </c>
      <c r="B3749" t="str">
        <f>VLOOKUP(NoviaFunds[[#This Row],[ISIN]],'Novia Web Query'!$A:$E,2,FALSE)</f>
        <v>Schroder Sustainable UK Equity Z Inc TR in GB</v>
      </c>
      <c r="C3749" t="str">
        <f>VLOOKUP(NoviaFunds[[#This Row],[ISIN]],'Novia Web Query'!$A:$E,3,FALSE)</f>
        <v>UT UK All Companies</v>
      </c>
      <c r="D3749" s="139">
        <f>VLOOKUP(NoviaFunds[[#This Row],[ISIN]],'Novia Web Query'!$A:$E,4,FALSE)/100</f>
        <v>8.199999999999999E-3</v>
      </c>
      <c r="E3749" s="3" t="str">
        <f>VLOOKUP(NoviaFunds[[#This Row],[ISIN]],'Novia Web Query'!$A:$E,5,FALSE)</f>
        <v>14/01/2021</v>
      </c>
      <c r="F3749" t="str">
        <f>VLOOKUP(NoviaFunds[[#This Row],[Sector]],Sectors[],2,FALSE)</f>
        <v>UK Equities</v>
      </c>
    </row>
    <row r="3750" spans="1:6" x14ac:dyDescent="0.2">
      <c r="A3750" t="str">
        <f>'Novia Web Query'!A3746</f>
        <v>GB0007650640</v>
      </c>
      <c r="B3750" t="str">
        <f>VLOOKUP(NoviaFunds[[#This Row],[ISIN]],'Novia Web Query'!$A:$E,2,FALSE)</f>
        <v>Schroder Tokyo A Acc in GB</v>
      </c>
      <c r="C3750" t="str">
        <f>VLOOKUP(NoviaFunds[[#This Row],[ISIN]],'Novia Web Query'!$A:$E,3,FALSE)</f>
        <v>UT Japan</v>
      </c>
      <c r="D3750" s="139">
        <f>VLOOKUP(NoviaFunds[[#This Row],[ISIN]],'Novia Web Query'!$A:$E,4,FALSE)/100</f>
        <v>1.6399999999999998E-2</v>
      </c>
      <c r="E3750" s="3" t="str">
        <f>VLOOKUP(NoviaFunds[[#This Row],[ISIN]],'Novia Web Query'!$A:$E,5,FALSE)</f>
        <v>21/04/2021</v>
      </c>
      <c r="F3750" t="str">
        <f>VLOOKUP(NoviaFunds[[#This Row],[Sector]],Sectors[],2,FALSE)</f>
        <v>Japanese Equities</v>
      </c>
    </row>
    <row r="3751" spans="1:6" x14ac:dyDescent="0.2">
      <c r="A3751" t="str">
        <f>'Novia Web Query'!A3747</f>
        <v>GB0007650533</v>
      </c>
      <c r="B3751" t="str">
        <f>VLOOKUP(NoviaFunds[[#This Row],[ISIN]],'Novia Web Query'!$A:$E,2,FALSE)</f>
        <v>Schroder Tokyo A Inc TR in GB</v>
      </c>
      <c r="C3751" t="str">
        <f>VLOOKUP(NoviaFunds[[#This Row],[ISIN]],'Novia Web Query'!$A:$E,3,FALSE)</f>
        <v>UT Japan</v>
      </c>
      <c r="D3751" s="139">
        <f>VLOOKUP(NoviaFunds[[#This Row],[ISIN]],'Novia Web Query'!$A:$E,4,FALSE)/100</f>
        <v>1.6399999999999998E-2</v>
      </c>
      <c r="E3751" s="3" t="str">
        <f>VLOOKUP(NoviaFunds[[#This Row],[ISIN]],'Novia Web Query'!$A:$E,5,FALSE)</f>
        <v>21/04/2021</v>
      </c>
      <c r="F3751" t="str">
        <f>VLOOKUP(NoviaFunds[[#This Row],[Sector]],Sectors[],2,FALSE)</f>
        <v>Japanese Equities</v>
      </c>
    </row>
    <row r="3752" spans="1:6" x14ac:dyDescent="0.2">
      <c r="A3752" t="str">
        <f>'Novia Web Query'!A3748</f>
        <v>GB00BDD2J846</v>
      </c>
      <c r="B3752" t="str">
        <f>VLOOKUP(NoviaFunds[[#This Row],[ISIN]],'Novia Web Query'!$A:$E,2,FALSE)</f>
        <v>Schroder Tokyo L Inc TR in GB</v>
      </c>
      <c r="C3752" t="str">
        <f>VLOOKUP(NoviaFunds[[#This Row],[ISIN]],'Novia Web Query'!$A:$E,3,FALSE)</f>
        <v>UT Japan</v>
      </c>
      <c r="D3752" s="139">
        <f>VLOOKUP(NoviaFunds[[#This Row],[ISIN]],'Novia Web Query'!$A:$E,4,FALSE)/100</f>
        <v>8.199999999999999E-3</v>
      </c>
      <c r="E3752" s="3" t="str">
        <f>VLOOKUP(NoviaFunds[[#This Row],[ISIN]],'Novia Web Query'!$A:$E,5,FALSE)</f>
        <v>21/04/2021</v>
      </c>
      <c r="F3752" t="str">
        <f>VLOOKUP(NoviaFunds[[#This Row],[Sector]],Sectors[],2,FALSE)</f>
        <v>Japanese Equities</v>
      </c>
    </row>
    <row r="3753" spans="1:6" x14ac:dyDescent="0.2">
      <c r="A3753" t="str">
        <f>'Novia Web Query'!A3749</f>
        <v>GB00B4SZR818</v>
      </c>
      <c r="B3753" t="str">
        <f>VLOOKUP(NoviaFunds[[#This Row],[ISIN]],'Novia Web Query'!$A:$E,2,FALSE)</f>
        <v>Schroder Tokyo Z Acc in GB</v>
      </c>
      <c r="C3753" t="str">
        <f>VLOOKUP(NoviaFunds[[#This Row],[ISIN]],'Novia Web Query'!$A:$E,3,FALSE)</f>
        <v>UT Japan</v>
      </c>
      <c r="D3753" s="139">
        <f>VLOOKUP(NoviaFunds[[#This Row],[ISIN]],'Novia Web Query'!$A:$E,4,FALSE)/100</f>
        <v>8.8999999999999999E-3</v>
      </c>
      <c r="E3753" s="3" t="str">
        <f>VLOOKUP(NoviaFunds[[#This Row],[ISIN]],'Novia Web Query'!$A:$E,5,FALSE)</f>
        <v>14/01/2021</v>
      </c>
      <c r="F3753" t="str">
        <f>VLOOKUP(NoviaFunds[[#This Row],[Sector]],Sectors[],2,FALSE)</f>
        <v>Japanese Equities</v>
      </c>
    </row>
    <row r="3754" spans="1:6" x14ac:dyDescent="0.2">
      <c r="A3754" t="str">
        <f>'Novia Web Query'!A3750</f>
        <v>GB00B8BJDX53</v>
      </c>
      <c r="B3754" t="str">
        <f>VLOOKUP(NoviaFunds[[#This Row],[ISIN]],'Novia Web Query'!$A:$E,2,FALSE)</f>
        <v>Schroder Tokyo Z Hedged Acc GBP in GB**</v>
      </c>
      <c r="C3754" t="str">
        <f>VLOOKUP(NoviaFunds[[#This Row],[ISIN]],'Novia Web Query'!$A:$E,3,FALSE)</f>
        <v>UT Japan</v>
      </c>
      <c r="D3754" s="139">
        <f>VLOOKUP(NoviaFunds[[#This Row],[ISIN]],'Novia Web Query'!$A:$E,4,FALSE)/100</f>
        <v>9.4999999999999998E-3</v>
      </c>
      <c r="E3754" s="3" t="str">
        <f>VLOOKUP(NoviaFunds[[#This Row],[ISIN]],'Novia Web Query'!$A:$E,5,FALSE)</f>
        <v>08/10/2021</v>
      </c>
      <c r="F3754" t="str">
        <f>VLOOKUP(NoviaFunds[[#This Row],[Sector]],Sectors[],2,FALSE)</f>
        <v>Japanese Equities</v>
      </c>
    </row>
    <row r="3755" spans="1:6" x14ac:dyDescent="0.2">
      <c r="A3755" t="str">
        <f>'Novia Web Query'!A3751</f>
        <v>GB00B8V8R746</v>
      </c>
      <c r="B3755" t="str">
        <f>VLOOKUP(NoviaFunds[[#This Row],[ISIN]],'Novia Web Query'!$A:$E,2,FALSE)</f>
        <v>Schroder Tokyo Z Hedged Inc GBP TR in GB**</v>
      </c>
      <c r="C3755" t="str">
        <f>VLOOKUP(NoviaFunds[[#This Row],[ISIN]],'Novia Web Query'!$A:$E,3,FALSE)</f>
        <v>UT Japan</v>
      </c>
      <c r="D3755" s="139">
        <f>VLOOKUP(NoviaFunds[[#This Row],[ISIN]],'Novia Web Query'!$A:$E,4,FALSE)/100</f>
        <v>9.4999999999999998E-3</v>
      </c>
      <c r="E3755" s="3" t="str">
        <f>VLOOKUP(NoviaFunds[[#This Row],[ISIN]],'Novia Web Query'!$A:$E,5,FALSE)</f>
        <v>08/10/2021</v>
      </c>
      <c r="F3755" t="str">
        <f>VLOOKUP(NoviaFunds[[#This Row],[Sector]],Sectors[],2,FALSE)</f>
        <v>Japanese Equities</v>
      </c>
    </row>
    <row r="3756" spans="1:6" x14ac:dyDescent="0.2">
      <c r="A3756" t="str">
        <f>'Novia Web Query'!A3752</f>
        <v>GB00B58VQH84</v>
      </c>
      <c r="B3756" t="str">
        <f>VLOOKUP(NoviaFunds[[#This Row],[ISIN]],'Novia Web Query'!$A:$E,2,FALSE)</f>
        <v>Schroder Tokyo Z Inc TR in GB</v>
      </c>
      <c r="C3756" t="str">
        <f>VLOOKUP(NoviaFunds[[#This Row],[ISIN]],'Novia Web Query'!$A:$E,3,FALSE)</f>
        <v>UT Japan</v>
      </c>
      <c r="D3756" s="139">
        <f>VLOOKUP(NoviaFunds[[#This Row],[ISIN]],'Novia Web Query'!$A:$E,4,FALSE)/100</f>
        <v>8.8999999999999999E-3</v>
      </c>
      <c r="E3756" s="3" t="str">
        <f>VLOOKUP(NoviaFunds[[#This Row],[ISIN]],'Novia Web Query'!$A:$E,5,FALSE)</f>
        <v>14/01/2021</v>
      </c>
      <c r="F3756" t="str">
        <f>VLOOKUP(NoviaFunds[[#This Row],[Sector]],Sectors[],2,FALSE)</f>
        <v>Japanese Equities</v>
      </c>
    </row>
    <row r="3757" spans="1:6" x14ac:dyDescent="0.2">
      <c r="A3757" t="str">
        <f>'Novia Web Query'!A3753</f>
        <v>GB00B073JG03</v>
      </c>
      <c r="B3757" t="str">
        <f>VLOOKUP(NoviaFunds[[#This Row],[ISIN]],'Novia Web Query'!$A:$E,2,FALSE)</f>
        <v>Schroder UK Alpha Income A Inc TR in GB</v>
      </c>
      <c r="C3757" t="str">
        <f>VLOOKUP(NoviaFunds[[#This Row],[ISIN]],'Novia Web Query'!$A:$E,3,FALSE)</f>
        <v>UT UK Equity Income</v>
      </c>
      <c r="D3757" s="139">
        <f>VLOOKUP(NoviaFunds[[#This Row],[ISIN]],'Novia Web Query'!$A:$E,4,FALSE)/100</f>
        <v>1.44E-2</v>
      </c>
      <c r="E3757" s="3" t="str">
        <f>VLOOKUP(NoviaFunds[[#This Row],[ISIN]],'Novia Web Query'!$A:$E,5,FALSE)</f>
        <v>24/11/2021</v>
      </c>
      <c r="F3757" t="str">
        <f>VLOOKUP(NoviaFunds[[#This Row],[Sector]],Sectors[],2,FALSE)</f>
        <v>UK Equities</v>
      </c>
    </row>
    <row r="3758" spans="1:6" x14ac:dyDescent="0.2">
      <c r="A3758" t="str">
        <f>'Novia Web Query'!A3754</f>
        <v>GB00B073HX38</v>
      </c>
      <c r="B3758" t="str">
        <f>VLOOKUP(NoviaFunds[[#This Row],[ISIN]],'Novia Web Query'!$A:$E,2,FALSE)</f>
        <v>Schroder UK Alpha Income C TR in GB</v>
      </c>
      <c r="C3758" t="str">
        <f>VLOOKUP(NoviaFunds[[#This Row],[ISIN]],'Novia Web Query'!$A:$E,3,FALSE)</f>
        <v>UT UK Equity Income</v>
      </c>
      <c r="D3758" s="139">
        <f>VLOOKUP(NoviaFunds[[#This Row],[ISIN]],'Novia Web Query'!$A:$E,4,FALSE)/100</f>
        <v>7.4999999999999997E-3</v>
      </c>
      <c r="E3758" s="3" t="str">
        <f>VLOOKUP(NoviaFunds[[#This Row],[ISIN]],'Novia Web Query'!$A:$E,5,FALSE)</f>
        <v>24/11/2021</v>
      </c>
      <c r="F3758" t="str">
        <f>VLOOKUP(NoviaFunds[[#This Row],[Sector]],Sectors[],2,FALSE)</f>
        <v>UK Equities</v>
      </c>
    </row>
    <row r="3759" spans="1:6" x14ac:dyDescent="0.2">
      <c r="A3759" t="str">
        <f>'Novia Web Query'!A3755</f>
        <v>GB00B7F32Y08</v>
      </c>
      <c r="B3759" t="str">
        <f>VLOOKUP(NoviaFunds[[#This Row],[ISIN]],'Novia Web Query'!$A:$E,2,FALSE)</f>
        <v>Schroder UK Alpha Income Z Acc TR in GB**</v>
      </c>
      <c r="C3759" t="str">
        <f>VLOOKUP(NoviaFunds[[#This Row],[ISIN]],'Novia Web Query'!$A:$E,3,FALSE)</f>
        <v>UT UK Equity Income</v>
      </c>
      <c r="D3759" s="139">
        <f>VLOOKUP(NoviaFunds[[#This Row],[ISIN]],'Novia Web Query'!$A:$E,4,FALSE)/100</f>
        <v>7.4999999999999997E-3</v>
      </c>
      <c r="E3759" s="3" t="str">
        <f>VLOOKUP(NoviaFunds[[#This Row],[ISIN]],'Novia Web Query'!$A:$E,5,FALSE)</f>
        <v>24/11/2021</v>
      </c>
      <c r="F3759" t="str">
        <f>VLOOKUP(NoviaFunds[[#This Row],[Sector]],Sectors[],2,FALSE)</f>
        <v>UK Equities</v>
      </c>
    </row>
    <row r="3760" spans="1:6" x14ac:dyDescent="0.2">
      <c r="A3760" t="str">
        <f>'Novia Web Query'!A3756</f>
        <v>GB00B073JS25</v>
      </c>
      <c r="B3760" t="str">
        <f>VLOOKUP(NoviaFunds[[#This Row],[ISIN]],'Novia Web Query'!$A:$E,2,FALSE)</f>
        <v>Schroder UK Alpha Income Z Inc TR in GB</v>
      </c>
      <c r="C3760" t="str">
        <f>VLOOKUP(NoviaFunds[[#This Row],[ISIN]],'Novia Web Query'!$A:$E,3,FALSE)</f>
        <v>UT UK Equity Income</v>
      </c>
      <c r="D3760" s="139">
        <f>VLOOKUP(NoviaFunds[[#This Row],[ISIN]],'Novia Web Query'!$A:$E,4,FALSE)/100</f>
        <v>7.4999999999999997E-3</v>
      </c>
      <c r="E3760" s="3" t="str">
        <f>VLOOKUP(NoviaFunds[[#This Row],[ISIN]],'Novia Web Query'!$A:$E,5,FALSE)</f>
        <v>24/11/2021</v>
      </c>
      <c r="F3760" t="str">
        <f>VLOOKUP(NoviaFunds[[#This Row],[Sector]],Sectors[],2,FALSE)</f>
        <v>UK Equities</v>
      </c>
    </row>
    <row r="3761" spans="1:6" x14ac:dyDescent="0.2">
      <c r="A3761" t="str">
        <f>'Novia Web Query'!A3757</f>
        <v>GB0031440133</v>
      </c>
      <c r="B3761" t="str">
        <f>VLOOKUP(NoviaFunds[[#This Row],[ISIN]],'Novia Web Query'!$A:$E,2,FALSE)</f>
        <v>Schroder UK Alpha Plus A Acc in GB</v>
      </c>
      <c r="C3761" t="str">
        <f>VLOOKUP(NoviaFunds[[#This Row],[ISIN]],'Novia Web Query'!$A:$E,3,FALSE)</f>
        <v>UT UK All Companies</v>
      </c>
      <c r="D3761" s="139">
        <f>VLOOKUP(NoviaFunds[[#This Row],[ISIN]],'Novia Web Query'!$A:$E,4,FALSE)/100</f>
        <v>1.55E-2</v>
      </c>
      <c r="E3761" s="3" t="str">
        <f>VLOOKUP(NoviaFunds[[#This Row],[ISIN]],'Novia Web Query'!$A:$E,5,FALSE)</f>
        <v>24/11/2021</v>
      </c>
      <c r="F3761" t="str">
        <f>VLOOKUP(NoviaFunds[[#This Row],[Sector]],Sectors[],2,FALSE)</f>
        <v>UK Equities</v>
      </c>
    </row>
    <row r="3762" spans="1:6" x14ac:dyDescent="0.2">
      <c r="A3762" t="str">
        <f>'Novia Web Query'!A3758</f>
        <v>GB0031440026</v>
      </c>
      <c r="B3762" t="str">
        <f>VLOOKUP(NoviaFunds[[#This Row],[ISIN]],'Novia Web Query'!$A:$E,2,FALSE)</f>
        <v>Schroder UK Alpha Plus A Inc TR in GB</v>
      </c>
      <c r="C3762" t="str">
        <f>VLOOKUP(NoviaFunds[[#This Row],[ISIN]],'Novia Web Query'!$A:$E,3,FALSE)</f>
        <v>UT UK All Companies</v>
      </c>
      <c r="D3762" s="139">
        <f>VLOOKUP(NoviaFunds[[#This Row],[ISIN]],'Novia Web Query'!$A:$E,4,FALSE)/100</f>
        <v>1.55E-2</v>
      </c>
      <c r="E3762" s="3" t="str">
        <f>VLOOKUP(NoviaFunds[[#This Row],[ISIN]],'Novia Web Query'!$A:$E,5,FALSE)</f>
        <v>24/11/2021</v>
      </c>
      <c r="F3762" t="str">
        <f>VLOOKUP(NoviaFunds[[#This Row],[Sector]],Sectors[],2,FALSE)</f>
        <v>UK Equities</v>
      </c>
    </row>
    <row r="3763" spans="1:6" x14ac:dyDescent="0.2">
      <c r="A3763" t="str">
        <f>'Novia Web Query'!A3759</f>
        <v>GB00B5L33N61</v>
      </c>
      <c r="B3763" t="str">
        <f>VLOOKUP(NoviaFunds[[#This Row],[ISIN]],'Novia Web Query'!$A:$E,2,FALSE)</f>
        <v>Schroder UK Alpha Plus Z Acc in GB</v>
      </c>
      <c r="C3763" t="str">
        <f>VLOOKUP(NoviaFunds[[#This Row],[ISIN]],'Novia Web Query'!$A:$E,3,FALSE)</f>
        <v>UT UK All Companies</v>
      </c>
      <c r="D3763" s="139">
        <f>VLOOKUP(NoviaFunds[[#This Row],[ISIN]],'Novia Web Query'!$A:$E,4,FALSE)/100</f>
        <v>8.0000000000000002E-3</v>
      </c>
      <c r="E3763" s="3" t="str">
        <f>VLOOKUP(NoviaFunds[[#This Row],[ISIN]],'Novia Web Query'!$A:$E,5,FALSE)</f>
        <v>24/11/2021</v>
      </c>
      <c r="F3763" t="str">
        <f>VLOOKUP(NoviaFunds[[#This Row],[Sector]],Sectors[],2,FALSE)</f>
        <v>UK Equities</v>
      </c>
    </row>
    <row r="3764" spans="1:6" x14ac:dyDescent="0.2">
      <c r="A3764" t="str">
        <f>'Novia Web Query'!A3760</f>
        <v>GB00B60R7N45</v>
      </c>
      <c r="B3764" t="str">
        <f>VLOOKUP(NoviaFunds[[#This Row],[ISIN]],'Novia Web Query'!$A:$E,2,FALSE)</f>
        <v>Schroder UK Alpha Plus Z Inc TR in GB</v>
      </c>
      <c r="C3764" t="str">
        <f>VLOOKUP(NoviaFunds[[#This Row],[ISIN]],'Novia Web Query'!$A:$E,3,FALSE)</f>
        <v>UT UK All Companies</v>
      </c>
      <c r="D3764" s="139">
        <f>VLOOKUP(NoviaFunds[[#This Row],[ISIN]],'Novia Web Query'!$A:$E,4,FALSE)/100</f>
        <v>8.0000000000000002E-3</v>
      </c>
      <c r="E3764" s="3" t="str">
        <f>VLOOKUP(NoviaFunds[[#This Row],[ISIN]],'Novia Web Query'!$A:$E,5,FALSE)</f>
        <v>24/11/2021</v>
      </c>
      <c r="F3764" t="str">
        <f>VLOOKUP(NoviaFunds[[#This Row],[Sector]],Sectors[],2,FALSE)</f>
        <v>UK Equities</v>
      </c>
    </row>
    <row r="3765" spans="1:6" x14ac:dyDescent="0.2">
      <c r="A3765" t="str">
        <f>'Novia Web Query'!A3761</f>
        <v>GB00B3N53472</v>
      </c>
      <c r="B3765" t="str">
        <f>VLOOKUP(NoviaFunds[[#This Row],[ISIN]],'Novia Web Query'!$A:$E,2,FALSE)</f>
        <v>Schroder UK Dynamic Absolute Return P2 Acc GBP in GB</v>
      </c>
      <c r="C3765" t="str">
        <f>VLOOKUP(NoviaFunds[[#This Row],[ISIN]],'Novia Web Query'!$A:$E,3,FALSE)</f>
        <v>UT Targeted Absolute Return</v>
      </c>
      <c r="D3765" s="139">
        <f>VLOOKUP(NoviaFunds[[#This Row],[ISIN]],'Novia Web Query'!$A:$E,4,FALSE)/100</f>
        <v>9.1000000000000004E-3</v>
      </c>
      <c r="E3765" s="3" t="str">
        <f>VLOOKUP(NoviaFunds[[#This Row],[ISIN]],'Novia Web Query'!$A:$E,5,FALSE)</f>
        <v>21/04/2021</v>
      </c>
      <c r="F3765" t="str">
        <f>VLOOKUP(NoviaFunds[[#This Row],[Sector]],Sectors[],2,FALSE)</f>
        <v>Absolute Return</v>
      </c>
    </row>
    <row r="3766" spans="1:6" x14ac:dyDescent="0.2">
      <c r="A3766" t="str">
        <f>'Novia Web Query'!A3762</f>
        <v>GB0031092942</v>
      </c>
      <c r="B3766" t="str">
        <f>VLOOKUP(NoviaFunds[[#This Row],[ISIN]],'Novia Web Query'!$A:$E,2,FALSE)</f>
        <v>Schroder UK Dynamic Smaller Companies A in GB</v>
      </c>
      <c r="C3766" t="str">
        <f>VLOOKUP(NoviaFunds[[#This Row],[ISIN]],'Novia Web Query'!$A:$E,3,FALSE)</f>
        <v>UT UK Smaller Companies</v>
      </c>
      <c r="D3766" s="139">
        <f>VLOOKUP(NoviaFunds[[#This Row],[ISIN]],'Novia Web Query'!$A:$E,4,FALSE)/100</f>
        <v>1.67E-2</v>
      </c>
      <c r="E3766" s="3" t="str">
        <f>VLOOKUP(NoviaFunds[[#This Row],[ISIN]],'Novia Web Query'!$A:$E,5,FALSE)</f>
        <v>21/04/2021</v>
      </c>
      <c r="F3766" t="str">
        <f>VLOOKUP(NoviaFunds[[#This Row],[Sector]],Sectors[],2,FALSE)</f>
        <v>UK Equities</v>
      </c>
    </row>
    <row r="3767" spans="1:6" x14ac:dyDescent="0.2">
      <c r="A3767" t="str">
        <f>'Novia Web Query'!A3763</f>
        <v>GB0007219362</v>
      </c>
      <c r="B3767" t="str">
        <f>VLOOKUP(NoviaFunds[[#This Row],[ISIN]],'Novia Web Query'!$A:$E,2,FALSE)</f>
        <v>Schroder UK Dynamic Smaller Companies C Acc in GB</v>
      </c>
      <c r="C3767" t="str">
        <f>VLOOKUP(NoviaFunds[[#This Row],[ISIN]],'Novia Web Query'!$A:$E,3,FALSE)</f>
        <v>UT UK Smaller Companies</v>
      </c>
      <c r="D3767" s="139">
        <f>VLOOKUP(NoviaFunds[[#This Row],[ISIN]],'Novia Web Query'!$A:$E,4,FALSE)/100</f>
        <v>9.1999999999999998E-3</v>
      </c>
      <c r="E3767" s="3" t="str">
        <f>VLOOKUP(NoviaFunds[[#This Row],[ISIN]],'Novia Web Query'!$A:$E,5,FALSE)</f>
        <v>21/04/2021</v>
      </c>
      <c r="F3767" t="str">
        <f>VLOOKUP(NoviaFunds[[#This Row],[Sector]],Sectors[],2,FALSE)</f>
        <v>UK Equities</v>
      </c>
    </row>
    <row r="3768" spans="1:6" x14ac:dyDescent="0.2">
      <c r="A3768" t="str">
        <f>'Novia Web Query'!A3764</f>
        <v>GB0007219818</v>
      </c>
      <c r="B3768" t="str">
        <f>VLOOKUP(NoviaFunds[[#This Row],[ISIN]],'Novia Web Query'!$A:$E,2,FALSE)</f>
        <v>Schroder UK Dynamic Smaller Companies C Inc TR in GB</v>
      </c>
      <c r="C3768" t="str">
        <f>VLOOKUP(NoviaFunds[[#This Row],[ISIN]],'Novia Web Query'!$A:$E,3,FALSE)</f>
        <v>UT UK Smaller Companies</v>
      </c>
      <c r="D3768" s="139">
        <f>VLOOKUP(NoviaFunds[[#This Row],[ISIN]],'Novia Web Query'!$A:$E,4,FALSE)/100</f>
        <v>9.1999999999999998E-3</v>
      </c>
      <c r="E3768" s="3" t="str">
        <f>VLOOKUP(NoviaFunds[[#This Row],[ISIN]],'Novia Web Query'!$A:$E,5,FALSE)</f>
        <v>21/04/2021</v>
      </c>
      <c r="F3768" t="str">
        <f>VLOOKUP(NoviaFunds[[#This Row],[Sector]],Sectors[],2,FALSE)</f>
        <v>UK Equities</v>
      </c>
    </row>
    <row r="3769" spans="1:6" x14ac:dyDescent="0.2">
      <c r="A3769" t="str">
        <f>'Novia Web Query'!A3765</f>
        <v>GB0007220360</v>
      </c>
      <c r="B3769" t="str">
        <f>VLOOKUP(NoviaFunds[[#This Row],[ISIN]],'Novia Web Query'!$A:$E,2,FALSE)</f>
        <v>Schroder UK Dynamic Smaller Companies Z Acc in GB</v>
      </c>
      <c r="C3769" t="str">
        <f>VLOOKUP(NoviaFunds[[#This Row],[ISIN]],'Novia Web Query'!$A:$E,3,FALSE)</f>
        <v>UT UK Smaller Companies</v>
      </c>
      <c r="D3769" s="139">
        <f>VLOOKUP(NoviaFunds[[#This Row],[ISIN]],'Novia Web Query'!$A:$E,4,FALSE)/100</f>
        <v>9.1999999999999998E-3</v>
      </c>
      <c r="E3769" s="3" t="str">
        <f>VLOOKUP(NoviaFunds[[#This Row],[ISIN]],'Novia Web Query'!$A:$E,5,FALSE)</f>
        <v>21/04/2021</v>
      </c>
      <c r="F3769" t="str">
        <f>VLOOKUP(NoviaFunds[[#This Row],[Sector]],Sectors[],2,FALSE)</f>
        <v>UK Equities</v>
      </c>
    </row>
    <row r="3770" spans="1:6" x14ac:dyDescent="0.2">
      <c r="A3770" t="str">
        <f>'Novia Web Query'!A3766</f>
        <v>GB00B5VQ0123</v>
      </c>
      <c r="B3770" t="str">
        <f>VLOOKUP(NoviaFunds[[#This Row],[ISIN]],'Novia Web Query'!$A:$E,2,FALSE)</f>
        <v>Schroder UK Dynamic Smaller Companies Z Inc TR in GB</v>
      </c>
      <c r="C3770" t="str">
        <f>VLOOKUP(NoviaFunds[[#This Row],[ISIN]],'Novia Web Query'!$A:$E,3,FALSE)</f>
        <v>UT UK Smaller Companies</v>
      </c>
      <c r="D3770" s="139">
        <f>VLOOKUP(NoviaFunds[[#This Row],[ISIN]],'Novia Web Query'!$A:$E,4,FALSE)/100</f>
        <v>9.1999999999999998E-3</v>
      </c>
      <c r="E3770" s="3" t="str">
        <f>VLOOKUP(NoviaFunds[[#This Row],[ISIN]],'Novia Web Query'!$A:$E,5,FALSE)</f>
        <v>21/04/2021</v>
      </c>
      <c r="F3770" t="str">
        <f>VLOOKUP(NoviaFunds[[#This Row],[Sector]],Sectors[],2,FALSE)</f>
        <v>UK Equities</v>
      </c>
    </row>
    <row r="3771" spans="1:6" x14ac:dyDescent="0.2">
      <c r="A3771" t="str">
        <f>'Novia Web Query'!A3767</f>
        <v>GB0007648784</v>
      </c>
      <c r="B3771" t="str">
        <f>VLOOKUP(NoviaFunds[[#This Row],[ISIN]],'Novia Web Query'!$A:$E,2,FALSE)</f>
        <v>Schroder UK Equity A Acc in GB</v>
      </c>
      <c r="C3771" t="str">
        <f>VLOOKUP(NoviaFunds[[#This Row],[ISIN]],'Novia Web Query'!$A:$E,3,FALSE)</f>
        <v>UT UK All Companies</v>
      </c>
      <c r="D3771" s="139">
        <f>VLOOKUP(NoviaFunds[[#This Row],[ISIN]],'Novia Web Query'!$A:$E,4,FALSE)/100</f>
        <v>1.55E-2</v>
      </c>
      <c r="E3771" s="3" t="str">
        <f>VLOOKUP(NoviaFunds[[#This Row],[ISIN]],'Novia Web Query'!$A:$E,5,FALSE)</f>
        <v>24/11/2021</v>
      </c>
      <c r="F3771" t="str">
        <f>VLOOKUP(NoviaFunds[[#This Row],[Sector]],Sectors[],2,FALSE)</f>
        <v>UK Equities</v>
      </c>
    </row>
    <row r="3772" spans="1:6" x14ac:dyDescent="0.2">
      <c r="A3772" t="str">
        <f>'Novia Web Query'!A3768</f>
        <v>GB0007648677</v>
      </c>
      <c r="B3772" t="str">
        <f>VLOOKUP(NoviaFunds[[#This Row],[ISIN]],'Novia Web Query'!$A:$E,2,FALSE)</f>
        <v>Schroder UK Equity A Inc TR in GB</v>
      </c>
      <c r="C3772" t="str">
        <f>VLOOKUP(NoviaFunds[[#This Row],[ISIN]],'Novia Web Query'!$A:$E,3,FALSE)</f>
        <v>UT UK All Companies</v>
      </c>
      <c r="D3772" s="139">
        <f>VLOOKUP(NoviaFunds[[#This Row],[ISIN]],'Novia Web Query'!$A:$E,4,FALSE)/100</f>
        <v>1.55E-2</v>
      </c>
      <c r="E3772" s="3" t="str">
        <f>VLOOKUP(NoviaFunds[[#This Row],[ISIN]],'Novia Web Query'!$A:$E,5,FALSE)</f>
        <v>24/11/2021</v>
      </c>
      <c r="F3772" t="str">
        <f>VLOOKUP(NoviaFunds[[#This Row],[Sector]],Sectors[],2,FALSE)</f>
        <v>UK Equities</v>
      </c>
    </row>
    <row r="3773" spans="1:6" x14ac:dyDescent="0.2">
      <c r="A3773" t="str">
        <f>'Novia Web Query'!A3769</f>
        <v>GB00B3VQSZ80</v>
      </c>
      <c r="B3773" t="str">
        <f>VLOOKUP(NoviaFunds[[#This Row],[ISIN]],'Novia Web Query'!$A:$E,2,FALSE)</f>
        <v>Schroder UK Equity Z Acc in GB</v>
      </c>
      <c r="C3773" t="str">
        <f>VLOOKUP(NoviaFunds[[#This Row],[ISIN]],'Novia Web Query'!$A:$E,3,FALSE)</f>
        <v>UT UK All Companies</v>
      </c>
      <c r="D3773" s="139">
        <f>VLOOKUP(NoviaFunds[[#This Row],[ISIN]],'Novia Web Query'!$A:$E,4,FALSE)/100</f>
        <v>8.0000000000000002E-3</v>
      </c>
      <c r="E3773" s="3" t="str">
        <f>VLOOKUP(NoviaFunds[[#This Row],[ISIN]],'Novia Web Query'!$A:$E,5,FALSE)</f>
        <v>24/11/2021</v>
      </c>
      <c r="F3773" t="str">
        <f>VLOOKUP(NoviaFunds[[#This Row],[Sector]],Sectors[],2,FALSE)</f>
        <v>UK Equities</v>
      </c>
    </row>
    <row r="3774" spans="1:6" x14ac:dyDescent="0.2">
      <c r="A3774" t="str">
        <f>'Novia Web Query'!A3770</f>
        <v>GB00B44B2999</v>
      </c>
      <c r="B3774" t="str">
        <f>VLOOKUP(NoviaFunds[[#This Row],[ISIN]],'Novia Web Query'!$A:$E,2,FALSE)</f>
        <v>Schroder UK Equity Z Inc TR in GB</v>
      </c>
      <c r="C3774" t="str">
        <f>VLOOKUP(NoviaFunds[[#This Row],[ISIN]],'Novia Web Query'!$A:$E,3,FALSE)</f>
        <v>UT UK All Companies</v>
      </c>
      <c r="D3774" s="139">
        <f>VLOOKUP(NoviaFunds[[#This Row],[ISIN]],'Novia Web Query'!$A:$E,4,FALSE)/100</f>
        <v>8.0000000000000002E-3</v>
      </c>
      <c r="E3774" s="3" t="str">
        <f>VLOOKUP(NoviaFunds[[#This Row],[ISIN]],'Novia Web Query'!$A:$E,5,FALSE)</f>
        <v>24/11/2021</v>
      </c>
      <c r="F3774" t="str">
        <f>VLOOKUP(NoviaFunds[[#This Row],[Sector]],Sectors[],2,FALSE)</f>
        <v>UK Equities</v>
      </c>
    </row>
    <row r="3775" spans="1:6" x14ac:dyDescent="0.2">
      <c r="A3775" t="str">
        <f>'Novia Web Query'!A3771</f>
        <v>GB0008528696</v>
      </c>
      <c r="B3775" t="str">
        <f>VLOOKUP(NoviaFunds[[#This Row],[ISIN]],'Novia Web Query'!$A:$E,2,FALSE)</f>
        <v>Schroder UK Mid 250 A Acc in GB</v>
      </c>
      <c r="C3775" t="str">
        <f>VLOOKUP(NoviaFunds[[#This Row],[ISIN]],'Novia Web Query'!$A:$E,3,FALSE)</f>
        <v>UT UK All Companies</v>
      </c>
      <c r="D3775" s="139">
        <f>VLOOKUP(NoviaFunds[[#This Row],[ISIN]],'Novia Web Query'!$A:$E,4,FALSE)/100</f>
        <v>1.66E-2</v>
      </c>
      <c r="E3775" s="3" t="str">
        <f>VLOOKUP(NoviaFunds[[#This Row],[ISIN]],'Novia Web Query'!$A:$E,5,FALSE)</f>
        <v>21/04/2021</v>
      </c>
      <c r="F3775" t="str">
        <f>VLOOKUP(NoviaFunds[[#This Row],[Sector]],Sectors[],2,FALSE)</f>
        <v>UK Equities</v>
      </c>
    </row>
    <row r="3776" spans="1:6" x14ac:dyDescent="0.2">
      <c r="A3776" t="str">
        <f>'Novia Web Query'!A3772</f>
        <v>GB0008528589</v>
      </c>
      <c r="B3776" t="str">
        <f>VLOOKUP(NoviaFunds[[#This Row],[ISIN]],'Novia Web Query'!$A:$E,2,FALSE)</f>
        <v>Schroder UK Mid 250 A Inc TR in GB</v>
      </c>
      <c r="C3776" t="str">
        <f>VLOOKUP(NoviaFunds[[#This Row],[ISIN]],'Novia Web Query'!$A:$E,3,FALSE)</f>
        <v>UT UK All Companies</v>
      </c>
      <c r="D3776" s="139">
        <f>VLOOKUP(NoviaFunds[[#This Row],[ISIN]],'Novia Web Query'!$A:$E,4,FALSE)/100</f>
        <v>1.66E-2</v>
      </c>
      <c r="E3776" s="3" t="str">
        <f>VLOOKUP(NoviaFunds[[#This Row],[ISIN]],'Novia Web Query'!$A:$E,5,FALSE)</f>
        <v>21/04/2021</v>
      </c>
      <c r="F3776" t="str">
        <f>VLOOKUP(NoviaFunds[[#This Row],[Sector]],Sectors[],2,FALSE)</f>
        <v>UK Equities</v>
      </c>
    </row>
    <row r="3777" spans="1:6" x14ac:dyDescent="0.2">
      <c r="A3777" t="str">
        <f>'Novia Web Query'!A3773</f>
        <v>GB00B76V7S22</v>
      </c>
      <c r="B3777" t="str">
        <f>VLOOKUP(NoviaFunds[[#This Row],[ISIN]],'Novia Web Query'!$A:$E,2,FALSE)</f>
        <v>Schroder UK Mid 250 Z Acc in GB</v>
      </c>
      <c r="C3777" t="str">
        <f>VLOOKUP(NoviaFunds[[#This Row],[ISIN]],'Novia Web Query'!$A:$E,3,FALSE)</f>
        <v>UT UK All Companies</v>
      </c>
      <c r="D3777" s="139">
        <f>VLOOKUP(NoviaFunds[[#This Row],[ISIN]],'Novia Web Query'!$A:$E,4,FALSE)/100</f>
        <v>9.1000000000000004E-3</v>
      </c>
      <c r="E3777" s="3" t="str">
        <f>VLOOKUP(NoviaFunds[[#This Row],[ISIN]],'Novia Web Query'!$A:$E,5,FALSE)</f>
        <v>21/04/2021</v>
      </c>
      <c r="F3777" t="str">
        <f>VLOOKUP(NoviaFunds[[#This Row],[Sector]],Sectors[],2,FALSE)</f>
        <v>UK Equities</v>
      </c>
    </row>
    <row r="3778" spans="1:6" x14ac:dyDescent="0.2">
      <c r="A3778" t="str">
        <f>'Novia Web Query'!A3774</f>
        <v>GB00B76V7X74</v>
      </c>
      <c r="B3778" t="str">
        <f>VLOOKUP(NoviaFunds[[#This Row],[ISIN]],'Novia Web Query'!$A:$E,2,FALSE)</f>
        <v>Schroder UK Mid 250 Z Inc TR in GB</v>
      </c>
      <c r="C3778" t="str">
        <f>VLOOKUP(NoviaFunds[[#This Row],[ISIN]],'Novia Web Query'!$A:$E,3,FALSE)</f>
        <v>UT UK All Companies</v>
      </c>
      <c r="D3778" s="139">
        <f>VLOOKUP(NoviaFunds[[#This Row],[ISIN]],'Novia Web Query'!$A:$E,4,FALSE)/100</f>
        <v>9.1000000000000004E-3</v>
      </c>
      <c r="E3778" s="3" t="str">
        <f>VLOOKUP(NoviaFunds[[#This Row],[ISIN]],'Novia Web Query'!$A:$E,5,FALSE)</f>
        <v>21/04/2021</v>
      </c>
      <c r="F3778" t="str">
        <f>VLOOKUP(NoviaFunds[[#This Row],[Sector]],Sectors[],2,FALSE)</f>
        <v>UK Equities</v>
      </c>
    </row>
    <row r="3779" spans="1:6" x14ac:dyDescent="0.2">
      <c r="A3779" t="str">
        <f>'Novia Web Query'!A3775</f>
        <v>GB0031548745</v>
      </c>
      <c r="B3779" t="str">
        <f>VLOOKUP(NoviaFunds[[#This Row],[ISIN]],'Novia Web Query'!$A:$E,2,FALSE)</f>
        <v>Schroder UK Multi-Cap Income A Acc in GB</v>
      </c>
      <c r="C3779" t="str">
        <f>VLOOKUP(NoviaFunds[[#This Row],[ISIN]],'Novia Web Query'!$A:$E,3,FALSE)</f>
        <v>UT UK All Companies</v>
      </c>
      <c r="D3779" s="139">
        <f>VLOOKUP(NoviaFunds[[#This Row],[ISIN]],'Novia Web Query'!$A:$E,4,FALSE)/100</f>
        <v>1.44E-2</v>
      </c>
      <c r="E3779" s="3" t="str">
        <f>VLOOKUP(NoviaFunds[[#This Row],[ISIN]],'Novia Web Query'!$A:$E,5,FALSE)</f>
        <v>16/12/2021</v>
      </c>
      <c r="F3779" t="str">
        <f>VLOOKUP(NoviaFunds[[#This Row],[Sector]],Sectors[],2,FALSE)</f>
        <v>UK Equities</v>
      </c>
    </row>
    <row r="3780" spans="1:6" x14ac:dyDescent="0.2">
      <c r="A3780" t="str">
        <f>'Novia Web Query'!A3776</f>
        <v>GB00B5ZZ8006</v>
      </c>
      <c r="B3780" t="str">
        <f>VLOOKUP(NoviaFunds[[#This Row],[ISIN]],'Novia Web Query'!$A:$E,2,FALSE)</f>
        <v>Schroder UK Multi-Cap Income Z Acc in GB</v>
      </c>
      <c r="C3780" t="str">
        <f>VLOOKUP(NoviaFunds[[#This Row],[ISIN]],'Novia Web Query'!$A:$E,3,FALSE)</f>
        <v>UT UK All Companies</v>
      </c>
      <c r="D3780" s="139">
        <f>VLOOKUP(NoviaFunds[[#This Row],[ISIN]],'Novia Web Query'!$A:$E,4,FALSE)/100</f>
        <v>7.4999999999999997E-3</v>
      </c>
      <c r="E3780" s="3" t="str">
        <f>VLOOKUP(NoviaFunds[[#This Row],[ISIN]],'Novia Web Query'!$A:$E,5,FALSE)</f>
        <v>16/12/2021</v>
      </c>
      <c r="F3780" t="str">
        <f>VLOOKUP(NoviaFunds[[#This Row],[Sector]],Sectors[],2,FALSE)</f>
        <v>UK Equities</v>
      </c>
    </row>
    <row r="3781" spans="1:6" x14ac:dyDescent="0.2">
      <c r="A3781" t="str">
        <f>'Novia Web Query'!A3777</f>
        <v>GB00B6Y7N654</v>
      </c>
      <c r="B3781" t="str">
        <f>VLOOKUP(NoviaFunds[[#This Row],[ISIN]],'Novia Web Query'!$A:$E,2,FALSE)</f>
        <v>Schroder UK Multi-Cap Income Z Inc TR in GB</v>
      </c>
      <c r="C3781" t="str">
        <f>VLOOKUP(NoviaFunds[[#This Row],[ISIN]],'Novia Web Query'!$A:$E,3,FALSE)</f>
        <v>UT UK All Companies</v>
      </c>
      <c r="D3781" s="139">
        <f>VLOOKUP(NoviaFunds[[#This Row],[ISIN]],'Novia Web Query'!$A:$E,4,FALSE)/100</f>
        <v>7.4999999999999997E-3</v>
      </c>
      <c r="E3781" s="3" t="str">
        <f>VLOOKUP(NoviaFunds[[#This Row],[ISIN]],'Novia Web Query'!$A:$E,5,FALSE)</f>
        <v>16/12/2021</v>
      </c>
      <c r="F3781" t="str">
        <f>VLOOKUP(NoviaFunds[[#This Row],[Sector]],Sectors[],2,FALSE)</f>
        <v>UK Equities</v>
      </c>
    </row>
    <row r="3782" spans="1:6" x14ac:dyDescent="0.2">
      <c r="A3782" t="str">
        <f>'Novia Web Query'!A3778</f>
        <v>GB0031092728</v>
      </c>
      <c r="B3782" t="str">
        <f>VLOOKUP(NoviaFunds[[#This Row],[ISIN]],'Novia Web Query'!$A:$E,2,FALSE)</f>
        <v>Schroder UK Opportunities A in GB</v>
      </c>
      <c r="C3782" t="str">
        <f>VLOOKUP(NoviaFunds[[#This Row],[ISIN]],'Novia Web Query'!$A:$E,3,FALSE)</f>
        <v>UT UK All Companies</v>
      </c>
      <c r="D3782" s="139">
        <f>VLOOKUP(NoviaFunds[[#This Row],[ISIN]],'Novia Web Query'!$A:$E,4,FALSE)/100</f>
        <v>1.55E-2</v>
      </c>
      <c r="E3782" s="3" t="str">
        <f>VLOOKUP(NoviaFunds[[#This Row],[ISIN]],'Novia Web Query'!$A:$E,5,FALSE)</f>
        <v>24/11/2021</v>
      </c>
      <c r="F3782" t="str">
        <f>VLOOKUP(NoviaFunds[[#This Row],[Sector]],Sectors[],2,FALSE)</f>
        <v>UK Equities</v>
      </c>
    </row>
    <row r="3783" spans="1:6" x14ac:dyDescent="0.2">
      <c r="A3783" t="str">
        <f>'Novia Web Query'!A3779</f>
        <v>GB0007218398</v>
      </c>
      <c r="B3783" t="str">
        <f>VLOOKUP(NoviaFunds[[#This Row],[ISIN]],'Novia Web Query'!$A:$E,2,FALSE)</f>
        <v>Schroder UK Opportunities Z in GB</v>
      </c>
      <c r="C3783" t="str">
        <f>VLOOKUP(NoviaFunds[[#This Row],[ISIN]],'Novia Web Query'!$A:$E,3,FALSE)</f>
        <v>UT UK All Companies</v>
      </c>
      <c r="D3783" s="139">
        <f>VLOOKUP(NoviaFunds[[#This Row],[ISIN]],'Novia Web Query'!$A:$E,4,FALSE)/100</f>
        <v>8.0000000000000002E-3</v>
      </c>
      <c r="E3783" s="3" t="str">
        <f>VLOOKUP(NoviaFunds[[#This Row],[ISIN]],'Novia Web Query'!$A:$E,5,FALSE)</f>
        <v>08/12/2021</v>
      </c>
      <c r="F3783" t="str">
        <f>VLOOKUP(NoviaFunds[[#This Row],[Sector]],Sectors[],2,FALSE)</f>
        <v>UK Equities</v>
      </c>
    </row>
    <row r="3784" spans="1:6" x14ac:dyDescent="0.2">
      <c r="A3784" t="str">
        <f>'Novia Web Query'!A3780</f>
        <v>GB00B6ZH3F37</v>
      </c>
      <c r="B3784" t="str">
        <f>VLOOKUP(NoviaFunds[[#This Row],[ISIN]],'Novia Web Query'!$A:$E,2,FALSE)</f>
        <v>Schroder UK Opportunities Z Inc TR in GB</v>
      </c>
      <c r="C3784" t="str">
        <f>VLOOKUP(NoviaFunds[[#This Row],[ISIN]],'Novia Web Query'!$A:$E,3,FALSE)</f>
        <v>UT UK All Companies</v>
      </c>
      <c r="D3784" s="139">
        <f>VLOOKUP(NoviaFunds[[#This Row],[ISIN]],'Novia Web Query'!$A:$E,4,FALSE)/100</f>
        <v>8.0000000000000002E-3</v>
      </c>
      <c r="E3784" s="3" t="str">
        <f>VLOOKUP(NoviaFunds[[#This Row],[ISIN]],'Novia Web Query'!$A:$E,5,FALSE)</f>
        <v>24/11/2021</v>
      </c>
      <c r="F3784" t="str">
        <f>VLOOKUP(NoviaFunds[[#This Row],[Sector]],Sectors[],2,FALSE)</f>
        <v>UK Equities</v>
      </c>
    </row>
    <row r="3785" spans="1:6" x14ac:dyDescent="0.2">
      <c r="A3785" t="str">
        <f>'Novia Web Query'!A3781</f>
        <v>GB0007649535</v>
      </c>
      <c r="B3785" t="str">
        <f>VLOOKUP(NoviaFunds[[#This Row],[ISIN]],'Novia Web Query'!$A:$E,2,FALSE)</f>
        <v>Schroder UK Smaller Companies A Acc in GB</v>
      </c>
      <c r="C3785" t="str">
        <f>VLOOKUP(NoviaFunds[[#This Row],[ISIN]],'Novia Web Query'!$A:$E,3,FALSE)</f>
        <v>UT UK Smaller Companies</v>
      </c>
      <c r="D3785" s="139">
        <f>VLOOKUP(NoviaFunds[[#This Row],[ISIN]],'Novia Web Query'!$A:$E,4,FALSE)/100</f>
        <v>1.67E-2</v>
      </c>
      <c r="E3785" s="3" t="str">
        <f>VLOOKUP(NoviaFunds[[#This Row],[ISIN]],'Novia Web Query'!$A:$E,5,FALSE)</f>
        <v>21/04/2021</v>
      </c>
      <c r="F3785" t="str">
        <f>VLOOKUP(NoviaFunds[[#This Row],[Sector]],Sectors[],2,FALSE)</f>
        <v>UK Equities</v>
      </c>
    </row>
    <row r="3786" spans="1:6" x14ac:dyDescent="0.2">
      <c r="A3786" t="str">
        <f>'Novia Web Query'!A3782</f>
        <v>GB0007649311</v>
      </c>
      <c r="B3786" t="str">
        <f>VLOOKUP(NoviaFunds[[#This Row],[ISIN]],'Novia Web Query'!$A:$E,2,FALSE)</f>
        <v>Schroder UK Smaller Companies A Inc TR in GB</v>
      </c>
      <c r="C3786" t="str">
        <f>VLOOKUP(NoviaFunds[[#This Row],[ISIN]],'Novia Web Query'!$A:$E,3,FALSE)</f>
        <v>UT UK Smaller Companies</v>
      </c>
      <c r="D3786" s="139">
        <f>VLOOKUP(NoviaFunds[[#This Row],[ISIN]],'Novia Web Query'!$A:$E,4,FALSE)/100</f>
        <v>1.67E-2</v>
      </c>
      <c r="E3786" s="3" t="str">
        <f>VLOOKUP(NoviaFunds[[#This Row],[ISIN]],'Novia Web Query'!$A:$E,5,FALSE)</f>
        <v>21/04/2021</v>
      </c>
      <c r="F3786" t="str">
        <f>VLOOKUP(NoviaFunds[[#This Row],[Sector]],Sectors[],2,FALSE)</f>
        <v>UK Equities</v>
      </c>
    </row>
    <row r="3787" spans="1:6" x14ac:dyDescent="0.2">
      <c r="A3787" t="str">
        <f>'Novia Web Query'!A3783</f>
        <v>GB00B76V7Z98</v>
      </c>
      <c r="B3787" t="str">
        <f>VLOOKUP(NoviaFunds[[#This Row],[ISIN]],'Novia Web Query'!$A:$E,2,FALSE)</f>
        <v>Schroder UK Smaller Companies Z Acc in GB</v>
      </c>
      <c r="C3787" t="str">
        <f>VLOOKUP(NoviaFunds[[#This Row],[ISIN]],'Novia Web Query'!$A:$E,3,FALSE)</f>
        <v>UT UK Smaller Companies</v>
      </c>
      <c r="D3787" s="139">
        <f>VLOOKUP(NoviaFunds[[#This Row],[ISIN]],'Novia Web Query'!$A:$E,4,FALSE)/100</f>
        <v>9.1999999999999998E-3</v>
      </c>
      <c r="E3787" s="3" t="str">
        <f>VLOOKUP(NoviaFunds[[#This Row],[ISIN]],'Novia Web Query'!$A:$E,5,FALSE)</f>
        <v>14/01/2021</v>
      </c>
      <c r="F3787" t="str">
        <f>VLOOKUP(NoviaFunds[[#This Row],[Sector]],Sectors[],2,FALSE)</f>
        <v>UK Equities</v>
      </c>
    </row>
    <row r="3788" spans="1:6" x14ac:dyDescent="0.2">
      <c r="A3788" t="str">
        <f>'Novia Web Query'!A3784</f>
        <v>GB00B76V8019</v>
      </c>
      <c r="B3788" t="str">
        <f>VLOOKUP(NoviaFunds[[#This Row],[ISIN]],'Novia Web Query'!$A:$E,2,FALSE)</f>
        <v>Schroder UK Smaller Companies Z Inc TR in GB</v>
      </c>
      <c r="C3788" t="str">
        <f>VLOOKUP(NoviaFunds[[#This Row],[ISIN]],'Novia Web Query'!$A:$E,3,FALSE)</f>
        <v>UT UK Smaller Companies</v>
      </c>
      <c r="D3788" s="139">
        <f>VLOOKUP(NoviaFunds[[#This Row],[ISIN]],'Novia Web Query'!$A:$E,4,FALSE)/100</f>
        <v>9.1999999999999998E-3</v>
      </c>
      <c r="E3788" s="3" t="str">
        <f>VLOOKUP(NoviaFunds[[#This Row],[ISIN]],'Novia Web Query'!$A:$E,5,FALSE)</f>
        <v>14/01/2021</v>
      </c>
      <c r="F3788" t="str">
        <f>VLOOKUP(NoviaFunds[[#This Row],[Sector]],Sectors[],2,FALSE)</f>
        <v>UK Equities</v>
      </c>
    </row>
    <row r="3789" spans="1:6" x14ac:dyDescent="0.2">
      <c r="A3789" t="str">
        <f>'Novia Web Query'!A3785</f>
        <v>GB00BYP25698</v>
      </c>
      <c r="B3789" t="str">
        <f>VLOOKUP(NoviaFunds[[#This Row],[ISIN]],'Novia Web Query'!$A:$E,2,FALSE)</f>
        <v>Schroder US Equity Income Maximiser L Inc TR in GB</v>
      </c>
      <c r="C3789" t="str">
        <f>VLOOKUP(NoviaFunds[[#This Row],[ISIN]],'Novia Web Query'!$A:$E,3,FALSE)</f>
        <v>UT North America</v>
      </c>
      <c r="D3789" s="139">
        <f>VLOOKUP(NoviaFunds[[#This Row],[ISIN]],'Novia Web Query'!$A:$E,4,FALSE)/100</f>
        <v>3.9000000000000003E-3</v>
      </c>
      <c r="E3789" s="3" t="str">
        <f>VLOOKUP(NoviaFunds[[#This Row],[ISIN]],'Novia Web Query'!$A:$E,5,FALSE)</f>
        <v>21/04/2021</v>
      </c>
      <c r="F3789" t="str">
        <f>VLOOKUP(NoviaFunds[[#This Row],[Sector]],Sectors[],2,FALSE)</f>
        <v>USA Equities</v>
      </c>
    </row>
    <row r="3790" spans="1:6" x14ac:dyDescent="0.2">
      <c r="A3790" t="str">
        <f>'Novia Web Query'!A3786</f>
        <v>GB00BYP25144</v>
      </c>
      <c r="B3790" t="str">
        <f>VLOOKUP(NoviaFunds[[#This Row],[ISIN]],'Novia Web Query'!$A:$E,2,FALSE)</f>
        <v>Schroder US Equity Income Maximiser Z Acc in GB</v>
      </c>
      <c r="C3790" t="str">
        <f>VLOOKUP(NoviaFunds[[#This Row],[ISIN]],'Novia Web Query'!$A:$E,3,FALSE)</f>
        <v>UT North America</v>
      </c>
      <c r="D3790" s="139">
        <f>VLOOKUP(NoviaFunds[[#This Row],[ISIN]],'Novia Web Query'!$A:$E,4,FALSE)/100</f>
        <v>4.8999999999999998E-3</v>
      </c>
      <c r="E3790" s="3" t="str">
        <f>VLOOKUP(NoviaFunds[[#This Row],[ISIN]],'Novia Web Query'!$A:$E,5,FALSE)</f>
        <v>21/04/2021</v>
      </c>
      <c r="F3790" t="str">
        <f>VLOOKUP(NoviaFunds[[#This Row],[Sector]],Sectors[],2,FALSE)</f>
        <v>USA Equities</v>
      </c>
    </row>
    <row r="3791" spans="1:6" x14ac:dyDescent="0.2">
      <c r="A3791" t="str">
        <f>'Novia Web Query'!A3787</f>
        <v>GB00BYP24Z16</v>
      </c>
      <c r="B3791" t="str">
        <f>VLOOKUP(NoviaFunds[[#This Row],[ISIN]],'Novia Web Query'!$A:$E,2,FALSE)</f>
        <v>Schroder US Equity Income Maximiser Z Inc TR in GB</v>
      </c>
      <c r="C3791" t="str">
        <f>VLOOKUP(NoviaFunds[[#This Row],[ISIN]],'Novia Web Query'!$A:$E,3,FALSE)</f>
        <v>UT North America</v>
      </c>
      <c r="D3791" s="139">
        <f>VLOOKUP(NoviaFunds[[#This Row],[ISIN]],'Novia Web Query'!$A:$E,4,FALSE)/100</f>
        <v>4.8999999999999998E-3</v>
      </c>
      <c r="E3791" s="3" t="str">
        <f>VLOOKUP(NoviaFunds[[#This Row],[ISIN]],'Novia Web Query'!$A:$E,5,FALSE)</f>
        <v>21/04/2021</v>
      </c>
      <c r="F3791" t="str">
        <f>VLOOKUP(NoviaFunds[[#This Row],[Sector]],Sectors[],2,FALSE)</f>
        <v>USA Equities</v>
      </c>
    </row>
    <row r="3792" spans="1:6" x14ac:dyDescent="0.2">
      <c r="A3792" t="str">
        <f>'Novia Web Query'!A3788</f>
        <v>GB0030347271</v>
      </c>
      <c r="B3792" t="str">
        <f>VLOOKUP(NoviaFunds[[#This Row],[ISIN]],'Novia Web Query'!$A:$E,2,FALSE)</f>
        <v>Schroder US Mid Cap A Acc in GB</v>
      </c>
      <c r="C3792" t="str">
        <f>VLOOKUP(NoviaFunds[[#This Row],[ISIN]],'Novia Web Query'!$A:$E,3,FALSE)</f>
        <v>UT North America</v>
      </c>
      <c r="D3792" s="139">
        <f>VLOOKUP(NoviaFunds[[#This Row],[ISIN]],'Novia Web Query'!$A:$E,4,FALSE)/100</f>
        <v>1.6399999999999998E-2</v>
      </c>
      <c r="E3792" s="3" t="str">
        <f>VLOOKUP(NoviaFunds[[#This Row],[ISIN]],'Novia Web Query'!$A:$E,5,FALSE)</f>
        <v>21/04/2021</v>
      </c>
      <c r="F3792" t="str">
        <f>VLOOKUP(NoviaFunds[[#This Row],[Sector]],Sectors[],2,FALSE)</f>
        <v>USA Equities</v>
      </c>
    </row>
    <row r="3793" spans="1:6" x14ac:dyDescent="0.2">
      <c r="A3793" t="str">
        <f>'Novia Web Query'!A3789</f>
        <v>GB0030347057</v>
      </c>
      <c r="B3793" t="str">
        <f>VLOOKUP(NoviaFunds[[#This Row],[ISIN]],'Novia Web Query'!$A:$E,2,FALSE)</f>
        <v>Schroder US Mid Cap A Inc in GB</v>
      </c>
      <c r="C3793" t="str">
        <f>VLOOKUP(NoviaFunds[[#This Row],[ISIN]],'Novia Web Query'!$A:$E,3,FALSE)</f>
        <v>UT North America</v>
      </c>
      <c r="D3793" s="139">
        <f>VLOOKUP(NoviaFunds[[#This Row],[ISIN]],'Novia Web Query'!$A:$E,4,FALSE)/100</f>
        <v>1.6399999999999998E-2</v>
      </c>
      <c r="E3793" s="3" t="str">
        <f>VLOOKUP(NoviaFunds[[#This Row],[ISIN]],'Novia Web Query'!$A:$E,5,FALSE)</f>
        <v>21/04/2021</v>
      </c>
      <c r="F3793" t="str">
        <f>VLOOKUP(NoviaFunds[[#This Row],[Sector]],Sectors[],2,FALSE)</f>
        <v>USA Equities</v>
      </c>
    </row>
    <row r="3794" spans="1:6" x14ac:dyDescent="0.2">
      <c r="A3794" t="str">
        <f>'Novia Web Query'!A3790</f>
        <v>GB00BDD2JX95</v>
      </c>
      <c r="B3794" t="str">
        <f>VLOOKUP(NoviaFunds[[#This Row],[ISIN]],'Novia Web Query'!$A:$E,2,FALSE)</f>
        <v>Schroder US Mid Cap L Acc in GB</v>
      </c>
      <c r="C3794" t="str">
        <f>VLOOKUP(NoviaFunds[[#This Row],[ISIN]],'Novia Web Query'!$A:$E,3,FALSE)</f>
        <v>UT North America</v>
      </c>
      <c r="D3794" s="139">
        <f>VLOOKUP(NoviaFunds[[#This Row],[ISIN]],'Novia Web Query'!$A:$E,4,FALSE)/100</f>
        <v>8.1000000000000013E-3</v>
      </c>
      <c r="E3794" s="3" t="str">
        <f>VLOOKUP(NoviaFunds[[#This Row],[ISIN]],'Novia Web Query'!$A:$E,5,FALSE)</f>
        <v>21/04/2021</v>
      </c>
      <c r="F3794" t="str">
        <f>VLOOKUP(NoviaFunds[[#This Row],[Sector]],Sectors[],2,FALSE)</f>
        <v>USA Equities</v>
      </c>
    </row>
    <row r="3795" spans="1:6" x14ac:dyDescent="0.2">
      <c r="A3795" t="str">
        <f>'Novia Web Query'!A3791</f>
        <v>GB00BDD2JZ10</v>
      </c>
      <c r="B3795" t="str">
        <f>VLOOKUP(NoviaFunds[[#This Row],[ISIN]],'Novia Web Query'!$A:$E,2,FALSE)</f>
        <v>Schroder US Mid Cap L Inc TR in GB</v>
      </c>
      <c r="C3795" t="str">
        <f>VLOOKUP(NoviaFunds[[#This Row],[ISIN]],'Novia Web Query'!$A:$E,3,FALSE)</f>
        <v>UT North America</v>
      </c>
      <c r="D3795" s="139">
        <f>VLOOKUP(NoviaFunds[[#This Row],[ISIN]],'Novia Web Query'!$A:$E,4,FALSE)/100</f>
        <v>8.1000000000000013E-3</v>
      </c>
      <c r="E3795" s="3" t="str">
        <f>VLOOKUP(NoviaFunds[[#This Row],[ISIN]],'Novia Web Query'!$A:$E,5,FALSE)</f>
        <v>21/04/2021</v>
      </c>
      <c r="F3795" t="str">
        <f>VLOOKUP(NoviaFunds[[#This Row],[Sector]],Sectors[],2,FALSE)</f>
        <v>USA Equities</v>
      </c>
    </row>
    <row r="3796" spans="1:6" x14ac:dyDescent="0.2">
      <c r="A3796" t="str">
        <f>'Novia Web Query'!A3792</f>
        <v>GB00B7LDLV43</v>
      </c>
      <c r="B3796" t="str">
        <f>VLOOKUP(NoviaFunds[[#This Row],[ISIN]],'Novia Web Query'!$A:$E,2,FALSE)</f>
        <v>Schroder US Mid Cap Z Acc in GB</v>
      </c>
      <c r="C3796" t="str">
        <f>VLOOKUP(NoviaFunds[[#This Row],[ISIN]],'Novia Web Query'!$A:$E,3,FALSE)</f>
        <v>UT North America</v>
      </c>
      <c r="D3796" s="139">
        <f>VLOOKUP(NoviaFunds[[#This Row],[ISIN]],'Novia Web Query'!$A:$E,4,FALSE)/100</f>
        <v>8.8999999999999999E-3</v>
      </c>
      <c r="E3796" s="3" t="str">
        <f>VLOOKUP(NoviaFunds[[#This Row],[ISIN]],'Novia Web Query'!$A:$E,5,FALSE)</f>
        <v>21/04/2021</v>
      </c>
      <c r="F3796" t="str">
        <f>VLOOKUP(NoviaFunds[[#This Row],[Sector]],Sectors[],2,FALSE)</f>
        <v>USA Equities</v>
      </c>
    </row>
    <row r="3797" spans="1:6" x14ac:dyDescent="0.2">
      <c r="A3797" t="str">
        <f>'Novia Web Query'!A3793</f>
        <v>GB00B7M4CS05</v>
      </c>
      <c r="B3797" t="str">
        <f>VLOOKUP(NoviaFunds[[#This Row],[ISIN]],'Novia Web Query'!$A:$E,2,FALSE)</f>
        <v>Schroder US Mid Cap Z Inc TR in GB</v>
      </c>
      <c r="C3797" t="str">
        <f>VLOOKUP(NoviaFunds[[#This Row],[ISIN]],'Novia Web Query'!$A:$E,3,FALSE)</f>
        <v>UT North America</v>
      </c>
      <c r="D3797" s="139">
        <f>VLOOKUP(NoviaFunds[[#This Row],[ISIN]],'Novia Web Query'!$A:$E,4,FALSE)/100</f>
        <v>8.8999999999999999E-3</v>
      </c>
      <c r="E3797" s="3" t="str">
        <f>VLOOKUP(NoviaFunds[[#This Row],[ISIN]],'Novia Web Query'!$A:$E,5,FALSE)</f>
        <v>21/04/2021</v>
      </c>
      <c r="F3797" t="str">
        <f>VLOOKUP(NoviaFunds[[#This Row],[Sector]],Sectors[],2,FALSE)</f>
        <v>USA Equities</v>
      </c>
    </row>
    <row r="3798" spans="1:6" x14ac:dyDescent="0.2">
      <c r="A3798" t="str">
        <f>'Novia Web Query'!A3794</f>
        <v>GB0007810152</v>
      </c>
      <c r="B3798" t="str">
        <f>VLOOKUP(NoviaFunds[[#This Row],[ISIN]],'Novia Web Query'!$A:$E,2,FALSE)</f>
        <v>Schroder US Smaller Companies A Acc in GB</v>
      </c>
      <c r="C3798" t="str">
        <f>VLOOKUP(NoviaFunds[[#This Row],[ISIN]],'Novia Web Query'!$A:$E,3,FALSE)</f>
        <v>UT North American Smaller Companies</v>
      </c>
      <c r="D3798" s="139">
        <f>VLOOKUP(NoviaFunds[[#This Row],[ISIN]],'Novia Web Query'!$A:$E,4,FALSE)/100</f>
        <v>1.66E-2</v>
      </c>
      <c r="E3798" s="3" t="str">
        <f>VLOOKUP(NoviaFunds[[#This Row],[ISIN]],'Novia Web Query'!$A:$E,5,FALSE)</f>
        <v>14/01/2021</v>
      </c>
      <c r="F3798" t="str">
        <f>VLOOKUP(NoviaFunds[[#This Row],[Sector]],Sectors[],2,FALSE)</f>
        <v>USA Equities</v>
      </c>
    </row>
    <row r="3799" spans="1:6" x14ac:dyDescent="0.2">
      <c r="A3799" t="str">
        <f>'Novia Web Query'!A3795</f>
        <v>GB0007810046</v>
      </c>
      <c r="B3799" t="str">
        <f>VLOOKUP(NoviaFunds[[#This Row],[ISIN]],'Novia Web Query'!$A:$E,2,FALSE)</f>
        <v>Schroder US Smaller Companies A Inc TR in GB</v>
      </c>
      <c r="C3799" t="str">
        <f>VLOOKUP(NoviaFunds[[#This Row],[ISIN]],'Novia Web Query'!$A:$E,3,FALSE)</f>
        <v>UT North American Smaller Companies</v>
      </c>
      <c r="D3799" s="139">
        <f>VLOOKUP(NoviaFunds[[#This Row],[ISIN]],'Novia Web Query'!$A:$E,4,FALSE)/100</f>
        <v>1.66E-2</v>
      </c>
      <c r="E3799" s="3" t="str">
        <f>VLOOKUP(NoviaFunds[[#This Row],[ISIN]],'Novia Web Query'!$A:$E,5,FALSE)</f>
        <v>14/01/2021</v>
      </c>
      <c r="F3799" t="str">
        <f>VLOOKUP(NoviaFunds[[#This Row],[Sector]],Sectors[],2,FALSE)</f>
        <v>USA Equities</v>
      </c>
    </row>
    <row r="3800" spans="1:6" x14ac:dyDescent="0.2">
      <c r="A3800" t="str">
        <f>'Novia Web Query'!A3796</f>
        <v>GB00B7LDL923</v>
      </c>
      <c r="B3800" t="str">
        <f>VLOOKUP(NoviaFunds[[#This Row],[ISIN]],'Novia Web Query'!$A:$E,2,FALSE)</f>
        <v>Schroder US Smaller Companies Z Acc in GB</v>
      </c>
      <c r="C3800" t="str">
        <f>VLOOKUP(NoviaFunds[[#This Row],[ISIN]],'Novia Web Query'!$A:$E,3,FALSE)</f>
        <v>UT North American Smaller Companies</v>
      </c>
      <c r="D3800" s="139">
        <f>VLOOKUP(NoviaFunds[[#This Row],[ISIN]],'Novia Web Query'!$A:$E,4,FALSE)/100</f>
        <v>9.1000000000000004E-3</v>
      </c>
      <c r="E3800" s="3" t="str">
        <f>VLOOKUP(NoviaFunds[[#This Row],[ISIN]],'Novia Web Query'!$A:$E,5,FALSE)</f>
        <v>14/01/2021</v>
      </c>
      <c r="F3800" t="str">
        <f>VLOOKUP(NoviaFunds[[#This Row],[Sector]],Sectors[],2,FALSE)</f>
        <v>USA Equities</v>
      </c>
    </row>
    <row r="3801" spans="1:6" x14ac:dyDescent="0.2">
      <c r="A3801" t="str">
        <f>'Novia Web Query'!A3797</f>
        <v>GB00B7LDLC53</v>
      </c>
      <c r="B3801" t="str">
        <f>VLOOKUP(NoviaFunds[[#This Row],[ISIN]],'Novia Web Query'!$A:$E,2,FALSE)</f>
        <v>Schroder US Smaller Companies Z Inc TR in GB</v>
      </c>
      <c r="C3801" t="str">
        <f>VLOOKUP(NoviaFunds[[#This Row],[ISIN]],'Novia Web Query'!$A:$E,3,FALSE)</f>
        <v>UT North American Smaller Companies</v>
      </c>
      <c r="D3801" s="139">
        <f>VLOOKUP(NoviaFunds[[#This Row],[ISIN]],'Novia Web Query'!$A:$E,4,FALSE)/100</f>
        <v>9.1000000000000004E-3</v>
      </c>
      <c r="E3801" s="3" t="str">
        <f>VLOOKUP(NoviaFunds[[#This Row],[ISIN]],'Novia Web Query'!$A:$E,5,FALSE)</f>
        <v>14/01/2021</v>
      </c>
      <c r="F3801" t="str">
        <f>VLOOKUP(NoviaFunds[[#This Row],[Sector]],Sectors[],2,FALSE)</f>
        <v>USA Equities</v>
      </c>
    </row>
    <row r="3802" spans="1:6" x14ac:dyDescent="0.2">
      <c r="A3802" t="str">
        <f>'Novia Web Query'!A3798</f>
        <v>GB00B0706C66</v>
      </c>
      <c r="B3802" t="str">
        <f>VLOOKUP(NoviaFunds[[#This Row],[ISIN]],'Novia Web Query'!$A:$E,2,FALSE)</f>
        <v>Slater Growth A Acc in GB</v>
      </c>
      <c r="C3802" t="str">
        <f>VLOOKUP(NoviaFunds[[#This Row],[ISIN]],'Novia Web Query'!$A:$E,3,FALSE)</f>
        <v>UT UK All Companies</v>
      </c>
      <c r="D3802" s="139">
        <f>VLOOKUP(NoviaFunds[[#This Row],[ISIN]],'Novia Web Query'!$A:$E,4,FALSE)/100</f>
        <v>1.5700000000000002E-2</v>
      </c>
      <c r="E3802" s="3" t="str">
        <f>VLOOKUP(NoviaFunds[[#This Row],[ISIN]],'Novia Web Query'!$A:$E,5,FALSE)</f>
        <v>18/01/2021</v>
      </c>
      <c r="F3802" t="str">
        <f>VLOOKUP(NoviaFunds[[#This Row],[Sector]],Sectors[],2,FALSE)</f>
        <v>UK Equities</v>
      </c>
    </row>
    <row r="3803" spans="1:6" x14ac:dyDescent="0.2">
      <c r="A3803" t="str">
        <f>'Novia Web Query'!A3799</f>
        <v>GB00B8YPGL91</v>
      </c>
      <c r="B3803" t="str">
        <f>VLOOKUP(NoviaFunds[[#This Row],[ISIN]],'Novia Web Query'!$A:$E,2,FALSE)</f>
        <v>Slater Growth B Acc in GB</v>
      </c>
      <c r="C3803" t="str">
        <f>VLOOKUP(NoviaFunds[[#This Row],[ISIN]],'Novia Web Query'!$A:$E,3,FALSE)</f>
        <v>UT UK All Companies</v>
      </c>
      <c r="D3803" s="139">
        <f>VLOOKUP(NoviaFunds[[#This Row],[ISIN]],'Novia Web Query'!$A:$E,4,FALSE)/100</f>
        <v>1.06E-2</v>
      </c>
      <c r="E3803" s="3" t="str">
        <f>VLOOKUP(NoviaFunds[[#This Row],[ISIN]],'Novia Web Query'!$A:$E,5,FALSE)</f>
        <v>18/01/2021</v>
      </c>
      <c r="F3803" t="str">
        <f>VLOOKUP(NoviaFunds[[#This Row],[Sector]],Sectors[],2,FALSE)</f>
        <v>UK Equities</v>
      </c>
    </row>
    <row r="3804" spans="1:6" x14ac:dyDescent="0.2">
      <c r="A3804" t="str">
        <f>'Novia Web Query'!A3800</f>
        <v>GB00B7T0G907</v>
      </c>
      <c r="B3804" t="str">
        <f>VLOOKUP(NoviaFunds[[#This Row],[ISIN]],'Novia Web Query'!$A:$E,2,FALSE)</f>
        <v>Slater Growth P Acc in GB</v>
      </c>
      <c r="C3804" t="str">
        <f>VLOOKUP(NoviaFunds[[#This Row],[ISIN]],'Novia Web Query'!$A:$E,3,FALSE)</f>
        <v>UT UK All Companies</v>
      </c>
      <c r="D3804" s="139">
        <f>VLOOKUP(NoviaFunds[[#This Row],[ISIN]],'Novia Web Query'!$A:$E,4,FALSE)/100</f>
        <v>8.1000000000000013E-3</v>
      </c>
      <c r="E3804" s="3" t="str">
        <f>VLOOKUP(NoviaFunds[[#This Row],[ISIN]],'Novia Web Query'!$A:$E,5,FALSE)</f>
        <v>18/01/2021</v>
      </c>
      <c r="F3804" t="str">
        <f>VLOOKUP(NoviaFunds[[#This Row],[Sector]],Sectors[],2,FALSE)</f>
        <v>UK Equities</v>
      </c>
    </row>
    <row r="3805" spans="1:6" x14ac:dyDescent="0.2">
      <c r="A3805" t="str">
        <f>'Novia Web Query'!A3801</f>
        <v>GB00B6YSXJ10</v>
      </c>
      <c r="B3805" t="str">
        <f>VLOOKUP(NoviaFunds[[#This Row],[ISIN]],'Novia Web Query'!$A:$E,2,FALSE)</f>
        <v>Slater Income A Inc TR in GB</v>
      </c>
      <c r="C3805" t="str">
        <f>VLOOKUP(NoviaFunds[[#This Row],[ISIN]],'Novia Web Query'!$A:$E,3,FALSE)</f>
        <v>UT UK Equity Income</v>
      </c>
      <c r="D3805" s="139">
        <f>VLOOKUP(NoviaFunds[[#This Row],[ISIN]],'Novia Web Query'!$A:$E,4,FALSE)/100</f>
        <v>1.61E-2</v>
      </c>
      <c r="E3805" s="3" t="str">
        <f>VLOOKUP(NoviaFunds[[#This Row],[ISIN]],'Novia Web Query'!$A:$E,5,FALSE)</f>
        <v>18/01/2021</v>
      </c>
      <c r="F3805" t="str">
        <f>VLOOKUP(NoviaFunds[[#This Row],[Sector]],Sectors[],2,FALSE)</f>
        <v>UK Equities</v>
      </c>
    </row>
    <row r="3806" spans="1:6" x14ac:dyDescent="0.2">
      <c r="A3806" t="str">
        <f>'Novia Web Query'!A3802</f>
        <v>GB00BYV2HQ78</v>
      </c>
      <c r="B3806" t="str">
        <f>VLOOKUP(NoviaFunds[[#This Row],[ISIN]],'Novia Web Query'!$A:$E,2,FALSE)</f>
        <v>Slater Income P Acc TR in GB**</v>
      </c>
      <c r="C3806" t="str">
        <f>VLOOKUP(NoviaFunds[[#This Row],[ISIN]],'Novia Web Query'!$A:$E,3,FALSE)</f>
        <v>UT UK Equity Income</v>
      </c>
      <c r="D3806" s="139">
        <f>VLOOKUP(NoviaFunds[[#This Row],[ISIN]],'Novia Web Query'!$A:$E,4,FALSE)/100</f>
        <v>8.1000000000000013E-3</v>
      </c>
      <c r="E3806" s="3" t="str">
        <f>VLOOKUP(NoviaFunds[[#This Row],[ISIN]],'Novia Web Query'!$A:$E,5,FALSE)</f>
        <v>18/01/2021</v>
      </c>
      <c r="F3806" t="str">
        <f>VLOOKUP(NoviaFunds[[#This Row],[Sector]],Sectors[],2,FALSE)</f>
        <v>UK Equities</v>
      </c>
    </row>
    <row r="3807" spans="1:6" x14ac:dyDescent="0.2">
      <c r="A3807" t="str">
        <f>'Novia Web Query'!A3803</f>
        <v>GB00B905XJ71</v>
      </c>
      <c r="B3807" t="str">
        <f>VLOOKUP(NoviaFunds[[#This Row],[ISIN]],'Novia Web Query'!$A:$E,2,FALSE)</f>
        <v>Slater Income P Inc TR in GB</v>
      </c>
      <c r="C3807" t="str">
        <f>VLOOKUP(NoviaFunds[[#This Row],[ISIN]],'Novia Web Query'!$A:$E,3,FALSE)</f>
        <v>UT UK Equity Income</v>
      </c>
      <c r="D3807" s="139">
        <f>VLOOKUP(NoviaFunds[[#This Row],[ISIN]],'Novia Web Query'!$A:$E,4,FALSE)/100</f>
        <v>8.1000000000000013E-3</v>
      </c>
      <c r="E3807" s="3" t="str">
        <f>VLOOKUP(NoviaFunds[[#This Row],[ISIN]],'Novia Web Query'!$A:$E,5,FALSE)</f>
        <v>18/01/2021</v>
      </c>
      <c r="F3807" t="str">
        <f>VLOOKUP(NoviaFunds[[#This Row],[Sector]],Sectors[],2,FALSE)</f>
        <v>UK Equities</v>
      </c>
    </row>
    <row r="3808" spans="1:6" x14ac:dyDescent="0.2">
      <c r="A3808" t="str">
        <f>'Novia Web Query'!A3804</f>
        <v>GB0031554248</v>
      </c>
      <c r="B3808" t="str">
        <f>VLOOKUP(NoviaFunds[[#This Row],[ISIN]],'Novia Web Query'!$A:$E,2,FALSE)</f>
        <v>Slater Recovery A Acc in GB</v>
      </c>
      <c r="C3808" t="str">
        <f>VLOOKUP(NoviaFunds[[#This Row],[ISIN]],'Novia Web Query'!$A:$E,3,FALSE)</f>
        <v>UT UK All Companies</v>
      </c>
      <c r="D3808" s="139">
        <f>VLOOKUP(NoviaFunds[[#This Row],[ISIN]],'Novia Web Query'!$A:$E,4,FALSE)/100</f>
        <v>1.5800000000000002E-2</v>
      </c>
      <c r="E3808" s="3" t="str">
        <f>VLOOKUP(NoviaFunds[[#This Row],[ISIN]],'Novia Web Query'!$A:$E,5,FALSE)</f>
        <v>18/01/2021</v>
      </c>
      <c r="F3808" t="str">
        <f>VLOOKUP(NoviaFunds[[#This Row],[Sector]],Sectors[],2,FALSE)</f>
        <v>UK Equities</v>
      </c>
    </row>
    <row r="3809" spans="1:6" x14ac:dyDescent="0.2">
      <c r="A3809" t="str">
        <f>'Novia Web Query'!A3805</f>
        <v>GB00B90KTC71</v>
      </c>
      <c r="B3809" t="str">
        <f>VLOOKUP(NoviaFunds[[#This Row],[ISIN]],'Novia Web Query'!$A:$E,2,FALSE)</f>
        <v>Slater Recovery P Acc in GB</v>
      </c>
      <c r="C3809" t="str">
        <f>VLOOKUP(NoviaFunds[[#This Row],[ISIN]],'Novia Web Query'!$A:$E,3,FALSE)</f>
        <v>UT UK All Companies</v>
      </c>
      <c r="D3809" s="139">
        <f>VLOOKUP(NoviaFunds[[#This Row],[ISIN]],'Novia Web Query'!$A:$E,4,FALSE)/100</f>
        <v>8.1000000000000013E-3</v>
      </c>
      <c r="E3809" s="3" t="str">
        <f>VLOOKUP(NoviaFunds[[#This Row],[ISIN]],'Novia Web Query'!$A:$E,5,FALSE)</f>
        <v>18/01/2021</v>
      </c>
      <c r="F3809" t="str">
        <f>VLOOKUP(NoviaFunds[[#This Row],[Sector]],Sectors[],2,FALSE)</f>
        <v>UK Equities</v>
      </c>
    </row>
    <row r="3810" spans="1:6" x14ac:dyDescent="0.2">
      <c r="A3810" t="str">
        <f>'Novia Web Query'!A3806</f>
        <v>GB00B43LJX34</v>
      </c>
      <c r="B3810" t="str">
        <f>VLOOKUP(NoviaFunds[[#This Row],[ISIN]],'Novia Web Query'!$A:$E,2,FALSE)</f>
        <v>Smith &amp; Williamson MM Endurance Balanced B Inc TR in GB</v>
      </c>
      <c r="C3810" t="str">
        <f>VLOOKUP(NoviaFunds[[#This Row],[ISIN]],'Novia Web Query'!$A:$E,3,FALSE)</f>
        <v>UT Mixed Investment 40-85% Shares</v>
      </c>
      <c r="D3810" s="139">
        <f>VLOOKUP(NoviaFunds[[#This Row],[ISIN]],'Novia Web Query'!$A:$E,4,FALSE)/100</f>
        <v>1.5800000000000002E-2</v>
      </c>
      <c r="E3810" s="3" t="str">
        <f>VLOOKUP(NoviaFunds[[#This Row],[ISIN]],'Novia Web Query'!$A:$E,5,FALSE)</f>
        <v>30/04/2021</v>
      </c>
      <c r="F3810" t="str">
        <f>VLOOKUP(NoviaFunds[[#This Row],[Sector]],Sectors[],2,FALSE)</f>
        <v>Mixed 40%-85%</v>
      </c>
    </row>
    <row r="3811" spans="1:6" x14ac:dyDescent="0.2">
      <c r="A3811" t="str">
        <f>'Novia Web Query'!A3807</f>
        <v>GB00B89C3K35</v>
      </c>
      <c r="B3811" t="str">
        <f>VLOOKUP(NoviaFunds[[#This Row],[ISIN]],'Novia Web Query'!$A:$E,2,FALSE)</f>
        <v>Smith &amp; Williamson MM Global Investment B Inc TR in GB</v>
      </c>
      <c r="C3811" t="str">
        <f>VLOOKUP(NoviaFunds[[#This Row],[ISIN]],'Novia Web Query'!$A:$E,3,FALSE)</f>
        <v>UT Flexible Investment</v>
      </c>
      <c r="D3811" s="139">
        <f>VLOOKUP(NoviaFunds[[#This Row],[ISIN]],'Novia Web Query'!$A:$E,4,FALSE)/100</f>
        <v>1.9299999999999998E-2</v>
      </c>
      <c r="E3811" s="3" t="str">
        <f>VLOOKUP(NoviaFunds[[#This Row],[ISIN]],'Novia Web Query'!$A:$E,5,FALSE)</f>
        <v>30/07/2021</v>
      </c>
      <c r="F3811" t="str">
        <f>VLOOKUP(NoviaFunds[[#This Row],[Sector]],Sectors[],2,FALSE)</f>
        <v>Flexible</v>
      </c>
    </row>
    <row r="3812" spans="1:6" x14ac:dyDescent="0.2">
      <c r="A3812" t="str">
        <f>'Novia Web Query'!A3808</f>
        <v>GB00BYPHPB97</v>
      </c>
      <c r="B3812" t="str">
        <f>VLOOKUP(NoviaFunds[[#This Row],[ISIN]],'Novia Web Query'!$A:$E,2,FALSE)</f>
        <v>Standard Life Investments UK Real Estate Feeder Inst Acc GBP in GB</v>
      </c>
      <c r="C3812" t="str">
        <f>VLOOKUP(NoviaFunds[[#This Row],[ISIN]],'Novia Web Query'!$A:$E,3,FALSE)</f>
        <v>UT UK Direct Property</v>
      </c>
      <c r="D3812" s="139">
        <f>VLOOKUP(NoviaFunds[[#This Row],[ISIN]],'Novia Web Query'!$A:$E,4,FALSE)/100</f>
        <v>8.5000000000000006E-3</v>
      </c>
      <c r="E3812" s="3" t="str">
        <f>VLOOKUP(NoviaFunds[[#This Row],[ISIN]],'Novia Web Query'!$A:$E,5,FALSE)</f>
        <v>31/12/2020</v>
      </c>
      <c r="F3812" t="e">
        <f>VLOOKUP(NoviaFunds[[#This Row],[Sector]],Sectors[],2,FALSE)</f>
        <v>#N/A</v>
      </c>
    </row>
    <row r="3813" spans="1:6" x14ac:dyDescent="0.2">
      <c r="A3813" t="str">
        <f>'Novia Web Query'!A3809</f>
        <v>GB00BYPHPD12</v>
      </c>
      <c r="B3813" t="str">
        <f>VLOOKUP(NoviaFunds[[#This Row],[ISIN]],'Novia Web Query'!$A:$E,2,FALSE)</f>
        <v>Standard Life Investments UK Real Estate Feeder Platform 1 Acc GBP in GB**</v>
      </c>
      <c r="C3813" t="str">
        <f>VLOOKUP(NoviaFunds[[#This Row],[ISIN]],'Novia Web Query'!$A:$E,3,FALSE)</f>
        <v>UT UK Direct Property</v>
      </c>
      <c r="D3813" s="139">
        <f>VLOOKUP(NoviaFunds[[#This Row],[ISIN]],'Novia Web Query'!$A:$E,4,FALSE)/100</f>
        <v>9.0000000000000011E-3</v>
      </c>
      <c r="E3813" s="3" t="str">
        <f>VLOOKUP(NoviaFunds[[#This Row],[ISIN]],'Novia Web Query'!$A:$E,5,FALSE)</f>
        <v>31/12/2020</v>
      </c>
      <c r="F3813" t="e">
        <f>VLOOKUP(NoviaFunds[[#This Row],[Sector]],Sectors[],2,FALSE)</f>
        <v>#N/A</v>
      </c>
    </row>
    <row r="3814" spans="1:6" x14ac:dyDescent="0.2">
      <c r="A3814" t="str">
        <f>'Novia Web Query'!A3810</f>
        <v>GB00BYPHP973</v>
      </c>
      <c r="B3814" t="str">
        <f>VLOOKUP(NoviaFunds[[#This Row],[ISIN]],'Novia Web Query'!$A:$E,2,FALSE)</f>
        <v>Standard Life Investments UK Real Estate Feeder Ret Acc GBP in GB</v>
      </c>
      <c r="C3814" t="str">
        <f>VLOOKUP(NoviaFunds[[#This Row],[ISIN]],'Novia Web Query'!$A:$E,3,FALSE)</f>
        <v>UT UK Direct Property</v>
      </c>
      <c r="D3814" s="139">
        <f>VLOOKUP(NoviaFunds[[#This Row],[ISIN]],'Novia Web Query'!$A:$E,4,FALSE)/100</f>
        <v>1.32E-2</v>
      </c>
      <c r="E3814" s="3" t="str">
        <f>VLOOKUP(NoviaFunds[[#This Row],[ISIN]],'Novia Web Query'!$A:$E,5,FALSE)</f>
        <v>31/12/2020</v>
      </c>
      <c r="F3814" t="e">
        <f>VLOOKUP(NoviaFunds[[#This Row],[Sector]],Sectors[],2,FALSE)</f>
        <v>#N/A</v>
      </c>
    </row>
    <row r="3815" spans="1:6" x14ac:dyDescent="0.2">
      <c r="A3815" t="str">
        <f>'Novia Web Query'!A3811</f>
        <v>GB0033874214</v>
      </c>
      <c r="B3815" t="str">
        <f>VLOOKUP(NoviaFunds[[#This Row],[ISIN]],'Novia Web Query'!$A:$E,2,FALSE)</f>
        <v>Stewart Investors Asia Pacific Leaders Sustainability A GBP Acc in GB</v>
      </c>
      <c r="C3815" t="str">
        <f>VLOOKUP(NoviaFunds[[#This Row],[ISIN]],'Novia Web Query'!$A:$E,3,FALSE)</f>
        <v>UT Asia Pacific Excluding Japan</v>
      </c>
      <c r="D3815" s="139">
        <f>VLOOKUP(NoviaFunds[[#This Row],[ISIN]],'Novia Web Query'!$A:$E,4,FALSE)/100</f>
        <v>1.4999999999999999E-2</v>
      </c>
      <c r="E3815" s="3" t="str">
        <f>VLOOKUP(NoviaFunds[[#This Row],[ISIN]],'Novia Web Query'!$A:$E,5,FALSE)</f>
        <v>30/11/2021</v>
      </c>
      <c r="F3815" t="str">
        <f>VLOOKUP(NoviaFunds[[#This Row],[Sector]],Sectors[],2,FALSE)</f>
        <v>Asia Pacific</v>
      </c>
    </row>
    <row r="3816" spans="1:6" x14ac:dyDescent="0.2">
      <c r="A3816" t="str">
        <f>'Novia Web Query'!A3812</f>
        <v>GB00B54S3722</v>
      </c>
      <c r="B3816" t="str">
        <f>VLOOKUP(NoviaFunds[[#This Row],[ISIN]],'Novia Web Query'!$A:$E,2,FALSE)</f>
        <v>Stewart Investors Asia Pacific Leaders Sustainability A GBP Inc TR in GB</v>
      </c>
      <c r="C3816" t="str">
        <f>VLOOKUP(NoviaFunds[[#This Row],[ISIN]],'Novia Web Query'!$A:$E,3,FALSE)</f>
        <v>UT Asia Pacific Excluding Japan</v>
      </c>
      <c r="D3816" s="139">
        <f>VLOOKUP(NoviaFunds[[#This Row],[ISIN]],'Novia Web Query'!$A:$E,4,FALSE)/100</f>
        <v>1.5800000000000002E-2</v>
      </c>
      <c r="E3816" s="3" t="str">
        <f>VLOOKUP(NoviaFunds[[#This Row],[ISIN]],'Novia Web Query'!$A:$E,5,FALSE)</f>
        <v>30/11/2021</v>
      </c>
      <c r="F3816" t="str">
        <f>VLOOKUP(NoviaFunds[[#This Row],[Sector]],Sectors[],2,FALSE)</f>
        <v>Asia Pacific</v>
      </c>
    </row>
    <row r="3817" spans="1:6" x14ac:dyDescent="0.2">
      <c r="A3817" t="str">
        <f>'Novia Web Query'!A3813</f>
        <v>GB0033874768</v>
      </c>
      <c r="B3817" t="str">
        <f>VLOOKUP(NoviaFunds[[#This Row],[ISIN]],'Novia Web Query'!$A:$E,2,FALSE)</f>
        <v>Stewart Investors Asia Pacific Leaders Sustainability B Acc GBP in GB</v>
      </c>
      <c r="C3817" t="str">
        <f>VLOOKUP(NoviaFunds[[#This Row],[ISIN]],'Novia Web Query'!$A:$E,3,FALSE)</f>
        <v>UT Asia Pacific Excluding Japan</v>
      </c>
      <c r="D3817" s="139">
        <f>VLOOKUP(NoviaFunds[[#This Row],[ISIN]],'Novia Web Query'!$A:$E,4,FALSE)/100</f>
        <v>8.3999999999999995E-3</v>
      </c>
      <c r="E3817" s="3" t="str">
        <f>VLOOKUP(NoviaFunds[[#This Row],[ISIN]],'Novia Web Query'!$A:$E,5,FALSE)</f>
        <v>30/11/2021</v>
      </c>
      <c r="F3817" t="str">
        <f>VLOOKUP(NoviaFunds[[#This Row],[Sector]],Sectors[],2,FALSE)</f>
        <v>Asia Pacific</v>
      </c>
    </row>
    <row r="3818" spans="1:6" x14ac:dyDescent="0.2">
      <c r="A3818" t="str">
        <f>'Novia Web Query'!A3814</f>
        <v>GB00B57S0V20</v>
      </c>
      <c r="B3818" t="str">
        <f>VLOOKUP(NoviaFunds[[#This Row],[ISIN]],'Novia Web Query'!$A:$E,2,FALSE)</f>
        <v>Stewart Investors Asia Pacific Leaders Sustainability B Inc GBP TR in GB**</v>
      </c>
      <c r="C3818" t="str">
        <f>VLOOKUP(NoviaFunds[[#This Row],[ISIN]],'Novia Web Query'!$A:$E,3,FALSE)</f>
        <v>UT Asia Pacific Excluding Japan</v>
      </c>
      <c r="D3818" s="139">
        <f>VLOOKUP(NoviaFunds[[#This Row],[ISIN]],'Novia Web Query'!$A:$E,4,FALSE)/100</f>
        <v>8.5000000000000006E-3</v>
      </c>
      <c r="E3818" s="3" t="str">
        <f>VLOOKUP(NoviaFunds[[#This Row],[ISIN]],'Novia Web Query'!$A:$E,5,FALSE)</f>
        <v>30/11/2021</v>
      </c>
      <c r="F3818" t="str">
        <f>VLOOKUP(NoviaFunds[[#This Row],[Sector]],Sectors[],2,FALSE)</f>
        <v>Asia Pacific</v>
      </c>
    </row>
    <row r="3819" spans="1:6" x14ac:dyDescent="0.2">
      <c r="A3819" t="str">
        <f>'Novia Web Query'!A3815</f>
        <v>GB00B0TY6S22</v>
      </c>
      <c r="B3819" t="str">
        <f>VLOOKUP(NoviaFunds[[#This Row],[ISIN]],'Novia Web Query'!$A:$E,2,FALSE)</f>
        <v>Stewart Investors Asia Pacific Sustainab. A GBP Acc in GB</v>
      </c>
      <c r="C3819" t="str">
        <f>VLOOKUP(NoviaFunds[[#This Row],[ISIN]],'Novia Web Query'!$A:$E,3,FALSE)</f>
        <v>UT Asia Pacific Excluding Japan</v>
      </c>
      <c r="D3819" s="139">
        <f>VLOOKUP(NoviaFunds[[#This Row],[ISIN]],'Novia Web Query'!$A:$E,4,FALSE)/100</f>
        <v>1.67E-2</v>
      </c>
      <c r="E3819" s="3" t="str">
        <f>VLOOKUP(NoviaFunds[[#This Row],[ISIN]],'Novia Web Query'!$A:$E,5,FALSE)</f>
        <v>30/11/2021</v>
      </c>
      <c r="F3819" t="str">
        <f>VLOOKUP(NoviaFunds[[#This Row],[Sector]],Sectors[],2,FALSE)</f>
        <v>Asia Pacific</v>
      </c>
    </row>
    <row r="3820" spans="1:6" x14ac:dyDescent="0.2">
      <c r="A3820" t="str">
        <f>'Novia Web Query'!A3816</f>
        <v>GB00B0TY6V50</v>
      </c>
      <c r="B3820" t="str">
        <f>VLOOKUP(NoviaFunds[[#This Row],[ISIN]],'Novia Web Query'!$A:$E,2,FALSE)</f>
        <v>Stewart Investors Asia Pacific Sustainab. B GBP Acc in GB</v>
      </c>
      <c r="C3820" t="str">
        <f>VLOOKUP(NoviaFunds[[#This Row],[ISIN]],'Novia Web Query'!$A:$E,3,FALSE)</f>
        <v>UT Asia Pacific Excluding Japan</v>
      </c>
      <c r="D3820" s="139">
        <f>VLOOKUP(NoviaFunds[[#This Row],[ISIN]],'Novia Web Query'!$A:$E,4,FALSE)/100</f>
        <v>9.4999999999999998E-3</v>
      </c>
      <c r="E3820" s="3" t="str">
        <f>VLOOKUP(NoviaFunds[[#This Row],[ISIN]],'Novia Web Query'!$A:$E,5,FALSE)</f>
        <v>30/11/2021</v>
      </c>
      <c r="F3820" t="str">
        <f>VLOOKUP(NoviaFunds[[#This Row],[Sector]],Sectors[],2,FALSE)</f>
        <v>Asia Pacific</v>
      </c>
    </row>
    <row r="3821" spans="1:6" x14ac:dyDescent="0.2">
      <c r="A3821" t="str">
        <f>'Novia Web Query'!A3817</f>
        <v>GB0030183890</v>
      </c>
      <c r="B3821" t="str">
        <f>VLOOKUP(NoviaFunds[[#This Row],[ISIN]],'Novia Web Query'!$A:$E,2,FALSE)</f>
        <v>Stewart Investors Asia Pcfic and Japan Sustblty A GBP Acc in GB</v>
      </c>
      <c r="C3821" t="str">
        <f>VLOOKUP(NoviaFunds[[#This Row],[ISIN]],'Novia Web Query'!$A:$E,3,FALSE)</f>
        <v>UT Asia Pacific Including Japan</v>
      </c>
      <c r="D3821" s="139">
        <f>VLOOKUP(NoviaFunds[[#This Row],[ISIN]],'Novia Web Query'!$A:$E,4,FALSE)/100</f>
        <v>1.61E-2</v>
      </c>
      <c r="E3821" s="3" t="str">
        <f>VLOOKUP(NoviaFunds[[#This Row],[ISIN]],'Novia Web Query'!$A:$E,5,FALSE)</f>
        <v>30/11/2021</v>
      </c>
      <c r="F3821" t="str">
        <f>VLOOKUP(NoviaFunds[[#This Row],[Sector]],Sectors[],2,FALSE)</f>
        <v>Asia Pacific</v>
      </c>
    </row>
    <row r="3822" spans="1:6" x14ac:dyDescent="0.2">
      <c r="A3822" t="str">
        <f>'Novia Web Query'!A3818</f>
        <v>GB00B50G1435</v>
      </c>
      <c r="B3822" t="str">
        <f>VLOOKUP(NoviaFunds[[#This Row],[ISIN]],'Novia Web Query'!$A:$E,2,FALSE)</f>
        <v>Stewart Investors Asia Pcfic and Japan Sustblty A GBP Inc TR in GB</v>
      </c>
      <c r="C3822" t="str">
        <f>VLOOKUP(NoviaFunds[[#This Row],[ISIN]],'Novia Web Query'!$A:$E,3,FALSE)</f>
        <v>UT Asia Pacific Including Japan</v>
      </c>
      <c r="D3822" s="139">
        <f>VLOOKUP(NoviaFunds[[#This Row],[ISIN]],'Novia Web Query'!$A:$E,4,FALSE)/100</f>
        <v>1.6500000000000001E-2</v>
      </c>
      <c r="E3822" s="3" t="str">
        <f>VLOOKUP(NoviaFunds[[#This Row],[ISIN]],'Novia Web Query'!$A:$E,5,FALSE)</f>
        <v>30/11/2021</v>
      </c>
      <c r="F3822" t="str">
        <f>VLOOKUP(NoviaFunds[[#This Row],[Sector]],Sectors[],2,FALSE)</f>
        <v>Asia Pacific</v>
      </c>
    </row>
    <row r="3823" spans="1:6" x14ac:dyDescent="0.2">
      <c r="A3823" t="str">
        <f>'Novia Web Query'!A3819</f>
        <v>GB0030184088</v>
      </c>
      <c r="B3823" t="str">
        <f>VLOOKUP(NoviaFunds[[#This Row],[ISIN]],'Novia Web Query'!$A:$E,2,FALSE)</f>
        <v>Stewart Investors Asia Pcfic and Japan Sustblty B GBP Acc in GB**</v>
      </c>
      <c r="C3823" t="str">
        <f>VLOOKUP(NoviaFunds[[#This Row],[ISIN]],'Novia Web Query'!$A:$E,3,FALSE)</f>
        <v>UT Asia Pacific Including Japan</v>
      </c>
      <c r="D3823" s="139">
        <f>VLOOKUP(NoviaFunds[[#This Row],[ISIN]],'Novia Web Query'!$A:$E,4,FALSE)/100</f>
        <v>9.1000000000000004E-3</v>
      </c>
      <c r="E3823" s="3" t="str">
        <f>VLOOKUP(NoviaFunds[[#This Row],[ISIN]],'Novia Web Query'!$A:$E,5,FALSE)</f>
        <v>30/11/2021</v>
      </c>
      <c r="F3823" t="str">
        <f>VLOOKUP(NoviaFunds[[#This Row],[Sector]],Sectors[],2,FALSE)</f>
        <v>Asia Pacific</v>
      </c>
    </row>
    <row r="3824" spans="1:6" x14ac:dyDescent="0.2">
      <c r="A3824" t="str">
        <f>'Novia Web Query'!A3820</f>
        <v>GB00B57XX416</v>
      </c>
      <c r="B3824" t="str">
        <f>VLOOKUP(NoviaFunds[[#This Row],[ISIN]],'Novia Web Query'!$A:$E,2,FALSE)</f>
        <v>Stewart Investors Asia Pcfic and Japan Sustblty B GBP Inc TR in GB**</v>
      </c>
      <c r="C3824" t="str">
        <f>VLOOKUP(NoviaFunds[[#This Row],[ISIN]],'Novia Web Query'!$A:$E,3,FALSE)</f>
        <v>UT Asia Pacific Including Japan</v>
      </c>
      <c r="D3824" s="139">
        <f>VLOOKUP(NoviaFunds[[#This Row],[ISIN]],'Novia Web Query'!$A:$E,4,FALSE)/100</f>
        <v>9.1999999999999998E-3</v>
      </c>
      <c r="E3824" s="3" t="str">
        <f>VLOOKUP(NoviaFunds[[#This Row],[ISIN]],'Novia Web Query'!$A:$E,5,FALSE)</f>
        <v>30/11/2021</v>
      </c>
      <c r="F3824" t="str">
        <f>VLOOKUP(NoviaFunds[[#This Row],[Sector]],Sectors[],2,FALSE)</f>
        <v>Asia Pacific</v>
      </c>
    </row>
    <row r="3825" spans="1:6" x14ac:dyDescent="0.2">
      <c r="A3825" t="str">
        <f>'Novia Web Query'!A3821</f>
        <v>GB0030190366</v>
      </c>
      <c r="B3825" t="str">
        <f>VLOOKUP(NoviaFunds[[#This Row],[ISIN]],'Novia Web Query'!$A:$E,2,FALSE)</f>
        <v>Stewart Investors Global Emerging Markets A GBP Acc in GB</v>
      </c>
      <c r="C3825" t="str">
        <f>VLOOKUP(NoviaFunds[[#This Row],[ISIN]],'Novia Web Query'!$A:$E,3,FALSE)</f>
        <v>UT Specialist</v>
      </c>
      <c r="D3825" s="139">
        <f>VLOOKUP(NoviaFunds[[#This Row],[ISIN]],'Novia Web Query'!$A:$E,4,FALSE)/100</f>
        <v>1.8500000000000003E-2</v>
      </c>
      <c r="E3825" s="3" t="str">
        <f>VLOOKUP(NoviaFunds[[#This Row],[ISIN]],'Novia Web Query'!$A:$E,5,FALSE)</f>
        <v>30/11/2021</v>
      </c>
      <c r="F3825" t="str">
        <f>VLOOKUP(NoviaFunds[[#This Row],[Sector]],Sectors[],2,FALSE)</f>
        <v>Specialist</v>
      </c>
    </row>
    <row r="3826" spans="1:6" x14ac:dyDescent="0.2">
      <c r="A3826" t="str">
        <f>'Novia Web Query'!A3822</f>
        <v>GB0030187438</v>
      </c>
      <c r="B3826" t="str">
        <f>VLOOKUP(NoviaFunds[[#This Row],[ISIN]],'Novia Web Query'!$A:$E,2,FALSE)</f>
        <v>Stewart Investors Global Emerging Markets B GBP Acc in GB**</v>
      </c>
      <c r="C3826" t="str">
        <f>VLOOKUP(NoviaFunds[[#This Row],[ISIN]],'Novia Web Query'!$A:$E,3,FALSE)</f>
        <v>UT Specialist</v>
      </c>
      <c r="D3826" s="139">
        <f>VLOOKUP(NoviaFunds[[#This Row],[ISIN]],'Novia Web Query'!$A:$E,4,FALSE)/100</f>
        <v>0.01</v>
      </c>
      <c r="E3826" s="3" t="str">
        <f>VLOOKUP(NoviaFunds[[#This Row],[ISIN]],'Novia Web Query'!$A:$E,5,FALSE)</f>
        <v>30/11/2021</v>
      </c>
      <c r="F3826" t="str">
        <f>VLOOKUP(NoviaFunds[[#This Row],[Sector]],Sectors[],2,FALSE)</f>
        <v>Specialist</v>
      </c>
    </row>
    <row r="3827" spans="1:6" x14ac:dyDescent="0.2">
      <c r="A3827" t="str">
        <f>'Novia Web Query'!A3823</f>
        <v>GB0033873919</v>
      </c>
      <c r="B3827" t="str">
        <f>VLOOKUP(NoviaFunds[[#This Row],[ISIN]],'Novia Web Query'!$A:$E,2,FALSE)</f>
        <v>Stewart Investors Global Emerging Markets Leaders A GBP Acc in GB</v>
      </c>
      <c r="C3827" t="str">
        <f>VLOOKUP(NoviaFunds[[#This Row],[ISIN]],'Novia Web Query'!$A:$E,3,FALSE)</f>
        <v>UT Specialist</v>
      </c>
      <c r="D3827" s="139">
        <f>VLOOKUP(NoviaFunds[[#This Row],[ISIN]],'Novia Web Query'!$A:$E,4,FALSE)/100</f>
        <v>1.52E-2</v>
      </c>
      <c r="E3827" s="3" t="str">
        <f>VLOOKUP(NoviaFunds[[#This Row],[ISIN]],'Novia Web Query'!$A:$E,5,FALSE)</f>
        <v>30/11/2021</v>
      </c>
      <c r="F3827" t="str">
        <f>VLOOKUP(NoviaFunds[[#This Row],[Sector]],Sectors[],2,FALSE)</f>
        <v>Specialist</v>
      </c>
    </row>
    <row r="3828" spans="1:6" x14ac:dyDescent="0.2">
      <c r="A3828" t="str">
        <f>'Novia Web Query'!A3824</f>
        <v>GB0033874545</v>
      </c>
      <c r="B3828" t="str">
        <f>VLOOKUP(NoviaFunds[[#This Row],[ISIN]],'Novia Web Query'!$A:$E,2,FALSE)</f>
        <v>Stewart Investors Global Emerging Markets Leaders B GBP Acc in GB</v>
      </c>
      <c r="C3828" t="str">
        <f>VLOOKUP(NoviaFunds[[#This Row],[ISIN]],'Novia Web Query'!$A:$E,3,FALSE)</f>
        <v>UT Specialist</v>
      </c>
      <c r="D3828" s="139">
        <f>VLOOKUP(NoviaFunds[[#This Row],[ISIN]],'Novia Web Query'!$A:$E,4,FALSE)/100</f>
        <v>8.6E-3</v>
      </c>
      <c r="E3828" s="3" t="str">
        <f>VLOOKUP(NoviaFunds[[#This Row],[ISIN]],'Novia Web Query'!$A:$E,5,FALSE)</f>
        <v>30/11/2021</v>
      </c>
      <c r="F3828" t="str">
        <f>VLOOKUP(NoviaFunds[[#This Row],[Sector]],Sectors[],2,FALSE)</f>
        <v>Specialist</v>
      </c>
    </row>
    <row r="3829" spans="1:6" x14ac:dyDescent="0.2">
      <c r="A3829" t="str">
        <f>'Novia Web Query'!A3825</f>
        <v>GB00B8DJC361</v>
      </c>
      <c r="B3829" t="str">
        <f>VLOOKUP(NoviaFunds[[#This Row],[ISIN]],'Novia Web Query'!$A:$E,2,FALSE)</f>
        <v>Stewart Investors Global Emerging Markets Leaders B GBP Inc TR in GB**</v>
      </c>
      <c r="C3829" t="str">
        <f>VLOOKUP(NoviaFunds[[#This Row],[ISIN]],'Novia Web Query'!$A:$E,3,FALSE)</f>
        <v>UT Specialist</v>
      </c>
      <c r="D3829" s="139">
        <f>VLOOKUP(NoviaFunds[[#This Row],[ISIN]],'Novia Web Query'!$A:$E,4,FALSE)/100</f>
        <v>8.8000000000000005E-3</v>
      </c>
      <c r="E3829" s="3" t="str">
        <f>VLOOKUP(NoviaFunds[[#This Row],[ISIN]],'Novia Web Query'!$A:$E,5,FALSE)</f>
        <v>30/11/2021</v>
      </c>
      <c r="F3829" t="str">
        <f>VLOOKUP(NoviaFunds[[#This Row],[Sector]],Sectors[],2,FALSE)</f>
        <v>Specialist</v>
      </c>
    </row>
    <row r="3830" spans="1:6" x14ac:dyDescent="0.2">
      <c r="A3830" t="str">
        <f>'Novia Web Query'!A3826</f>
        <v>GB00B64TS881</v>
      </c>
      <c r="B3830" t="str">
        <f>VLOOKUP(NoviaFunds[[#This Row],[ISIN]],'Novia Web Query'!$A:$E,2,FALSE)</f>
        <v>Stewart Investors Global Emerging Markets Sustainability A GBP Acc in GB</v>
      </c>
      <c r="C3830" t="str">
        <f>VLOOKUP(NoviaFunds[[#This Row],[ISIN]],'Novia Web Query'!$A:$E,3,FALSE)</f>
        <v>UT Specialist</v>
      </c>
      <c r="D3830" s="139">
        <f>VLOOKUP(NoviaFunds[[#This Row],[ISIN]],'Novia Web Query'!$A:$E,4,FALSE)/100</f>
        <v>1.7399999999999999E-2</v>
      </c>
      <c r="E3830" s="3" t="str">
        <f>VLOOKUP(NoviaFunds[[#This Row],[ISIN]],'Novia Web Query'!$A:$E,5,FALSE)</f>
        <v>30/11/2021</v>
      </c>
      <c r="F3830" t="str">
        <f>VLOOKUP(NoviaFunds[[#This Row],[Sector]],Sectors[],2,FALSE)</f>
        <v>Specialist</v>
      </c>
    </row>
    <row r="3831" spans="1:6" x14ac:dyDescent="0.2">
      <c r="A3831" t="str">
        <f>'Novia Web Query'!A3827</f>
        <v>GB00B64TS998</v>
      </c>
      <c r="B3831" t="str">
        <f>VLOOKUP(NoviaFunds[[#This Row],[ISIN]],'Novia Web Query'!$A:$E,2,FALSE)</f>
        <v>Stewart Investors Global Emerging Markets Sustainability B GBP Acc in GB</v>
      </c>
      <c r="C3831" t="str">
        <f>VLOOKUP(NoviaFunds[[#This Row],[ISIN]],'Novia Web Query'!$A:$E,3,FALSE)</f>
        <v>UT Specialist</v>
      </c>
      <c r="D3831" s="139">
        <f>VLOOKUP(NoviaFunds[[#This Row],[ISIN]],'Novia Web Query'!$A:$E,4,FALSE)/100</f>
        <v>9.3999999999999986E-3</v>
      </c>
      <c r="E3831" s="3" t="str">
        <f>VLOOKUP(NoviaFunds[[#This Row],[ISIN]],'Novia Web Query'!$A:$E,5,FALSE)</f>
        <v>30/11/2021</v>
      </c>
      <c r="F3831" t="str">
        <f>VLOOKUP(NoviaFunds[[#This Row],[Sector]],Sectors[],2,FALSE)</f>
        <v>Specialist</v>
      </c>
    </row>
    <row r="3832" spans="1:6" x14ac:dyDescent="0.2">
      <c r="A3832" t="str">
        <f>'Novia Web Query'!A3828</f>
        <v>GB00B1FXTF86</v>
      </c>
      <c r="B3832" t="str">
        <f>VLOOKUP(NoviaFunds[[#This Row],[ISIN]],'Novia Web Query'!$A:$E,2,FALSE)</f>
        <v>Stewart Investors Indian Subcontinent Sustainability A GBP Acc in GB</v>
      </c>
      <c r="C3832" t="str">
        <f>VLOOKUP(NoviaFunds[[#This Row],[ISIN]],'Novia Web Query'!$A:$E,3,FALSE)</f>
        <v>UT India/Indian Subcontinent</v>
      </c>
      <c r="D3832" s="139">
        <f>VLOOKUP(NoviaFunds[[#This Row],[ISIN]],'Novia Web Query'!$A:$E,4,FALSE)/100</f>
        <v>1.8500000000000003E-2</v>
      </c>
      <c r="E3832" s="3" t="str">
        <f>VLOOKUP(NoviaFunds[[#This Row],[ISIN]],'Novia Web Query'!$A:$E,5,FALSE)</f>
        <v>30/11/2021</v>
      </c>
      <c r="F3832" t="e">
        <f>VLOOKUP(NoviaFunds[[#This Row],[Sector]],Sectors[],2,FALSE)</f>
        <v>#N/A</v>
      </c>
    </row>
    <row r="3833" spans="1:6" x14ac:dyDescent="0.2">
      <c r="A3833" t="str">
        <f>'Novia Web Query'!A3829</f>
        <v>GB00B1FXTG93</v>
      </c>
      <c r="B3833" t="str">
        <f>VLOOKUP(NoviaFunds[[#This Row],[ISIN]],'Novia Web Query'!$A:$E,2,FALSE)</f>
        <v>Stewart Investors Indian Subcontinent Sustainability B Acc GBP in GB**</v>
      </c>
      <c r="C3833" t="str">
        <f>VLOOKUP(NoviaFunds[[#This Row],[ISIN]],'Novia Web Query'!$A:$E,3,FALSE)</f>
        <v>UT India/Indian Subcontinent</v>
      </c>
      <c r="D3833" s="139">
        <f>VLOOKUP(NoviaFunds[[#This Row],[ISIN]],'Novia Web Query'!$A:$E,4,FALSE)/100</f>
        <v>1.11E-2</v>
      </c>
      <c r="E3833" s="3" t="str">
        <f>VLOOKUP(NoviaFunds[[#This Row],[ISIN]],'Novia Web Query'!$A:$E,5,FALSE)</f>
        <v>30/11/2021</v>
      </c>
      <c r="F3833" t="e">
        <f>VLOOKUP(NoviaFunds[[#This Row],[Sector]],Sectors[],2,FALSE)</f>
        <v>#N/A</v>
      </c>
    </row>
    <row r="3834" spans="1:6" x14ac:dyDescent="0.2">
      <c r="A3834" t="str">
        <f>'Novia Web Query'!A3830</f>
        <v>GB00B64TSD33</v>
      </c>
      <c r="B3834" t="str">
        <f>VLOOKUP(NoviaFunds[[#This Row],[ISIN]],'Novia Web Query'!$A:$E,2,FALSE)</f>
        <v>Stewart Investors Latin America A GBP Acc in GB</v>
      </c>
      <c r="C3834" t="str">
        <f>VLOOKUP(NoviaFunds[[#This Row],[ISIN]],'Novia Web Query'!$A:$E,3,FALSE)</f>
        <v>UT Latin America</v>
      </c>
      <c r="D3834" s="139">
        <f>VLOOKUP(NoviaFunds[[#This Row],[ISIN]],'Novia Web Query'!$A:$E,4,FALSE)/100</f>
        <v>1.8799999999999997E-2</v>
      </c>
      <c r="E3834" s="3" t="str">
        <f>VLOOKUP(NoviaFunds[[#This Row],[ISIN]],'Novia Web Query'!$A:$E,5,FALSE)</f>
        <v>30/11/2021</v>
      </c>
      <c r="F3834" t="e">
        <f>VLOOKUP(NoviaFunds[[#This Row],[Sector]],Sectors[],2,FALSE)</f>
        <v>#N/A</v>
      </c>
    </row>
    <row r="3835" spans="1:6" x14ac:dyDescent="0.2">
      <c r="A3835" t="str">
        <f>'Novia Web Query'!A3831</f>
        <v>GB00B64TSF56</v>
      </c>
      <c r="B3835" t="str">
        <f>VLOOKUP(NoviaFunds[[#This Row],[ISIN]],'Novia Web Query'!$A:$E,2,FALSE)</f>
        <v>Stewart Investors Latin America B GBP Acc in GB</v>
      </c>
      <c r="C3835" t="str">
        <f>VLOOKUP(NoviaFunds[[#This Row],[ISIN]],'Novia Web Query'!$A:$E,3,FALSE)</f>
        <v>UT Latin America</v>
      </c>
      <c r="D3835" s="139">
        <f>VLOOKUP(NoviaFunds[[#This Row],[ISIN]],'Novia Web Query'!$A:$E,4,FALSE)/100</f>
        <v>1.0200000000000001E-2</v>
      </c>
      <c r="E3835" s="3" t="str">
        <f>VLOOKUP(NoviaFunds[[#This Row],[ISIN]],'Novia Web Query'!$A:$E,5,FALSE)</f>
        <v>30/11/2021</v>
      </c>
      <c r="F3835" t="e">
        <f>VLOOKUP(NoviaFunds[[#This Row],[Sector]],Sectors[],2,FALSE)</f>
        <v>#N/A</v>
      </c>
    </row>
    <row r="3836" spans="1:6" x14ac:dyDescent="0.2">
      <c r="A3836" t="str">
        <f>'Novia Web Query'!A3832</f>
        <v>GB0030978612</v>
      </c>
      <c r="B3836" t="str">
        <f>VLOOKUP(NoviaFunds[[#This Row],[ISIN]],'Novia Web Query'!$A:$E,2,FALSE)</f>
        <v>Stewart Investors Worldw. Lead. Sust. A Acc GBP in GB</v>
      </c>
      <c r="C3836" t="str">
        <f>VLOOKUP(NoviaFunds[[#This Row],[ISIN]],'Novia Web Query'!$A:$E,3,FALSE)</f>
        <v>UT Global</v>
      </c>
      <c r="D3836" s="139">
        <f>VLOOKUP(NoviaFunds[[#This Row],[ISIN]],'Novia Web Query'!$A:$E,4,FALSE)/100</f>
        <v>1.4499999999999999E-2</v>
      </c>
      <c r="E3836" s="3" t="str">
        <f>VLOOKUP(NoviaFunds[[#This Row],[ISIN]],'Novia Web Query'!$A:$E,5,FALSE)</f>
        <v>30/11/2021</v>
      </c>
      <c r="F3836" t="str">
        <f>VLOOKUP(NoviaFunds[[#This Row],[Sector]],Sectors[],2,FALSE)</f>
        <v>Other Equities</v>
      </c>
    </row>
    <row r="3837" spans="1:6" x14ac:dyDescent="0.2">
      <c r="A3837" t="str">
        <f>'Novia Web Query'!A3833</f>
        <v>GB0030978729</v>
      </c>
      <c r="B3837" t="str">
        <f>VLOOKUP(NoviaFunds[[#This Row],[ISIN]],'Novia Web Query'!$A:$E,2,FALSE)</f>
        <v>Stewart Investors Worldw. Lead. Sust. B GBP Acc in GB**</v>
      </c>
      <c r="C3837" t="str">
        <f>VLOOKUP(NoviaFunds[[#This Row],[ISIN]],'Novia Web Query'!$A:$E,3,FALSE)</f>
        <v>UT Global</v>
      </c>
      <c r="D3837" s="139">
        <f>VLOOKUP(NoviaFunds[[#This Row],[ISIN]],'Novia Web Query'!$A:$E,4,FALSE)/100</f>
        <v>6.9999999999999993E-3</v>
      </c>
      <c r="E3837" s="3" t="str">
        <f>VLOOKUP(NoviaFunds[[#This Row],[ISIN]],'Novia Web Query'!$A:$E,5,FALSE)</f>
        <v>30/11/2021</v>
      </c>
      <c r="F3837" t="str">
        <f>VLOOKUP(NoviaFunds[[#This Row],[Sector]],Sectors[],2,FALSE)</f>
        <v>Other Equities</v>
      </c>
    </row>
    <row r="3838" spans="1:6" x14ac:dyDescent="0.2">
      <c r="A3838" t="str">
        <f>'Novia Web Query'!A3834</f>
        <v>GB00B7W30613</v>
      </c>
      <c r="B3838" t="str">
        <f>VLOOKUP(NoviaFunds[[#This Row],[ISIN]],'Novia Web Query'!$A:$E,2,FALSE)</f>
        <v>Stewart Investors Worldwide Sustainab. B Acc GBP in GB</v>
      </c>
      <c r="C3838" t="str">
        <f>VLOOKUP(NoviaFunds[[#This Row],[ISIN]],'Novia Web Query'!$A:$E,3,FALSE)</f>
        <v>UT Global</v>
      </c>
      <c r="D3838" s="139">
        <f>VLOOKUP(NoviaFunds[[#This Row],[ISIN]],'Novia Web Query'!$A:$E,4,FALSE)/100</f>
        <v>6.7000000000000002E-3</v>
      </c>
      <c r="E3838" s="3" t="str">
        <f>VLOOKUP(NoviaFunds[[#This Row],[ISIN]],'Novia Web Query'!$A:$E,5,FALSE)</f>
        <v>30/11/2021</v>
      </c>
      <c r="F3838" t="str">
        <f>VLOOKUP(NoviaFunds[[#This Row],[Sector]],Sectors[],2,FALSE)</f>
        <v>Other Equities</v>
      </c>
    </row>
    <row r="3839" spans="1:6" x14ac:dyDescent="0.2">
      <c r="A3839" t="str">
        <f>'Novia Web Query'!A3835</f>
        <v>GB00B8319S60</v>
      </c>
      <c r="B3839" t="str">
        <f>VLOOKUP(NoviaFunds[[#This Row],[ISIN]],'Novia Web Query'!$A:$E,2,FALSE)</f>
        <v>Stewart Investors Worldwide Sustainab. B Inc GBP TR in GB</v>
      </c>
      <c r="C3839" t="str">
        <f>VLOOKUP(NoviaFunds[[#This Row],[ISIN]],'Novia Web Query'!$A:$E,3,FALSE)</f>
        <v>UT Global</v>
      </c>
      <c r="D3839" s="139">
        <f>VLOOKUP(NoviaFunds[[#This Row],[ISIN]],'Novia Web Query'!$A:$E,4,FALSE)/100</f>
        <v>6.7000000000000002E-3</v>
      </c>
      <c r="E3839" s="3" t="str">
        <f>VLOOKUP(NoviaFunds[[#This Row],[ISIN]],'Novia Web Query'!$A:$E,5,FALSE)</f>
        <v>30/11/2021</v>
      </c>
      <c r="F3839" t="str">
        <f>VLOOKUP(NoviaFunds[[#This Row],[Sector]],Sectors[],2,FALSE)</f>
        <v>Other Equities</v>
      </c>
    </row>
    <row r="3840" spans="1:6" x14ac:dyDescent="0.2">
      <c r="A3840" t="str">
        <f>'Novia Web Query'!A3836</f>
        <v>GB00B1FL7S17</v>
      </c>
      <c r="B3840" t="str">
        <f>VLOOKUP(NoviaFunds[[#This Row],[ISIN]],'Novia Web Query'!$A:$E,2,FALSE)</f>
        <v>SVM All Europe SRI A in GB</v>
      </c>
      <c r="C3840" t="str">
        <f>VLOOKUP(NoviaFunds[[#This Row],[ISIN]],'Novia Web Query'!$A:$E,3,FALSE)</f>
        <v>UT Europe Including UK</v>
      </c>
      <c r="D3840" s="139">
        <f>VLOOKUP(NoviaFunds[[#This Row],[ISIN]],'Novia Web Query'!$A:$E,4,FALSE)/100</f>
        <v>1.9799999999999998E-2</v>
      </c>
      <c r="E3840" s="3" t="str">
        <f>VLOOKUP(NoviaFunds[[#This Row],[ISIN]],'Novia Web Query'!$A:$E,5,FALSE)</f>
        <v>30/06/2020</v>
      </c>
      <c r="F3840" t="str">
        <f>VLOOKUP(NoviaFunds[[#This Row],[Sector]],Sectors[],2,FALSE)</f>
        <v>European Equities</v>
      </c>
    </row>
    <row r="3841" spans="1:6" x14ac:dyDescent="0.2">
      <c r="A3841" t="str">
        <f>'Novia Web Query'!A3837</f>
        <v>GB00B1FL7V46</v>
      </c>
      <c r="B3841" t="str">
        <f>VLOOKUP(NoviaFunds[[#This Row],[ISIN]],'Novia Web Query'!$A:$E,2,FALSE)</f>
        <v>SVM All Europe SRI B in GB</v>
      </c>
      <c r="C3841" t="str">
        <f>VLOOKUP(NoviaFunds[[#This Row],[ISIN]],'Novia Web Query'!$A:$E,3,FALSE)</f>
        <v>UT Europe Including UK</v>
      </c>
      <c r="D3841" s="139">
        <f>VLOOKUP(NoviaFunds[[#This Row],[ISIN]],'Novia Web Query'!$A:$E,4,FALSE)/100</f>
        <v>1.23E-2</v>
      </c>
      <c r="E3841" s="3" t="str">
        <f>VLOOKUP(NoviaFunds[[#This Row],[ISIN]],'Novia Web Query'!$A:$E,5,FALSE)</f>
        <v>30/06/2020</v>
      </c>
      <c r="F3841" t="str">
        <f>VLOOKUP(NoviaFunds[[#This Row],[Sector]],Sectors[],2,FALSE)</f>
        <v>European Equities</v>
      </c>
    </row>
    <row r="3842" spans="1:6" x14ac:dyDescent="0.2">
      <c r="A3842" t="str">
        <f>'Novia Web Query'!A3838</f>
        <v>GB0032094954</v>
      </c>
      <c r="B3842" t="str">
        <f>VLOOKUP(NoviaFunds[[#This Row],[ISIN]],'Novia Web Query'!$A:$E,2,FALSE)</f>
        <v>SVM Continental Europe B in GB</v>
      </c>
      <c r="C3842" t="str">
        <f>VLOOKUP(NoviaFunds[[#This Row],[ISIN]],'Novia Web Query'!$A:$E,3,FALSE)</f>
        <v>UT Europe Excluding UK</v>
      </c>
      <c r="D3842" s="139">
        <f>VLOOKUP(NoviaFunds[[#This Row],[ISIN]],'Novia Web Query'!$A:$E,4,FALSE)/100</f>
        <v>1.23E-2</v>
      </c>
      <c r="E3842" s="3" t="str">
        <f>VLOOKUP(NoviaFunds[[#This Row],[ISIN]],'Novia Web Query'!$A:$E,5,FALSE)</f>
        <v>30/06/2020</v>
      </c>
      <c r="F3842" t="str">
        <f>VLOOKUP(NoviaFunds[[#This Row],[Sector]],Sectors[],2,FALSE)</f>
        <v>European Equities</v>
      </c>
    </row>
    <row r="3843" spans="1:6" x14ac:dyDescent="0.2">
      <c r="A3843" t="str">
        <f>'Novia Web Query'!A3839</f>
        <v>GB0032064635</v>
      </c>
      <c r="B3843" t="str">
        <f>VLOOKUP(NoviaFunds[[#This Row],[ISIN]],'Novia Web Query'!$A:$E,2,FALSE)</f>
        <v>SVM UK Growth A in GB</v>
      </c>
      <c r="C3843" t="str">
        <f>VLOOKUP(NoviaFunds[[#This Row],[ISIN]],'Novia Web Query'!$A:$E,3,FALSE)</f>
        <v>UT UK All Companies</v>
      </c>
      <c r="D3843" s="139">
        <f>VLOOKUP(NoviaFunds[[#This Row],[ISIN]],'Novia Web Query'!$A:$E,4,FALSE)/100</f>
        <v>1.72E-2</v>
      </c>
      <c r="E3843" s="3" t="str">
        <f>VLOOKUP(NoviaFunds[[#This Row],[ISIN]],'Novia Web Query'!$A:$E,5,FALSE)</f>
        <v>30/06/2020</v>
      </c>
      <c r="F3843" t="str">
        <f>VLOOKUP(NoviaFunds[[#This Row],[Sector]],Sectors[],2,FALSE)</f>
        <v>UK Equities</v>
      </c>
    </row>
    <row r="3844" spans="1:6" x14ac:dyDescent="0.2">
      <c r="A3844" t="str">
        <f>'Novia Web Query'!A3840</f>
        <v>GB0032084708</v>
      </c>
      <c r="B3844" t="str">
        <f>VLOOKUP(NoviaFunds[[#This Row],[ISIN]],'Novia Web Query'!$A:$E,2,FALSE)</f>
        <v>SVM UK Growth B in GB</v>
      </c>
      <c r="C3844" t="str">
        <f>VLOOKUP(NoviaFunds[[#This Row],[ISIN]],'Novia Web Query'!$A:$E,3,FALSE)</f>
        <v>UT UK All Companies</v>
      </c>
      <c r="D3844" s="139">
        <f>VLOOKUP(NoviaFunds[[#This Row],[ISIN]],'Novia Web Query'!$A:$E,4,FALSE)/100</f>
        <v>9.7000000000000003E-3</v>
      </c>
      <c r="E3844" s="3" t="str">
        <f>VLOOKUP(NoviaFunds[[#This Row],[ISIN]],'Novia Web Query'!$A:$E,5,FALSE)</f>
        <v>30/06/2020</v>
      </c>
      <c r="F3844" t="str">
        <f>VLOOKUP(NoviaFunds[[#This Row],[Sector]],Sectors[],2,FALSE)</f>
        <v>UK Equities</v>
      </c>
    </row>
    <row r="3845" spans="1:6" x14ac:dyDescent="0.2">
      <c r="A3845" t="str">
        <f>'Novia Web Query'!A3841</f>
        <v>GB0032064304</v>
      </c>
      <c r="B3845" t="str">
        <f>VLOOKUP(NoviaFunds[[#This Row],[ISIN]],'Novia Web Query'!$A:$E,2,FALSE)</f>
        <v>SVM UK Opportunities A in GB</v>
      </c>
      <c r="C3845" t="str">
        <f>VLOOKUP(NoviaFunds[[#This Row],[ISIN]],'Novia Web Query'!$A:$E,3,FALSE)</f>
        <v>UT UK All Companies</v>
      </c>
      <c r="D3845" s="139">
        <f>VLOOKUP(NoviaFunds[[#This Row],[ISIN]],'Novia Web Query'!$A:$E,4,FALSE)/100</f>
        <v>1.7399999999999999E-2</v>
      </c>
      <c r="E3845" s="3" t="str">
        <f>VLOOKUP(NoviaFunds[[#This Row],[ISIN]],'Novia Web Query'!$A:$E,5,FALSE)</f>
        <v>30/06/2020</v>
      </c>
      <c r="F3845" t="str">
        <f>VLOOKUP(NoviaFunds[[#This Row],[Sector]],Sectors[],2,FALSE)</f>
        <v>UK Equities</v>
      </c>
    </row>
    <row r="3846" spans="1:6" x14ac:dyDescent="0.2">
      <c r="A3846" t="str">
        <f>'Novia Web Query'!A3842</f>
        <v>GB0032084815</v>
      </c>
      <c r="B3846" t="str">
        <f>VLOOKUP(NoviaFunds[[#This Row],[ISIN]],'Novia Web Query'!$A:$E,2,FALSE)</f>
        <v>SVM UK Opportunities B in GB</v>
      </c>
      <c r="C3846" t="str">
        <f>VLOOKUP(NoviaFunds[[#This Row],[ISIN]],'Novia Web Query'!$A:$E,3,FALSE)</f>
        <v>UT UK All Companies</v>
      </c>
      <c r="D3846" s="139">
        <f>VLOOKUP(NoviaFunds[[#This Row],[ISIN]],'Novia Web Query'!$A:$E,4,FALSE)/100</f>
        <v>9.8999999999999991E-3</v>
      </c>
      <c r="E3846" s="3" t="str">
        <f>VLOOKUP(NoviaFunds[[#This Row],[ISIN]],'Novia Web Query'!$A:$E,5,FALSE)</f>
        <v>30/06/2020</v>
      </c>
      <c r="F3846" t="str">
        <f>VLOOKUP(NoviaFunds[[#This Row],[Sector]],Sectors[],2,FALSE)</f>
        <v>UK Equities</v>
      </c>
    </row>
    <row r="3847" spans="1:6" x14ac:dyDescent="0.2">
      <c r="A3847" t="str">
        <f>'Novia Web Query'!A3843</f>
        <v>GB00B0KXRB86</v>
      </c>
      <c r="B3847" t="str">
        <f>VLOOKUP(NoviaFunds[[#This Row],[ISIN]],'Novia Web Query'!$A:$E,2,FALSE)</f>
        <v>SVM World Equity A in GB</v>
      </c>
      <c r="C3847" t="str">
        <f>VLOOKUP(NoviaFunds[[#This Row],[ISIN]],'Novia Web Query'!$A:$E,3,FALSE)</f>
        <v>UT Global</v>
      </c>
      <c r="D3847" s="139">
        <f>VLOOKUP(NoviaFunds[[#This Row],[ISIN]],'Novia Web Query'!$A:$E,4,FALSE)/100</f>
        <v>1.9699999999999999E-2</v>
      </c>
      <c r="E3847" s="3" t="str">
        <f>VLOOKUP(NoviaFunds[[#This Row],[ISIN]],'Novia Web Query'!$A:$E,5,FALSE)</f>
        <v>30/06/2020</v>
      </c>
      <c r="F3847" t="str">
        <f>VLOOKUP(NoviaFunds[[#This Row],[Sector]],Sectors[],2,FALSE)</f>
        <v>Other Equities</v>
      </c>
    </row>
    <row r="3848" spans="1:6" x14ac:dyDescent="0.2">
      <c r="A3848" t="str">
        <f>'Novia Web Query'!A3844</f>
        <v>GB00B0KXSK43</v>
      </c>
      <c r="B3848" t="str">
        <f>VLOOKUP(NoviaFunds[[#This Row],[ISIN]],'Novia Web Query'!$A:$E,2,FALSE)</f>
        <v>SVM World Equity B in GB</v>
      </c>
      <c r="C3848" t="str">
        <f>VLOOKUP(NoviaFunds[[#This Row],[ISIN]],'Novia Web Query'!$A:$E,3,FALSE)</f>
        <v>UT Global</v>
      </c>
      <c r="D3848" s="139">
        <f>VLOOKUP(NoviaFunds[[#This Row],[ISIN]],'Novia Web Query'!$A:$E,4,FALSE)/100</f>
        <v>1.2199999999999999E-2</v>
      </c>
      <c r="E3848" s="3" t="str">
        <f>VLOOKUP(NoviaFunds[[#This Row],[ISIN]],'Novia Web Query'!$A:$E,5,FALSE)</f>
        <v>30/06/2020</v>
      </c>
      <c r="F3848" t="str">
        <f>VLOOKUP(NoviaFunds[[#This Row],[Sector]],Sectors[],2,FALSE)</f>
        <v>Other Equities</v>
      </c>
    </row>
    <row r="3849" spans="1:6" x14ac:dyDescent="0.2">
      <c r="A3849" t="str">
        <f>'Novia Web Query'!A3845</f>
        <v>GB00BJ34P394</v>
      </c>
      <c r="B3849" t="str">
        <f>VLOOKUP(NoviaFunds[[#This Row],[ISIN]],'Novia Web Query'!$A:$E,2,FALSE)</f>
        <v>SVS Aubrey Global Conviction B Retail in GB**</v>
      </c>
      <c r="C3849" t="str">
        <f>VLOOKUP(NoviaFunds[[#This Row],[ISIN]],'Novia Web Query'!$A:$E,3,FALSE)</f>
        <v>UT Global</v>
      </c>
      <c r="D3849" s="139">
        <f>VLOOKUP(NoviaFunds[[#This Row],[ISIN]],'Novia Web Query'!$A:$E,4,FALSE)/100</f>
        <v>1.09E-2</v>
      </c>
      <c r="E3849" s="3" t="str">
        <f>VLOOKUP(NoviaFunds[[#This Row],[ISIN]],'Novia Web Query'!$A:$E,5,FALSE)</f>
        <v>21/06/2021</v>
      </c>
      <c r="F3849" t="str">
        <f>VLOOKUP(NoviaFunds[[#This Row],[Sector]],Sectors[],2,FALSE)</f>
        <v>Other Equities</v>
      </c>
    </row>
    <row r="3850" spans="1:6" x14ac:dyDescent="0.2">
      <c r="A3850" t="str">
        <f>'Novia Web Query'!A3846</f>
        <v>GB00B5448K84</v>
      </c>
      <c r="B3850" t="str">
        <f>VLOOKUP(NoviaFunds[[#This Row],[ISIN]],'Novia Web Query'!$A:$E,2,FALSE)</f>
        <v>SVS BambuBlack Asia ex-Japan All-Cap B in GB</v>
      </c>
      <c r="C3850" t="str">
        <f>VLOOKUP(NoviaFunds[[#This Row],[ISIN]],'Novia Web Query'!$A:$E,3,FALSE)</f>
        <v>UT Asia Pacific Excluding Japan</v>
      </c>
      <c r="D3850" s="139">
        <f>VLOOKUP(NoviaFunds[[#This Row],[ISIN]],'Novia Web Query'!$A:$E,4,FALSE)/100</f>
        <v>8.6E-3</v>
      </c>
      <c r="E3850" s="3" t="str">
        <f>VLOOKUP(NoviaFunds[[#This Row],[ISIN]],'Novia Web Query'!$A:$E,5,FALSE)</f>
        <v>24/01/2019</v>
      </c>
      <c r="F3850" t="str">
        <f>VLOOKUP(NoviaFunds[[#This Row],[Sector]],Sectors[],2,FALSE)</f>
        <v>Asia Pacific</v>
      </c>
    </row>
    <row r="3851" spans="1:6" x14ac:dyDescent="0.2">
      <c r="A3851" t="str">
        <f>'Novia Web Query'!A3847</f>
        <v>GB00B4NXPJ75</v>
      </c>
      <c r="B3851" t="str">
        <f>VLOOKUP(NoviaFunds[[#This Row],[ISIN]],'Novia Web Query'!$A:$E,2,FALSE)</f>
        <v>SVS BambuBlack Asia Income &amp; Growth B Inc TR in GB</v>
      </c>
      <c r="C3851" t="str">
        <f>VLOOKUP(NoviaFunds[[#This Row],[ISIN]],'Novia Web Query'!$A:$E,3,FALSE)</f>
        <v>UT Asia Pacific Including Japan</v>
      </c>
      <c r="D3851" s="139">
        <f>VLOOKUP(NoviaFunds[[#This Row],[ISIN]],'Novia Web Query'!$A:$E,4,FALSE)/100</f>
        <v>7.7000000000000002E-3</v>
      </c>
      <c r="E3851" s="3" t="str">
        <f>VLOOKUP(NoviaFunds[[#This Row],[ISIN]],'Novia Web Query'!$A:$E,5,FALSE)</f>
        <v>07/02/2019</v>
      </c>
      <c r="F3851" t="str">
        <f>VLOOKUP(NoviaFunds[[#This Row],[Sector]],Sectors[],2,FALSE)</f>
        <v>Asia Pacific</v>
      </c>
    </row>
    <row r="3852" spans="1:6" x14ac:dyDescent="0.2">
      <c r="A3852" t="str">
        <f>'Novia Web Query'!A3848</f>
        <v>GB00B054QF32</v>
      </c>
      <c r="B3852" t="str">
        <f>VLOOKUP(NoviaFunds[[#This Row],[ISIN]],'Novia Web Query'!$A:$E,2,FALSE)</f>
        <v>SVS SVS Brooks Macdonald Blueprint Balanced A Acc in GB</v>
      </c>
      <c r="C3852" t="str">
        <f>VLOOKUP(NoviaFunds[[#This Row],[ISIN]],'Novia Web Query'!$A:$E,3,FALSE)</f>
        <v>UT Mixed Investment 40-85% Shares</v>
      </c>
      <c r="D3852" s="139">
        <f>VLOOKUP(NoviaFunds[[#This Row],[ISIN]],'Novia Web Query'!$A:$E,4,FALSE)/100</f>
        <v>1.1200000000000002E-2</v>
      </c>
      <c r="E3852" s="3" t="str">
        <f>VLOOKUP(NoviaFunds[[#This Row],[ISIN]],'Novia Web Query'!$A:$E,5,FALSE)</f>
        <v>20/12/2021</v>
      </c>
      <c r="F3852" t="str">
        <f>VLOOKUP(NoviaFunds[[#This Row],[Sector]],Sectors[],2,FALSE)</f>
        <v>Mixed 40%-85%</v>
      </c>
    </row>
    <row r="3853" spans="1:6" x14ac:dyDescent="0.2">
      <c r="A3853" t="str">
        <f>'Novia Web Query'!A3849</f>
        <v>GB00B054QG49</v>
      </c>
      <c r="B3853" t="str">
        <f>VLOOKUP(NoviaFunds[[#This Row],[ISIN]],'Novia Web Query'!$A:$E,2,FALSE)</f>
        <v>SVS SVS Brooks Macdonald Blueprint Balanced B Acc in GB</v>
      </c>
      <c r="C3853" t="str">
        <f>VLOOKUP(NoviaFunds[[#This Row],[ISIN]],'Novia Web Query'!$A:$E,3,FALSE)</f>
        <v>UT Mixed Investment 40-85% Shares</v>
      </c>
      <c r="D3853" s="139">
        <f>VLOOKUP(NoviaFunds[[#This Row],[ISIN]],'Novia Web Query'!$A:$E,4,FALSE)/100</f>
        <v>1.8700000000000001E-2</v>
      </c>
      <c r="E3853" s="3" t="str">
        <f>VLOOKUP(NoviaFunds[[#This Row],[ISIN]],'Novia Web Query'!$A:$E,5,FALSE)</f>
        <v>20/12/2021</v>
      </c>
      <c r="F3853" t="str">
        <f>VLOOKUP(NoviaFunds[[#This Row],[Sector]],Sectors[],2,FALSE)</f>
        <v>Mixed 40%-85%</v>
      </c>
    </row>
    <row r="3854" spans="1:6" x14ac:dyDescent="0.2">
      <c r="A3854" t="str">
        <f>'Novia Web Query'!A3850</f>
        <v>GB00B5T81S44</v>
      </c>
      <c r="B3854" t="str">
        <f>VLOOKUP(NoviaFunds[[#This Row],[ISIN]],'Novia Web Query'!$A:$E,2,FALSE)</f>
        <v>SVS SVS Brooks Macdonald Blueprint Cautious Growth A Acc TR in GB**</v>
      </c>
      <c r="C3854" t="str">
        <f>VLOOKUP(NoviaFunds[[#This Row],[ISIN]],'Novia Web Query'!$A:$E,3,FALSE)</f>
        <v>UT Mixed Investment 20-60% Shares</v>
      </c>
      <c r="D3854" s="139">
        <f>VLOOKUP(NoviaFunds[[#This Row],[ISIN]],'Novia Web Query'!$A:$E,4,FALSE)/100</f>
        <v>1.04E-2</v>
      </c>
      <c r="E3854" s="3" t="str">
        <f>VLOOKUP(NoviaFunds[[#This Row],[ISIN]],'Novia Web Query'!$A:$E,5,FALSE)</f>
        <v>31/05/2021</v>
      </c>
      <c r="F3854" t="str">
        <f>VLOOKUP(NoviaFunds[[#This Row],[Sector]],Sectors[],2,FALSE)</f>
        <v>Mixed 20%-60%</v>
      </c>
    </row>
    <row r="3855" spans="1:6" x14ac:dyDescent="0.2">
      <c r="A3855" t="str">
        <f>'Novia Web Query'!A3851</f>
        <v>GB00B054QH55</v>
      </c>
      <c r="B3855" t="str">
        <f>VLOOKUP(NoviaFunds[[#This Row],[ISIN]],'Novia Web Query'!$A:$E,2,FALSE)</f>
        <v>SVS SVS Brooks Macdonald Blueprint Cautious Growth A Inc TR in GB</v>
      </c>
      <c r="C3855" t="str">
        <f>VLOOKUP(NoviaFunds[[#This Row],[ISIN]],'Novia Web Query'!$A:$E,3,FALSE)</f>
        <v>UT Mixed Investment 20-60% Shares</v>
      </c>
      <c r="D3855" s="139">
        <f>VLOOKUP(NoviaFunds[[#This Row],[ISIN]],'Novia Web Query'!$A:$E,4,FALSE)/100</f>
        <v>1.0500000000000001E-2</v>
      </c>
      <c r="E3855" s="3" t="str">
        <f>VLOOKUP(NoviaFunds[[#This Row],[ISIN]],'Novia Web Query'!$A:$E,5,FALSE)</f>
        <v>20/12/2021</v>
      </c>
      <c r="F3855" t="str">
        <f>VLOOKUP(NoviaFunds[[#This Row],[Sector]],Sectors[],2,FALSE)</f>
        <v>Mixed 20%-60%</v>
      </c>
    </row>
    <row r="3856" spans="1:6" x14ac:dyDescent="0.2">
      <c r="A3856" t="str">
        <f>'Novia Web Query'!A3852</f>
        <v>GB00B5W8NJ69</v>
      </c>
      <c r="B3856" t="str">
        <f>VLOOKUP(NoviaFunds[[#This Row],[ISIN]],'Novia Web Query'!$A:$E,2,FALSE)</f>
        <v>SVS SVS Brooks Macdonald Blueprint Cautious Growth B Acc in GB</v>
      </c>
      <c r="C3856" t="str">
        <f>VLOOKUP(NoviaFunds[[#This Row],[ISIN]],'Novia Web Query'!$A:$E,3,FALSE)</f>
        <v>UT Mixed Investment 20-60% Shares</v>
      </c>
      <c r="D3856" s="139">
        <f>VLOOKUP(NoviaFunds[[#This Row],[ISIN]],'Novia Web Query'!$A:$E,4,FALSE)/100</f>
        <v>1.7899999999999999E-2</v>
      </c>
      <c r="E3856" s="3" t="str">
        <f>VLOOKUP(NoviaFunds[[#This Row],[ISIN]],'Novia Web Query'!$A:$E,5,FALSE)</f>
        <v>31/05/2021</v>
      </c>
      <c r="F3856" t="str">
        <f>VLOOKUP(NoviaFunds[[#This Row],[Sector]],Sectors[],2,FALSE)</f>
        <v>Mixed 20%-60%</v>
      </c>
    </row>
    <row r="3857" spans="1:6" x14ac:dyDescent="0.2">
      <c r="A3857" t="str">
        <f>'Novia Web Query'!A3853</f>
        <v>GB00B054QL91</v>
      </c>
      <c r="B3857" t="str">
        <f>VLOOKUP(NoviaFunds[[#This Row],[ISIN]],'Novia Web Query'!$A:$E,2,FALSE)</f>
        <v>SVS SVS Brooks Macdonald Blueprint Defensive Income A Inc TR in GB</v>
      </c>
      <c r="C3857" t="str">
        <f>VLOOKUP(NoviaFunds[[#This Row],[ISIN]],'Novia Web Query'!$A:$E,3,FALSE)</f>
        <v>UT Mixed Investment 0-35% Shares</v>
      </c>
      <c r="D3857" s="139">
        <f>VLOOKUP(NoviaFunds[[#This Row],[ISIN]],'Novia Web Query'!$A:$E,4,FALSE)/100</f>
        <v>9.8999999999999991E-3</v>
      </c>
      <c r="E3857" s="3" t="str">
        <f>VLOOKUP(NoviaFunds[[#This Row],[ISIN]],'Novia Web Query'!$A:$E,5,FALSE)</f>
        <v>20/12/2021</v>
      </c>
      <c r="F3857" t="str">
        <f>VLOOKUP(NoviaFunds[[#This Row],[Sector]],Sectors[],2,FALSE)</f>
        <v>Mixed 0%-35%</v>
      </c>
    </row>
    <row r="3858" spans="1:6" x14ac:dyDescent="0.2">
      <c r="A3858" t="str">
        <f>'Novia Web Query'!A3854</f>
        <v>GB00B054QN16</v>
      </c>
      <c r="B3858" t="str">
        <f>VLOOKUP(NoviaFunds[[#This Row],[ISIN]],'Novia Web Query'!$A:$E,2,FALSE)</f>
        <v>SVS SVS Brooks Macdonald Blueprint Defensive Income B Inc TR in GB</v>
      </c>
      <c r="C3858" t="str">
        <f>VLOOKUP(NoviaFunds[[#This Row],[ISIN]],'Novia Web Query'!$A:$E,3,FALSE)</f>
        <v>UT Mixed Investment 0-35% Shares</v>
      </c>
      <c r="D3858" s="139">
        <f>VLOOKUP(NoviaFunds[[#This Row],[ISIN]],'Novia Web Query'!$A:$E,4,FALSE)/100</f>
        <v>1.7399999999999999E-2</v>
      </c>
      <c r="E3858" s="3" t="str">
        <f>VLOOKUP(NoviaFunds[[#This Row],[ISIN]],'Novia Web Query'!$A:$E,5,FALSE)</f>
        <v>20/12/2021</v>
      </c>
      <c r="F3858" t="str">
        <f>VLOOKUP(NoviaFunds[[#This Row],[Sector]],Sectors[],2,FALSE)</f>
        <v>Mixed 0%-35%</v>
      </c>
    </row>
    <row r="3859" spans="1:6" x14ac:dyDescent="0.2">
      <c r="A3859" t="str">
        <f>'Novia Web Query'!A3855</f>
        <v>GB00BDX8Y871</v>
      </c>
      <c r="B3859" t="str">
        <f>VLOOKUP(NoviaFunds[[#This Row],[ISIN]],'Novia Web Query'!$A:$E,2,FALSE)</f>
        <v>SVS SVS Brooks Macdonald Blueprint Strategic Growth A Acc in GB</v>
      </c>
      <c r="C3859" t="str">
        <f>VLOOKUP(NoviaFunds[[#This Row],[ISIN]],'Novia Web Query'!$A:$E,3,FALSE)</f>
        <v>UT Flexible Investment</v>
      </c>
      <c r="D3859" s="139">
        <f>VLOOKUP(NoviaFunds[[#This Row],[ISIN]],'Novia Web Query'!$A:$E,4,FALSE)/100</f>
        <v>1.21E-2</v>
      </c>
      <c r="E3859" s="3" t="str">
        <f>VLOOKUP(NoviaFunds[[#This Row],[ISIN]],'Novia Web Query'!$A:$E,5,FALSE)</f>
        <v>20/12/2021</v>
      </c>
      <c r="F3859" t="str">
        <f>VLOOKUP(NoviaFunds[[#This Row],[Sector]],Sectors[],2,FALSE)</f>
        <v>Flexible</v>
      </c>
    </row>
    <row r="3860" spans="1:6" x14ac:dyDescent="0.2">
      <c r="A3860" t="str">
        <f>'Novia Web Query'!A3856</f>
        <v>GB00B61MR835</v>
      </c>
      <c r="B3860" t="str">
        <f>VLOOKUP(NoviaFunds[[#This Row],[ISIN]],'Novia Web Query'!$A:$E,2,FALSE)</f>
        <v>SVS SVS Brooks Macdonald Defensive Capital A Acc in GB</v>
      </c>
      <c r="C3860" t="str">
        <f>VLOOKUP(NoviaFunds[[#This Row],[ISIN]],'Novia Web Query'!$A:$E,3,FALSE)</f>
        <v>UT Targeted Absolute Return</v>
      </c>
      <c r="D3860" s="139">
        <f>VLOOKUP(NoviaFunds[[#This Row],[ISIN]],'Novia Web Query'!$A:$E,4,FALSE)/100</f>
        <v>1.32E-2</v>
      </c>
      <c r="E3860" s="3" t="str">
        <f>VLOOKUP(NoviaFunds[[#This Row],[ISIN]],'Novia Web Query'!$A:$E,5,FALSE)</f>
        <v>20/12/2021</v>
      </c>
      <c r="F3860" t="str">
        <f>VLOOKUP(NoviaFunds[[#This Row],[Sector]],Sectors[],2,FALSE)</f>
        <v>Absolute Return</v>
      </c>
    </row>
    <row r="3861" spans="1:6" x14ac:dyDescent="0.2">
      <c r="A3861" t="str">
        <f>'Novia Web Query'!A3857</f>
        <v>GB00B62WNX98</v>
      </c>
      <c r="B3861" t="str">
        <f>VLOOKUP(NoviaFunds[[#This Row],[ISIN]],'Novia Web Query'!$A:$E,2,FALSE)</f>
        <v>SVS SVS Brooks Macdonald Defensive Capital B in GB</v>
      </c>
      <c r="C3861" t="str">
        <f>VLOOKUP(NoviaFunds[[#This Row],[ISIN]],'Novia Web Query'!$A:$E,3,FALSE)</f>
        <v>UT Targeted Absolute Return</v>
      </c>
      <c r="D3861" s="139">
        <f>VLOOKUP(NoviaFunds[[#This Row],[ISIN]],'Novia Web Query'!$A:$E,4,FALSE)/100</f>
        <v>2.07E-2</v>
      </c>
      <c r="E3861" s="3" t="str">
        <f>VLOOKUP(NoviaFunds[[#This Row],[ISIN]],'Novia Web Query'!$A:$E,5,FALSE)</f>
        <v>20/12/2021</v>
      </c>
      <c r="F3861" t="str">
        <f>VLOOKUP(NoviaFunds[[#This Row],[Sector]],Sectors[],2,FALSE)</f>
        <v>Absolute Return</v>
      </c>
    </row>
    <row r="3862" spans="1:6" x14ac:dyDescent="0.2">
      <c r="A3862" t="str">
        <f>'Novia Web Query'!A3858</f>
        <v>GB00B62HCL52</v>
      </c>
      <c r="B3862" t="str">
        <f>VLOOKUP(NoviaFunds[[#This Row],[ISIN]],'Novia Web Query'!$A:$E,2,FALSE)</f>
        <v>SVS SVS Brooks Macdonald Defensive Capital C Acc in GB</v>
      </c>
      <c r="C3862" t="str">
        <f>VLOOKUP(NoviaFunds[[#This Row],[ISIN]],'Novia Web Query'!$A:$E,3,FALSE)</f>
        <v>UT Targeted Absolute Return</v>
      </c>
      <c r="D3862" s="139">
        <f>VLOOKUP(NoviaFunds[[#This Row],[ISIN]],'Novia Web Query'!$A:$E,4,FALSE)/100</f>
        <v>1.1200000000000002E-2</v>
      </c>
      <c r="E3862" s="3" t="str">
        <f>VLOOKUP(NoviaFunds[[#This Row],[ISIN]],'Novia Web Query'!$A:$E,5,FALSE)</f>
        <v>20/12/2021</v>
      </c>
      <c r="F3862" t="str">
        <f>VLOOKUP(NoviaFunds[[#This Row],[Sector]],Sectors[],2,FALSE)</f>
        <v>Absolute Return</v>
      </c>
    </row>
    <row r="3863" spans="1:6" x14ac:dyDescent="0.2">
      <c r="A3863" t="str">
        <f>'Novia Web Query'!A3859</f>
        <v>GB00BNBNRC95</v>
      </c>
      <c r="B3863" t="str">
        <f>VLOOKUP(NoviaFunds[[#This Row],[ISIN]],'Novia Web Query'!$A:$E,2,FALSE)</f>
        <v>SVS Church House Balanced Equity Income B Acc TR in GB**</v>
      </c>
      <c r="C3863" t="str">
        <f>VLOOKUP(NoviaFunds[[#This Row],[ISIN]],'Novia Web Query'!$A:$E,3,FALSE)</f>
        <v>UT Mixed Investment 40-85% Shares</v>
      </c>
      <c r="D3863" s="139">
        <f>VLOOKUP(NoviaFunds[[#This Row],[ISIN]],'Novia Web Query'!$A:$E,4,FALSE)/100</f>
        <v>1.0800000000000001E-2</v>
      </c>
      <c r="E3863" s="3" t="str">
        <f>VLOOKUP(NoviaFunds[[#This Row],[ISIN]],'Novia Web Query'!$A:$E,5,FALSE)</f>
        <v>30/06/2021</v>
      </c>
      <c r="F3863" t="str">
        <f>VLOOKUP(NoviaFunds[[#This Row],[Sector]],Sectors[],2,FALSE)</f>
        <v>Mixed 40%-85%</v>
      </c>
    </row>
    <row r="3864" spans="1:6" x14ac:dyDescent="0.2">
      <c r="A3864" t="str">
        <f>'Novia Web Query'!A3860</f>
        <v>GB00BNBNRB88</v>
      </c>
      <c r="B3864" t="str">
        <f>VLOOKUP(NoviaFunds[[#This Row],[ISIN]],'Novia Web Query'!$A:$E,2,FALSE)</f>
        <v>SVS Church House Balanced Equity Income B Inc TR in GB**</v>
      </c>
      <c r="C3864" t="str">
        <f>VLOOKUP(NoviaFunds[[#This Row],[ISIN]],'Novia Web Query'!$A:$E,3,FALSE)</f>
        <v>UT Mixed Investment 40-85% Shares</v>
      </c>
      <c r="D3864" s="139">
        <f>VLOOKUP(NoviaFunds[[#This Row],[ISIN]],'Novia Web Query'!$A:$E,4,FALSE)/100</f>
        <v>1.0800000000000001E-2</v>
      </c>
      <c r="E3864" s="3" t="str">
        <f>VLOOKUP(NoviaFunds[[#This Row],[ISIN]],'Novia Web Query'!$A:$E,5,FALSE)</f>
        <v>30/06/2021</v>
      </c>
      <c r="F3864" t="str">
        <f>VLOOKUP(NoviaFunds[[#This Row],[Sector]],Sectors[],2,FALSE)</f>
        <v>Mixed 40%-85%</v>
      </c>
    </row>
    <row r="3865" spans="1:6" x14ac:dyDescent="0.2">
      <c r="A3865" t="str">
        <f>'Novia Web Query'!A3861</f>
        <v>GB00BNBNRH41</v>
      </c>
      <c r="B3865" t="str">
        <f>VLOOKUP(NoviaFunds[[#This Row],[ISIN]],'Novia Web Query'!$A:$E,2,FALSE)</f>
        <v>SVS Church House Esk Global Equity B Acc TR in GB**</v>
      </c>
      <c r="C3865" t="str">
        <f>VLOOKUP(NoviaFunds[[#This Row],[ISIN]],'Novia Web Query'!$A:$E,3,FALSE)</f>
        <v>UT Global</v>
      </c>
      <c r="D3865" s="139">
        <f>VLOOKUP(NoviaFunds[[#This Row],[ISIN]],'Novia Web Query'!$A:$E,4,FALSE)/100</f>
        <v>9.300000000000001E-3</v>
      </c>
      <c r="E3865" s="3" t="str">
        <f>VLOOKUP(NoviaFunds[[#This Row],[ISIN]],'Novia Web Query'!$A:$E,5,FALSE)</f>
        <v>29/10/2021</v>
      </c>
      <c r="F3865" t="str">
        <f>VLOOKUP(NoviaFunds[[#This Row],[Sector]],Sectors[],2,FALSE)</f>
        <v>Other Equities</v>
      </c>
    </row>
    <row r="3866" spans="1:6" x14ac:dyDescent="0.2">
      <c r="A3866" t="str">
        <f>'Novia Web Query'!A3862</f>
        <v>GB00BNBNRG34</v>
      </c>
      <c r="B3866" t="str">
        <f>VLOOKUP(NoviaFunds[[#This Row],[ISIN]],'Novia Web Query'!$A:$E,2,FALSE)</f>
        <v>SVS Church House Esk Global Equity B Inc TR in GB**</v>
      </c>
      <c r="C3866" t="str">
        <f>VLOOKUP(NoviaFunds[[#This Row],[ISIN]],'Novia Web Query'!$A:$E,3,FALSE)</f>
        <v>UT Global</v>
      </c>
      <c r="D3866" s="139">
        <f>VLOOKUP(NoviaFunds[[#This Row],[ISIN]],'Novia Web Query'!$A:$E,4,FALSE)/100</f>
        <v>9.300000000000001E-3</v>
      </c>
      <c r="E3866" s="3" t="str">
        <f>VLOOKUP(NoviaFunds[[#This Row],[ISIN]],'Novia Web Query'!$A:$E,5,FALSE)</f>
        <v>29/10/2021</v>
      </c>
      <c r="F3866" t="str">
        <f>VLOOKUP(NoviaFunds[[#This Row],[Sector]],Sectors[],2,FALSE)</f>
        <v>Other Equities</v>
      </c>
    </row>
    <row r="3867" spans="1:6" x14ac:dyDescent="0.2">
      <c r="A3867" t="str">
        <f>'Novia Web Query'!A3863</f>
        <v>GB0004743828</v>
      </c>
      <c r="B3867" t="str">
        <f>VLOOKUP(NoviaFunds[[#This Row],[ISIN]],'Novia Web Query'!$A:$E,2,FALSE)</f>
        <v>SVS Church House Investment Grade Fixed Interest TR in GB</v>
      </c>
      <c r="C3867" t="str">
        <f>VLOOKUP(NoviaFunds[[#This Row],[ISIN]],'Novia Web Query'!$A:$E,3,FALSE)</f>
        <v>UT Sterling Corporate Bond</v>
      </c>
      <c r="D3867" s="139">
        <f>VLOOKUP(NoviaFunds[[#This Row],[ISIN]],'Novia Web Query'!$A:$E,4,FALSE)/100</f>
        <v>8.3000000000000001E-3</v>
      </c>
      <c r="E3867" s="3" t="str">
        <f>VLOOKUP(NoviaFunds[[#This Row],[ISIN]],'Novia Web Query'!$A:$E,5,FALSE)</f>
        <v>05/10/2021</v>
      </c>
      <c r="F3867" t="str">
        <f>VLOOKUP(NoviaFunds[[#This Row],[Sector]],Sectors[],2,FALSE)</f>
        <v>Sterling Corporate Bonds</v>
      </c>
    </row>
    <row r="3868" spans="1:6" x14ac:dyDescent="0.2">
      <c r="A3868" t="str">
        <f>'Novia Web Query'!A3864</f>
        <v>GB00B11DPK96</v>
      </c>
      <c r="B3868" t="str">
        <f>VLOOKUP(NoviaFunds[[#This Row],[ISIN]],'Novia Web Query'!$A:$E,2,FALSE)</f>
        <v>SVS Church House Investment Grade Fixed Interest Acc TR in GB**</v>
      </c>
      <c r="C3868" t="str">
        <f>VLOOKUP(NoviaFunds[[#This Row],[ISIN]],'Novia Web Query'!$A:$E,3,FALSE)</f>
        <v>UT Sterling Corporate Bond</v>
      </c>
      <c r="D3868" s="139">
        <f>VLOOKUP(NoviaFunds[[#This Row],[ISIN]],'Novia Web Query'!$A:$E,4,FALSE)/100</f>
        <v>8.3000000000000001E-3</v>
      </c>
      <c r="E3868" s="3" t="str">
        <f>VLOOKUP(NoviaFunds[[#This Row],[ISIN]],'Novia Web Query'!$A:$E,5,FALSE)</f>
        <v>05/10/2021</v>
      </c>
      <c r="F3868" t="str">
        <f>VLOOKUP(NoviaFunds[[#This Row],[Sector]],Sectors[],2,FALSE)</f>
        <v>Sterling Corporate Bonds</v>
      </c>
    </row>
    <row r="3869" spans="1:6" x14ac:dyDescent="0.2">
      <c r="A3869" t="str">
        <f>'Novia Web Query'!A3865</f>
        <v>GB00B28KSK12</v>
      </c>
      <c r="B3869" t="str">
        <f>VLOOKUP(NoviaFunds[[#This Row],[ISIN]],'Novia Web Query'!$A:$E,2,FALSE)</f>
        <v>SVS Church House Tenax Absolute Return Strategies B Acc in GB</v>
      </c>
      <c r="C3869" t="str">
        <f>VLOOKUP(NoviaFunds[[#This Row],[ISIN]],'Novia Web Query'!$A:$E,3,FALSE)</f>
        <v>UT Targeted Absolute Return</v>
      </c>
      <c r="D3869" s="139">
        <f>VLOOKUP(NoviaFunds[[#This Row],[ISIN]],'Novia Web Query'!$A:$E,4,FALSE)/100</f>
        <v>9.8999999999999991E-3</v>
      </c>
      <c r="E3869" s="3" t="str">
        <f>VLOOKUP(NoviaFunds[[#This Row],[ISIN]],'Novia Web Query'!$A:$E,5,FALSE)</f>
        <v>06/12/2021</v>
      </c>
      <c r="F3869" t="str">
        <f>VLOOKUP(NoviaFunds[[#This Row],[Sector]],Sectors[],2,FALSE)</f>
        <v>Absolute Return</v>
      </c>
    </row>
    <row r="3870" spans="1:6" x14ac:dyDescent="0.2">
      <c r="A3870" t="str">
        <f>'Novia Web Query'!A3866</f>
        <v>GB00BNBNRF27</v>
      </c>
      <c r="B3870" t="str">
        <f>VLOOKUP(NoviaFunds[[#This Row],[ISIN]],'Novia Web Query'!$A:$E,2,FALSE)</f>
        <v>SVS Church House Tenax Absolute Return Strategies C Acc GBP in GB**</v>
      </c>
      <c r="C3870" t="str">
        <f>VLOOKUP(NoviaFunds[[#This Row],[ISIN]],'Novia Web Query'!$A:$E,3,FALSE)</f>
        <v>UT Targeted Absolute Return</v>
      </c>
      <c r="D3870" s="139">
        <f>VLOOKUP(NoviaFunds[[#This Row],[ISIN]],'Novia Web Query'!$A:$E,4,FALSE)/100</f>
        <v>8.6999999999999994E-3</v>
      </c>
      <c r="E3870" s="3" t="str">
        <f>VLOOKUP(NoviaFunds[[#This Row],[ISIN]],'Novia Web Query'!$A:$E,5,FALSE)</f>
        <v>06/12/2021</v>
      </c>
      <c r="F3870" t="str">
        <f>VLOOKUP(NoviaFunds[[#This Row],[Sector]],Sectors[],2,FALSE)</f>
        <v>Absolute Return</v>
      </c>
    </row>
    <row r="3871" spans="1:6" x14ac:dyDescent="0.2">
      <c r="A3871" t="str">
        <f>'Novia Web Query'!A3867</f>
        <v>GB00BNBNRD03</v>
      </c>
      <c r="B3871" t="str">
        <f>VLOOKUP(NoviaFunds[[#This Row],[ISIN]],'Novia Web Query'!$A:$E,2,FALSE)</f>
        <v>SVS Church House Tenax Absolute Return Strategies C Inc GBP TR in GB**</v>
      </c>
      <c r="C3871" t="str">
        <f>VLOOKUP(NoviaFunds[[#This Row],[ISIN]],'Novia Web Query'!$A:$E,3,FALSE)</f>
        <v>UT Targeted Absolute Return</v>
      </c>
      <c r="D3871" s="139">
        <f>VLOOKUP(NoviaFunds[[#This Row],[ISIN]],'Novia Web Query'!$A:$E,4,FALSE)/100</f>
        <v>8.6999999999999994E-3</v>
      </c>
      <c r="E3871" s="3" t="str">
        <f>VLOOKUP(NoviaFunds[[#This Row],[ISIN]],'Novia Web Query'!$A:$E,5,FALSE)</f>
        <v>06/12/2021</v>
      </c>
      <c r="F3871" t="str">
        <f>VLOOKUP(NoviaFunds[[#This Row],[Sector]],Sectors[],2,FALSE)</f>
        <v>Absolute Return</v>
      </c>
    </row>
    <row r="3872" spans="1:6" x14ac:dyDescent="0.2">
      <c r="A3872" t="str">
        <f>'Novia Web Query'!A3868</f>
        <v>GB00BNBNR962</v>
      </c>
      <c r="B3872" t="str">
        <f>VLOOKUP(NoviaFunds[[#This Row],[ISIN]],'Novia Web Query'!$A:$E,2,FALSE)</f>
        <v>SVS Church House UK Equity Growth B Acc in GB**</v>
      </c>
      <c r="C3872" t="str">
        <f>VLOOKUP(NoviaFunds[[#This Row],[ISIN]],'Novia Web Query'!$A:$E,3,FALSE)</f>
        <v>UT UK All Companies</v>
      </c>
      <c r="D3872" s="139">
        <f>VLOOKUP(NoviaFunds[[#This Row],[ISIN]],'Novia Web Query'!$A:$E,4,FALSE)/100</f>
        <v>9.300000000000001E-3</v>
      </c>
      <c r="E3872" s="3" t="str">
        <f>VLOOKUP(NoviaFunds[[#This Row],[ISIN]],'Novia Web Query'!$A:$E,5,FALSE)</f>
        <v>30/06/2021</v>
      </c>
      <c r="F3872" t="str">
        <f>VLOOKUP(NoviaFunds[[#This Row],[Sector]],Sectors[],2,FALSE)</f>
        <v>UK Equities</v>
      </c>
    </row>
    <row r="3873" spans="1:6" x14ac:dyDescent="0.2">
      <c r="A3873" t="str">
        <f>'Novia Web Query'!A3869</f>
        <v>GB00BNBNR855</v>
      </c>
      <c r="B3873" t="str">
        <f>VLOOKUP(NoviaFunds[[#This Row],[ISIN]],'Novia Web Query'!$A:$E,2,FALSE)</f>
        <v>SVS Church House UK Equity Growth B Inc TR in GB**</v>
      </c>
      <c r="C3873" t="str">
        <f>VLOOKUP(NoviaFunds[[#This Row],[ISIN]],'Novia Web Query'!$A:$E,3,FALSE)</f>
        <v>UT UK All Companies</v>
      </c>
      <c r="D3873" s="139">
        <f>VLOOKUP(NoviaFunds[[#This Row],[ISIN]],'Novia Web Query'!$A:$E,4,FALSE)/100</f>
        <v>9.300000000000001E-3</v>
      </c>
      <c r="E3873" s="3" t="str">
        <f>VLOOKUP(NoviaFunds[[#This Row],[ISIN]],'Novia Web Query'!$A:$E,5,FALSE)</f>
        <v>30/06/2021</v>
      </c>
      <c r="F3873" t="str">
        <f>VLOOKUP(NoviaFunds[[#This Row],[Sector]],Sectors[],2,FALSE)</f>
        <v>UK Equities</v>
      </c>
    </row>
    <row r="3874" spans="1:6" x14ac:dyDescent="0.2">
      <c r="A3874" t="str">
        <f>'Novia Web Query'!A3870</f>
        <v>GB00BLY2BF03</v>
      </c>
      <c r="B3874" t="str">
        <f>VLOOKUP(NoviaFunds[[#This Row],[ISIN]],'Novia Web Query'!$A:$E,2,FALSE)</f>
        <v>SVS Church House UK Smaller Companies B in GB**</v>
      </c>
      <c r="C3874" t="str">
        <f>VLOOKUP(NoviaFunds[[#This Row],[ISIN]],'Novia Web Query'!$A:$E,3,FALSE)</f>
        <v>UT UK Smaller Companies</v>
      </c>
      <c r="D3874" s="139">
        <f>VLOOKUP(NoviaFunds[[#This Row],[ISIN]],'Novia Web Query'!$A:$E,4,FALSE)/100</f>
        <v>1.03E-2</v>
      </c>
      <c r="E3874" s="3" t="str">
        <f>VLOOKUP(NoviaFunds[[#This Row],[ISIN]],'Novia Web Query'!$A:$E,5,FALSE)</f>
        <v>06/12/2021</v>
      </c>
      <c r="F3874" t="str">
        <f>VLOOKUP(NoviaFunds[[#This Row],[Sector]],Sectors[],2,FALSE)</f>
        <v>UK Equities</v>
      </c>
    </row>
    <row r="3875" spans="1:6" x14ac:dyDescent="0.2">
      <c r="A3875" t="str">
        <f>'Novia Web Query'!A3871</f>
        <v>GB0008192840</v>
      </c>
      <c r="B3875" t="str">
        <f>VLOOKUP(NoviaFunds[[#This Row],[ISIN]],'Novia Web Query'!$A:$E,2,FALSE)</f>
        <v>SVS Sanlam European Equity A Inc TR in GB</v>
      </c>
      <c r="C3875" t="str">
        <f>VLOOKUP(NoviaFunds[[#This Row],[ISIN]],'Novia Web Query'!$A:$E,3,FALSE)</f>
        <v>UT Europe Excluding UK</v>
      </c>
      <c r="D3875" s="139">
        <f>VLOOKUP(NoviaFunds[[#This Row],[ISIN]],'Novia Web Query'!$A:$E,4,FALSE)/100</f>
        <v>1.1000000000000001E-2</v>
      </c>
      <c r="E3875" s="3" t="str">
        <f>VLOOKUP(NoviaFunds[[#This Row],[ISIN]],'Novia Web Query'!$A:$E,5,FALSE)</f>
        <v>30/06/2021</v>
      </c>
      <c r="F3875" t="str">
        <f>VLOOKUP(NoviaFunds[[#This Row],[Sector]],Sectors[],2,FALSE)</f>
        <v>European Equities</v>
      </c>
    </row>
    <row r="3876" spans="1:6" x14ac:dyDescent="0.2">
      <c r="A3876" t="str">
        <f>'Novia Web Query'!A3872</f>
        <v>GB00B4LLXV18</v>
      </c>
      <c r="B3876" t="str">
        <f>VLOOKUP(NoviaFunds[[#This Row],[ISIN]],'Novia Web Query'!$A:$E,2,FALSE)</f>
        <v>SVS Sanlam European Equity B Inc TR in GB</v>
      </c>
      <c r="C3876" t="str">
        <f>VLOOKUP(NoviaFunds[[#This Row],[ISIN]],'Novia Web Query'!$A:$E,3,FALSE)</f>
        <v>UT Europe Excluding UK</v>
      </c>
      <c r="D3876" s="139">
        <f>VLOOKUP(NoviaFunds[[#This Row],[ISIN]],'Novia Web Query'!$A:$E,4,FALSE)/100</f>
        <v>7.4999999999999997E-3</v>
      </c>
      <c r="E3876" s="3" t="str">
        <f>VLOOKUP(NoviaFunds[[#This Row],[ISIN]],'Novia Web Query'!$A:$E,5,FALSE)</f>
        <v>30/06/2021</v>
      </c>
      <c r="F3876" t="str">
        <f>VLOOKUP(NoviaFunds[[#This Row],[Sector]],Sectors[],2,FALSE)</f>
        <v>European Equities</v>
      </c>
    </row>
    <row r="3877" spans="1:6" x14ac:dyDescent="0.2">
      <c r="A3877" t="str">
        <f>'Novia Web Query'!A3873</f>
        <v>GB0008193038</v>
      </c>
      <c r="B3877" t="str">
        <f>VLOOKUP(NoviaFunds[[#This Row],[ISIN]],'Novia Web Query'!$A:$E,2,FALSE)</f>
        <v>SVS Sanlam Fixed Interest A Inc TR in GB</v>
      </c>
      <c r="C3877" t="str">
        <f>VLOOKUP(NoviaFunds[[#This Row],[ISIN]],'Novia Web Query'!$A:$E,3,FALSE)</f>
        <v>UT Sterling Corporate Bond</v>
      </c>
      <c r="D3877" s="139">
        <f>VLOOKUP(NoviaFunds[[#This Row],[ISIN]],'Novia Web Query'!$A:$E,4,FALSE)/100</f>
        <v>1.11E-2</v>
      </c>
      <c r="E3877" s="3" t="str">
        <f>VLOOKUP(NoviaFunds[[#This Row],[ISIN]],'Novia Web Query'!$A:$E,5,FALSE)</f>
        <v>30/06/2021</v>
      </c>
      <c r="F3877" t="str">
        <f>VLOOKUP(NoviaFunds[[#This Row],[Sector]],Sectors[],2,FALSE)</f>
        <v>Sterling Corporate Bonds</v>
      </c>
    </row>
    <row r="3878" spans="1:6" x14ac:dyDescent="0.2">
      <c r="A3878" t="str">
        <f>'Novia Web Query'!A3874</f>
        <v>GB00BF7TH924</v>
      </c>
      <c r="B3878" t="str">
        <f>VLOOKUP(NoviaFunds[[#This Row],[ISIN]],'Novia Web Query'!$A:$E,2,FALSE)</f>
        <v>SVS Sanlam Fixed Interest B Acc TR in GB**</v>
      </c>
      <c r="C3878" t="str">
        <f>VLOOKUP(NoviaFunds[[#This Row],[ISIN]],'Novia Web Query'!$A:$E,3,FALSE)</f>
        <v>UT Sterling Corporate Bond</v>
      </c>
      <c r="D3878" s="139">
        <f>VLOOKUP(NoviaFunds[[#This Row],[ISIN]],'Novia Web Query'!$A:$E,4,FALSE)/100</f>
        <v>6.6E-3</v>
      </c>
      <c r="E3878" s="3" t="str">
        <f>VLOOKUP(NoviaFunds[[#This Row],[ISIN]],'Novia Web Query'!$A:$E,5,FALSE)</f>
        <v>30/06/2021</v>
      </c>
      <c r="F3878" t="str">
        <f>VLOOKUP(NoviaFunds[[#This Row],[Sector]],Sectors[],2,FALSE)</f>
        <v>Sterling Corporate Bonds</v>
      </c>
    </row>
    <row r="3879" spans="1:6" x14ac:dyDescent="0.2">
      <c r="A3879" t="str">
        <f>'Novia Web Query'!A3875</f>
        <v>GB00B3T5LK39</v>
      </c>
      <c r="B3879" t="str">
        <f>VLOOKUP(NoviaFunds[[#This Row],[ISIN]],'Novia Web Query'!$A:$E,2,FALSE)</f>
        <v>SVS Sanlam Fixed Interest B Inc TR in GB</v>
      </c>
      <c r="C3879" t="str">
        <f>VLOOKUP(NoviaFunds[[#This Row],[ISIN]],'Novia Web Query'!$A:$E,3,FALSE)</f>
        <v>UT Sterling Corporate Bond</v>
      </c>
      <c r="D3879" s="139">
        <f>VLOOKUP(NoviaFunds[[#This Row],[ISIN]],'Novia Web Query'!$A:$E,4,FALSE)/100</f>
        <v>6.6E-3</v>
      </c>
      <c r="E3879" s="3" t="str">
        <f>VLOOKUP(NoviaFunds[[#This Row],[ISIN]],'Novia Web Query'!$A:$E,5,FALSE)</f>
        <v>30/06/2021</v>
      </c>
      <c r="F3879" t="str">
        <f>VLOOKUP(NoviaFunds[[#This Row],[Sector]],Sectors[],2,FALSE)</f>
        <v>Sterling Corporate Bonds</v>
      </c>
    </row>
    <row r="3880" spans="1:6" x14ac:dyDescent="0.2">
      <c r="A3880" t="str">
        <f>'Novia Web Query'!A3876</f>
        <v>GB00B3RJHY30</v>
      </c>
      <c r="B3880" t="str">
        <f>VLOOKUP(NoviaFunds[[#This Row],[ISIN]],'Novia Web Query'!$A:$E,2,FALSE)</f>
        <v>SVS Sanlam Global Gold &amp; Resources B Inc TR in GB</v>
      </c>
      <c r="C3880" t="str">
        <f>VLOOKUP(NoviaFunds[[#This Row],[ISIN]],'Novia Web Query'!$A:$E,3,FALSE)</f>
        <v>UT Specialist</v>
      </c>
      <c r="D3880" s="139">
        <f>VLOOKUP(NoviaFunds[[#This Row],[ISIN]],'Novia Web Query'!$A:$E,4,FALSE)/100</f>
        <v>7.0999999999999995E-3</v>
      </c>
      <c r="E3880" s="3" t="str">
        <f>VLOOKUP(NoviaFunds[[#This Row],[ISIN]],'Novia Web Query'!$A:$E,5,FALSE)</f>
        <v>06/02/2020</v>
      </c>
      <c r="F3880" t="str">
        <f>VLOOKUP(NoviaFunds[[#This Row],[Sector]],Sectors[],2,FALSE)</f>
        <v>Specialist</v>
      </c>
    </row>
    <row r="3881" spans="1:6" x14ac:dyDescent="0.2">
      <c r="A3881" t="str">
        <f>'Novia Web Query'!A3877</f>
        <v>GB0007655698</v>
      </c>
      <c r="B3881" t="str">
        <f>VLOOKUP(NoviaFunds[[#This Row],[ISIN]],'Novia Web Query'!$A:$E,2,FALSE)</f>
        <v>SVS Sanlam North American Equity A Inc TR in GB</v>
      </c>
      <c r="C3881" t="str">
        <f>VLOOKUP(NoviaFunds[[#This Row],[ISIN]],'Novia Web Query'!$A:$E,3,FALSE)</f>
        <v>UT North America</v>
      </c>
      <c r="D3881" s="139">
        <f>VLOOKUP(NoviaFunds[[#This Row],[ISIN]],'Novia Web Query'!$A:$E,4,FALSE)/100</f>
        <v>1.0500000000000001E-2</v>
      </c>
      <c r="E3881" s="3" t="str">
        <f>VLOOKUP(NoviaFunds[[#This Row],[ISIN]],'Novia Web Query'!$A:$E,5,FALSE)</f>
        <v>30/06/2021</v>
      </c>
      <c r="F3881" t="str">
        <f>VLOOKUP(NoviaFunds[[#This Row],[Sector]],Sectors[],2,FALSE)</f>
        <v>USA Equities</v>
      </c>
    </row>
    <row r="3882" spans="1:6" x14ac:dyDescent="0.2">
      <c r="A3882" t="str">
        <f>'Novia Web Query'!A3878</f>
        <v>GB00B40T1C34</v>
      </c>
      <c r="B3882" t="str">
        <f>VLOOKUP(NoviaFunds[[#This Row],[ISIN]],'Novia Web Query'!$A:$E,2,FALSE)</f>
        <v>SVS Sanlam North American Equity B Inc TR in GB</v>
      </c>
      <c r="C3882" t="str">
        <f>VLOOKUP(NoviaFunds[[#This Row],[ISIN]],'Novia Web Query'!$A:$E,3,FALSE)</f>
        <v>UT North America</v>
      </c>
      <c r="D3882" s="139">
        <f>VLOOKUP(NoviaFunds[[#This Row],[ISIN]],'Novia Web Query'!$A:$E,4,FALSE)/100</f>
        <v>6.9999999999999993E-3</v>
      </c>
      <c r="E3882" s="3" t="str">
        <f>VLOOKUP(NoviaFunds[[#This Row],[ISIN]],'Novia Web Query'!$A:$E,5,FALSE)</f>
        <v>30/06/2021</v>
      </c>
      <c r="F3882" t="str">
        <f>VLOOKUP(NoviaFunds[[#This Row],[Sector]],Sectors[],2,FALSE)</f>
        <v>USA Equities</v>
      </c>
    </row>
    <row r="3883" spans="1:6" x14ac:dyDescent="0.2">
      <c r="A3883" t="str">
        <f>'Novia Web Query'!A3879</f>
        <v>GB00BHHMSJ25</v>
      </c>
      <c r="B3883" t="str">
        <f>VLOOKUP(NoviaFunds[[#This Row],[ISIN]],'Novia Web Query'!$A:$E,2,FALSE)</f>
        <v>SVS Sanlam UK Equity Growth B Acc TR in GB**</v>
      </c>
      <c r="C3883" t="str">
        <f>VLOOKUP(NoviaFunds[[#This Row],[ISIN]],'Novia Web Query'!$A:$E,3,FALSE)</f>
        <v>UT UK All Companies</v>
      </c>
      <c r="D3883" s="139">
        <f>VLOOKUP(NoviaFunds[[#This Row],[ISIN]],'Novia Web Query'!$A:$E,4,FALSE)/100</f>
        <v>7.4999999999999997E-3</v>
      </c>
      <c r="E3883" s="3" t="str">
        <f>VLOOKUP(NoviaFunds[[#This Row],[ISIN]],'Novia Web Query'!$A:$E,5,FALSE)</f>
        <v>30/06/2021</v>
      </c>
      <c r="F3883" t="str">
        <f>VLOOKUP(NoviaFunds[[#This Row],[Sector]],Sectors[],2,FALSE)</f>
        <v>UK Equities</v>
      </c>
    </row>
    <row r="3884" spans="1:6" x14ac:dyDescent="0.2">
      <c r="A3884" t="str">
        <f>'Novia Web Query'!A3880</f>
        <v>GB00B43KQL71</v>
      </c>
      <c r="B3884" t="str">
        <f>VLOOKUP(NoviaFunds[[#This Row],[ISIN]],'Novia Web Query'!$A:$E,2,FALSE)</f>
        <v>SVS Sanlam UK Equity Growth B Inc TR in GB</v>
      </c>
      <c r="C3884" t="str">
        <f>VLOOKUP(NoviaFunds[[#This Row],[ISIN]],'Novia Web Query'!$A:$E,3,FALSE)</f>
        <v>UT UK All Companies</v>
      </c>
      <c r="D3884" s="139">
        <f>VLOOKUP(NoviaFunds[[#This Row],[ISIN]],'Novia Web Query'!$A:$E,4,FALSE)/100</f>
        <v>7.4999999999999997E-3</v>
      </c>
      <c r="E3884" s="3" t="str">
        <f>VLOOKUP(NoviaFunds[[#This Row],[ISIN]],'Novia Web Query'!$A:$E,5,FALSE)</f>
        <v>30/06/2021</v>
      </c>
      <c r="F3884" t="str">
        <f>VLOOKUP(NoviaFunds[[#This Row],[Sector]],Sectors[],2,FALSE)</f>
        <v>UK Equities</v>
      </c>
    </row>
    <row r="3885" spans="1:6" x14ac:dyDescent="0.2">
      <c r="A3885" t="str">
        <f>'Novia Web Query'!A3881</f>
        <v>GB00B1LB2Z79</v>
      </c>
      <c r="B3885" t="str">
        <f>VLOOKUP(NoviaFunds[[#This Row],[ISIN]],'Novia Web Query'!$A:$E,2,FALSE)</f>
        <v>T. Bailey Dynamic A Acc TR in GB**</v>
      </c>
      <c r="C3885" t="str">
        <f>VLOOKUP(NoviaFunds[[#This Row],[ISIN]],'Novia Web Query'!$A:$E,3,FALSE)</f>
        <v>UT Mixed Investment 20-60% Shares</v>
      </c>
      <c r="D3885" s="139">
        <f>VLOOKUP(NoviaFunds[[#This Row],[ISIN]],'Novia Web Query'!$A:$E,4,FALSE)/100</f>
        <v>1.06E-2</v>
      </c>
      <c r="E3885" s="3" t="str">
        <f>VLOOKUP(NoviaFunds[[#This Row],[ISIN]],'Novia Web Query'!$A:$E,5,FALSE)</f>
        <v>31/03/2021</v>
      </c>
      <c r="F3885" t="str">
        <f>VLOOKUP(NoviaFunds[[#This Row],[Sector]],Sectors[],2,FALSE)</f>
        <v>Mixed 20%-60%</v>
      </c>
    </row>
    <row r="3886" spans="1:6" x14ac:dyDescent="0.2">
      <c r="A3886" t="str">
        <f>'Novia Web Query'!A3882</f>
        <v>GB00B1385S07</v>
      </c>
      <c r="B3886" t="str">
        <f>VLOOKUP(NoviaFunds[[#This Row],[ISIN]],'Novia Web Query'!$A:$E,2,FALSE)</f>
        <v>T. Bailey Dynamic A Inc TR in GB</v>
      </c>
      <c r="C3886" t="str">
        <f>VLOOKUP(NoviaFunds[[#This Row],[ISIN]],'Novia Web Query'!$A:$E,3,FALSE)</f>
        <v>UT Mixed Investment 20-60% Shares</v>
      </c>
      <c r="D3886" s="139">
        <f>VLOOKUP(NoviaFunds[[#This Row],[ISIN]],'Novia Web Query'!$A:$E,4,FALSE)/100</f>
        <v>1.06E-2</v>
      </c>
      <c r="E3886" s="3" t="str">
        <f>VLOOKUP(NoviaFunds[[#This Row],[ISIN]],'Novia Web Query'!$A:$E,5,FALSE)</f>
        <v>31/03/2021</v>
      </c>
      <c r="F3886" t="str">
        <f>VLOOKUP(NoviaFunds[[#This Row],[Sector]],Sectors[],2,FALSE)</f>
        <v>Mixed 20%-60%</v>
      </c>
    </row>
    <row r="3887" spans="1:6" x14ac:dyDescent="0.2">
      <c r="A3887" t="str">
        <f>'Novia Web Query'!A3883</f>
        <v>GB0009346486</v>
      </c>
      <c r="B3887" t="str">
        <f>VLOOKUP(NoviaFunds[[#This Row],[ISIN]],'Novia Web Query'!$A:$E,2,FALSE)</f>
        <v>T. Bailey Growth A Acc in GB</v>
      </c>
      <c r="C3887" t="str">
        <f>VLOOKUP(NoviaFunds[[#This Row],[ISIN]],'Novia Web Query'!$A:$E,3,FALSE)</f>
        <v>UT Global</v>
      </c>
      <c r="D3887" s="139">
        <f>VLOOKUP(NoviaFunds[[#This Row],[ISIN]],'Novia Web Query'!$A:$E,4,FALSE)/100</f>
        <v>1.32E-2</v>
      </c>
      <c r="E3887" s="3" t="str">
        <f>VLOOKUP(NoviaFunds[[#This Row],[ISIN]],'Novia Web Query'!$A:$E,5,FALSE)</f>
        <v>31/03/2021</v>
      </c>
      <c r="F3887" t="str">
        <f>VLOOKUP(NoviaFunds[[#This Row],[Sector]],Sectors[],2,FALSE)</f>
        <v>Other Equities</v>
      </c>
    </row>
    <row r="3888" spans="1:6" x14ac:dyDescent="0.2">
      <c r="A3888" t="str">
        <f>'Novia Web Query'!A3884</f>
        <v>GB00B796C343</v>
      </c>
      <c r="B3888" t="str">
        <f>VLOOKUP(NoviaFunds[[#This Row],[ISIN]],'Novia Web Query'!$A:$E,2,FALSE)</f>
        <v>T. Bailey Fund Srvs Ltd (ACD) Aptus Global Financials B Acc GBP in GB</v>
      </c>
      <c r="C3888" t="str">
        <f>VLOOKUP(NoviaFunds[[#This Row],[ISIN]],'Novia Web Query'!$A:$E,3,FALSE)</f>
        <v>UT Global Equity Income</v>
      </c>
      <c r="D3888" s="139">
        <f>VLOOKUP(NoviaFunds[[#This Row],[ISIN]],'Novia Web Query'!$A:$E,4,FALSE)/100</f>
        <v>1.49E-2</v>
      </c>
      <c r="E3888" s="3" t="str">
        <f>VLOOKUP(NoviaFunds[[#This Row],[ISIN]],'Novia Web Query'!$A:$E,5,FALSE)</f>
        <v>30/06/2021</v>
      </c>
      <c r="F3888" t="str">
        <f>VLOOKUP(NoviaFunds[[#This Row],[Sector]],Sectors[],2,FALSE)</f>
        <v>Other Equities</v>
      </c>
    </row>
    <row r="3889" spans="1:6" x14ac:dyDescent="0.2">
      <c r="A3889" t="str">
        <f>'Novia Web Query'!A3885</f>
        <v>GB00B8DYMW03</v>
      </c>
      <c r="B3889" t="str">
        <f>VLOOKUP(NoviaFunds[[#This Row],[ISIN]],'Novia Web Query'!$A:$E,2,FALSE)</f>
        <v>T. Bailey Fund Srvs Ltd (ACD) Aptus Global Financials B Inc GBP TR in GB</v>
      </c>
      <c r="C3889" t="str">
        <f>VLOOKUP(NoviaFunds[[#This Row],[ISIN]],'Novia Web Query'!$A:$E,3,FALSE)</f>
        <v>UT Global Equity Income</v>
      </c>
      <c r="D3889" s="139">
        <f>VLOOKUP(NoviaFunds[[#This Row],[ISIN]],'Novia Web Query'!$A:$E,4,FALSE)/100</f>
        <v>1.49E-2</v>
      </c>
      <c r="E3889" s="3" t="str">
        <f>VLOOKUP(NoviaFunds[[#This Row],[ISIN]],'Novia Web Query'!$A:$E,5,FALSE)</f>
        <v>30/06/2021</v>
      </c>
      <c r="F3889" t="str">
        <f>VLOOKUP(NoviaFunds[[#This Row],[Sector]],Sectors[],2,FALSE)</f>
        <v>Other Equities</v>
      </c>
    </row>
    <row r="3890" spans="1:6" x14ac:dyDescent="0.2">
      <c r="A3890" t="str">
        <f>'Novia Web Query'!A3886</f>
        <v>GB00B92M1L47</v>
      </c>
      <c r="B3890" t="str">
        <f>VLOOKUP(NoviaFunds[[#This Row],[ISIN]],'Novia Web Query'!$A:$E,2,FALSE)</f>
        <v>T. Bailey Fund Srvs Ltd (ACD) TB Calibre Equity B Acc GBP in GB</v>
      </c>
      <c r="C3890" t="str">
        <f>VLOOKUP(NoviaFunds[[#This Row],[ISIN]],'Novia Web Query'!$A:$E,3,FALSE)</f>
        <v>UT Global</v>
      </c>
      <c r="D3890" s="139">
        <f>VLOOKUP(NoviaFunds[[#This Row],[ISIN]],'Novia Web Query'!$A:$E,4,FALSE)/100</f>
        <v>1.7600000000000001E-2</v>
      </c>
      <c r="E3890" s="3" t="str">
        <f>VLOOKUP(NoviaFunds[[#This Row],[ISIN]],'Novia Web Query'!$A:$E,5,FALSE)</f>
        <v>31/07/2021</v>
      </c>
      <c r="F3890" t="str">
        <f>VLOOKUP(NoviaFunds[[#This Row],[Sector]],Sectors[],2,FALSE)</f>
        <v>Other Equities</v>
      </c>
    </row>
    <row r="3891" spans="1:6" x14ac:dyDescent="0.2">
      <c r="A3891" t="str">
        <f>'Novia Web Query'!A3887</f>
        <v>GB00B92M7160</v>
      </c>
      <c r="B3891" t="str">
        <f>VLOOKUP(NoviaFunds[[#This Row],[ISIN]],'Novia Web Query'!$A:$E,2,FALSE)</f>
        <v>T. Bailey Fund Srvs Ltd (ACD) TB Doherty Balanced Managed B Acc GBP in GB</v>
      </c>
      <c r="C3891" t="str">
        <f>VLOOKUP(NoviaFunds[[#This Row],[ISIN]],'Novia Web Query'!$A:$E,3,FALSE)</f>
        <v>UT Mixed Investment 40-85% Shares</v>
      </c>
      <c r="D3891" s="139">
        <f>VLOOKUP(NoviaFunds[[#This Row],[ISIN]],'Novia Web Query'!$A:$E,4,FALSE)/100</f>
        <v>2.0799999999999999E-2</v>
      </c>
      <c r="E3891" s="3" t="str">
        <f>VLOOKUP(NoviaFunds[[#This Row],[ISIN]],'Novia Web Query'!$A:$E,5,FALSE)</f>
        <v>31/01/2021</v>
      </c>
      <c r="F3891" t="str">
        <f>VLOOKUP(NoviaFunds[[#This Row],[Sector]],Sectors[],2,FALSE)</f>
        <v>Mixed 40%-85%</v>
      </c>
    </row>
    <row r="3892" spans="1:6" x14ac:dyDescent="0.2">
      <c r="A3892" t="str">
        <f>'Novia Web Query'!A3888</f>
        <v>GB00B92M8572</v>
      </c>
      <c r="B3892" t="str">
        <f>VLOOKUP(NoviaFunds[[#This Row],[ISIN]],'Novia Web Query'!$A:$E,2,FALSE)</f>
        <v>T. Bailey Fund Srvs Ltd (ACD) TB Doherty Cautious Managed B Acc GBP in GB</v>
      </c>
      <c r="C3892" t="str">
        <f>VLOOKUP(NoviaFunds[[#This Row],[ISIN]],'Novia Web Query'!$A:$E,3,FALSE)</f>
        <v>UT Mixed Investment 20-60% Shares</v>
      </c>
      <c r="D3892" s="139">
        <f>VLOOKUP(NoviaFunds[[#This Row],[ISIN]],'Novia Web Query'!$A:$E,4,FALSE)/100</f>
        <v>1.84E-2</v>
      </c>
      <c r="E3892" s="3" t="str">
        <f>VLOOKUP(NoviaFunds[[#This Row],[ISIN]],'Novia Web Query'!$A:$E,5,FALSE)</f>
        <v>31/01/2021</v>
      </c>
      <c r="F3892" t="str">
        <f>VLOOKUP(NoviaFunds[[#This Row],[Sector]],Sectors[],2,FALSE)</f>
        <v>Mixed 20%-60%</v>
      </c>
    </row>
    <row r="3893" spans="1:6" x14ac:dyDescent="0.2">
      <c r="A3893" t="str">
        <f>'Novia Web Query'!A3889</f>
        <v>GB00BYQ06472</v>
      </c>
      <c r="B3893" t="str">
        <f>VLOOKUP(NoviaFunds[[#This Row],[ISIN]],'Novia Web Query'!$A:$E,2,FALSE)</f>
        <v>T. Bailey Fund Srvs Ltd (ACD) TB Doherty Distribution B Acc in GB</v>
      </c>
      <c r="C3893" t="str">
        <f>VLOOKUP(NoviaFunds[[#This Row],[ISIN]],'Novia Web Query'!$A:$E,3,FALSE)</f>
        <v>UT Mixed Investment 20-60% Shares</v>
      </c>
      <c r="D3893" s="139">
        <f>VLOOKUP(NoviaFunds[[#This Row],[ISIN]],'Novia Web Query'!$A:$E,4,FALSE)/100</f>
        <v>2.0499999999999997E-2</v>
      </c>
      <c r="E3893" s="3" t="str">
        <f>VLOOKUP(NoviaFunds[[#This Row],[ISIN]],'Novia Web Query'!$A:$E,5,FALSE)</f>
        <v>31/01/2021</v>
      </c>
      <c r="F3893" t="str">
        <f>VLOOKUP(NoviaFunds[[#This Row],[Sector]],Sectors[],2,FALSE)</f>
        <v>Mixed 20%-60%</v>
      </c>
    </row>
    <row r="3894" spans="1:6" x14ac:dyDescent="0.2">
      <c r="A3894" t="str">
        <f>'Novia Web Query'!A3890</f>
        <v>GB00BYQ06589</v>
      </c>
      <c r="B3894" t="str">
        <f>VLOOKUP(NoviaFunds[[#This Row],[ISIN]],'Novia Web Query'!$A:$E,2,FALSE)</f>
        <v>T. Bailey Fund Srvs Ltd (ACD) TB Doherty Distribution B Inc TR in GB</v>
      </c>
      <c r="C3894" t="str">
        <f>VLOOKUP(NoviaFunds[[#This Row],[ISIN]],'Novia Web Query'!$A:$E,3,FALSE)</f>
        <v>UT Mixed Investment 20-60% Shares</v>
      </c>
      <c r="D3894" s="139">
        <f>VLOOKUP(NoviaFunds[[#This Row],[ISIN]],'Novia Web Query'!$A:$E,4,FALSE)/100</f>
        <v>2.0499999999999997E-2</v>
      </c>
      <c r="E3894" s="3" t="str">
        <f>VLOOKUP(NoviaFunds[[#This Row],[ISIN]],'Novia Web Query'!$A:$E,5,FALSE)</f>
        <v>31/01/2021</v>
      </c>
      <c r="F3894" t="str">
        <f>VLOOKUP(NoviaFunds[[#This Row],[Sector]],Sectors[],2,FALSE)</f>
        <v>Mixed 20%-60%</v>
      </c>
    </row>
    <row r="3895" spans="1:6" x14ac:dyDescent="0.2">
      <c r="A3895" t="str">
        <f>'Novia Web Query'!A3891</f>
        <v>GB00BF0S8S26</v>
      </c>
      <c r="B3895" t="str">
        <f>VLOOKUP(NoviaFunds[[#This Row],[ISIN]],'Novia Web Query'!$A:$E,2,FALSE)</f>
        <v>T. Rowe Price Asian Opportunities Equity C Acc in GB</v>
      </c>
      <c r="C3895" t="str">
        <f>VLOOKUP(NoviaFunds[[#This Row],[ISIN]],'Novia Web Query'!$A:$E,3,FALSE)</f>
        <v>UT Asia Pacific Excluding Japan</v>
      </c>
      <c r="D3895" s="139">
        <f>VLOOKUP(NoviaFunds[[#This Row],[ISIN]],'Novia Web Query'!$A:$E,4,FALSE)/100</f>
        <v>9.1999999999999998E-3</v>
      </c>
      <c r="E3895" s="3" t="str">
        <f>VLOOKUP(NoviaFunds[[#This Row],[ISIN]],'Novia Web Query'!$A:$E,5,FALSE)</f>
        <v>31/05/2021</v>
      </c>
      <c r="F3895" t="str">
        <f>VLOOKUP(NoviaFunds[[#This Row],[Sector]],Sectors[],2,FALSE)</f>
        <v>Asia Pacific</v>
      </c>
    </row>
    <row r="3896" spans="1:6" x14ac:dyDescent="0.2">
      <c r="A3896" t="str">
        <f>'Novia Web Query'!A3892</f>
        <v>GB00BD3RT239</v>
      </c>
      <c r="B3896" t="str">
        <f>VLOOKUP(NoviaFunds[[#This Row],[ISIN]],'Novia Web Query'!$A:$E,2,FALSE)</f>
        <v>T. Rowe Price Continental European Equity C Acc GBP in GB</v>
      </c>
      <c r="C3896" t="str">
        <f>VLOOKUP(NoviaFunds[[#This Row],[ISIN]],'Novia Web Query'!$A:$E,3,FALSE)</f>
        <v>UT Europe Excluding UK</v>
      </c>
      <c r="D3896" s="139">
        <f>VLOOKUP(NoviaFunds[[#This Row],[ISIN]],'Novia Web Query'!$A:$E,4,FALSE)/100</f>
        <v>8.199999999999999E-3</v>
      </c>
      <c r="E3896" s="3" t="str">
        <f>VLOOKUP(NoviaFunds[[#This Row],[ISIN]],'Novia Web Query'!$A:$E,5,FALSE)</f>
        <v>31/05/2021</v>
      </c>
      <c r="F3896" t="str">
        <f>VLOOKUP(NoviaFunds[[#This Row],[Sector]],Sectors[],2,FALSE)</f>
        <v>European Equities</v>
      </c>
    </row>
    <row r="3897" spans="1:6" x14ac:dyDescent="0.2">
      <c r="A3897" t="str">
        <f>'Novia Web Query'!A3893</f>
        <v>GB00BHNDVL29</v>
      </c>
      <c r="B3897" t="str">
        <f>VLOOKUP(NoviaFunds[[#This Row],[ISIN]],'Novia Web Query'!$A:$E,2,FALSE)</f>
        <v>T. Rowe Price Continental European Equity C9 Acc GBP in GB**</v>
      </c>
      <c r="C3897" t="str">
        <f>VLOOKUP(NoviaFunds[[#This Row],[ISIN]],'Novia Web Query'!$A:$E,3,FALSE)</f>
        <v>UT Europe Excluding UK</v>
      </c>
      <c r="D3897" s="139">
        <f>VLOOKUP(NoviaFunds[[#This Row],[ISIN]],'Novia Web Query'!$A:$E,4,FALSE)/100</f>
        <v>5.6999999999999993E-3</v>
      </c>
      <c r="E3897" s="3" t="str">
        <f>VLOOKUP(NoviaFunds[[#This Row],[ISIN]],'Novia Web Query'!$A:$E,5,FALSE)</f>
        <v>31/05/2021</v>
      </c>
      <c r="F3897" t="str">
        <f>VLOOKUP(NoviaFunds[[#This Row],[Sector]],Sectors[],2,FALSE)</f>
        <v>European Equities</v>
      </c>
    </row>
    <row r="3898" spans="1:6" x14ac:dyDescent="0.2">
      <c r="A3898" t="str">
        <f>'Novia Web Query'!A3894</f>
        <v>GB00BD0NLR34</v>
      </c>
      <c r="B3898" t="str">
        <f>VLOOKUP(NoviaFunds[[#This Row],[ISIN]],'Novia Web Query'!$A:$E,2,FALSE)</f>
        <v>T. Rowe Price Dynamic Global Bond C Acc in GB</v>
      </c>
      <c r="C3898" t="str">
        <f>VLOOKUP(NoviaFunds[[#This Row],[ISIN]],'Novia Web Query'!$A:$E,3,FALSE)</f>
        <v>UT Targeted Absolute Return</v>
      </c>
      <c r="D3898" s="139">
        <f>VLOOKUP(NoviaFunds[[#This Row],[ISIN]],'Novia Web Query'!$A:$E,4,FALSE)/100</f>
        <v>6.7000000000000002E-3</v>
      </c>
      <c r="E3898" s="3" t="str">
        <f>VLOOKUP(NoviaFunds[[#This Row],[ISIN]],'Novia Web Query'!$A:$E,5,FALSE)</f>
        <v>31/05/2021</v>
      </c>
      <c r="F3898" t="str">
        <f>VLOOKUP(NoviaFunds[[#This Row],[Sector]],Sectors[],2,FALSE)</f>
        <v>Absolute Return</v>
      </c>
    </row>
    <row r="3899" spans="1:6" x14ac:dyDescent="0.2">
      <c r="A3899" t="str">
        <f>'Novia Web Query'!A3895</f>
        <v>GB00BD446774</v>
      </c>
      <c r="B3899" t="str">
        <f>VLOOKUP(NoviaFunds[[#This Row],[ISIN]],'Novia Web Query'!$A:$E,2,FALSE)</f>
        <v>T. Rowe Price Global Focused Growth Equity C Acc in GB</v>
      </c>
      <c r="C3899" t="str">
        <f>VLOOKUP(NoviaFunds[[#This Row],[ISIN]],'Novia Web Query'!$A:$E,3,FALSE)</f>
        <v>UT Global</v>
      </c>
      <c r="D3899" s="139">
        <f>VLOOKUP(NoviaFunds[[#This Row],[ISIN]],'Novia Web Query'!$A:$E,4,FALSE)/100</f>
        <v>9.1000000000000004E-3</v>
      </c>
      <c r="E3899" s="3" t="str">
        <f>VLOOKUP(NoviaFunds[[#This Row],[ISIN]],'Novia Web Query'!$A:$E,5,FALSE)</f>
        <v>31/05/2021</v>
      </c>
      <c r="F3899" t="str">
        <f>VLOOKUP(NoviaFunds[[#This Row],[Sector]],Sectors[],2,FALSE)</f>
        <v>Other Equities</v>
      </c>
    </row>
    <row r="3900" spans="1:6" x14ac:dyDescent="0.2">
      <c r="A3900" t="str">
        <f>'Novia Web Query'!A3896</f>
        <v>GB00BF0S8Y85</v>
      </c>
      <c r="B3900" t="str">
        <f>VLOOKUP(NoviaFunds[[#This Row],[ISIN]],'Novia Web Query'!$A:$E,2,FALSE)</f>
        <v>T. Rowe Price Global Focused Growth Equity C9 Acc in GB</v>
      </c>
      <c r="C3900" t="str">
        <f>VLOOKUP(NoviaFunds[[#This Row],[ISIN]],'Novia Web Query'!$A:$E,3,FALSE)</f>
        <v>UT Global</v>
      </c>
      <c r="D3900" s="139">
        <f>VLOOKUP(NoviaFunds[[#This Row],[ISIN]],'Novia Web Query'!$A:$E,4,FALSE)/100</f>
        <v>6.3E-3</v>
      </c>
      <c r="E3900" s="3" t="str">
        <f>VLOOKUP(NoviaFunds[[#This Row],[ISIN]],'Novia Web Query'!$A:$E,5,FALSE)</f>
        <v>31/05/2021</v>
      </c>
      <c r="F3900" t="str">
        <f>VLOOKUP(NoviaFunds[[#This Row],[Sector]],Sectors[],2,FALSE)</f>
        <v>Other Equities</v>
      </c>
    </row>
    <row r="3901" spans="1:6" x14ac:dyDescent="0.2">
      <c r="A3901" t="str">
        <f>'Novia Web Query'!A3897</f>
        <v>GB00BD446J95</v>
      </c>
      <c r="B3901" t="str">
        <f>VLOOKUP(NoviaFunds[[#This Row],[ISIN]],'Novia Web Query'!$A:$E,2,FALSE)</f>
        <v>T. Rowe Price Global Natural Resources Equity C Acc in GB</v>
      </c>
      <c r="C3901" t="str">
        <f>VLOOKUP(NoviaFunds[[#This Row],[ISIN]],'Novia Web Query'!$A:$E,3,FALSE)</f>
        <v>UT Commodity/Natural Resources</v>
      </c>
      <c r="D3901" s="139">
        <f>VLOOKUP(NoviaFunds[[#This Row],[ISIN]],'Novia Web Query'!$A:$E,4,FALSE)/100</f>
        <v>9.1999999999999998E-3</v>
      </c>
      <c r="E3901" s="3" t="str">
        <f>VLOOKUP(NoviaFunds[[#This Row],[ISIN]],'Novia Web Query'!$A:$E,5,FALSE)</f>
        <v>31/05/2021</v>
      </c>
      <c r="F3901" t="e">
        <f>VLOOKUP(NoviaFunds[[#This Row],[Sector]],Sectors[],2,FALSE)</f>
        <v>#N/A</v>
      </c>
    </row>
    <row r="3902" spans="1:6" x14ac:dyDescent="0.2">
      <c r="A3902" t="str">
        <f>'Novia Web Query'!A3898</f>
        <v>GB00BD446K01</v>
      </c>
      <c r="B3902" t="str">
        <f>VLOOKUP(NoviaFunds[[#This Row],[ISIN]],'Novia Web Query'!$A:$E,2,FALSE)</f>
        <v>T. Rowe Price Global Technology Equity C Acc in GB</v>
      </c>
      <c r="C3902" t="str">
        <f>VLOOKUP(NoviaFunds[[#This Row],[ISIN]],'Novia Web Query'!$A:$E,3,FALSE)</f>
        <v>UT Technology &amp; Telecommunications</v>
      </c>
      <c r="D3902" s="139">
        <f>VLOOKUP(NoviaFunds[[#This Row],[ISIN]],'Novia Web Query'!$A:$E,4,FALSE)/100</f>
        <v>1.0200000000000001E-2</v>
      </c>
      <c r="E3902" s="3" t="str">
        <f>VLOOKUP(NoviaFunds[[#This Row],[ISIN]],'Novia Web Query'!$A:$E,5,FALSE)</f>
        <v>31/05/2021</v>
      </c>
      <c r="F3902" t="e">
        <f>VLOOKUP(NoviaFunds[[#This Row],[Sector]],Sectors[],2,FALSE)</f>
        <v>#N/A</v>
      </c>
    </row>
    <row r="3903" spans="1:6" x14ac:dyDescent="0.2">
      <c r="A3903" t="str">
        <f>'Novia Web Query'!A3899</f>
        <v>GB00BM638Z78</v>
      </c>
      <c r="B3903" t="str">
        <f>VLOOKUP(NoviaFunds[[#This Row],[ISIN]],'Novia Web Query'!$A:$E,2,FALSE)</f>
        <v>T. Rowe Price Japanese Equity C 10 Acc in GB**</v>
      </c>
      <c r="C3903" t="str">
        <f>VLOOKUP(NoviaFunds[[#This Row],[ISIN]],'Novia Web Query'!$A:$E,3,FALSE)</f>
        <v>UT Japan</v>
      </c>
      <c r="D3903" s="139">
        <f>VLOOKUP(NoviaFunds[[#This Row],[ISIN]],'Novia Web Query'!$A:$E,4,FALSE)/100</f>
        <v>5.6000000000000008E-3</v>
      </c>
      <c r="E3903" s="3" t="str">
        <f>VLOOKUP(NoviaFunds[[#This Row],[ISIN]],'Novia Web Query'!$A:$E,5,FALSE)</f>
        <v>31/05/2021</v>
      </c>
      <c r="F3903" t="str">
        <f>VLOOKUP(NoviaFunds[[#This Row],[Sector]],Sectors[],2,FALSE)</f>
        <v>Japanese Equities</v>
      </c>
    </row>
    <row r="3904" spans="1:6" x14ac:dyDescent="0.2">
      <c r="A3904" t="str">
        <f>'Novia Web Query'!A3900</f>
        <v>GB00BF0S8W61</v>
      </c>
      <c r="B3904" t="str">
        <f>VLOOKUP(NoviaFunds[[#This Row],[ISIN]],'Novia Web Query'!$A:$E,2,FALSE)</f>
        <v>T. Rowe Price Japanese Equity C 9 Acc in GB</v>
      </c>
      <c r="C3904" t="str">
        <f>VLOOKUP(NoviaFunds[[#This Row],[ISIN]],'Novia Web Query'!$A:$E,3,FALSE)</f>
        <v>UT Japan</v>
      </c>
      <c r="D3904" s="139">
        <f>VLOOKUP(NoviaFunds[[#This Row],[ISIN]],'Novia Web Query'!$A:$E,4,FALSE)/100</f>
        <v>5.6000000000000008E-3</v>
      </c>
      <c r="E3904" s="3" t="str">
        <f>VLOOKUP(NoviaFunds[[#This Row],[ISIN]],'Novia Web Query'!$A:$E,5,FALSE)</f>
        <v>31/05/2021</v>
      </c>
      <c r="F3904" t="str">
        <f>VLOOKUP(NoviaFunds[[#This Row],[Sector]],Sectors[],2,FALSE)</f>
        <v>Japanese Equities</v>
      </c>
    </row>
    <row r="3905" spans="1:6" x14ac:dyDescent="0.2">
      <c r="A3905" t="str">
        <f>'Novia Web Query'!A3901</f>
        <v>GB00BD446L18</v>
      </c>
      <c r="B3905" t="str">
        <f>VLOOKUP(NoviaFunds[[#This Row],[ISIN]],'Novia Web Query'!$A:$E,2,FALSE)</f>
        <v>T. Rowe Price Japanese Equity C Acc in GB</v>
      </c>
      <c r="C3905" t="str">
        <f>VLOOKUP(NoviaFunds[[#This Row],[ISIN]],'Novia Web Query'!$A:$E,3,FALSE)</f>
        <v>UT Japan</v>
      </c>
      <c r="D3905" s="139">
        <f>VLOOKUP(NoviaFunds[[#This Row],[ISIN]],'Novia Web Query'!$A:$E,4,FALSE)/100</f>
        <v>8.8999999999999999E-3</v>
      </c>
      <c r="E3905" s="3" t="str">
        <f>VLOOKUP(NoviaFunds[[#This Row],[ISIN]],'Novia Web Query'!$A:$E,5,FALSE)</f>
        <v>31/05/2021</v>
      </c>
      <c r="F3905" t="str">
        <f>VLOOKUP(NoviaFunds[[#This Row],[Sector]],Sectors[],2,FALSE)</f>
        <v>Japanese Equities</v>
      </c>
    </row>
    <row r="3906" spans="1:6" x14ac:dyDescent="0.2">
      <c r="A3906" t="str">
        <f>'Novia Web Query'!A3902</f>
        <v>GB00BD8G5832</v>
      </c>
      <c r="B3906" t="str">
        <f>VLOOKUP(NoviaFunds[[#This Row],[ISIN]],'Novia Web Query'!$A:$E,2,FALSE)</f>
        <v>T. Rowe Price US Equity C Acc GBP in GB</v>
      </c>
      <c r="C3906" t="str">
        <f>VLOOKUP(NoviaFunds[[#This Row],[ISIN]],'Novia Web Query'!$A:$E,3,FALSE)</f>
        <v>UT North America</v>
      </c>
      <c r="D3906" s="139">
        <f>VLOOKUP(NoviaFunds[[#This Row],[ISIN]],'Novia Web Query'!$A:$E,4,FALSE)/100</f>
        <v>8.199999999999999E-3</v>
      </c>
      <c r="E3906" s="3" t="str">
        <f>VLOOKUP(NoviaFunds[[#This Row],[ISIN]],'Novia Web Query'!$A:$E,5,FALSE)</f>
        <v>31/05/2021</v>
      </c>
      <c r="F3906" t="str">
        <f>VLOOKUP(NoviaFunds[[#This Row],[Sector]],Sectors[],2,FALSE)</f>
        <v>USA Equities</v>
      </c>
    </row>
    <row r="3907" spans="1:6" x14ac:dyDescent="0.2">
      <c r="A3907" t="str">
        <f>'Novia Web Query'!A3903</f>
        <v>GB00BD5FHW12</v>
      </c>
      <c r="B3907" t="str">
        <f>VLOOKUP(NoviaFunds[[#This Row],[ISIN]],'Novia Web Query'!$A:$E,2,FALSE)</f>
        <v>T. Rowe Price US Large Cap Growth Equity C Acc in GB</v>
      </c>
      <c r="C3907" t="str">
        <f>VLOOKUP(NoviaFunds[[#This Row],[ISIN]],'Novia Web Query'!$A:$E,3,FALSE)</f>
        <v>UT North America</v>
      </c>
      <c r="D3907" s="139">
        <f>VLOOKUP(NoviaFunds[[#This Row],[ISIN]],'Novia Web Query'!$A:$E,4,FALSE)/100</f>
        <v>8.199999999999999E-3</v>
      </c>
      <c r="E3907" s="3" t="str">
        <f>VLOOKUP(NoviaFunds[[#This Row],[ISIN]],'Novia Web Query'!$A:$E,5,FALSE)</f>
        <v>31/05/2021</v>
      </c>
      <c r="F3907" t="str">
        <f>VLOOKUP(NoviaFunds[[#This Row],[Sector]],Sectors[],2,FALSE)</f>
        <v>USA Equities</v>
      </c>
    </row>
    <row r="3908" spans="1:6" x14ac:dyDescent="0.2">
      <c r="A3908" t="str">
        <f>'Novia Web Query'!A3904</f>
        <v>GB00BD5FHX29</v>
      </c>
      <c r="B3908" t="str">
        <f>VLOOKUP(NoviaFunds[[#This Row],[ISIN]],'Novia Web Query'!$A:$E,2,FALSE)</f>
        <v>T. Rowe Price US Large Cap Growth Equity C9 Acc in GB</v>
      </c>
      <c r="C3908" t="str">
        <f>VLOOKUP(NoviaFunds[[#This Row],[ISIN]],'Novia Web Query'!$A:$E,3,FALSE)</f>
        <v>UT North America</v>
      </c>
      <c r="D3908" s="139">
        <f>VLOOKUP(NoviaFunds[[#This Row],[ISIN]],'Novia Web Query'!$A:$E,4,FALSE)/100</f>
        <v>5.6999999999999993E-3</v>
      </c>
      <c r="E3908" s="3" t="str">
        <f>VLOOKUP(NoviaFunds[[#This Row],[ISIN]],'Novia Web Query'!$A:$E,5,FALSE)</f>
        <v>31/05/2021</v>
      </c>
      <c r="F3908" t="str">
        <f>VLOOKUP(NoviaFunds[[#This Row],[Sector]],Sectors[],2,FALSE)</f>
        <v>USA Equities</v>
      </c>
    </row>
    <row r="3909" spans="1:6" x14ac:dyDescent="0.2">
      <c r="A3909" t="str">
        <f>'Novia Web Query'!A3905</f>
        <v>GB00BD446M25</v>
      </c>
      <c r="B3909" t="str">
        <f>VLOOKUP(NoviaFunds[[#This Row],[ISIN]],'Novia Web Query'!$A:$E,2,FALSE)</f>
        <v>T. Rowe Price US Large Cap Value Equity C Acc in GB</v>
      </c>
      <c r="C3909" t="str">
        <f>VLOOKUP(NoviaFunds[[#This Row],[ISIN]],'Novia Web Query'!$A:$E,3,FALSE)</f>
        <v>UT North America</v>
      </c>
      <c r="D3909" s="139">
        <f>VLOOKUP(NoviaFunds[[#This Row],[ISIN]],'Novia Web Query'!$A:$E,4,FALSE)/100</f>
        <v>8.199999999999999E-3</v>
      </c>
      <c r="E3909" s="3" t="str">
        <f>VLOOKUP(NoviaFunds[[#This Row],[ISIN]],'Novia Web Query'!$A:$E,5,FALSE)</f>
        <v>31/05/2021</v>
      </c>
      <c r="F3909" t="str">
        <f>VLOOKUP(NoviaFunds[[#This Row],[Sector]],Sectors[],2,FALSE)</f>
        <v>USA Equities</v>
      </c>
    </row>
    <row r="3910" spans="1:6" x14ac:dyDescent="0.2">
      <c r="A3910" t="str">
        <f>'Novia Web Query'!A3906</f>
        <v>GB00BD446P55</v>
      </c>
      <c r="B3910" t="str">
        <f>VLOOKUP(NoviaFunds[[#This Row],[ISIN]],'Novia Web Query'!$A:$E,2,FALSE)</f>
        <v>T. Rowe Price US Smaller Companies Equity C Acc in GB</v>
      </c>
      <c r="C3910" t="str">
        <f>VLOOKUP(NoviaFunds[[#This Row],[ISIN]],'Novia Web Query'!$A:$E,3,FALSE)</f>
        <v>UT North American Smaller Companies</v>
      </c>
      <c r="D3910" s="139">
        <f>VLOOKUP(NoviaFunds[[#This Row],[ISIN]],'Novia Web Query'!$A:$E,4,FALSE)/100</f>
        <v>1.1200000000000002E-2</v>
      </c>
      <c r="E3910" s="3" t="str">
        <f>VLOOKUP(NoviaFunds[[#This Row],[ISIN]],'Novia Web Query'!$A:$E,5,FALSE)</f>
        <v>31/05/2021</v>
      </c>
      <c r="F3910" t="str">
        <f>VLOOKUP(NoviaFunds[[#This Row],[Sector]],Sectors[],2,FALSE)</f>
        <v>USA Equities</v>
      </c>
    </row>
    <row r="3911" spans="1:6" x14ac:dyDescent="0.2">
      <c r="A3911" t="str">
        <f>'Novia Web Query'!A3907</f>
        <v>GB00BYW8MW59</v>
      </c>
      <c r="B3911" t="str">
        <f>VLOOKUP(NoviaFunds[[#This Row],[ISIN]],'Novia Web Query'!$A:$E,2,FALSE)</f>
        <v>Tavistock Wealth Limited ACUMEN Income Portfolio X Acc in GB</v>
      </c>
      <c r="C3911" t="str">
        <f>VLOOKUP(NoviaFunds[[#This Row],[ISIN]],'Novia Web Query'!$A:$E,3,FALSE)</f>
        <v>UT Mixed Investment 20-60% Shares</v>
      </c>
      <c r="D3911" s="139">
        <f>VLOOKUP(NoviaFunds[[#This Row],[ISIN]],'Novia Web Query'!$A:$E,4,FALSE)/100</f>
        <v>1.2E-2</v>
      </c>
      <c r="E3911" s="3" t="str">
        <f>VLOOKUP(NoviaFunds[[#This Row],[ISIN]],'Novia Web Query'!$A:$E,5,FALSE)</f>
        <v>30/04/2021</v>
      </c>
      <c r="F3911" t="str">
        <f>VLOOKUP(NoviaFunds[[#This Row],[Sector]],Sectors[],2,FALSE)</f>
        <v>Mixed 20%-60%</v>
      </c>
    </row>
    <row r="3912" spans="1:6" x14ac:dyDescent="0.2">
      <c r="A3912" t="str">
        <f>'Novia Web Query'!A3908</f>
        <v>GB00BYW8MX66</v>
      </c>
      <c r="B3912" t="str">
        <f>VLOOKUP(NoviaFunds[[#This Row],[ISIN]],'Novia Web Query'!$A:$E,2,FALSE)</f>
        <v>Tavistock Wealth Limited ACUMEN Income Portfolio X Inc TR in GB</v>
      </c>
      <c r="C3912" t="str">
        <f>VLOOKUP(NoviaFunds[[#This Row],[ISIN]],'Novia Web Query'!$A:$E,3,FALSE)</f>
        <v>UT Mixed Investment 20-60% Shares</v>
      </c>
      <c r="D3912" s="139">
        <f>VLOOKUP(NoviaFunds[[#This Row],[ISIN]],'Novia Web Query'!$A:$E,4,FALSE)/100</f>
        <v>1.2E-2</v>
      </c>
      <c r="E3912" s="3" t="str">
        <f>VLOOKUP(NoviaFunds[[#This Row],[ISIN]],'Novia Web Query'!$A:$E,5,FALSE)</f>
        <v>30/04/2021</v>
      </c>
      <c r="F3912" t="str">
        <f>VLOOKUP(NoviaFunds[[#This Row],[Sector]],Sectors[],2,FALSE)</f>
        <v>Mixed 20%-60%</v>
      </c>
    </row>
    <row r="3913" spans="1:6" x14ac:dyDescent="0.2">
      <c r="A3913" t="str">
        <f>'Novia Web Query'!A3909</f>
        <v>GB00BZ3T3D26</v>
      </c>
      <c r="B3913" t="str">
        <f>VLOOKUP(NoviaFunds[[#This Row],[ISIN]],'Novia Web Query'!$A:$E,2,FALSE)</f>
        <v>Tavistock Wealth Limited ACUMEN Portfolio 3 X Acc GBP in GB</v>
      </c>
      <c r="C3913" t="str">
        <f>VLOOKUP(NoviaFunds[[#This Row],[ISIN]],'Novia Web Query'!$A:$E,3,FALSE)</f>
        <v>UT Mixed Investment 0-35% Shares</v>
      </c>
      <c r="D3913" s="139">
        <f>VLOOKUP(NoviaFunds[[#This Row],[ISIN]],'Novia Web Query'!$A:$E,4,FALSE)/100</f>
        <v>1.1299999999999999E-2</v>
      </c>
      <c r="E3913" s="3" t="str">
        <f>VLOOKUP(NoviaFunds[[#This Row],[ISIN]],'Novia Web Query'!$A:$E,5,FALSE)</f>
        <v>30/04/2021</v>
      </c>
      <c r="F3913" t="str">
        <f>VLOOKUP(NoviaFunds[[#This Row],[Sector]],Sectors[],2,FALSE)</f>
        <v>Mixed 0%-35%</v>
      </c>
    </row>
    <row r="3914" spans="1:6" x14ac:dyDescent="0.2">
      <c r="A3914" t="str">
        <f>'Novia Web Query'!A3910</f>
        <v>GB00B84LZT89</v>
      </c>
      <c r="B3914" t="str">
        <f>VLOOKUP(NoviaFunds[[#This Row],[ISIN]],'Novia Web Query'!$A:$E,2,FALSE)</f>
        <v>Tavistock Wealth Limited ACUMEN Portfolio 4 X Acc in GB</v>
      </c>
      <c r="C3914" t="str">
        <f>VLOOKUP(NoviaFunds[[#This Row],[ISIN]],'Novia Web Query'!$A:$E,3,FALSE)</f>
        <v>UT Mixed Investment 20-60% Shares</v>
      </c>
      <c r="D3914" s="139">
        <f>VLOOKUP(NoviaFunds[[#This Row],[ISIN]],'Novia Web Query'!$A:$E,4,FALSE)/100</f>
        <v>1.06E-2</v>
      </c>
      <c r="E3914" s="3" t="str">
        <f>VLOOKUP(NoviaFunds[[#This Row],[ISIN]],'Novia Web Query'!$A:$E,5,FALSE)</f>
        <v>30/04/2021</v>
      </c>
      <c r="F3914" t="str">
        <f>VLOOKUP(NoviaFunds[[#This Row],[Sector]],Sectors[],2,FALSE)</f>
        <v>Mixed 20%-60%</v>
      </c>
    </row>
    <row r="3915" spans="1:6" x14ac:dyDescent="0.2">
      <c r="A3915" t="str">
        <f>'Novia Web Query'!A3911</f>
        <v>GB00B87LP737</v>
      </c>
      <c r="B3915" t="str">
        <f>VLOOKUP(NoviaFunds[[#This Row],[ISIN]],'Novia Web Query'!$A:$E,2,FALSE)</f>
        <v>Tavistock Wealth Limited ACUMEN Portfolio 5 X Acc in GB</v>
      </c>
      <c r="C3915" t="str">
        <f>VLOOKUP(NoviaFunds[[#This Row],[ISIN]],'Novia Web Query'!$A:$E,3,FALSE)</f>
        <v>UT Mixed Investment 20-60% Shares</v>
      </c>
      <c r="D3915" s="139">
        <f>VLOOKUP(NoviaFunds[[#This Row],[ISIN]],'Novia Web Query'!$A:$E,4,FALSE)/100</f>
        <v>1.0700000000000001E-2</v>
      </c>
      <c r="E3915" s="3" t="str">
        <f>VLOOKUP(NoviaFunds[[#This Row],[ISIN]],'Novia Web Query'!$A:$E,5,FALSE)</f>
        <v>30/04/2021</v>
      </c>
      <c r="F3915" t="str">
        <f>VLOOKUP(NoviaFunds[[#This Row],[Sector]],Sectors[],2,FALSE)</f>
        <v>Mixed 20%-60%</v>
      </c>
    </row>
    <row r="3916" spans="1:6" x14ac:dyDescent="0.2">
      <c r="A3916" t="str">
        <f>'Novia Web Query'!A3912</f>
        <v>GB00B7NJ0M49</v>
      </c>
      <c r="B3916" t="str">
        <f>VLOOKUP(NoviaFunds[[#This Row],[ISIN]],'Novia Web Query'!$A:$E,2,FALSE)</f>
        <v>Tavistock Wealth Limited ACUMEN Portfolio 6 X Acc in GB</v>
      </c>
      <c r="C3916" t="str">
        <f>VLOOKUP(NoviaFunds[[#This Row],[ISIN]],'Novia Web Query'!$A:$E,3,FALSE)</f>
        <v>UT Mixed Investment 40-85% Shares</v>
      </c>
      <c r="D3916" s="139">
        <f>VLOOKUP(NoviaFunds[[#This Row],[ISIN]],'Novia Web Query'!$A:$E,4,FALSE)/100</f>
        <v>1.09E-2</v>
      </c>
      <c r="E3916" s="3" t="str">
        <f>VLOOKUP(NoviaFunds[[#This Row],[ISIN]],'Novia Web Query'!$A:$E,5,FALSE)</f>
        <v>30/04/2021</v>
      </c>
      <c r="F3916" t="str">
        <f>VLOOKUP(NoviaFunds[[#This Row],[Sector]],Sectors[],2,FALSE)</f>
        <v>Mixed 40%-85%</v>
      </c>
    </row>
    <row r="3917" spans="1:6" x14ac:dyDescent="0.2">
      <c r="A3917" t="str">
        <f>'Novia Web Query'!A3913</f>
        <v>GB00BZ3T3H63</v>
      </c>
      <c r="B3917" t="str">
        <f>VLOOKUP(NoviaFunds[[#This Row],[ISIN]],'Novia Web Query'!$A:$E,2,FALSE)</f>
        <v>Tavistock Wealth Limited ACUMEN Portfolio 7 X Acc GBP in GB</v>
      </c>
      <c r="C3917" t="str">
        <f>VLOOKUP(NoviaFunds[[#This Row],[ISIN]],'Novia Web Query'!$A:$E,3,FALSE)</f>
        <v>UT Mixed Investment 40-85% Shares</v>
      </c>
      <c r="D3917" s="139">
        <f>VLOOKUP(NoviaFunds[[#This Row],[ISIN]],'Novia Web Query'!$A:$E,4,FALSE)/100</f>
        <v>1.1200000000000002E-2</v>
      </c>
      <c r="E3917" s="3" t="str">
        <f>VLOOKUP(NoviaFunds[[#This Row],[ISIN]],'Novia Web Query'!$A:$E,5,FALSE)</f>
        <v>30/04/2021</v>
      </c>
      <c r="F3917" t="str">
        <f>VLOOKUP(NoviaFunds[[#This Row],[Sector]],Sectors[],2,FALSE)</f>
        <v>Mixed 40%-85%</v>
      </c>
    </row>
    <row r="3918" spans="1:6" x14ac:dyDescent="0.2">
      <c r="A3918" t="str">
        <f>'Novia Web Query'!A3914</f>
        <v>GB00BZ3T3L00</v>
      </c>
      <c r="B3918" t="str">
        <f>VLOOKUP(NoviaFunds[[#This Row],[ISIN]],'Novia Web Query'!$A:$E,2,FALSE)</f>
        <v>Tavistock Wealth Limited ACUMEN Portfolio 8 X Acc GBP in GB</v>
      </c>
      <c r="C3918" t="str">
        <f>VLOOKUP(NoviaFunds[[#This Row],[ISIN]],'Novia Web Query'!$A:$E,3,FALSE)</f>
        <v>UT Flexible Investment</v>
      </c>
      <c r="D3918" s="139">
        <f>VLOOKUP(NoviaFunds[[#This Row],[ISIN]],'Novia Web Query'!$A:$E,4,FALSE)/100</f>
        <v>1.21E-2</v>
      </c>
      <c r="E3918" s="3" t="str">
        <f>VLOOKUP(NoviaFunds[[#This Row],[ISIN]],'Novia Web Query'!$A:$E,5,FALSE)</f>
        <v>30/04/2021</v>
      </c>
      <c r="F3918" t="str">
        <f>VLOOKUP(NoviaFunds[[#This Row],[Sector]],Sectors[],2,FALSE)</f>
        <v>Flexible</v>
      </c>
    </row>
    <row r="3919" spans="1:6" x14ac:dyDescent="0.2">
      <c r="A3919" t="str">
        <f>'Novia Web Query'!A3915</f>
        <v>GB00BF1QMV61</v>
      </c>
      <c r="B3919" t="str">
        <f>VLOOKUP(NoviaFunds[[#This Row],[ISIN]],'Novia Web Query'!$A:$E,2,FALSE)</f>
        <v>TB Evenlode Global Income B Acc GBP in GB</v>
      </c>
      <c r="C3919" t="str">
        <f>VLOOKUP(NoviaFunds[[#This Row],[ISIN]],'Novia Web Query'!$A:$E,3,FALSE)</f>
        <v>UT Global Equity Income</v>
      </c>
      <c r="D3919" s="139">
        <f>VLOOKUP(NoviaFunds[[#This Row],[ISIN]],'Novia Web Query'!$A:$E,4,FALSE)/100</f>
        <v>8.5000000000000006E-3</v>
      </c>
      <c r="E3919" s="3" t="str">
        <f>VLOOKUP(NoviaFunds[[#This Row],[ISIN]],'Novia Web Query'!$A:$E,5,FALSE)</f>
        <v>28/02/2021</v>
      </c>
      <c r="F3919" t="str">
        <f>VLOOKUP(NoviaFunds[[#This Row],[Sector]],Sectors[],2,FALSE)</f>
        <v>Other Equities</v>
      </c>
    </row>
    <row r="3920" spans="1:6" x14ac:dyDescent="0.2">
      <c r="A3920" t="str">
        <f>'Novia Web Query'!A3916</f>
        <v>GB00BF1QNC48</v>
      </c>
      <c r="B3920" t="str">
        <f>VLOOKUP(NoviaFunds[[#This Row],[ISIN]],'Novia Web Query'!$A:$E,2,FALSE)</f>
        <v>TB Evenlode Global Income B Inc GBP TR in GB</v>
      </c>
      <c r="C3920" t="str">
        <f>VLOOKUP(NoviaFunds[[#This Row],[ISIN]],'Novia Web Query'!$A:$E,3,FALSE)</f>
        <v>UT Global Equity Income</v>
      </c>
      <c r="D3920" s="139">
        <f>VLOOKUP(NoviaFunds[[#This Row],[ISIN]],'Novia Web Query'!$A:$E,4,FALSE)/100</f>
        <v>8.5000000000000006E-3</v>
      </c>
      <c r="E3920" s="3" t="str">
        <f>VLOOKUP(NoviaFunds[[#This Row],[ISIN]],'Novia Web Query'!$A:$E,5,FALSE)</f>
        <v>28/02/2021</v>
      </c>
      <c r="F3920" t="str">
        <f>VLOOKUP(NoviaFunds[[#This Row],[Sector]],Sectors[],2,FALSE)</f>
        <v>Other Equities</v>
      </c>
    </row>
    <row r="3921" spans="1:6" x14ac:dyDescent="0.2">
      <c r="A3921" t="str">
        <f>'Novia Web Query'!A3917</f>
        <v>GB00BF1QNN52</v>
      </c>
      <c r="B3921" t="str">
        <f>VLOOKUP(NoviaFunds[[#This Row],[ISIN]],'Novia Web Query'!$A:$E,2,FALSE)</f>
        <v>TB Evenlode Global Income F Acc GBP in GB</v>
      </c>
      <c r="C3921" t="str">
        <f>VLOOKUP(NoviaFunds[[#This Row],[ISIN]],'Novia Web Query'!$A:$E,3,FALSE)</f>
        <v>UT Global Equity Income</v>
      </c>
      <c r="D3921" s="139">
        <f>VLOOKUP(NoviaFunds[[#This Row],[ISIN]],'Novia Web Query'!$A:$E,4,FALSE)/100</f>
        <v>5.5000000000000005E-3</v>
      </c>
      <c r="E3921" s="3" t="str">
        <f>VLOOKUP(NoviaFunds[[#This Row],[ISIN]],'Novia Web Query'!$A:$E,5,FALSE)</f>
        <v>28/02/2021</v>
      </c>
      <c r="F3921" t="str">
        <f>VLOOKUP(NoviaFunds[[#This Row],[Sector]],Sectors[],2,FALSE)</f>
        <v>Other Equities</v>
      </c>
    </row>
    <row r="3922" spans="1:6" x14ac:dyDescent="0.2">
      <c r="A3922" t="str">
        <f>'Novia Web Query'!A3918</f>
        <v>GB00BF1QNR90</v>
      </c>
      <c r="B3922" t="str">
        <f>VLOOKUP(NoviaFunds[[#This Row],[ISIN]],'Novia Web Query'!$A:$E,2,FALSE)</f>
        <v>TB Evenlode Global Income F Inc GBP TR in GB</v>
      </c>
      <c r="C3922" t="str">
        <f>VLOOKUP(NoviaFunds[[#This Row],[ISIN]],'Novia Web Query'!$A:$E,3,FALSE)</f>
        <v>UT Global Equity Income</v>
      </c>
      <c r="D3922" s="139">
        <f>VLOOKUP(NoviaFunds[[#This Row],[ISIN]],'Novia Web Query'!$A:$E,4,FALSE)/100</f>
        <v>5.5000000000000005E-3</v>
      </c>
      <c r="E3922" s="3" t="str">
        <f>VLOOKUP(NoviaFunds[[#This Row],[ISIN]],'Novia Web Query'!$A:$E,5,FALSE)</f>
        <v>28/02/2021</v>
      </c>
      <c r="F3922" t="str">
        <f>VLOOKUP(NoviaFunds[[#This Row],[Sector]],Sectors[],2,FALSE)</f>
        <v>Other Equities</v>
      </c>
    </row>
    <row r="3923" spans="1:6" x14ac:dyDescent="0.2">
      <c r="A3923" t="str">
        <f>'Novia Web Query'!A3919</f>
        <v>GB00BD0B7C49</v>
      </c>
      <c r="B3923" t="str">
        <f>VLOOKUP(NoviaFunds[[#This Row],[ISIN]],'Novia Web Query'!$A:$E,2,FALSE)</f>
        <v>TB Evenlode Income B Acc in GB</v>
      </c>
      <c r="C3923" t="str">
        <f>VLOOKUP(NoviaFunds[[#This Row],[ISIN]],'Novia Web Query'!$A:$E,3,FALSE)</f>
        <v>UT UK All Companies</v>
      </c>
      <c r="D3923" s="139">
        <f>VLOOKUP(NoviaFunds[[#This Row],[ISIN]],'Novia Web Query'!$A:$E,4,FALSE)/100</f>
        <v>8.6999999999999994E-3</v>
      </c>
      <c r="E3923" s="3" t="str">
        <f>VLOOKUP(NoviaFunds[[#This Row],[ISIN]],'Novia Web Query'!$A:$E,5,FALSE)</f>
        <v>28/02/2021</v>
      </c>
      <c r="F3923" t="str">
        <f>VLOOKUP(NoviaFunds[[#This Row],[Sector]],Sectors[],2,FALSE)</f>
        <v>UK Equities</v>
      </c>
    </row>
    <row r="3924" spans="1:6" x14ac:dyDescent="0.2">
      <c r="A3924" t="str">
        <f>'Novia Web Query'!A3920</f>
        <v>GB00BD0B7D55</v>
      </c>
      <c r="B3924" t="str">
        <f>VLOOKUP(NoviaFunds[[#This Row],[ISIN]],'Novia Web Query'!$A:$E,2,FALSE)</f>
        <v>TB Evenlode Income B Inc TR in GB</v>
      </c>
      <c r="C3924" t="str">
        <f>VLOOKUP(NoviaFunds[[#This Row],[ISIN]],'Novia Web Query'!$A:$E,3,FALSE)</f>
        <v>UT UK All Companies</v>
      </c>
      <c r="D3924" s="139">
        <f>VLOOKUP(NoviaFunds[[#This Row],[ISIN]],'Novia Web Query'!$A:$E,4,FALSE)/100</f>
        <v>8.6999999999999994E-3</v>
      </c>
      <c r="E3924" s="3" t="str">
        <f>VLOOKUP(NoviaFunds[[#This Row],[ISIN]],'Novia Web Query'!$A:$E,5,FALSE)</f>
        <v>28/02/2021</v>
      </c>
      <c r="F3924" t="str">
        <f>VLOOKUP(NoviaFunds[[#This Row],[Sector]],Sectors[],2,FALSE)</f>
        <v>UK Equities</v>
      </c>
    </row>
    <row r="3925" spans="1:6" x14ac:dyDescent="0.2">
      <c r="A3925" t="str">
        <f>'Novia Web Query'!A3921</f>
        <v>GB00BD0B7F79</v>
      </c>
      <c r="B3925" t="str">
        <f>VLOOKUP(NoviaFunds[[#This Row],[ISIN]],'Novia Web Query'!$A:$E,2,FALSE)</f>
        <v>TB Evenlode Income C Acc TR in GB**</v>
      </c>
      <c r="C3925" t="str">
        <f>VLOOKUP(NoviaFunds[[#This Row],[ISIN]],'Novia Web Query'!$A:$E,3,FALSE)</f>
        <v>UT UK All Companies</v>
      </c>
      <c r="D3925" s="139">
        <f>VLOOKUP(NoviaFunds[[#This Row],[ISIN]],'Novia Web Query'!$A:$E,4,FALSE)/100</f>
        <v>7.7000000000000002E-3</v>
      </c>
      <c r="E3925" s="3" t="str">
        <f>VLOOKUP(NoviaFunds[[#This Row],[ISIN]],'Novia Web Query'!$A:$E,5,FALSE)</f>
        <v>28/02/2021</v>
      </c>
      <c r="F3925" t="str">
        <f>VLOOKUP(NoviaFunds[[#This Row],[Sector]],Sectors[],2,FALSE)</f>
        <v>UK Equities</v>
      </c>
    </row>
    <row r="3926" spans="1:6" x14ac:dyDescent="0.2">
      <c r="A3926" t="str">
        <f>'Novia Web Query'!A3922</f>
        <v>GB00BD0B7G86</v>
      </c>
      <c r="B3926" t="str">
        <f>VLOOKUP(NoviaFunds[[#This Row],[ISIN]],'Novia Web Query'!$A:$E,2,FALSE)</f>
        <v>TB Evenlode Income C Inc TR in GB**</v>
      </c>
      <c r="C3926" t="str">
        <f>VLOOKUP(NoviaFunds[[#This Row],[ISIN]],'Novia Web Query'!$A:$E,3,FALSE)</f>
        <v>UT UK All Companies</v>
      </c>
      <c r="D3926" s="139">
        <f>VLOOKUP(NoviaFunds[[#This Row],[ISIN]],'Novia Web Query'!$A:$E,4,FALSE)/100</f>
        <v>7.7000000000000002E-3</v>
      </c>
      <c r="E3926" s="3" t="str">
        <f>VLOOKUP(NoviaFunds[[#This Row],[ISIN]],'Novia Web Query'!$A:$E,5,FALSE)</f>
        <v>28/02/2021</v>
      </c>
      <c r="F3926" t="str">
        <f>VLOOKUP(NoviaFunds[[#This Row],[Sector]],Sectors[],2,FALSE)</f>
        <v>UK Equities</v>
      </c>
    </row>
    <row r="3927" spans="1:6" x14ac:dyDescent="0.2">
      <c r="A3927" t="str">
        <f>'Novia Web Query'!A3923</f>
        <v>GB00B56FW078</v>
      </c>
      <c r="B3927" t="str">
        <f>VLOOKUP(NoviaFunds[[#This Row],[ISIN]],'Novia Web Query'!$A:$E,2,FALSE)</f>
        <v>TB Guinness Global Energy I Acc in GB</v>
      </c>
      <c r="C3927" t="str">
        <f>VLOOKUP(NoviaFunds[[#This Row],[ISIN]],'Novia Web Query'!$A:$E,3,FALSE)</f>
        <v>UT Commodity/Natural Resources</v>
      </c>
      <c r="D3927" s="139">
        <f>VLOOKUP(NoviaFunds[[#This Row],[ISIN]],'Novia Web Query'!$A:$E,4,FALSE)/100</f>
        <v>9.5999999999999992E-3</v>
      </c>
      <c r="E3927" s="3" t="str">
        <f>VLOOKUP(NoviaFunds[[#This Row],[ISIN]],'Novia Web Query'!$A:$E,5,FALSE)</f>
        <v>31/07/2021</v>
      </c>
      <c r="F3927" t="e">
        <f>VLOOKUP(NoviaFunds[[#This Row],[Sector]],Sectors[],2,FALSE)</f>
        <v>#N/A</v>
      </c>
    </row>
    <row r="3928" spans="1:6" x14ac:dyDescent="0.2">
      <c r="A3928" t="str">
        <f>'Novia Web Query'!A3924</f>
        <v>GB00B5640222</v>
      </c>
      <c r="B3928" t="str">
        <f>VLOOKUP(NoviaFunds[[#This Row],[ISIN]],'Novia Web Query'!$A:$E,2,FALSE)</f>
        <v>TB Guinness Global Energy R Acc in GB</v>
      </c>
      <c r="C3928" t="str">
        <f>VLOOKUP(NoviaFunds[[#This Row],[ISIN]],'Novia Web Query'!$A:$E,3,FALSE)</f>
        <v>UT Commodity/Natural Resources</v>
      </c>
      <c r="D3928" s="139">
        <f>VLOOKUP(NoviaFunds[[#This Row],[ISIN]],'Novia Web Query'!$A:$E,4,FALSE)/100</f>
        <v>1.7100000000000001E-2</v>
      </c>
      <c r="E3928" s="3" t="str">
        <f>VLOOKUP(NoviaFunds[[#This Row],[ISIN]],'Novia Web Query'!$A:$E,5,FALSE)</f>
        <v>31/07/2021</v>
      </c>
      <c r="F3928" t="e">
        <f>VLOOKUP(NoviaFunds[[#This Row],[Sector]],Sectors[],2,FALSE)</f>
        <v>#N/A</v>
      </c>
    </row>
    <row r="3929" spans="1:6" x14ac:dyDescent="0.2">
      <c r="A3929" t="str">
        <f>'Novia Web Query'!A3925</f>
        <v>GB00B2NG4P15</v>
      </c>
      <c r="B3929" t="str">
        <f>VLOOKUP(NoviaFunds[[#This Row],[ISIN]],'Novia Web Query'!$A:$E,2,FALSE)</f>
        <v>TB TB Amati UK Smaller Companies A Acc in GB</v>
      </c>
      <c r="C3929" t="str">
        <f>VLOOKUP(NoviaFunds[[#This Row],[ISIN]],'Novia Web Query'!$A:$E,3,FALSE)</f>
        <v>UT UK Smaller Companies</v>
      </c>
      <c r="D3929" s="139">
        <f>VLOOKUP(NoviaFunds[[#This Row],[ISIN]],'Novia Web Query'!$A:$E,4,FALSE)/100</f>
        <v>1.6399999999999998E-2</v>
      </c>
      <c r="E3929" s="3" t="str">
        <f>VLOOKUP(NoviaFunds[[#This Row],[ISIN]],'Novia Web Query'!$A:$E,5,FALSE)</f>
        <v>31/01/2021</v>
      </c>
      <c r="F3929" t="str">
        <f>VLOOKUP(NoviaFunds[[#This Row],[Sector]],Sectors[],2,FALSE)</f>
        <v>UK Equities</v>
      </c>
    </row>
    <row r="3930" spans="1:6" x14ac:dyDescent="0.2">
      <c r="A3930" t="str">
        <f>'Novia Web Query'!A3926</f>
        <v>GB00B2NG4R39</v>
      </c>
      <c r="B3930" t="str">
        <f>VLOOKUP(NoviaFunds[[#This Row],[ISIN]],'Novia Web Query'!$A:$E,2,FALSE)</f>
        <v>TB TB Amati UK Smaller Companies B Acc in GB**</v>
      </c>
      <c r="C3930" t="str">
        <f>VLOOKUP(NoviaFunds[[#This Row],[ISIN]],'Novia Web Query'!$A:$E,3,FALSE)</f>
        <v>UT UK Smaller Companies</v>
      </c>
      <c r="D3930" s="139">
        <f>VLOOKUP(NoviaFunds[[#This Row],[ISIN]],'Novia Web Query'!$A:$E,4,FALSE)/100</f>
        <v>8.8999999999999999E-3</v>
      </c>
      <c r="E3930" s="3" t="str">
        <f>VLOOKUP(NoviaFunds[[#This Row],[ISIN]],'Novia Web Query'!$A:$E,5,FALSE)</f>
        <v>31/01/2021</v>
      </c>
      <c r="F3930" t="str">
        <f>VLOOKUP(NoviaFunds[[#This Row],[Sector]],Sectors[],2,FALSE)</f>
        <v>UK Equities</v>
      </c>
    </row>
    <row r="3931" spans="1:6" x14ac:dyDescent="0.2">
      <c r="A3931" t="str">
        <f>'Novia Web Query'!A3927</f>
        <v>GB00B5B35X02</v>
      </c>
      <c r="B3931" t="str">
        <f>VLOOKUP(NoviaFunds[[#This Row],[ISIN]],'Novia Web Query'!$A:$E,2,FALSE)</f>
        <v>TB Saracen Global Income &amp; Growth B Acc in GB</v>
      </c>
      <c r="C3931" t="str">
        <f>VLOOKUP(NoviaFunds[[#This Row],[ISIN]],'Novia Web Query'!$A:$E,3,FALSE)</f>
        <v>UT Global Equity Income</v>
      </c>
      <c r="D3931" s="139">
        <f>VLOOKUP(NoviaFunds[[#This Row],[ISIN]],'Novia Web Query'!$A:$E,4,FALSE)/100</f>
        <v>1.01E-2</v>
      </c>
      <c r="E3931" s="3" t="str">
        <f>VLOOKUP(NoviaFunds[[#This Row],[ISIN]],'Novia Web Query'!$A:$E,5,FALSE)</f>
        <v>30/06/2021</v>
      </c>
      <c r="F3931" t="str">
        <f>VLOOKUP(NoviaFunds[[#This Row],[Sector]],Sectors[],2,FALSE)</f>
        <v>Other Equities</v>
      </c>
    </row>
    <row r="3932" spans="1:6" x14ac:dyDescent="0.2">
      <c r="A3932" t="str">
        <f>'Novia Web Query'!A3928</f>
        <v>GB00B3XPLG55</v>
      </c>
      <c r="B3932" t="str">
        <f>VLOOKUP(NoviaFunds[[#This Row],[ISIN]],'Novia Web Query'!$A:$E,2,FALSE)</f>
        <v>TB Saracen Global Income &amp; Growth B Dist TR in GB</v>
      </c>
      <c r="C3932" t="str">
        <f>VLOOKUP(NoviaFunds[[#This Row],[ISIN]],'Novia Web Query'!$A:$E,3,FALSE)</f>
        <v>UT Global Equity Income</v>
      </c>
      <c r="D3932" s="139">
        <f>VLOOKUP(NoviaFunds[[#This Row],[ISIN]],'Novia Web Query'!$A:$E,4,FALSE)/100</f>
        <v>1.01E-2</v>
      </c>
      <c r="E3932" s="3" t="str">
        <f>VLOOKUP(NoviaFunds[[#This Row],[ISIN]],'Novia Web Query'!$A:$E,5,FALSE)</f>
        <v>30/06/2021</v>
      </c>
      <c r="F3932" t="str">
        <f>VLOOKUP(NoviaFunds[[#This Row],[Sector]],Sectors[],2,FALSE)</f>
        <v>Other Equities</v>
      </c>
    </row>
    <row r="3933" spans="1:6" x14ac:dyDescent="0.2">
      <c r="A3933" t="str">
        <f>'Novia Web Query'!A3929</f>
        <v>GB0005711196</v>
      </c>
      <c r="B3933" t="str">
        <f>VLOOKUP(NoviaFunds[[#This Row],[ISIN]],'Novia Web Query'!$A:$E,2,FALSE)</f>
        <v>TB Saracen UK Alpha B Acc in GB</v>
      </c>
      <c r="C3933" t="str">
        <f>VLOOKUP(NoviaFunds[[#This Row],[ISIN]],'Novia Web Query'!$A:$E,3,FALSE)</f>
        <v>UT UK All Companies</v>
      </c>
      <c r="D3933" s="139">
        <f>VLOOKUP(NoviaFunds[[#This Row],[ISIN]],'Novia Web Query'!$A:$E,4,FALSE)/100</f>
        <v>1.1200000000000002E-2</v>
      </c>
      <c r="E3933" s="3" t="str">
        <f>VLOOKUP(NoviaFunds[[#This Row],[ISIN]],'Novia Web Query'!$A:$E,5,FALSE)</f>
        <v>30/06/2021</v>
      </c>
      <c r="F3933" t="str">
        <f>VLOOKUP(NoviaFunds[[#This Row],[Sector]],Sectors[],2,FALSE)</f>
        <v>UK Equities</v>
      </c>
    </row>
    <row r="3934" spans="1:6" x14ac:dyDescent="0.2">
      <c r="A3934" t="str">
        <f>'Novia Web Query'!A3930</f>
        <v>GB00BW9H1K24</v>
      </c>
      <c r="B3934" t="str">
        <f>VLOOKUP(NoviaFunds[[#This Row],[ISIN]],'Novia Web Query'!$A:$E,2,FALSE)</f>
        <v>TB Saracen UK Income B Acc in GB</v>
      </c>
      <c r="C3934" t="str">
        <f>VLOOKUP(NoviaFunds[[#This Row],[ISIN]],'Novia Web Query'!$A:$E,3,FALSE)</f>
        <v>UT UK Equity Income</v>
      </c>
      <c r="D3934" s="139">
        <f>VLOOKUP(NoviaFunds[[#This Row],[ISIN]],'Novia Web Query'!$A:$E,4,FALSE)/100</f>
        <v>1.61E-2</v>
      </c>
      <c r="E3934" s="3" t="str">
        <f>VLOOKUP(NoviaFunds[[#This Row],[ISIN]],'Novia Web Query'!$A:$E,5,FALSE)</f>
        <v>30/06/2021</v>
      </c>
      <c r="F3934" t="str">
        <f>VLOOKUP(NoviaFunds[[#This Row],[Sector]],Sectors[],2,FALSE)</f>
        <v>UK Equities</v>
      </c>
    </row>
    <row r="3935" spans="1:6" x14ac:dyDescent="0.2">
      <c r="A3935" t="str">
        <f>'Novia Web Query'!A3931</f>
        <v>GB00BW9H1L31</v>
      </c>
      <c r="B3935" t="str">
        <f>VLOOKUP(NoviaFunds[[#This Row],[ISIN]],'Novia Web Query'!$A:$E,2,FALSE)</f>
        <v>TB Saracen UK Income B Dis TR in GB</v>
      </c>
      <c r="C3935" t="str">
        <f>VLOOKUP(NoviaFunds[[#This Row],[ISIN]],'Novia Web Query'!$A:$E,3,FALSE)</f>
        <v>UT UK Equity Income</v>
      </c>
      <c r="D3935" s="139">
        <f>VLOOKUP(NoviaFunds[[#This Row],[ISIN]],'Novia Web Query'!$A:$E,4,FALSE)/100</f>
        <v>1.61E-2</v>
      </c>
      <c r="E3935" s="3" t="str">
        <f>VLOOKUP(NoviaFunds[[#This Row],[ISIN]],'Novia Web Query'!$A:$E,5,FALSE)</f>
        <v>30/06/2021</v>
      </c>
      <c r="F3935" t="str">
        <f>VLOOKUP(NoviaFunds[[#This Row],[Sector]],Sectors[],2,FALSE)</f>
        <v>UK Equities</v>
      </c>
    </row>
    <row r="3936" spans="1:6" x14ac:dyDescent="0.2">
      <c r="A3936" t="str">
        <f>'Novia Web Query'!A3932</f>
        <v>GB00B4S5LT06</v>
      </c>
      <c r="B3936" t="str">
        <f>VLOOKUP(NoviaFunds[[#This Row],[ISIN]],'Novia Web Query'!$A:$E,2,FALSE)</f>
        <v>Thesis Libero Balanced B Acc in GB</v>
      </c>
      <c r="C3936" t="str">
        <f>VLOOKUP(NoviaFunds[[#This Row],[ISIN]],'Novia Web Query'!$A:$E,3,FALSE)</f>
        <v>UT Mixed Investment 40-85% Shares</v>
      </c>
      <c r="D3936" s="139">
        <f>VLOOKUP(NoviaFunds[[#This Row],[ISIN]],'Novia Web Query'!$A:$E,4,FALSE)/100</f>
        <v>1.4999999999999999E-2</v>
      </c>
      <c r="E3936" s="3" t="str">
        <f>VLOOKUP(NoviaFunds[[#This Row],[ISIN]],'Novia Web Query'!$A:$E,5,FALSE)</f>
        <v>19/10/2021</v>
      </c>
      <c r="F3936" t="str">
        <f>VLOOKUP(NoviaFunds[[#This Row],[Sector]],Sectors[],2,FALSE)</f>
        <v>Mixed 40%-85%</v>
      </c>
    </row>
    <row r="3937" spans="1:6" x14ac:dyDescent="0.2">
      <c r="A3937" t="str">
        <f>'Novia Web Query'!A3933</f>
        <v>GB00B4PR8439</v>
      </c>
      <c r="B3937" t="str">
        <f>VLOOKUP(NoviaFunds[[#This Row],[ISIN]],'Novia Web Query'!$A:$E,2,FALSE)</f>
        <v>Thesis Libero Balanced B Inc TR in GB</v>
      </c>
      <c r="C3937" t="str">
        <f>VLOOKUP(NoviaFunds[[#This Row],[ISIN]],'Novia Web Query'!$A:$E,3,FALSE)</f>
        <v>UT Mixed Investment 40-85% Shares</v>
      </c>
      <c r="D3937" s="139">
        <f>VLOOKUP(NoviaFunds[[#This Row],[ISIN]],'Novia Web Query'!$A:$E,4,FALSE)/100</f>
        <v>1.4999999999999999E-2</v>
      </c>
      <c r="E3937" s="3" t="str">
        <f>VLOOKUP(NoviaFunds[[#This Row],[ISIN]],'Novia Web Query'!$A:$E,5,FALSE)</f>
        <v>19/10/2021</v>
      </c>
      <c r="F3937" t="str">
        <f>VLOOKUP(NoviaFunds[[#This Row],[Sector]],Sectors[],2,FALSE)</f>
        <v>Mixed 40%-85%</v>
      </c>
    </row>
    <row r="3938" spans="1:6" x14ac:dyDescent="0.2">
      <c r="A3938" t="str">
        <f>'Novia Web Query'!A3934</f>
        <v>GB00B4PX5395</v>
      </c>
      <c r="B3938" t="str">
        <f>VLOOKUP(NoviaFunds[[#This Row],[ISIN]],'Novia Web Query'!$A:$E,2,FALSE)</f>
        <v>Thesis Libero Cautious B Acc in GB**</v>
      </c>
      <c r="C3938" t="str">
        <f>VLOOKUP(NoviaFunds[[#This Row],[ISIN]],'Novia Web Query'!$A:$E,3,FALSE)</f>
        <v>UT Mixed Investment 0-35% Shares</v>
      </c>
      <c r="D3938" s="139">
        <f>VLOOKUP(NoviaFunds[[#This Row],[ISIN]],'Novia Web Query'!$A:$E,4,FALSE)/100</f>
        <v>1.2699999999999999E-2</v>
      </c>
      <c r="E3938" s="3" t="str">
        <f>VLOOKUP(NoviaFunds[[#This Row],[ISIN]],'Novia Web Query'!$A:$E,5,FALSE)</f>
        <v>04/11/2021</v>
      </c>
      <c r="F3938" t="str">
        <f>VLOOKUP(NoviaFunds[[#This Row],[Sector]],Sectors[],2,FALSE)</f>
        <v>Mixed 0%-35%</v>
      </c>
    </row>
    <row r="3939" spans="1:6" x14ac:dyDescent="0.2">
      <c r="A3939" t="str">
        <f>'Novia Web Query'!A3935</f>
        <v>GB00B4RLNB59</v>
      </c>
      <c r="B3939" t="str">
        <f>VLOOKUP(NoviaFunds[[#This Row],[ISIN]],'Novia Web Query'!$A:$E,2,FALSE)</f>
        <v>Thesis Libero Cautious B Inc TR in GB**</v>
      </c>
      <c r="C3939" t="str">
        <f>VLOOKUP(NoviaFunds[[#This Row],[ISIN]],'Novia Web Query'!$A:$E,3,FALSE)</f>
        <v>UT Mixed Investment 0-35% Shares</v>
      </c>
      <c r="D3939" s="139">
        <f>VLOOKUP(NoviaFunds[[#This Row],[ISIN]],'Novia Web Query'!$A:$E,4,FALSE)/100</f>
        <v>1.2699999999999999E-2</v>
      </c>
      <c r="E3939" s="3" t="str">
        <f>VLOOKUP(NoviaFunds[[#This Row],[ISIN]],'Novia Web Query'!$A:$E,5,FALSE)</f>
        <v>04/11/2021</v>
      </c>
      <c r="F3939" t="str">
        <f>VLOOKUP(NoviaFunds[[#This Row],[Sector]],Sectors[],2,FALSE)</f>
        <v>Mixed 0%-35%</v>
      </c>
    </row>
    <row r="3940" spans="1:6" x14ac:dyDescent="0.2">
      <c r="A3940" t="str">
        <f>'Novia Web Query'!A3936</f>
        <v>GB00B4S3L509</v>
      </c>
      <c r="B3940" t="str">
        <f>VLOOKUP(NoviaFunds[[#This Row],[ISIN]],'Novia Web Query'!$A:$E,2,FALSE)</f>
        <v>Thesis Libero Strategic B Acc in GB**</v>
      </c>
      <c r="C3940" t="str">
        <f>VLOOKUP(NoviaFunds[[#This Row],[ISIN]],'Novia Web Query'!$A:$E,3,FALSE)</f>
        <v>UT Mixed Investment 40-85% Shares</v>
      </c>
      <c r="D3940" s="139">
        <f>VLOOKUP(NoviaFunds[[#This Row],[ISIN]],'Novia Web Query'!$A:$E,4,FALSE)/100</f>
        <v>1.3100000000000001E-2</v>
      </c>
      <c r="E3940" s="3" t="str">
        <f>VLOOKUP(NoviaFunds[[#This Row],[ISIN]],'Novia Web Query'!$A:$E,5,FALSE)</f>
        <v>19/10/2021</v>
      </c>
      <c r="F3940" t="str">
        <f>VLOOKUP(NoviaFunds[[#This Row],[Sector]],Sectors[],2,FALSE)</f>
        <v>Mixed 40%-85%</v>
      </c>
    </row>
    <row r="3941" spans="1:6" x14ac:dyDescent="0.2">
      <c r="A3941" t="str">
        <f>'Novia Web Query'!A3937</f>
        <v>GB00B4PR9957</v>
      </c>
      <c r="B3941" t="str">
        <f>VLOOKUP(NoviaFunds[[#This Row],[ISIN]],'Novia Web Query'!$A:$E,2,FALSE)</f>
        <v>Thesis Libero Strategic B Inc TR in GB**</v>
      </c>
      <c r="C3941" t="str">
        <f>VLOOKUP(NoviaFunds[[#This Row],[ISIN]],'Novia Web Query'!$A:$E,3,FALSE)</f>
        <v>UT Mixed Investment 40-85% Shares</v>
      </c>
      <c r="D3941" s="139">
        <f>VLOOKUP(NoviaFunds[[#This Row],[ISIN]],'Novia Web Query'!$A:$E,4,FALSE)/100</f>
        <v>1.3100000000000001E-2</v>
      </c>
      <c r="E3941" s="3" t="str">
        <f>VLOOKUP(NoviaFunds[[#This Row],[ISIN]],'Novia Web Query'!$A:$E,5,FALSE)</f>
        <v>19/10/2021</v>
      </c>
      <c r="F3941" t="str">
        <f>VLOOKUP(NoviaFunds[[#This Row],[Sector]],Sectors[],2,FALSE)</f>
        <v>Mixed 40%-85%</v>
      </c>
    </row>
    <row r="3942" spans="1:6" x14ac:dyDescent="0.2">
      <c r="A3942" t="str">
        <f>'Novia Web Query'!A3938</f>
        <v>GB00B0JX3Z52</v>
      </c>
      <c r="B3942" t="str">
        <f>VLOOKUP(NoviaFunds[[#This Row],[ISIN]],'Novia Web Query'!$A:$E,2,FALSE)</f>
        <v>Thesis Stonehage Fleming AIM B TR in GB</v>
      </c>
      <c r="C3942" t="str">
        <f>VLOOKUP(NoviaFunds[[#This Row],[ISIN]],'Novia Web Query'!$A:$E,3,FALSE)</f>
        <v>UT UK Smaller Companies</v>
      </c>
      <c r="D3942" s="139">
        <f>VLOOKUP(NoviaFunds[[#This Row],[ISIN]],'Novia Web Query'!$A:$E,4,FALSE)/100</f>
        <v>6.7000000000000002E-3</v>
      </c>
      <c r="E3942" s="3" t="str">
        <f>VLOOKUP(NoviaFunds[[#This Row],[ISIN]],'Novia Web Query'!$A:$E,5,FALSE)</f>
        <v>06/12/2021</v>
      </c>
      <c r="F3942" t="str">
        <f>VLOOKUP(NoviaFunds[[#This Row],[Sector]],Sectors[],2,FALSE)</f>
        <v>UK Equities</v>
      </c>
    </row>
    <row r="3943" spans="1:6" x14ac:dyDescent="0.2">
      <c r="A3943" t="str">
        <f>'Novia Web Query'!A3939</f>
        <v>GB0032211095</v>
      </c>
      <c r="B3943" t="str">
        <f>VLOOKUP(NoviaFunds[[#This Row],[ISIN]],'Novia Web Query'!$A:$E,2,FALSE)</f>
        <v>Thesis Stonehage Fleming International B Inc TR in GB</v>
      </c>
      <c r="C3943" t="str">
        <f>VLOOKUP(NoviaFunds[[#This Row],[ISIN]],'Novia Web Query'!$A:$E,3,FALSE)</f>
        <v>UT Flexible Investment</v>
      </c>
      <c r="D3943" s="139">
        <f>VLOOKUP(NoviaFunds[[#This Row],[ISIN]],'Novia Web Query'!$A:$E,4,FALSE)/100</f>
        <v>6.5000000000000006E-3</v>
      </c>
      <c r="E3943" s="3" t="str">
        <f>VLOOKUP(NoviaFunds[[#This Row],[ISIN]],'Novia Web Query'!$A:$E,5,FALSE)</f>
        <v>06/12/2021</v>
      </c>
      <c r="F3943" t="str">
        <f>VLOOKUP(NoviaFunds[[#This Row],[Sector]],Sectors[],2,FALSE)</f>
        <v>Flexible</v>
      </c>
    </row>
    <row r="3944" spans="1:6" x14ac:dyDescent="0.2">
      <c r="A3944" t="str">
        <f>'Novia Web Query'!A3940</f>
        <v>GB0032211103</v>
      </c>
      <c r="B3944" t="str">
        <f>VLOOKUP(NoviaFunds[[#This Row],[ISIN]],'Novia Web Query'!$A:$E,2,FALSE)</f>
        <v>Thesis Stonehage Fleming Opportunities B TR in GB</v>
      </c>
      <c r="C3944" t="str">
        <f>VLOOKUP(NoviaFunds[[#This Row],[ISIN]],'Novia Web Query'!$A:$E,3,FALSE)</f>
        <v>UT UK All Companies</v>
      </c>
      <c r="D3944" s="139">
        <f>VLOOKUP(NoviaFunds[[#This Row],[ISIN]],'Novia Web Query'!$A:$E,4,FALSE)/100</f>
        <v>6.7000000000000002E-3</v>
      </c>
      <c r="E3944" s="3" t="str">
        <f>VLOOKUP(NoviaFunds[[#This Row],[ISIN]],'Novia Web Query'!$A:$E,5,FALSE)</f>
        <v>06/12/2021</v>
      </c>
      <c r="F3944" t="str">
        <f>VLOOKUP(NoviaFunds[[#This Row],[Sector]],Sectors[],2,FALSE)</f>
        <v>UK Equities</v>
      </c>
    </row>
    <row r="3945" spans="1:6" x14ac:dyDescent="0.2">
      <c r="A3945" t="str">
        <f>'Novia Web Query'!A3941</f>
        <v>GB00B9F9Z985</v>
      </c>
      <c r="B3945" t="str">
        <f>VLOOKUP(NoviaFunds[[#This Row],[ISIN]],'Novia Web Query'!$A:$E,2,FALSE)</f>
        <v>Thesis Stonehage Fleming Opportunities C Acc TR in GB**</v>
      </c>
      <c r="C3945" t="str">
        <f>VLOOKUP(NoviaFunds[[#This Row],[ISIN]],'Novia Web Query'!$A:$E,3,FALSE)</f>
        <v>UT UK All Companies</v>
      </c>
      <c r="D3945" s="139">
        <f>VLOOKUP(NoviaFunds[[#This Row],[ISIN]],'Novia Web Query'!$A:$E,4,FALSE)/100</f>
        <v>6.7000000000000002E-3</v>
      </c>
      <c r="E3945" s="3" t="str">
        <f>VLOOKUP(NoviaFunds[[#This Row],[ISIN]],'Novia Web Query'!$A:$E,5,FALSE)</f>
        <v>06/12/2021</v>
      </c>
      <c r="F3945" t="str">
        <f>VLOOKUP(NoviaFunds[[#This Row],[Sector]],Sectors[],2,FALSE)</f>
        <v>UK Equities</v>
      </c>
    </row>
    <row r="3946" spans="1:6" x14ac:dyDescent="0.2">
      <c r="A3946" t="str">
        <f>'Novia Web Query'!A3942</f>
        <v>GB00BF3VRJ22</v>
      </c>
      <c r="B3946" t="str">
        <f>VLOOKUP(NoviaFunds[[#This Row],[ISIN]],'Novia Web Query'!$A:$E,2,FALSE)</f>
        <v>Thesis TM Equity Exposure B Acc in GB</v>
      </c>
      <c r="C3946" t="str">
        <f>VLOOKUP(NoviaFunds[[#This Row],[ISIN]],'Novia Web Query'!$A:$E,3,FALSE)</f>
        <v>UT Global</v>
      </c>
      <c r="D3946" s="139">
        <f>VLOOKUP(NoviaFunds[[#This Row],[ISIN]],'Novia Web Query'!$A:$E,4,FALSE)/100</f>
        <v>5.8999999999999999E-3</v>
      </c>
      <c r="E3946" s="3" t="str">
        <f>VLOOKUP(NoviaFunds[[#This Row],[ISIN]],'Novia Web Query'!$A:$E,5,FALSE)</f>
        <v>19/10/2021</v>
      </c>
      <c r="F3946" t="str">
        <f>VLOOKUP(NoviaFunds[[#This Row],[Sector]],Sectors[],2,FALSE)</f>
        <v>Other Equities</v>
      </c>
    </row>
    <row r="3947" spans="1:6" x14ac:dyDescent="0.2">
      <c r="A3947" t="str">
        <f>'Novia Web Query'!A3943</f>
        <v>GB00BFMXJ599</v>
      </c>
      <c r="B3947" t="str">
        <f>VLOOKUP(NoviaFunds[[#This Row],[ISIN]],'Novia Web Query'!$A:$E,2,FALSE)</f>
        <v>Thesis TM Neuberger Berman Absolute Alpha F Acc in GB</v>
      </c>
      <c r="C3947" t="str">
        <f>VLOOKUP(NoviaFunds[[#This Row],[ISIN]],'Novia Web Query'!$A:$E,3,FALSE)</f>
        <v>UT Targeted Absolute Return</v>
      </c>
      <c r="D3947" s="139">
        <f>VLOOKUP(NoviaFunds[[#This Row],[ISIN]],'Novia Web Query'!$A:$E,4,FALSE)/100</f>
        <v>8.0000000000000002E-3</v>
      </c>
      <c r="E3947" s="3" t="str">
        <f>VLOOKUP(NoviaFunds[[#This Row],[ISIN]],'Novia Web Query'!$A:$E,5,FALSE)</f>
        <v>11/05/2021</v>
      </c>
      <c r="F3947" t="str">
        <f>VLOOKUP(NoviaFunds[[#This Row],[Sector]],Sectors[],2,FALSE)</f>
        <v>Absolute Return</v>
      </c>
    </row>
    <row r="3948" spans="1:6" x14ac:dyDescent="0.2">
      <c r="A3948" t="str">
        <f>'Novia Web Query'!A3944</f>
        <v>GB00BFMXJ821</v>
      </c>
      <c r="B3948" t="str">
        <f>VLOOKUP(NoviaFunds[[#This Row],[ISIN]],'Novia Web Query'!$A:$E,2,FALSE)</f>
        <v>Thesis TM Neuberger Berman Absolute Alpha F Inc in GB</v>
      </c>
      <c r="C3948" t="str">
        <f>VLOOKUP(NoviaFunds[[#This Row],[ISIN]],'Novia Web Query'!$A:$E,3,FALSE)</f>
        <v>UT Targeted Absolute Return</v>
      </c>
      <c r="D3948" s="139">
        <f>VLOOKUP(NoviaFunds[[#This Row],[ISIN]],'Novia Web Query'!$A:$E,4,FALSE)/100</f>
        <v>8.0000000000000002E-3</v>
      </c>
      <c r="E3948" s="3" t="str">
        <f>VLOOKUP(NoviaFunds[[#This Row],[ISIN]],'Novia Web Query'!$A:$E,5,FALSE)</f>
        <v>11/05/2021</v>
      </c>
      <c r="F3948" t="str">
        <f>VLOOKUP(NoviaFunds[[#This Row],[Sector]],Sectors[],2,FALSE)</f>
        <v>Absolute Return</v>
      </c>
    </row>
    <row r="3949" spans="1:6" x14ac:dyDescent="0.2">
      <c r="A3949" t="str">
        <f>'Novia Web Query'!A3945</f>
        <v>GB00BFMXJ482</v>
      </c>
      <c r="B3949" t="str">
        <f>VLOOKUP(NoviaFunds[[#This Row],[ISIN]],'Novia Web Query'!$A:$E,2,FALSE)</f>
        <v>Thesis TM Neuberger Berman Absolute Alpha P Acc in GB</v>
      </c>
      <c r="C3949" t="str">
        <f>VLOOKUP(NoviaFunds[[#This Row],[ISIN]],'Novia Web Query'!$A:$E,3,FALSE)</f>
        <v>UT Targeted Absolute Return</v>
      </c>
      <c r="D3949" s="139">
        <f>VLOOKUP(NoviaFunds[[#This Row],[ISIN]],'Novia Web Query'!$A:$E,4,FALSE)/100</f>
        <v>1.3899999999999999E-2</v>
      </c>
      <c r="E3949" s="3" t="str">
        <f>VLOOKUP(NoviaFunds[[#This Row],[ISIN]],'Novia Web Query'!$A:$E,5,FALSE)</f>
        <v>11/05/2021</v>
      </c>
      <c r="F3949" t="str">
        <f>VLOOKUP(NoviaFunds[[#This Row],[Sector]],Sectors[],2,FALSE)</f>
        <v>Absolute Return</v>
      </c>
    </row>
    <row r="3950" spans="1:6" x14ac:dyDescent="0.2">
      <c r="A3950" t="str">
        <f>'Novia Web Query'!A3946</f>
        <v>GB00B74XT179</v>
      </c>
      <c r="B3950" t="str">
        <f>VLOOKUP(NoviaFunds[[#This Row],[ISIN]],'Novia Web Query'!$A:$E,2,FALSE)</f>
        <v>Thesis TM New Court A 2011 TR in GB</v>
      </c>
      <c r="C3950" t="str">
        <f>VLOOKUP(NoviaFunds[[#This Row],[ISIN]],'Novia Web Query'!$A:$E,3,FALSE)</f>
        <v>UT Flexible Investment</v>
      </c>
      <c r="D3950" s="139">
        <f>VLOOKUP(NoviaFunds[[#This Row],[ISIN]],'Novia Web Query'!$A:$E,4,FALSE)/100</f>
        <v>1.3100000000000001E-2</v>
      </c>
      <c r="E3950" s="3" t="str">
        <f>VLOOKUP(NoviaFunds[[#This Row],[ISIN]],'Novia Web Query'!$A:$E,5,FALSE)</f>
        <v>19/10/2021</v>
      </c>
      <c r="F3950" t="str">
        <f>VLOOKUP(NoviaFunds[[#This Row],[Sector]],Sectors[],2,FALSE)</f>
        <v>Flexible</v>
      </c>
    </row>
    <row r="3951" spans="1:6" x14ac:dyDescent="0.2">
      <c r="A3951" t="str">
        <f>'Novia Web Query'!A3947</f>
        <v>GB00BK0S4Q74</v>
      </c>
      <c r="B3951" t="str">
        <f>VLOOKUP(NoviaFunds[[#This Row],[ISIN]],'Novia Web Query'!$A:$E,2,FALSE)</f>
        <v>Thesis TM New Court A 2014 Acc TR in GB**</v>
      </c>
      <c r="C3951" t="str">
        <f>VLOOKUP(NoviaFunds[[#This Row],[ISIN]],'Novia Web Query'!$A:$E,3,FALSE)</f>
        <v>UT Flexible Investment</v>
      </c>
      <c r="D3951" s="139">
        <f>VLOOKUP(NoviaFunds[[#This Row],[ISIN]],'Novia Web Query'!$A:$E,4,FALSE)/100</f>
        <v>1.3100000000000001E-2</v>
      </c>
      <c r="E3951" s="3" t="str">
        <f>VLOOKUP(NoviaFunds[[#This Row],[ISIN]],'Novia Web Query'!$A:$E,5,FALSE)</f>
        <v>19/10/2021</v>
      </c>
      <c r="F3951" t="str">
        <f>VLOOKUP(NoviaFunds[[#This Row],[Sector]],Sectors[],2,FALSE)</f>
        <v>Flexible</v>
      </c>
    </row>
    <row r="3952" spans="1:6" x14ac:dyDescent="0.2">
      <c r="A3952" t="str">
        <f>'Novia Web Query'!A3948</f>
        <v>GB00BMFKHT64</v>
      </c>
      <c r="B3952" t="str">
        <f>VLOOKUP(NoviaFunds[[#This Row],[ISIN]],'Novia Web Query'!$A:$E,2,FALSE)</f>
        <v>Thesis TM P1 Sustainable World Class A Acc in GB</v>
      </c>
      <c r="C3952" t="str">
        <f>VLOOKUP(NoviaFunds[[#This Row],[ISIN]],'Novia Web Query'!$A:$E,3,FALSE)</f>
        <v>UT Mixed Investment 40-85% Shares</v>
      </c>
      <c r="D3952" s="139">
        <f>VLOOKUP(NoviaFunds[[#This Row],[ISIN]],'Novia Web Query'!$A:$E,4,FALSE)/100</f>
        <v>1.4999999999999999E-2</v>
      </c>
      <c r="E3952" s="3" t="str">
        <f>VLOOKUP(NoviaFunds[[#This Row],[ISIN]],'Novia Web Query'!$A:$E,5,FALSE)</f>
        <v>13/01/2021</v>
      </c>
      <c r="F3952" t="str">
        <f>VLOOKUP(NoviaFunds[[#This Row],[Sector]],Sectors[],2,FALSE)</f>
        <v>Mixed 40%-85%</v>
      </c>
    </row>
    <row r="3953" spans="1:6" x14ac:dyDescent="0.2">
      <c r="A3953" t="str">
        <f>'Novia Web Query'!A3949</f>
        <v>GB00BMFKHV86</v>
      </c>
      <c r="B3953" t="str">
        <f>VLOOKUP(NoviaFunds[[#This Row],[ISIN]],'Novia Web Query'!$A:$E,2,FALSE)</f>
        <v>Thesis TM P1 Sustainable World Class A Inc TR in GB</v>
      </c>
      <c r="C3953" t="str">
        <f>VLOOKUP(NoviaFunds[[#This Row],[ISIN]],'Novia Web Query'!$A:$E,3,FALSE)</f>
        <v>UT Mixed Investment 40-85% Shares</v>
      </c>
      <c r="D3953" s="139">
        <f>VLOOKUP(NoviaFunds[[#This Row],[ISIN]],'Novia Web Query'!$A:$E,4,FALSE)/100</f>
        <v>1.4999999999999999E-2</v>
      </c>
      <c r="E3953" s="3" t="str">
        <f>VLOOKUP(NoviaFunds[[#This Row],[ISIN]],'Novia Web Query'!$A:$E,5,FALSE)</f>
        <v>13/01/2021</v>
      </c>
      <c r="F3953" t="str">
        <f>VLOOKUP(NoviaFunds[[#This Row],[Sector]],Sectors[],2,FALSE)</f>
        <v>Mixed 40%-85%</v>
      </c>
    </row>
    <row r="3954" spans="1:6" x14ac:dyDescent="0.2">
      <c r="A3954" t="str">
        <f>'Novia Web Query'!A3950</f>
        <v>GB00BMBQN909</v>
      </c>
      <c r="B3954" t="str">
        <f>VLOOKUP(NoviaFunds[[#This Row],[ISIN]],'Novia Web Query'!$A:$E,2,FALSE)</f>
        <v>Thesis TM RWC Global Equity Income L Acc GBP in GB</v>
      </c>
      <c r="C3954" t="str">
        <f>VLOOKUP(NoviaFunds[[#This Row],[ISIN]],'Novia Web Query'!$A:$E,3,FALSE)</f>
        <v>UT Global Equity Income</v>
      </c>
      <c r="D3954" s="139">
        <f>VLOOKUP(NoviaFunds[[#This Row],[ISIN]],'Novia Web Query'!$A:$E,4,FALSE)/100</f>
        <v>6.9999999999999993E-3</v>
      </c>
      <c r="E3954" s="3" t="str">
        <f>VLOOKUP(NoviaFunds[[#This Row],[ISIN]],'Novia Web Query'!$A:$E,5,FALSE)</f>
        <v>27/11/2021</v>
      </c>
      <c r="F3954" t="str">
        <f>VLOOKUP(NoviaFunds[[#This Row],[Sector]],Sectors[],2,FALSE)</f>
        <v>Other Equities</v>
      </c>
    </row>
    <row r="3955" spans="1:6" x14ac:dyDescent="0.2">
      <c r="A3955" t="str">
        <f>'Novia Web Query'!A3951</f>
        <v>GB00BMBQNB23</v>
      </c>
      <c r="B3955" t="str">
        <f>VLOOKUP(NoviaFunds[[#This Row],[ISIN]],'Novia Web Query'!$A:$E,2,FALSE)</f>
        <v>Thesis TM RWC Global Equity Income L Inc GBP TR in GB</v>
      </c>
      <c r="C3955" t="str">
        <f>VLOOKUP(NoviaFunds[[#This Row],[ISIN]],'Novia Web Query'!$A:$E,3,FALSE)</f>
        <v>UT Global Equity Income</v>
      </c>
      <c r="D3955" s="139">
        <f>VLOOKUP(NoviaFunds[[#This Row],[ISIN]],'Novia Web Query'!$A:$E,4,FALSE)/100</f>
        <v>6.9999999999999993E-3</v>
      </c>
      <c r="E3955" s="3" t="str">
        <f>VLOOKUP(NoviaFunds[[#This Row],[ISIN]],'Novia Web Query'!$A:$E,5,FALSE)</f>
        <v>27/11/2021</v>
      </c>
      <c r="F3955" t="str">
        <f>VLOOKUP(NoviaFunds[[#This Row],[Sector]],Sectors[],2,FALSE)</f>
        <v>Other Equities</v>
      </c>
    </row>
    <row r="3956" spans="1:6" x14ac:dyDescent="0.2">
      <c r="A3956" t="str">
        <f>'Novia Web Query'!A3952</f>
        <v>GB00BNY7YM73</v>
      </c>
      <c r="B3956" t="str">
        <f>VLOOKUP(NoviaFunds[[#This Row],[ISIN]],'Novia Web Query'!$A:$E,2,FALSE)</f>
        <v>Thesis TM Tellworth UK Select A Acc in GB</v>
      </c>
      <c r="C3956" t="str">
        <f>VLOOKUP(NoviaFunds[[#This Row],[ISIN]],'Novia Web Query'!$A:$E,3,FALSE)</f>
        <v>UT Targeted Absolute Return</v>
      </c>
      <c r="D3956" s="139">
        <f>VLOOKUP(NoviaFunds[[#This Row],[ISIN]],'Novia Web Query'!$A:$E,4,FALSE)/100</f>
        <v>1.2500000000000001E-2</v>
      </c>
      <c r="E3956" s="3" t="str">
        <f>VLOOKUP(NoviaFunds[[#This Row],[ISIN]],'Novia Web Query'!$A:$E,5,FALSE)</f>
        <v>27/11/2021</v>
      </c>
      <c r="F3956" t="str">
        <f>VLOOKUP(NoviaFunds[[#This Row],[Sector]],Sectors[],2,FALSE)</f>
        <v>Absolute Return</v>
      </c>
    </row>
    <row r="3957" spans="1:6" x14ac:dyDescent="0.2">
      <c r="A3957" t="str">
        <f>'Novia Web Query'!A3953</f>
        <v>GB00BNY7YL66</v>
      </c>
      <c r="B3957" t="str">
        <f>VLOOKUP(NoviaFunds[[#This Row],[ISIN]],'Novia Web Query'!$A:$E,2,FALSE)</f>
        <v>Thesis TM Tellworth UK Select A Inc in GB</v>
      </c>
      <c r="C3957" t="str">
        <f>VLOOKUP(NoviaFunds[[#This Row],[ISIN]],'Novia Web Query'!$A:$E,3,FALSE)</f>
        <v>UT Targeted Absolute Return</v>
      </c>
      <c r="D3957" s="139">
        <f>VLOOKUP(NoviaFunds[[#This Row],[ISIN]],'Novia Web Query'!$A:$E,4,FALSE)/100</f>
        <v>1.2500000000000001E-2</v>
      </c>
      <c r="E3957" s="3" t="str">
        <f>VLOOKUP(NoviaFunds[[#This Row],[ISIN]],'Novia Web Query'!$A:$E,5,FALSE)</f>
        <v>27/11/2021</v>
      </c>
      <c r="F3957" t="str">
        <f>VLOOKUP(NoviaFunds[[#This Row],[Sector]],Sectors[],2,FALSE)</f>
        <v>Absolute Return</v>
      </c>
    </row>
    <row r="3958" spans="1:6" x14ac:dyDescent="0.2">
      <c r="A3958" t="str">
        <f>'Novia Web Query'!A3954</f>
        <v>GB00B28BBW75</v>
      </c>
      <c r="B3958" t="str">
        <f>VLOOKUP(NoviaFunds[[#This Row],[ISIN]],'Novia Web Query'!$A:$E,2,FALSE)</f>
        <v>Threadneedle American Extended Alpha INA GBP in GB</v>
      </c>
      <c r="C3958" t="str">
        <f>VLOOKUP(NoviaFunds[[#This Row],[ISIN]],'Novia Web Query'!$A:$E,3,FALSE)</f>
        <v>UT North America</v>
      </c>
      <c r="D3958" s="139">
        <f>VLOOKUP(NoviaFunds[[#This Row],[ISIN]],'Novia Web Query'!$A:$E,4,FALSE)/100</f>
        <v>8.5000000000000006E-3</v>
      </c>
      <c r="E3958" s="3" t="str">
        <f>VLOOKUP(NoviaFunds[[#This Row],[ISIN]],'Novia Web Query'!$A:$E,5,FALSE)</f>
        <v>30/04/2021</v>
      </c>
      <c r="F3958" t="str">
        <f>VLOOKUP(NoviaFunds[[#This Row],[Sector]],Sectors[],2,FALSE)</f>
        <v>USA Equities</v>
      </c>
    </row>
    <row r="3959" spans="1:6" x14ac:dyDescent="0.2">
      <c r="A3959" t="str">
        <f>'Novia Web Query'!A3955</f>
        <v>GB00B28B7B81</v>
      </c>
      <c r="B3959" t="str">
        <f>VLOOKUP(NoviaFunds[[#This Row],[ISIN]],'Novia Web Query'!$A:$E,2,FALSE)</f>
        <v>Threadneedle American Extended Alpha RNA GBP in GB</v>
      </c>
      <c r="C3959" t="str">
        <f>VLOOKUP(NoviaFunds[[#This Row],[ISIN]],'Novia Web Query'!$A:$E,3,FALSE)</f>
        <v>UT North America</v>
      </c>
      <c r="D3959" s="139">
        <f>VLOOKUP(NoviaFunds[[#This Row],[ISIN]],'Novia Web Query'!$A:$E,4,FALSE)/100</f>
        <v>1.66E-2</v>
      </c>
      <c r="E3959" s="3" t="str">
        <f>VLOOKUP(NoviaFunds[[#This Row],[ISIN]],'Novia Web Query'!$A:$E,5,FALSE)</f>
        <v>30/04/2021</v>
      </c>
      <c r="F3959" t="str">
        <f>VLOOKUP(NoviaFunds[[#This Row],[Sector]],Sectors[],2,FALSE)</f>
        <v>USA Equities</v>
      </c>
    </row>
    <row r="3960" spans="1:6" x14ac:dyDescent="0.2">
      <c r="A3960" t="str">
        <f>'Novia Web Query'!A3956</f>
        <v>GB0001530566</v>
      </c>
      <c r="B3960" t="str">
        <f>VLOOKUP(NoviaFunds[[#This Row],[ISIN]],'Novia Web Query'!$A:$E,2,FALSE)</f>
        <v>Threadneedle American RNA GBP in GB</v>
      </c>
      <c r="C3960" t="str">
        <f>VLOOKUP(NoviaFunds[[#This Row],[ISIN]],'Novia Web Query'!$A:$E,3,FALSE)</f>
        <v>UT North America</v>
      </c>
      <c r="D3960" s="139">
        <f>VLOOKUP(NoviaFunds[[#This Row],[ISIN]],'Novia Web Query'!$A:$E,4,FALSE)/100</f>
        <v>1.5100000000000001E-2</v>
      </c>
      <c r="E3960" s="3" t="str">
        <f>VLOOKUP(NoviaFunds[[#This Row],[ISIN]],'Novia Web Query'!$A:$E,5,FALSE)</f>
        <v>24/01/2020</v>
      </c>
      <c r="F3960" t="str">
        <f>VLOOKUP(NoviaFunds[[#This Row],[Sector]],Sectors[],2,FALSE)</f>
        <v>USA Equities</v>
      </c>
    </row>
    <row r="3961" spans="1:6" x14ac:dyDescent="0.2">
      <c r="A3961" t="str">
        <f>'Novia Web Query'!A3957</f>
        <v>GB00B0GDGF93</v>
      </c>
      <c r="B3961" t="str">
        <f>VLOOKUP(NoviaFunds[[#This Row],[ISIN]],'Novia Web Query'!$A:$E,2,FALSE)</f>
        <v>Threadneedle American RNI GBP TR in GB</v>
      </c>
      <c r="C3961" t="str">
        <f>VLOOKUP(NoviaFunds[[#This Row],[ISIN]],'Novia Web Query'!$A:$E,3,FALSE)</f>
        <v>UT North America</v>
      </c>
      <c r="D3961" s="139">
        <f>VLOOKUP(NoviaFunds[[#This Row],[ISIN]],'Novia Web Query'!$A:$E,4,FALSE)/100</f>
        <v>1.5100000000000001E-2</v>
      </c>
      <c r="E3961" s="3" t="str">
        <f>VLOOKUP(NoviaFunds[[#This Row],[ISIN]],'Novia Web Query'!$A:$E,5,FALSE)</f>
        <v>01/06/2021</v>
      </c>
      <c r="F3961" t="str">
        <f>VLOOKUP(NoviaFunds[[#This Row],[Sector]],Sectors[],2,FALSE)</f>
        <v>USA Equities</v>
      </c>
    </row>
    <row r="3962" spans="1:6" x14ac:dyDescent="0.2">
      <c r="A3962" t="str">
        <f>'Novia Web Query'!A3958</f>
        <v>GB0001447597</v>
      </c>
      <c r="B3962" t="str">
        <f>VLOOKUP(NoviaFunds[[#This Row],[ISIN]],'Novia Web Query'!$A:$E,2,FALSE)</f>
        <v>Threadneedle American Select INA GBP in GB</v>
      </c>
      <c r="C3962" t="str">
        <f>VLOOKUP(NoviaFunds[[#This Row],[ISIN]],'Novia Web Query'!$A:$E,3,FALSE)</f>
        <v>UT North America</v>
      </c>
      <c r="D3962" s="139">
        <f>VLOOKUP(NoviaFunds[[#This Row],[ISIN]],'Novia Web Query'!$A:$E,4,FALSE)/100</f>
        <v>1.06E-2</v>
      </c>
      <c r="E3962" s="3" t="str">
        <f>VLOOKUP(NoviaFunds[[#This Row],[ISIN]],'Novia Web Query'!$A:$E,5,FALSE)</f>
        <v>07/03/2021</v>
      </c>
      <c r="F3962" t="str">
        <f>VLOOKUP(NoviaFunds[[#This Row],[Sector]],Sectors[],2,FALSE)</f>
        <v>USA Equities</v>
      </c>
    </row>
    <row r="3963" spans="1:6" x14ac:dyDescent="0.2">
      <c r="A3963" t="str">
        <f>'Novia Web Query'!A3959</f>
        <v>GB0001529238</v>
      </c>
      <c r="B3963" t="str">
        <f>VLOOKUP(NoviaFunds[[#This Row],[ISIN]],'Novia Web Query'!$A:$E,2,FALSE)</f>
        <v>Threadneedle American Select RNA GBP in GB</v>
      </c>
      <c r="C3963" t="str">
        <f>VLOOKUP(NoviaFunds[[#This Row],[ISIN]],'Novia Web Query'!$A:$E,3,FALSE)</f>
        <v>UT North America</v>
      </c>
      <c r="D3963" s="139">
        <f>VLOOKUP(NoviaFunds[[#This Row],[ISIN]],'Novia Web Query'!$A:$E,4,FALSE)/100</f>
        <v>1.5900000000000001E-2</v>
      </c>
      <c r="E3963" s="3" t="str">
        <f>VLOOKUP(NoviaFunds[[#This Row],[ISIN]],'Novia Web Query'!$A:$E,5,FALSE)</f>
        <v>01/06/2021</v>
      </c>
      <c r="F3963" t="str">
        <f>VLOOKUP(NoviaFunds[[#This Row],[Sector]],Sectors[],2,FALSE)</f>
        <v>USA Equities</v>
      </c>
    </row>
    <row r="3964" spans="1:6" x14ac:dyDescent="0.2">
      <c r="A3964" t="str">
        <f>'Novia Web Query'!A3960</f>
        <v>GB00B0GDXT21</v>
      </c>
      <c r="B3964" t="str">
        <f>VLOOKUP(NoviaFunds[[#This Row],[ISIN]],'Novia Web Query'!$A:$E,2,FALSE)</f>
        <v>Threadneedle American Select RNI GBP in GB</v>
      </c>
      <c r="C3964" t="str">
        <f>VLOOKUP(NoviaFunds[[#This Row],[ISIN]],'Novia Web Query'!$A:$E,3,FALSE)</f>
        <v>UT North America</v>
      </c>
      <c r="D3964" s="139">
        <f>VLOOKUP(NoviaFunds[[#This Row],[ISIN]],'Novia Web Query'!$A:$E,4,FALSE)/100</f>
        <v>1.5900000000000001E-2</v>
      </c>
      <c r="E3964" s="3" t="str">
        <f>VLOOKUP(NoviaFunds[[#This Row],[ISIN]],'Novia Web Query'!$A:$E,5,FALSE)</f>
        <v>01/06/2021</v>
      </c>
      <c r="F3964" t="str">
        <f>VLOOKUP(NoviaFunds[[#This Row],[Sector]],Sectors[],2,FALSE)</f>
        <v>USA Equities</v>
      </c>
    </row>
    <row r="3965" spans="1:6" x14ac:dyDescent="0.2">
      <c r="A3965" t="str">
        <f>'Novia Web Query'!A3961</f>
        <v>GB00B7HJLD86</v>
      </c>
      <c r="B3965" t="str">
        <f>VLOOKUP(NoviaFunds[[#This Row],[ISIN]],'Novia Web Query'!$A:$E,2,FALSE)</f>
        <v>Threadneedle American Select ZNA GBP in GB</v>
      </c>
      <c r="C3965" t="str">
        <f>VLOOKUP(NoviaFunds[[#This Row],[ISIN]],'Novia Web Query'!$A:$E,3,FALSE)</f>
        <v>UT North America</v>
      </c>
      <c r="D3965" s="139">
        <f>VLOOKUP(NoviaFunds[[#This Row],[ISIN]],'Novia Web Query'!$A:$E,4,FALSE)/100</f>
        <v>8.199999999999999E-3</v>
      </c>
      <c r="E3965" s="3" t="str">
        <f>VLOOKUP(NoviaFunds[[#This Row],[ISIN]],'Novia Web Query'!$A:$E,5,FALSE)</f>
        <v>07/03/2021</v>
      </c>
      <c r="F3965" t="str">
        <f>VLOOKUP(NoviaFunds[[#This Row],[Sector]],Sectors[],2,FALSE)</f>
        <v>USA Equities</v>
      </c>
    </row>
    <row r="3966" spans="1:6" x14ac:dyDescent="0.2">
      <c r="A3966" t="str">
        <f>'Novia Web Query'!A3962</f>
        <v>GB00B8BC1961</v>
      </c>
      <c r="B3966" t="str">
        <f>VLOOKUP(NoviaFunds[[#This Row],[ISIN]],'Novia Web Query'!$A:$E,2,FALSE)</f>
        <v>Threadneedle American Select ZNI GBP TR in GB</v>
      </c>
      <c r="C3966" t="str">
        <f>VLOOKUP(NoviaFunds[[#This Row],[ISIN]],'Novia Web Query'!$A:$E,3,FALSE)</f>
        <v>UT North America</v>
      </c>
      <c r="D3966" s="139">
        <f>VLOOKUP(NoviaFunds[[#This Row],[ISIN]],'Novia Web Query'!$A:$E,4,FALSE)/100</f>
        <v>8.199999999999999E-3</v>
      </c>
      <c r="E3966" s="3" t="str">
        <f>VLOOKUP(NoviaFunds[[#This Row],[ISIN]],'Novia Web Query'!$A:$E,5,FALSE)</f>
        <v>07/03/2021</v>
      </c>
      <c r="F3966" t="str">
        <f>VLOOKUP(NoviaFunds[[#This Row],[Sector]],Sectors[],2,FALSE)</f>
        <v>USA Equities</v>
      </c>
    </row>
    <row r="3967" spans="1:6" x14ac:dyDescent="0.2">
      <c r="A3967" t="str">
        <f>'Novia Web Query'!A3963</f>
        <v>GB0001530459</v>
      </c>
      <c r="B3967" t="str">
        <f>VLOOKUP(NoviaFunds[[#This Row],[ISIN]],'Novia Web Query'!$A:$E,2,FALSE)</f>
        <v>Threadneedle American Smaller Companies (US) INA GBP in GB</v>
      </c>
      <c r="C3967" t="str">
        <f>VLOOKUP(NoviaFunds[[#This Row],[ISIN]],'Novia Web Query'!$A:$E,3,FALSE)</f>
        <v>UT North American Smaller Companies</v>
      </c>
      <c r="D3967" s="139">
        <f>VLOOKUP(NoviaFunds[[#This Row],[ISIN]],'Novia Web Query'!$A:$E,4,FALSE)/100</f>
        <v>1.06E-2</v>
      </c>
      <c r="E3967" s="3" t="str">
        <f>VLOOKUP(NoviaFunds[[#This Row],[ISIN]],'Novia Web Query'!$A:$E,5,FALSE)</f>
        <v>07/03/2021</v>
      </c>
      <c r="F3967" t="str">
        <f>VLOOKUP(NoviaFunds[[#This Row],[Sector]],Sectors[],2,FALSE)</f>
        <v>USA Equities</v>
      </c>
    </row>
    <row r="3968" spans="1:6" x14ac:dyDescent="0.2">
      <c r="A3968" t="str">
        <f>'Novia Web Query'!A3964</f>
        <v>GB0001530129</v>
      </c>
      <c r="B3968" t="str">
        <f>VLOOKUP(NoviaFunds[[#This Row],[ISIN]],'Novia Web Query'!$A:$E,2,FALSE)</f>
        <v>Threadneedle American Smaller Companies (US) RNA GBP in GB</v>
      </c>
      <c r="C3968" t="str">
        <f>VLOOKUP(NoviaFunds[[#This Row],[ISIN]],'Novia Web Query'!$A:$E,3,FALSE)</f>
        <v>UT North American Smaller Companies</v>
      </c>
      <c r="D3968" s="139">
        <f>VLOOKUP(NoviaFunds[[#This Row],[ISIN]],'Novia Web Query'!$A:$E,4,FALSE)/100</f>
        <v>1.6299999999999999E-2</v>
      </c>
      <c r="E3968" s="3" t="str">
        <f>VLOOKUP(NoviaFunds[[#This Row],[ISIN]],'Novia Web Query'!$A:$E,5,FALSE)</f>
        <v>07/03/2021</v>
      </c>
      <c r="F3968" t="str">
        <f>VLOOKUP(NoviaFunds[[#This Row],[Sector]],Sectors[],2,FALSE)</f>
        <v>USA Equities</v>
      </c>
    </row>
    <row r="3969" spans="1:6" x14ac:dyDescent="0.2">
      <c r="A3969" t="str">
        <f>'Novia Web Query'!A3965</f>
        <v>GB00B0GDXX66</v>
      </c>
      <c r="B3969" t="str">
        <f>VLOOKUP(NoviaFunds[[#This Row],[ISIN]],'Novia Web Query'!$A:$E,2,FALSE)</f>
        <v>Threadneedle American Smaller Companies (US) RNI GBP in GB</v>
      </c>
      <c r="C3969" t="str">
        <f>VLOOKUP(NoviaFunds[[#This Row],[ISIN]],'Novia Web Query'!$A:$E,3,FALSE)</f>
        <v>UT North American Smaller Companies</v>
      </c>
      <c r="D3969" s="139">
        <f>VLOOKUP(NoviaFunds[[#This Row],[ISIN]],'Novia Web Query'!$A:$E,4,FALSE)/100</f>
        <v>1.6299999999999999E-2</v>
      </c>
      <c r="E3969" s="3" t="str">
        <f>VLOOKUP(NoviaFunds[[#This Row],[ISIN]],'Novia Web Query'!$A:$E,5,FALSE)</f>
        <v>07/03/2021</v>
      </c>
      <c r="F3969" t="str">
        <f>VLOOKUP(NoviaFunds[[#This Row],[Sector]],Sectors[],2,FALSE)</f>
        <v>USA Equities</v>
      </c>
    </row>
    <row r="3970" spans="1:6" x14ac:dyDescent="0.2">
      <c r="A3970" t="str">
        <f>'Novia Web Query'!A3966</f>
        <v>GB00B8358Z89</v>
      </c>
      <c r="B3970" t="str">
        <f>VLOOKUP(NoviaFunds[[#This Row],[ISIN]],'Novia Web Query'!$A:$E,2,FALSE)</f>
        <v>Threadneedle American Smaller Companies (US) ZNA GBP in GB</v>
      </c>
      <c r="C3970" t="str">
        <f>VLOOKUP(NoviaFunds[[#This Row],[ISIN]],'Novia Web Query'!$A:$E,3,FALSE)</f>
        <v>UT North American Smaller Companies</v>
      </c>
      <c r="D3970" s="139">
        <f>VLOOKUP(NoviaFunds[[#This Row],[ISIN]],'Novia Web Query'!$A:$E,4,FALSE)/100</f>
        <v>8.8000000000000005E-3</v>
      </c>
      <c r="E3970" s="3" t="str">
        <f>VLOOKUP(NoviaFunds[[#This Row],[ISIN]],'Novia Web Query'!$A:$E,5,FALSE)</f>
        <v>07/03/2021</v>
      </c>
      <c r="F3970" t="str">
        <f>VLOOKUP(NoviaFunds[[#This Row],[Sector]],Sectors[],2,FALSE)</f>
        <v>USA Equities</v>
      </c>
    </row>
    <row r="3971" spans="1:6" x14ac:dyDescent="0.2">
      <c r="A3971" t="str">
        <f>'Novia Web Query'!A3967</f>
        <v>GB00B88YT359</v>
      </c>
      <c r="B3971" t="str">
        <f>VLOOKUP(NoviaFunds[[#This Row],[ISIN]],'Novia Web Query'!$A:$E,2,FALSE)</f>
        <v>Threadneedle American Smaller Companies (US) ZNI GBP TR in GB</v>
      </c>
      <c r="C3971" t="str">
        <f>VLOOKUP(NoviaFunds[[#This Row],[ISIN]],'Novia Web Query'!$A:$E,3,FALSE)</f>
        <v>UT North American Smaller Companies</v>
      </c>
      <c r="D3971" s="139">
        <f>VLOOKUP(NoviaFunds[[#This Row],[ISIN]],'Novia Web Query'!$A:$E,4,FALSE)/100</f>
        <v>8.8000000000000005E-3</v>
      </c>
      <c r="E3971" s="3" t="str">
        <f>VLOOKUP(NoviaFunds[[#This Row],[ISIN]],'Novia Web Query'!$A:$E,5,FALSE)</f>
        <v>07/03/2021</v>
      </c>
      <c r="F3971" t="str">
        <f>VLOOKUP(NoviaFunds[[#This Row],[Sector]],Sectors[],2,FALSE)</f>
        <v>USA Equities</v>
      </c>
    </row>
    <row r="3972" spans="1:6" x14ac:dyDescent="0.2">
      <c r="A3972" t="str">
        <f>'Novia Web Query'!A3968</f>
        <v>GB00B7T2FK07</v>
      </c>
      <c r="B3972" t="str">
        <f>VLOOKUP(NoviaFunds[[#This Row],[ISIN]],'Novia Web Query'!$A:$E,2,FALSE)</f>
        <v>Threadneedle American ZNA GBP in GB</v>
      </c>
      <c r="C3972" t="str">
        <f>VLOOKUP(NoviaFunds[[#This Row],[ISIN]],'Novia Web Query'!$A:$E,3,FALSE)</f>
        <v>UT North America</v>
      </c>
      <c r="D3972" s="139">
        <f>VLOOKUP(NoviaFunds[[#This Row],[ISIN]],'Novia Web Query'!$A:$E,4,FALSE)/100</f>
        <v>8.199999999999999E-3</v>
      </c>
      <c r="E3972" s="3" t="str">
        <f>VLOOKUP(NoviaFunds[[#This Row],[ISIN]],'Novia Web Query'!$A:$E,5,FALSE)</f>
        <v>07/03/2021</v>
      </c>
      <c r="F3972" t="str">
        <f>VLOOKUP(NoviaFunds[[#This Row],[Sector]],Sectors[],2,FALSE)</f>
        <v>USA Equities</v>
      </c>
    </row>
    <row r="3973" spans="1:6" x14ac:dyDescent="0.2">
      <c r="A3973" t="str">
        <f>'Novia Web Query'!A3969</f>
        <v>GB00B6WD1G18</v>
      </c>
      <c r="B3973" t="str">
        <f>VLOOKUP(NoviaFunds[[#This Row],[ISIN]],'Novia Web Query'!$A:$E,2,FALSE)</f>
        <v>Threadneedle American ZNI GBP TR in GB</v>
      </c>
      <c r="C3973" t="str">
        <f>VLOOKUP(NoviaFunds[[#This Row],[ISIN]],'Novia Web Query'!$A:$E,3,FALSE)</f>
        <v>UT North America</v>
      </c>
      <c r="D3973" s="139">
        <f>VLOOKUP(NoviaFunds[[#This Row],[ISIN]],'Novia Web Query'!$A:$E,4,FALSE)/100</f>
        <v>8.199999999999999E-3</v>
      </c>
      <c r="E3973" s="3" t="str">
        <f>VLOOKUP(NoviaFunds[[#This Row],[ISIN]],'Novia Web Query'!$A:$E,5,FALSE)</f>
        <v>07/03/2021</v>
      </c>
      <c r="F3973" t="str">
        <f>VLOOKUP(NoviaFunds[[#This Row],[Sector]],Sectors[],2,FALSE)</f>
        <v>USA Equities</v>
      </c>
    </row>
    <row r="3974" spans="1:6" x14ac:dyDescent="0.2">
      <c r="A3974" t="str">
        <f>'Novia Web Query'!A3970</f>
        <v>GB0001441020</v>
      </c>
      <c r="B3974" t="str">
        <f>VLOOKUP(NoviaFunds[[#This Row],[ISIN]],'Novia Web Query'!$A:$E,2,FALSE)</f>
        <v>Threadneedle Asia INA GBP in GB</v>
      </c>
      <c r="C3974" t="str">
        <f>VLOOKUP(NoviaFunds[[#This Row],[ISIN]],'Novia Web Query'!$A:$E,3,FALSE)</f>
        <v>UT Asia Pacific Excluding Japan</v>
      </c>
      <c r="D3974" s="139">
        <f>VLOOKUP(NoviaFunds[[#This Row],[ISIN]],'Novia Web Query'!$A:$E,4,FALSE)/100</f>
        <v>1.0800000000000001E-2</v>
      </c>
      <c r="E3974" s="3" t="str">
        <f>VLOOKUP(NoviaFunds[[#This Row],[ISIN]],'Novia Web Query'!$A:$E,5,FALSE)</f>
        <v>07/03/2021</v>
      </c>
      <c r="F3974" t="str">
        <f>VLOOKUP(NoviaFunds[[#This Row],[Sector]],Sectors[],2,FALSE)</f>
        <v>Asia Pacific</v>
      </c>
    </row>
    <row r="3975" spans="1:6" x14ac:dyDescent="0.2">
      <c r="A3975" t="str">
        <f>'Novia Web Query'!A3971</f>
        <v>GB0001441137</v>
      </c>
      <c r="B3975" t="str">
        <f>VLOOKUP(NoviaFunds[[#This Row],[ISIN]],'Novia Web Query'!$A:$E,2,FALSE)</f>
        <v>Threadneedle Asia RNA GBP in GB</v>
      </c>
      <c r="C3975" t="str">
        <f>VLOOKUP(NoviaFunds[[#This Row],[ISIN]],'Novia Web Query'!$A:$E,3,FALSE)</f>
        <v>UT Asia Pacific Excluding Japan</v>
      </c>
      <c r="D3975" s="139">
        <f>VLOOKUP(NoviaFunds[[#This Row],[ISIN]],'Novia Web Query'!$A:$E,4,FALSE)/100</f>
        <v>1.6399999999999998E-2</v>
      </c>
      <c r="E3975" s="3" t="str">
        <f>VLOOKUP(NoviaFunds[[#This Row],[ISIN]],'Novia Web Query'!$A:$E,5,FALSE)</f>
        <v>07/03/2021</v>
      </c>
      <c r="F3975" t="str">
        <f>VLOOKUP(NoviaFunds[[#This Row],[Sector]],Sectors[],2,FALSE)</f>
        <v>Asia Pacific</v>
      </c>
    </row>
    <row r="3976" spans="1:6" x14ac:dyDescent="0.2">
      <c r="A3976" t="str">
        <f>'Novia Web Query'!A3972</f>
        <v>GB00B83BWC19</v>
      </c>
      <c r="B3976" t="str">
        <f>VLOOKUP(NoviaFunds[[#This Row],[ISIN]],'Novia Web Query'!$A:$E,2,FALSE)</f>
        <v>Threadneedle Asia ZNA GBP in GB</v>
      </c>
      <c r="C3976" t="str">
        <f>VLOOKUP(NoviaFunds[[#This Row],[ISIN]],'Novia Web Query'!$A:$E,3,FALSE)</f>
        <v>UT Asia Pacific Excluding Japan</v>
      </c>
      <c r="D3976" s="139">
        <f>VLOOKUP(NoviaFunds[[#This Row],[ISIN]],'Novia Web Query'!$A:$E,4,FALSE)/100</f>
        <v>9.0000000000000011E-3</v>
      </c>
      <c r="E3976" s="3" t="str">
        <f>VLOOKUP(NoviaFunds[[#This Row],[ISIN]],'Novia Web Query'!$A:$E,5,FALSE)</f>
        <v>07/03/2021</v>
      </c>
      <c r="F3976" t="str">
        <f>VLOOKUP(NoviaFunds[[#This Row],[Sector]],Sectors[],2,FALSE)</f>
        <v>Asia Pacific</v>
      </c>
    </row>
    <row r="3977" spans="1:6" x14ac:dyDescent="0.2">
      <c r="A3977" t="str">
        <f>'Novia Web Query'!A3973</f>
        <v>GB00B1PRW734</v>
      </c>
      <c r="B3977" t="str">
        <f>VLOOKUP(NoviaFunds[[#This Row],[ISIN]],'Novia Web Query'!$A:$E,2,FALSE)</f>
        <v>Threadneedle China Opportunities RNA GBP in GB</v>
      </c>
      <c r="C3977" t="str">
        <f>VLOOKUP(NoviaFunds[[#This Row],[ISIN]],'Novia Web Query'!$A:$E,3,FALSE)</f>
        <v>UT China/Greater China</v>
      </c>
      <c r="D3977" s="139">
        <f>VLOOKUP(NoviaFunds[[#This Row],[ISIN]],'Novia Web Query'!$A:$E,4,FALSE)/100</f>
        <v>1.67E-2</v>
      </c>
      <c r="E3977" s="3" t="str">
        <f>VLOOKUP(NoviaFunds[[#This Row],[ISIN]],'Novia Web Query'!$A:$E,5,FALSE)</f>
        <v>30/04/2021</v>
      </c>
      <c r="F3977" t="str">
        <f>VLOOKUP(NoviaFunds[[#This Row],[Sector]],Sectors[],2,FALSE)</f>
        <v>Asia Pacific</v>
      </c>
    </row>
    <row r="3978" spans="1:6" x14ac:dyDescent="0.2">
      <c r="A3978" t="str">
        <f>'Novia Web Query'!A3974</f>
        <v>GB00B846CP88</v>
      </c>
      <c r="B3978" t="str">
        <f>VLOOKUP(NoviaFunds[[#This Row],[ISIN]],'Novia Web Query'!$A:$E,2,FALSE)</f>
        <v>Threadneedle China Opportunities ZNA GBP in GB</v>
      </c>
      <c r="C3978" t="str">
        <f>VLOOKUP(NoviaFunds[[#This Row],[ISIN]],'Novia Web Query'!$A:$E,3,FALSE)</f>
        <v>UT China/Greater China</v>
      </c>
      <c r="D3978" s="139">
        <f>VLOOKUP(NoviaFunds[[#This Row],[ISIN]],'Novia Web Query'!$A:$E,4,FALSE)/100</f>
        <v>9.1999999999999998E-3</v>
      </c>
      <c r="E3978" s="3" t="str">
        <f>VLOOKUP(NoviaFunds[[#This Row],[ISIN]],'Novia Web Query'!$A:$E,5,FALSE)</f>
        <v>30/04/2021</v>
      </c>
      <c r="F3978" t="str">
        <f>VLOOKUP(NoviaFunds[[#This Row],[Sector]],Sectors[],2,FALSE)</f>
        <v>Asia Pacific</v>
      </c>
    </row>
    <row r="3979" spans="1:6" x14ac:dyDescent="0.2">
      <c r="A3979" t="str">
        <f>'Novia Web Query'!A3975</f>
        <v>GB00B87D9990</v>
      </c>
      <c r="B3979" t="str">
        <f>VLOOKUP(NoviaFunds[[#This Row],[ISIN]],'Novia Web Query'!$A:$E,2,FALSE)</f>
        <v>Threadneedle Dollar Bond ZGA GBP in GB</v>
      </c>
      <c r="C3979" t="str">
        <f>VLOOKUP(NoviaFunds[[#This Row],[ISIN]],'Novia Web Query'!$A:$E,3,FALSE)</f>
        <v>UT Global Bonds</v>
      </c>
      <c r="D3979" s="139">
        <f>VLOOKUP(NoviaFunds[[#This Row],[ISIN]],'Novia Web Query'!$A:$E,4,FALSE)/100</f>
        <v>6.7000000000000002E-3</v>
      </c>
      <c r="E3979" s="3" t="str">
        <f>VLOOKUP(NoviaFunds[[#This Row],[ISIN]],'Novia Web Query'!$A:$E,5,FALSE)</f>
        <v>07/03/2021</v>
      </c>
      <c r="F3979" t="str">
        <f>VLOOKUP(NoviaFunds[[#This Row],[Sector]],Sectors[],2,FALSE)</f>
        <v>Global Investment Grade</v>
      </c>
    </row>
    <row r="3980" spans="1:6" x14ac:dyDescent="0.2">
      <c r="A3980" t="str">
        <f>'Novia Web Query'!A3976</f>
        <v>GB00B9BRCL73</v>
      </c>
      <c r="B3980" t="str">
        <f>VLOOKUP(NoviaFunds[[#This Row],[ISIN]],'Novia Web Query'!$A:$E,2,FALSE)</f>
        <v>Threadneedle Dollar Bond ZNI GBP TR in GB</v>
      </c>
      <c r="C3980" t="str">
        <f>VLOOKUP(NoviaFunds[[#This Row],[ISIN]],'Novia Web Query'!$A:$E,3,FALSE)</f>
        <v>UT Global Bonds</v>
      </c>
      <c r="D3980" s="139">
        <f>VLOOKUP(NoviaFunds[[#This Row],[ISIN]],'Novia Web Query'!$A:$E,4,FALSE)/100</f>
        <v>6.7000000000000002E-3</v>
      </c>
      <c r="E3980" s="3" t="str">
        <f>VLOOKUP(NoviaFunds[[#This Row],[ISIN]],'Novia Web Query'!$A:$E,5,FALSE)</f>
        <v>07/03/2021</v>
      </c>
      <c r="F3980" t="str">
        <f>VLOOKUP(NoviaFunds[[#This Row],[Sector]],Sectors[],2,FALSE)</f>
        <v>Global Investment Grade</v>
      </c>
    </row>
    <row r="3981" spans="1:6" x14ac:dyDescent="0.2">
      <c r="A3981" t="str">
        <f>'Novia Web Query'!A3977</f>
        <v>GB00BWWC6P48</v>
      </c>
      <c r="B3981" t="str">
        <f>VLOOKUP(NoviaFunds[[#This Row],[ISIN]],'Novia Web Query'!$A:$E,2,FALSE)</f>
        <v>Threadneedle Dynamic Real Return SNA GBP in GB</v>
      </c>
      <c r="C3981" t="str">
        <f>VLOOKUP(NoviaFunds[[#This Row],[ISIN]],'Novia Web Query'!$A:$E,3,FALSE)</f>
        <v>UT Targeted Absolute Return</v>
      </c>
      <c r="D3981" s="139">
        <f>VLOOKUP(NoviaFunds[[#This Row],[ISIN]],'Novia Web Query'!$A:$E,4,FALSE)/100</f>
        <v>5.0000000000000001E-3</v>
      </c>
      <c r="E3981" s="3" t="str">
        <f>VLOOKUP(NoviaFunds[[#This Row],[ISIN]],'Novia Web Query'!$A:$E,5,FALSE)</f>
        <v>25/05/2021</v>
      </c>
      <c r="F3981" t="str">
        <f>VLOOKUP(NoviaFunds[[#This Row],[Sector]],Sectors[],2,FALSE)</f>
        <v>Absolute Return</v>
      </c>
    </row>
    <row r="3982" spans="1:6" x14ac:dyDescent="0.2">
      <c r="A3982" t="str">
        <f>'Novia Web Query'!A3978</f>
        <v>GB00B93TQ868</v>
      </c>
      <c r="B3982" t="str">
        <f>VLOOKUP(NoviaFunds[[#This Row],[ISIN]],'Novia Web Query'!$A:$E,2,FALSE)</f>
        <v>Threadneedle Dynamic Real Return ZNA GBP in GB</v>
      </c>
      <c r="C3982" t="str">
        <f>VLOOKUP(NoviaFunds[[#This Row],[ISIN]],'Novia Web Query'!$A:$E,3,FALSE)</f>
        <v>UT Targeted Absolute Return</v>
      </c>
      <c r="D3982" s="139">
        <f>VLOOKUP(NoviaFunds[[#This Row],[ISIN]],'Novia Web Query'!$A:$E,4,FALSE)/100</f>
        <v>9.1999999999999998E-3</v>
      </c>
      <c r="E3982" s="3" t="str">
        <f>VLOOKUP(NoviaFunds[[#This Row],[ISIN]],'Novia Web Query'!$A:$E,5,FALSE)</f>
        <v>25/05/2021</v>
      </c>
      <c r="F3982" t="str">
        <f>VLOOKUP(NoviaFunds[[#This Row],[Sector]],Sectors[],2,FALSE)</f>
        <v>Absolute Return</v>
      </c>
    </row>
    <row r="3983" spans="1:6" x14ac:dyDescent="0.2">
      <c r="A3983" t="str">
        <f>'Novia Web Query'!A3979</f>
        <v>GB00B93MKD82</v>
      </c>
      <c r="B3983" t="str">
        <f>VLOOKUP(NoviaFunds[[#This Row],[ISIN]],'Novia Web Query'!$A:$E,2,FALSE)</f>
        <v>Threadneedle Dynamic Real Return ZNI GBP TR in GB</v>
      </c>
      <c r="C3983" t="str">
        <f>VLOOKUP(NoviaFunds[[#This Row],[ISIN]],'Novia Web Query'!$A:$E,3,FALSE)</f>
        <v>UT Targeted Absolute Return</v>
      </c>
      <c r="D3983" s="139">
        <f>VLOOKUP(NoviaFunds[[#This Row],[ISIN]],'Novia Web Query'!$A:$E,4,FALSE)/100</f>
        <v>9.1999999999999998E-3</v>
      </c>
      <c r="E3983" s="3" t="str">
        <f>VLOOKUP(NoviaFunds[[#This Row],[ISIN]],'Novia Web Query'!$A:$E,5,FALSE)</f>
        <v>25/05/2021</v>
      </c>
      <c r="F3983" t="str">
        <f>VLOOKUP(NoviaFunds[[#This Row],[Sector]],Sectors[],2,FALSE)</f>
        <v>Absolute Return</v>
      </c>
    </row>
    <row r="3984" spans="1:6" x14ac:dyDescent="0.2">
      <c r="A3984" t="str">
        <f>'Novia Web Query'!A3980</f>
        <v>GB0002773652</v>
      </c>
      <c r="B3984" t="str">
        <f>VLOOKUP(NoviaFunds[[#This Row],[ISIN]],'Novia Web Query'!$A:$E,2,FALSE)</f>
        <v>Threadneedle Emerging Market Bond RGA GBP in GB</v>
      </c>
      <c r="C3984" t="str">
        <f>VLOOKUP(NoviaFunds[[#This Row],[ISIN]],'Novia Web Query'!$A:$E,3,FALSE)</f>
        <v>UT Global EM Bonds - Hard Currency</v>
      </c>
      <c r="D3984" s="139">
        <f>VLOOKUP(NoviaFunds[[#This Row],[ISIN]],'Novia Web Query'!$A:$E,4,FALSE)/100</f>
        <v>1.6E-2</v>
      </c>
      <c r="E3984" s="3" t="str">
        <f>VLOOKUP(NoviaFunds[[#This Row],[ISIN]],'Novia Web Query'!$A:$E,5,FALSE)</f>
        <v>07/03/2021</v>
      </c>
      <c r="F3984" t="e">
        <f>VLOOKUP(NoviaFunds[[#This Row],[Sector]],Sectors[],2,FALSE)</f>
        <v>#N/A</v>
      </c>
    </row>
    <row r="3985" spans="1:6" x14ac:dyDescent="0.2">
      <c r="A3985" t="str">
        <f>'Novia Web Query'!A3981</f>
        <v>GB0033749408</v>
      </c>
      <c r="B3985" t="str">
        <f>VLOOKUP(NoviaFunds[[#This Row],[ISIN]],'Novia Web Query'!$A:$E,2,FALSE)</f>
        <v>Threadneedle Emerging Market Bond RGI GBP TR in GB</v>
      </c>
      <c r="C3985" t="str">
        <f>VLOOKUP(NoviaFunds[[#This Row],[ISIN]],'Novia Web Query'!$A:$E,3,FALSE)</f>
        <v>UT Global EM Bonds - Hard Currency</v>
      </c>
      <c r="D3985" s="139">
        <f>VLOOKUP(NoviaFunds[[#This Row],[ISIN]],'Novia Web Query'!$A:$E,4,FALSE)/100</f>
        <v>1.6E-2</v>
      </c>
      <c r="E3985" s="3" t="str">
        <f>VLOOKUP(NoviaFunds[[#This Row],[ISIN]],'Novia Web Query'!$A:$E,5,FALSE)</f>
        <v>07/03/2021</v>
      </c>
      <c r="F3985" t="e">
        <f>VLOOKUP(NoviaFunds[[#This Row],[Sector]],Sectors[],2,FALSE)</f>
        <v>#N/A</v>
      </c>
    </row>
    <row r="3986" spans="1:6" x14ac:dyDescent="0.2">
      <c r="A3986" t="str">
        <f>'Novia Web Query'!A3982</f>
        <v>GB0002365608</v>
      </c>
      <c r="B3986" t="str">
        <f>VLOOKUP(NoviaFunds[[#This Row],[ISIN]],'Novia Web Query'!$A:$E,2,FALSE)</f>
        <v>Threadneedle Emerging Market Bond RNI GBP TR in GB</v>
      </c>
      <c r="C3986" t="str">
        <f>VLOOKUP(NoviaFunds[[#This Row],[ISIN]],'Novia Web Query'!$A:$E,3,FALSE)</f>
        <v>UT Global EM Bonds - Hard Currency</v>
      </c>
      <c r="D3986" s="139">
        <f>VLOOKUP(NoviaFunds[[#This Row],[ISIN]],'Novia Web Query'!$A:$E,4,FALSE)/100</f>
        <v>1.6E-2</v>
      </c>
      <c r="E3986" s="3" t="str">
        <f>VLOOKUP(NoviaFunds[[#This Row],[ISIN]],'Novia Web Query'!$A:$E,5,FALSE)</f>
        <v>07/03/2021</v>
      </c>
      <c r="F3986" t="e">
        <f>VLOOKUP(NoviaFunds[[#This Row],[Sector]],Sectors[],2,FALSE)</f>
        <v>#N/A</v>
      </c>
    </row>
    <row r="3987" spans="1:6" x14ac:dyDescent="0.2">
      <c r="A3987" t="str">
        <f>'Novia Web Query'!A3983</f>
        <v>GB00B8Q77S73</v>
      </c>
      <c r="B3987" t="str">
        <f>VLOOKUP(NoviaFunds[[#This Row],[ISIN]],'Novia Web Query'!$A:$E,2,FALSE)</f>
        <v>Threadneedle Emerging Market Bond ZGA GBP in GB</v>
      </c>
      <c r="C3987" t="str">
        <f>VLOOKUP(NoviaFunds[[#This Row],[ISIN]],'Novia Web Query'!$A:$E,3,FALSE)</f>
        <v>UT Global EM Bonds - Hard Currency</v>
      </c>
      <c r="D3987" s="139">
        <f>VLOOKUP(NoviaFunds[[#This Row],[ISIN]],'Novia Web Query'!$A:$E,4,FALSE)/100</f>
        <v>7.4999999999999997E-3</v>
      </c>
      <c r="E3987" s="3" t="str">
        <f>VLOOKUP(NoviaFunds[[#This Row],[ISIN]],'Novia Web Query'!$A:$E,5,FALSE)</f>
        <v>07/03/2021</v>
      </c>
      <c r="F3987" t="e">
        <f>VLOOKUP(NoviaFunds[[#This Row],[Sector]],Sectors[],2,FALSE)</f>
        <v>#N/A</v>
      </c>
    </row>
    <row r="3988" spans="1:6" x14ac:dyDescent="0.2">
      <c r="A3988" t="str">
        <f>'Novia Web Query'!A3984</f>
        <v>GB00B82D7569</v>
      </c>
      <c r="B3988" t="str">
        <f>VLOOKUP(NoviaFunds[[#This Row],[ISIN]],'Novia Web Query'!$A:$E,2,FALSE)</f>
        <v>Threadneedle Emerging Market Bond ZGI GBP TR in GB</v>
      </c>
      <c r="C3988" t="str">
        <f>VLOOKUP(NoviaFunds[[#This Row],[ISIN]],'Novia Web Query'!$A:$E,3,FALSE)</f>
        <v>UT Global EM Bonds - Hard Currency</v>
      </c>
      <c r="D3988" s="139">
        <f>VLOOKUP(NoviaFunds[[#This Row],[ISIN]],'Novia Web Query'!$A:$E,4,FALSE)/100</f>
        <v>7.4999999999999997E-3</v>
      </c>
      <c r="E3988" s="3" t="str">
        <f>VLOOKUP(NoviaFunds[[#This Row],[ISIN]],'Novia Web Query'!$A:$E,5,FALSE)</f>
        <v>07/03/2021</v>
      </c>
      <c r="F3988" t="e">
        <f>VLOOKUP(NoviaFunds[[#This Row],[Sector]],Sectors[],2,FALSE)</f>
        <v>#N/A</v>
      </c>
    </row>
    <row r="3989" spans="1:6" x14ac:dyDescent="0.2">
      <c r="A3989" t="str">
        <f>'Novia Web Query'!A3985</f>
        <v>GB00B817DW83</v>
      </c>
      <c r="B3989" t="str">
        <f>VLOOKUP(NoviaFunds[[#This Row],[ISIN]],'Novia Web Query'!$A:$E,2,FALSE)</f>
        <v>Threadneedle Emerging Market Bond ZNI GBP TR in GB</v>
      </c>
      <c r="C3989" t="str">
        <f>VLOOKUP(NoviaFunds[[#This Row],[ISIN]],'Novia Web Query'!$A:$E,3,FALSE)</f>
        <v>UT Global EM Bonds - Hard Currency</v>
      </c>
      <c r="D3989" s="139">
        <f>VLOOKUP(NoviaFunds[[#This Row],[ISIN]],'Novia Web Query'!$A:$E,4,FALSE)/100</f>
        <v>7.4999999999999997E-3</v>
      </c>
      <c r="E3989" s="3" t="str">
        <f>VLOOKUP(NoviaFunds[[#This Row],[ISIN]],'Novia Web Query'!$A:$E,5,FALSE)</f>
        <v>07/03/2021</v>
      </c>
      <c r="F3989" t="e">
        <f>VLOOKUP(NoviaFunds[[#This Row],[Sector]],Sectors[],2,FALSE)</f>
        <v>#N/A</v>
      </c>
    </row>
    <row r="3990" spans="1:6" x14ac:dyDescent="0.2">
      <c r="A3990" t="str">
        <f>'Novia Web Query'!A3986</f>
        <v>GB00B2B3NW43</v>
      </c>
      <c r="B3990" t="str">
        <f>VLOOKUP(NoviaFunds[[#This Row],[ISIN]],'Novia Web Query'!$A:$E,2,FALSE)</f>
        <v>Threadneedle Emerging Market Local RNI GBP TR in GB</v>
      </c>
      <c r="C3990" t="str">
        <f>VLOOKUP(NoviaFunds[[#This Row],[ISIN]],'Novia Web Query'!$A:$E,3,FALSE)</f>
        <v>UT Global EM Bonds - Local Currency</v>
      </c>
      <c r="D3990" s="139">
        <f>VLOOKUP(NoviaFunds[[#This Row],[ISIN]],'Novia Web Query'!$A:$E,4,FALSE)/100</f>
        <v>1.6200000000000003E-2</v>
      </c>
      <c r="E3990" s="3" t="str">
        <f>VLOOKUP(NoviaFunds[[#This Row],[ISIN]],'Novia Web Query'!$A:$E,5,FALSE)</f>
        <v>30/04/2021</v>
      </c>
      <c r="F3990" t="e">
        <f>VLOOKUP(NoviaFunds[[#This Row],[Sector]],Sectors[],2,FALSE)</f>
        <v>#N/A</v>
      </c>
    </row>
    <row r="3991" spans="1:6" x14ac:dyDescent="0.2">
      <c r="A3991" t="str">
        <f>'Novia Web Query'!A3987</f>
        <v>GB00B80NJR42</v>
      </c>
      <c r="B3991" t="str">
        <f>VLOOKUP(NoviaFunds[[#This Row],[ISIN]],'Novia Web Query'!$A:$E,2,FALSE)</f>
        <v>Threadneedle Emerging Market Local ZGA GBP in GB</v>
      </c>
      <c r="C3991" t="str">
        <f>VLOOKUP(NoviaFunds[[#This Row],[ISIN]],'Novia Web Query'!$A:$E,3,FALSE)</f>
        <v>UT Global EM Bonds - Local Currency</v>
      </c>
      <c r="D3991" s="139">
        <f>VLOOKUP(NoviaFunds[[#This Row],[ISIN]],'Novia Web Query'!$A:$E,4,FALSE)/100</f>
        <v>7.7000000000000002E-3</v>
      </c>
      <c r="E3991" s="3" t="str">
        <f>VLOOKUP(NoviaFunds[[#This Row],[ISIN]],'Novia Web Query'!$A:$E,5,FALSE)</f>
        <v>30/04/2021</v>
      </c>
      <c r="F3991" t="e">
        <f>VLOOKUP(NoviaFunds[[#This Row],[Sector]],Sectors[],2,FALSE)</f>
        <v>#N/A</v>
      </c>
    </row>
    <row r="3992" spans="1:6" x14ac:dyDescent="0.2">
      <c r="A3992" t="str">
        <f>'Novia Web Query'!A3988</f>
        <v>GB00B88S8291</v>
      </c>
      <c r="B3992" t="str">
        <f>VLOOKUP(NoviaFunds[[#This Row],[ISIN]],'Novia Web Query'!$A:$E,2,FALSE)</f>
        <v>Threadneedle Emerging Market Local ZNI GBP TR in GB</v>
      </c>
      <c r="C3992" t="str">
        <f>VLOOKUP(NoviaFunds[[#This Row],[ISIN]],'Novia Web Query'!$A:$E,3,FALSE)</f>
        <v>UT Global EM Bonds - Local Currency</v>
      </c>
      <c r="D3992" s="139">
        <f>VLOOKUP(NoviaFunds[[#This Row],[ISIN]],'Novia Web Query'!$A:$E,4,FALSE)/100</f>
        <v>7.7000000000000002E-3</v>
      </c>
      <c r="E3992" s="3" t="str">
        <f>VLOOKUP(NoviaFunds[[#This Row],[ISIN]],'Novia Web Query'!$A:$E,5,FALSE)</f>
        <v>30/04/2021</v>
      </c>
      <c r="F3992" t="e">
        <f>VLOOKUP(NoviaFunds[[#This Row],[Sector]],Sectors[],2,FALSE)</f>
        <v>#N/A</v>
      </c>
    </row>
    <row r="3993" spans="1:6" x14ac:dyDescent="0.2">
      <c r="A3993" t="str">
        <f>'Novia Web Query'!A3989</f>
        <v>GB00B990YR84</v>
      </c>
      <c r="B3993" t="str">
        <f>VLOOKUP(NoviaFunds[[#This Row],[ISIN]],'Novia Web Query'!$A:$E,2,FALSE)</f>
        <v>Threadneedle European Bond ZNI GBP TR in GB</v>
      </c>
      <c r="C3993" t="str">
        <f>VLOOKUP(NoviaFunds[[#This Row],[ISIN]],'Novia Web Query'!$A:$E,3,FALSE)</f>
        <v>UT Global Bonds</v>
      </c>
      <c r="D3993" s="139">
        <f>VLOOKUP(NoviaFunds[[#This Row],[ISIN]],'Novia Web Query'!$A:$E,4,FALSE)/100</f>
        <v>6.5000000000000006E-3</v>
      </c>
      <c r="E3993" s="3" t="str">
        <f>VLOOKUP(NoviaFunds[[#This Row],[ISIN]],'Novia Web Query'!$A:$E,5,FALSE)</f>
        <v>07/03/2021</v>
      </c>
      <c r="F3993" t="str">
        <f>VLOOKUP(NoviaFunds[[#This Row],[Sector]],Sectors[],2,FALSE)</f>
        <v>Global Investment Grade</v>
      </c>
    </row>
    <row r="3994" spans="1:6" x14ac:dyDescent="0.2">
      <c r="A3994" t="str">
        <f>'Novia Web Query'!A3990</f>
        <v>GB00BDZYJC21</v>
      </c>
      <c r="B3994" t="str">
        <f>VLOOKUP(NoviaFunds[[#This Row],[ISIN]],'Novia Web Query'!$A:$E,2,FALSE)</f>
        <v>Threadneedle European LI Ex Hedged GBP TR in GB</v>
      </c>
      <c r="C3994" t="str">
        <f>VLOOKUP(NoviaFunds[[#This Row],[ISIN]],'Novia Web Query'!$A:$E,3,FALSE)</f>
        <v>UT Europe Excluding UK</v>
      </c>
      <c r="D3994" s="139">
        <f>VLOOKUP(NoviaFunds[[#This Row],[ISIN]],'Novia Web Query'!$A:$E,4,FALSE)/100</f>
        <v>6.0999999999999995E-3</v>
      </c>
      <c r="E3994" s="3" t="str">
        <f>VLOOKUP(NoviaFunds[[#This Row],[ISIN]],'Novia Web Query'!$A:$E,5,FALSE)</f>
        <v>07/03/2021</v>
      </c>
      <c r="F3994" t="str">
        <f>VLOOKUP(NoviaFunds[[#This Row],[Sector]],Sectors[],2,FALSE)</f>
        <v>European Equities</v>
      </c>
    </row>
    <row r="3995" spans="1:6" x14ac:dyDescent="0.2">
      <c r="A3995" t="str">
        <f>'Novia Web Query'!A3991</f>
        <v>GB0001440949</v>
      </c>
      <c r="B3995" t="str">
        <f>VLOOKUP(NoviaFunds[[#This Row],[ISIN]],'Novia Web Query'!$A:$E,2,FALSE)</f>
        <v>Threadneedle European RNA GBP in GB</v>
      </c>
      <c r="C3995" t="str">
        <f>VLOOKUP(NoviaFunds[[#This Row],[ISIN]],'Novia Web Query'!$A:$E,3,FALSE)</f>
        <v>UT Europe Excluding UK</v>
      </c>
      <c r="D3995" s="139">
        <f>VLOOKUP(NoviaFunds[[#This Row],[ISIN]],'Novia Web Query'!$A:$E,4,FALSE)/100</f>
        <v>1.6299999999999999E-2</v>
      </c>
      <c r="E3995" s="3" t="str">
        <f>VLOOKUP(NoviaFunds[[#This Row],[ISIN]],'Novia Web Query'!$A:$E,5,FALSE)</f>
        <v>07/03/2021</v>
      </c>
      <c r="F3995" t="str">
        <f>VLOOKUP(NoviaFunds[[#This Row],[Sector]],Sectors[],2,FALSE)</f>
        <v>European Equities</v>
      </c>
    </row>
    <row r="3996" spans="1:6" x14ac:dyDescent="0.2">
      <c r="A3996" t="str">
        <f>'Novia Web Query'!A3992</f>
        <v>GB0001445229</v>
      </c>
      <c r="B3996" t="str">
        <f>VLOOKUP(NoviaFunds[[#This Row],[ISIN]],'Novia Web Query'!$A:$E,2,FALSE)</f>
        <v>Threadneedle European Select INA GBP in GB</v>
      </c>
      <c r="C3996" t="str">
        <f>VLOOKUP(NoviaFunds[[#This Row],[ISIN]],'Novia Web Query'!$A:$E,3,FALSE)</f>
        <v>UT Europe Excluding UK</v>
      </c>
      <c r="D3996" s="139">
        <f>VLOOKUP(NoviaFunds[[#This Row],[ISIN]],'Novia Web Query'!$A:$E,4,FALSE)/100</f>
        <v>1.06E-2</v>
      </c>
      <c r="E3996" s="3" t="str">
        <f>VLOOKUP(NoviaFunds[[#This Row],[ISIN]],'Novia Web Query'!$A:$E,5,FALSE)</f>
        <v>07/03/2021</v>
      </c>
      <c r="F3996" t="str">
        <f>VLOOKUP(NoviaFunds[[#This Row],[Sector]],Sectors[],2,FALSE)</f>
        <v>European Equities</v>
      </c>
    </row>
    <row r="3997" spans="1:6" x14ac:dyDescent="0.2">
      <c r="A3997" t="str">
        <f>'Novia Web Query'!A3993</f>
        <v>GB0001529345</v>
      </c>
      <c r="B3997" t="str">
        <f>VLOOKUP(NoviaFunds[[#This Row],[ISIN]],'Novia Web Query'!$A:$E,2,FALSE)</f>
        <v>Threadneedle European Select RNA GBP in GB</v>
      </c>
      <c r="C3997" t="str">
        <f>VLOOKUP(NoviaFunds[[#This Row],[ISIN]],'Novia Web Query'!$A:$E,3,FALSE)</f>
        <v>UT Europe Excluding UK</v>
      </c>
      <c r="D3997" s="139">
        <f>VLOOKUP(NoviaFunds[[#This Row],[ISIN]],'Novia Web Query'!$A:$E,4,FALSE)/100</f>
        <v>1.6E-2</v>
      </c>
      <c r="E3997" s="3" t="str">
        <f>VLOOKUP(NoviaFunds[[#This Row],[ISIN]],'Novia Web Query'!$A:$E,5,FALSE)</f>
        <v>07/03/2021</v>
      </c>
      <c r="F3997" t="str">
        <f>VLOOKUP(NoviaFunds[[#This Row],[Sector]],Sectors[],2,FALSE)</f>
        <v>European Equities</v>
      </c>
    </row>
    <row r="3998" spans="1:6" x14ac:dyDescent="0.2">
      <c r="A3998" t="str">
        <f>'Novia Web Query'!A3994</f>
        <v>GB00B8BC5H23</v>
      </c>
      <c r="B3998" t="str">
        <f>VLOOKUP(NoviaFunds[[#This Row],[ISIN]],'Novia Web Query'!$A:$E,2,FALSE)</f>
        <v>Threadneedle European Select ZNA GBP in GB</v>
      </c>
      <c r="C3998" t="str">
        <f>VLOOKUP(NoviaFunds[[#This Row],[ISIN]],'Novia Web Query'!$A:$E,3,FALSE)</f>
        <v>UT Europe Excluding UK</v>
      </c>
      <c r="D3998" s="139">
        <f>VLOOKUP(NoviaFunds[[#This Row],[ISIN]],'Novia Web Query'!$A:$E,4,FALSE)/100</f>
        <v>8.0000000000000002E-3</v>
      </c>
      <c r="E3998" s="3" t="str">
        <f>VLOOKUP(NoviaFunds[[#This Row],[ISIN]],'Novia Web Query'!$A:$E,5,FALSE)</f>
        <v>07/03/2021</v>
      </c>
      <c r="F3998" t="str">
        <f>VLOOKUP(NoviaFunds[[#This Row],[Sector]],Sectors[],2,FALSE)</f>
        <v>European Equities</v>
      </c>
    </row>
    <row r="3999" spans="1:6" x14ac:dyDescent="0.2">
      <c r="A3999" t="str">
        <f>'Novia Web Query'!A3995</f>
        <v>GB00B98WQ465</v>
      </c>
      <c r="B3999" t="str">
        <f>VLOOKUP(NoviaFunds[[#This Row],[ISIN]],'Novia Web Query'!$A:$E,2,FALSE)</f>
        <v>Threadneedle European Select ZNI GBP TR in GB**</v>
      </c>
      <c r="C3999" t="str">
        <f>VLOOKUP(NoviaFunds[[#This Row],[ISIN]],'Novia Web Query'!$A:$E,3,FALSE)</f>
        <v>UT Europe Excluding UK</v>
      </c>
      <c r="D3999" s="139">
        <f>VLOOKUP(NoviaFunds[[#This Row],[ISIN]],'Novia Web Query'!$A:$E,4,FALSE)/100</f>
        <v>8.0000000000000002E-3</v>
      </c>
      <c r="E3999" s="3" t="str">
        <f>VLOOKUP(NoviaFunds[[#This Row],[ISIN]],'Novia Web Query'!$A:$E,5,FALSE)</f>
        <v>07/03/2021</v>
      </c>
      <c r="F3999" t="str">
        <f>VLOOKUP(NoviaFunds[[#This Row],[Sector]],Sectors[],2,FALSE)</f>
        <v>European Equities</v>
      </c>
    </row>
    <row r="4000" spans="1:6" x14ac:dyDescent="0.2">
      <c r="A4000" t="str">
        <f>'Novia Web Query'!A3996</f>
        <v>GB0001531531</v>
      </c>
      <c r="B4000" t="str">
        <f>VLOOKUP(NoviaFunds[[#This Row],[ISIN]],'Novia Web Query'!$A:$E,2,FALSE)</f>
        <v>Threadneedle European Smaller Companies INA GBP in GB</v>
      </c>
      <c r="C4000" t="str">
        <f>VLOOKUP(NoviaFunds[[#This Row],[ISIN]],'Novia Web Query'!$A:$E,3,FALSE)</f>
        <v>UT European Smaller Companies</v>
      </c>
      <c r="D4000" s="139">
        <f>VLOOKUP(NoviaFunds[[#This Row],[ISIN]],'Novia Web Query'!$A:$E,4,FALSE)/100</f>
        <v>1.06E-2</v>
      </c>
      <c r="E4000" s="3" t="str">
        <f>VLOOKUP(NoviaFunds[[#This Row],[ISIN]],'Novia Web Query'!$A:$E,5,FALSE)</f>
        <v>07/03/2021</v>
      </c>
      <c r="F4000" t="str">
        <f>VLOOKUP(NoviaFunds[[#This Row],[Sector]],Sectors[],2,FALSE)</f>
        <v>European Equities</v>
      </c>
    </row>
    <row r="4001" spans="1:6" x14ac:dyDescent="0.2">
      <c r="A4001" t="str">
        <f>'Novia Web Query'!A3997</f>
        <v>GB0001531424</v>
      </c>
      <c r="B4001" t="str">
        <f>VLOOKUP(NoviaFunds[[#This Row],[ISIN]],'Novia Web Query'!$A:$E,2,FALSE)</f>
        <v>Threadneedle European Smaller Companies RNA GBP in GB</v>
      </c>
      <c r="C4001" t="str">
        <f>VLOOKUP(NoviaFunds[[#This Row],[ISIN]],'Novia Web Query'!$A:$E,3,FALSE)</f>
        <v>UT European Smaller Companies</v>
      </c>
      <c r="D4001" s="139">
        <f>VLOOKUP(NoviaFunds[[#This Row],[ISIN]],'Novia Web Query'!$A:$E,4,FALSE)/100</f>
        <v>1.67E-2</v>
      </c>
      <c r="E4001" s="3" t="str">
        <f>VLOOKUP(NoviaFunds[[#This Row],[ISIN]],'Novia Web Query'!$A:$E,5,FALSE)</f>
        <v>07/03/2021</v>
      </c>
      <c r="F4001" t="str">
        <f>VLOOKUP(NoviaFunds[[#This Row],[Sector]],Sectors[],2,FALSE)</f>
        <v>European Equities</v>
      </c>
    </row>
    <row r="4002" spans="1:6" x14ac:dyDescent="0.2">
      <c r="A4002" t="str">
        <f>'Novia Web Query'!A3998</f>
        <v>GB00B0GHCC05</v>
      </c>
      <c r="B4002" t="str">
        <f>VLOOKUP(NoviaFunds[[#This Row],[ISIN]],'Novia Web Query'!$A:$E,2,FALSE)</f>
        <v>Threadneedle European Smaller Companies RNI GBP TR in GB</v>
      </c>
      <c r="C4002" t="str">
        <f>VLOOKUP(NoviaFunds[[#This Row],[ISIN]],'Novia Web Query'!$A:$E,3,FALSE)</f>
        <v>UT European Smaller Companies</v>
      </c>
      <c r="D4002" s="139">
        <f>VLOOKUP(NoviaFunds[[#This Row],[ISIN]],'Novia Web Query'!$A:$E,4,FALSE)/100</f>
        <v>1.67E-2</v>
      </c>
      <c r="E4002" s="3" t="str">
        <f>VLOOKUP(NoviaFunds[[#This Row],[ISIN]],'Novia Web Query'!$A:$E,5,FALSE)</f>
        <v>07/03/2021</v>
      </c>
      <c r="F4002" t="str">
        <f>VLOOKUP(NoviaFunds[[#This Row],[Sector]],Sectors[],2,FALSE)</f>
        <v>European Equities</v>
      </c>
    </row>
    <row r="4003" spans="1:6" x14ac:dyDescent="0.2">
      <c r="A4003" t="str">
        <f>'Novia Web Query'!A3999</f>
        <v>GB00B84CYY92</v>
      </c>
      <c r="B4003" t="str">
        <f>VLOOKUP(NoviaFunds[[#This Row],[ISIN]],'Novia Web Query'!$A:$E,2,FALSE)</f>
        <v>Threadneedle European Smaller Companies ZNA GBP in GB</v>
      </c>
      <c r="C4003" t="str">
        <f>VLOOKUP(NoviaFunds[[#This Row],[ISIN]],'Novia Web Query'!$A:$E,3,FALSE)</f>
        <v>UT European Smaller Companies</v>
      </c>
      <c r="D4003" s="139">
        <f>VLOOKUP(NoviaFunds[[#This Row],[ISIN]],'Novia Web Query'!$A:$E,4,FALSE)/100</f>
        <v>8.8000000000000005E-3</v>
      </c>
      <c r="E4003" s="3" t="str">
        <f>VLOOKUP(NoviaFunds[[#This Row],[ISIN]],'Novia Web Query'!$A:$E,5,FALSE)</f>
        <v>07/03/2021</v>
      </c>
      <c r="F4003" t="str">
        <f>VLOOKUP(NoviaFunds[[#This Row],[Sector]],Sectors[],2,FALSE)</f>
        <v>European Equities</v>
      </c>
    </row>
    <row r="4004" spans="1:6" x14ac:dyDescent="0.2">
      <c r="A4004" t="str">
        <f>'Novia Web Query'!A4000</f>
        <v>GB00B978SQ14</v>
      </c>
      <c r="B4004" t="str">
        <f>VLOOKUP(NoviaFunds[[#This Row],[ISIN]],'Novia Web Query'!$A:$E,2,FALSE)</f>
        <v>Threadneedle European Smaller Companies ZNI GBP TR in GB</v>
      </c>
      <c r="C4004" t="str">
        <f>VLOOKUP(NoviaFunds[[#This Row],[ISIN]],'Novia Web Query'!$A:$E,3,FALSE)</f>
        <v>UT European Smaller Companies</v>
      </c>
      <c r="D4004" s="139">
        <f>VLOOKUP(NoviaFunds[[#This Row],[ISIN]],'Novia Web Query'!$A:$E,4,FALSE)/100</f>
        <v>8.8000000000000005E-3</v>
      </c>
      <c r="E4004" s="3" t="str">
        <f>VLOOKUP(NoviaFunds[[#This Row],[ISIN]],'Novia Web Query'!$A:$E,5,FALSE)</f>
        <v>07/03/2021</v>
      </c>
      <c r="F4004" t="str">
        <f>VLOOKUP(NoviaFunds[[#This Row],[Sector]],Sectors[],2,FALSE)</f>
        <v>European Equities</v>
      </c>
    </row>
    <row r="4005" spans="1:6" x14ac:dyDescent="0.2">
      <c r="A4005" t="str">
        <f>'Novia Web Query'!A4001</f>
        <v>GB00B8C2LS47</v>
      </c>
      <c r="B4005" t="str">
        <f>VLOOKUP(NoviaFunds[[#This Row],[ISIN]],'Novia Web Query'!$A:$E,2,FALSE)</f>
        <v>Threadneedle European ZNA GBP in GB</v>
      </c>
      <c r="C4005" t="str">
        <f>VLOOKUP(NoviaFunds[[#This Row],[ISIN]],'Novia Web Query'!$A:$E,3,FALSE)</f>
        <v>UT Europe Excluding UK</v>
      </c>
      <c r="D4005" s="139">
        <f>VLOOKUP(NoviaFunds[[#This Row],[ISIN]],'Novia Web Query'!$A:$E,4,FALSE)/100</f>
        <v>8.8000000000000005E-3</v>
      </c>
      <c r="E4005" s="3" t="str">
        <f>VLOOKUP(NoviaFunds[[#This Row],[ISIN]],'Novia Web Query'!$A:$E,5,FALSE)</f>
        <v>07/03/2021</v>
      </c>
      <c r="F4005" t="str">
        <f>VLOOKUP(NoviaFunds[[#This Row],[Sector]],Sectors[],2,FALSE)</f>
        <v>European Equities</v>
      </c>
    </row>
    <row r="4006" spans="1:6" x14ac:dyDescent="0.2">
      <c r="A4006" t="str">
        <f>'Novia Web Query'!A4002</f>
        <v>GB0033749622</v>
      </c>
      <c r="B4006" t="str">
        <f>VLOOKUP(NoviaFunds[[#This Row],[ISIN]],'Novia Web Query'!$A:$E,2,FALSE)</f>
        <v>Threadneedle Global Bond RGI GBP TR in GB</v>
      </c>
      <c r="C4006" t="str">
        <f>VLOOKUP(NoviaFunds[[#This Row],[ISIN]],'Novia Web Query'!$A:$E,3,FALSE)</f>
        <v>UT Global Bonds</v>
      </c>
      <c r="D4006" s="139">
        <f>VLOOKUP(NoviaFunds[[#This Row],[ISIN]],'Novia Web Query'!$A:$E,4,FALSE)/100</f>
        <v>1.1299999999999999E-2</v>
      </c>
      <c r="E4006" s="3" t="str">
        <f>VLOOKUP(NoviaFunds[[#This Row],[ISIN]],'Novia Web Query'!$A:$E,5,FALSE)</f>
        <v>01/09/2020</v>
      </c>
      <c r="F4006" t="str">
        <f>VLOOKUP(NoviaFunds[[#This Row],[Sector]],Sectors[],2,FALSE)</f>
        <v>Global Investment Grade</v>
      </c>
    </row>
    <row r="4007" spans="1:6" x14ac:dyDescent="0.2">
      <c r="A4007" t="str">
        <f>'Novia Web Query'!A4003</f>
        <v>GB0001533685</v>
      </c>
      <c r="B4007" t="str">
        <f>VLOOKUP(NoviaFunds[[#This Row],[ISIN]],'Novia Web Query'!$A:$E,2,FALSE)</f>
        <v>Threadneedle Global Bond RNI GBP TR in GB</v>
      </c>
      <c r="C4007" t="str">
        <f>VLOOKUP(NoviaFunds[[#This Row],[ISIN]],'Novia Web Query'!$A:$E,3,FALSE)</f>
        <v>UT Global Bonds</v>
      </c>
      <c r="D4007" s="139">
        <f>VLOOKUP(NoviaFunds[[#This Row],[ISIN]],'Novia Web Query'!$A:$E,4,FALSE)/100</f>
        <v>1.1299999999999999E-2</v>
      </c>
      <c r="E4007" s="3" t="str">
        <f>VLOOKUP(NoviaFunds[[#This Row],[ISIN]],'Novia Web Query'!$A:$E,5,FALSE)</f>
        <v>13/02/2020</v>
      </c>
      <c r="F4007" t="str">
        <f>VLOOKUP(NoviaFunds[[#This Row],[Sector]],Sectors[],2,FALSE)</f>
        <v>Global Investment Grade</v>
      </c>
    </row>
    <row r="4008" spans="1:6" x14ac:dyDescent="0.2">
      <c r="A4008" t="str">
        <f>'Novia Web Query'!A4004</f>
        <v>GB00B8844J65</v>
      </c>
      <c r="B4008" t="str">
        <f>VLOOKUP(NoviaFunds[[#This Row],[ISIN]],'Novia Web Query'!$A:$E,2,FALSE)</f>
        <v>Threadneedle Global Bond ZGI GBP TR in GB</v>
      </c>
      <c r="C4008" t="str">
        <f>VLOOKUP(NoviaFunds[[#This Row],[ISIN]],'Novia Web Query'!$A:$E,3,FALSE)</f>
        <v>UT Global Bonds</v>
      </c>
      <c r="D4008" s="139">
        <f>VLOOKUP(NoviaFunds[[#This Row],[ISIN]],'Novia Web Query'!$A:$E,4,FALSE)/100</f>
        <v>6.3E-3</v>
      </c>
      <c r="E4008" s="3" t="str">
        <f>VLOOKUP(NoviaFunds[[#This Row],[ISIN]],'Novia Web Query'!$A:$E,5,FALSE)</f>
        <v>07/03/2021</v>
      </c>
      <c r="F4008" t="str">
        <f>VLOOKUP(NoviaFunds[[#This Row],[Sector]],Sectors[],2,FALSE)</f>
        <v>Global Investment Grade</v>
      </c>
    </row>
    <row r="4009" spans="1:6" x14ac:dyDescent="0.2">
      <c r="A4009" t="str">
        <f>'Novia Web Query'!A4005</f>
        <v>GB00B8C2M701</v>
      </c>
      <c r="B4009" t="str">
        <f>VLOOKUP(NoviaFunds[[#This Row],[ISIN]],'Novia Web Query'!$A:$E,2,FALSE)</f>
        <v>Threadneedle Global Bond ZNI GBP TR in GB</v>
      </c>
      <c r="C4009" t="str">
        <f>VLOOKUP(NoviaFunds[[#This Row],[ISIN]],'Novia Web Query'!$A:$E,3,FALSE)</f>
        <v>UT Global Bonds</v>
      </c>
      <c r="D4009" s="139">
        <f>VLOOKUP(NoviaFunds[[#This Row],[ISIN]],'Novia Web Query'!$A:$E,4,FALSE)/100</f>
        <v>6.3E-3</v>
      </c>
      <c r="E4009" s="3" t="str">
        <f>VLOOKUP(NoviaFunds[[#This Row],[ISIN]],'Novia Web Query'!$A:$E,5,FALSE)</f>
        <v>07/03/2021</v>
      </c>
      <c r="F4009" t="str">
        <f>VLOOKUP(NoviaFunds[[#This Row],[Sector]],Sectors[],2,FALSE)</f>
        <v>Global Investment Grade</v>
      </c>
    </row>
    <row r="4010" spans="1:6" x14ac:dyDescent="0.2">
      <c r="A4010" t="str">
        <f>'Novia Web Query'!A4006</f>
        <v>GB00B10SJD63</v>
      </c>
      <c r="B4010" t="str">
        <f>VLOOKUP(NoviaFunds[[#This Row],[ISIN]],'Novia Web Query'!$A:$E,2,FALSE)</f>
        <v>Threadneedle Global Emerging Market Equity RNA GBP in GB</v>
      </c>
      <c r="C4010" t="str">
        <f>VLOOKUP(NoviaFunds[[#This Row],[ISIN]],'Novia Web Query'!$A:$E,3,FALSE)</f>
        <v>UT Global Emerging Markets</v>
      </c>
      <c r="D4010" s="139">
        <f>VLOOKUP(NoviaFunds[[#This Row],[ISIN]],'Novia Web Query'!$A:$E,4,FALSE)/100</f>
        <v>1.6299999999999999E-2</v>
      </c>
      <c r="E4010" s="3" t="str">
        <f>VLOOKUP(NoviaFunds[[#This Row],[ISIN]],'Novia Web Query'!$A:$E,5,FALSE)</f>
        <v>30/04/2021</v>
      </c>
      <c r="F4010" t="str">
        <f>VLOOKUP(NoviaFunds[[#This Row],[Sector]],Sectors[],2,FALSE)</f>
        <v>Emerging Markets</v>
      </c>
    </row>
    <row r="4011" spans="1:6" x14ac:dyDescent="0.2">
      <c r="A4011" t="str">
        <f>'Novia Web Query'!A4007</f>
        <v>GB00B8BYHK55</v>
      </c>
      <c r="B4011" t="str">
        <f>VLOOKUP(NoviaFunds[[#This Row],[ISIN]],'Novia Web Query'!$A:$E,2,FALSE)</f>
        <v>Threadneedle Global Emerging Market Equity ZNA GBP in GB</v>
      </c>
      <c r="C4011" t="str">
        <f>VLOOKUP(NoviaFunds[[#This Row],[ISIN]],'Novia Web Query'!$A:$E,3,FALSE)</f>
        <v>UT Global Emerging Markets</v>
      </c>
      <c r="D4011" s="139">
        <f>VLOOKUP(NoviaFunds[[#This Row],[ISIN]],'Novia Web Query'!$A:$E,4,FALSE)/100</f>
        <v>9.0000000000000011E-3</v>
      </c>
      <c r="E4011" s="3" t="str">
        <f>VLOOKUP(NoviaFunds[[#This Row],[ISIN]],'Novia Web Query'!$A:$E,5,FALSE)</f>
        <v>30/04/2021</v>
      </c>
      <c r="F4011" t="str">
        <f>VLOOKUP(NoviaFunds[[#This Row],[Sector]],Sectors[],2,FALSE)</f>
        <v>Emerging Markets</v>
      </c>
    </row>
    <row r="4012" spans="1:6" x14ac:dyDescent="0.2">
      <c r="A4012" t="str">
        <f>'Novia Web Query'!A4008</f>
        <v>GB00B1Z2MX45</v>
      </c>
      <c r="B4012" t="str">
        <f>VLOOKUP(NoviaFunds[[#This Row],[ISIN]],'Novia Web Query'!$A:$E,2,FALSE)</f>
        <v>Threadneedle Global Equity Income Ini GBP TR in GB</v>
      </c>
      <c r="C4012" t="str">
        <f>VLOOKUP(NoviaFunds[[#This Row],[ISIN]],'Novia Web Query'!$A:$E,3,FALSE)</f>
        <v>UT Global Equity Income</v>
      </c>
      <c r="D4012" s="139">
        <f>VLOOKUP(NoviaFunds[[#This Row],[ISIN]],'Novia Web Query'!$A:$E,4,FALSE)/100</f>
        <v>1.0800000000000001E-2</v>
      </c>
      <c r="E4012" s="3" t="str">
        <f>VLOOKUP(NoviaFunds[[#This Row],[ISIN]],'Novia Web Query'!$A:$E,5,FALSE)</f>
        <v>30/04/2021</v>
      </c>
      <c r="F4012" t="str">
        <f>VLOOKUP(NoviaFunds[[#This Row],[Sector]],Sectors[],2,FALSE)</f>
        <v>Other Equities</v>
      </c>
    </row>
    <row r="4013" spans="1:6" x14ac:dyDescent="0.2">
      <c r="A4013" t="str">
        <f>'Novia Web Query'!A4009</f>
        <v>GB00B1YW3W13</v>
      </c>
      <c r="B4013" t="str">
        <f>VLOOKUP(NoviaFunds[[#This Row],[ISIN]],'Novia Web Query'!$A:$E,2,FALSE)</f>
        <v>Threadneedle Global Equity Income RNA GBP in GB</v>
      </c>
      <c r="C4013" t="str">
        <f>VLOOKUP(NoviaFunds[[#This Row],[ISIN]],'Novia Web Query'!$A:$E,3,FALSE)</f>
        <v>UT Global Equity Income</v>
      </c>
      <c r="D4013" s="139">
        <f>VLOOKUP(NoviaFunds[[#This Row],[ISIN]],'Novia Web Query'!$A:$E,4,FALSE)/100</f>
        <v>1.6299999999999999E-2</v>
      </c>
      <c r="E4013" s="3" t="str">
        <f>VLOOKUP(NoviaFunds[[#This Row],[ISIN]],'Novia Web Query'!$A:$E,5,FALSE)</f>
        <v>30/04/2021</v>
      </c>
      <c r="F4013" t="str">
        <f>VLOOKUP(NoviaFunds[[#This Row],[Sector]],Sectors[],2,FALSE)</f>
        <v>Other Equities</v>
      </c>
    </row>
    <row r="4014" spans="1:6" x14ac:dyDescent="0.2">
      <c r="A4014" t="str">
        <f>'Novia Web Query'!A4010</f>
        <v>GB00B1Z2MW38</v>
      </c>
      <c r="B4014" t="str">
        <f>VLOOKUP(NoviaFunds[[#This Row],[ISIN]],'Novia Web Query'!$A:$E,2,FALSE)</f>
        <v>Threadneedle Global Equity Income RNI GBP TR in GB</v>
      </c>
      <c r="C4014" t="str">
        <f>VLOOKUP(NoviaFunds[[#This Row],[ISIN]],'Novia Web Query'!$A:$E,3,FALSE)</f>
        <v>UT Global Equity Income</v>
      </c>
      <c r="D4014" s="139">
        <f>VLOOKUP(NoviaFunds[[#This Row],[ISIN]],'Novia Web Query'!$A:$E,4,FALSE)/100</f>
        <v>1.6500000000000001E-2</v>
      </c>
      <c r="E4014" s="3" t="str">
        <f>VLOOKUP(NoviaFunds[[#This Row],[ISIN]],'Novia Web Query'!$A:$E,5,FALSE)</f>
        <v>30/04/2021</v>
      </c>
      <c r="F4014" t="str">
        <f>VLOOKUP(NoviaFunds[[#This Row],[Sector]],Sectors[],2,FALSE)</f>
        <v>Other Equities</v>
      </c>
    </row>
    <row r="4015" spans="1:6" x14ac:dyDescent="0.2">
      <c r="A4015" t="str">
        <f>'Novia Web Query'!A4011</f>
        <v>GB00B99MQF62</v>
      </c>
      <c r="B4015" t="str">
        <f>VLOOKUP(NoviaFunds[[#This Row],[ISIN]],'Novia Web Query'!$A:$E,2,FALSE)</f>
        <v>Threadneedle Global Equity Income ZNA GBP in GB</v>
      </c>
      <c r="C4015" t="str">
        <f>VLOOKUP(NoviaFunds[[#This Row],[ISIN]],'Novia Web Query'!$A:$E,3,FALSE)</f>
        <v>UT Global Equity Income</v>
      </c>
      <c r="D4015" s="139">
        <f>VLOOKUP(NoviaFunds[[#This Row],[ISIN]],'Novia Web Query'!$A:$E,4,FALSE)/100</f>
        <v>9.0000000000000011E-3</v>
      </c>
      <c r="E4015" s="3" t="str">
        <f>VLOOKUP(NoviaFunds[[#This Row],[ISIN]],'Novia Web Query'!$A:$E,5,FALSE)</f>
        <v>30/04/2021</v>
      </c>
      <c r="F4015" t="str">
        <f>VLOOKUP(NoviaFunds[[#This Row],[Sector]],Sectors[],2,FALSE)</f>
        <v>Other Equities</v>
      </c>
    </row>
    <row r="4016" spans="1:6" x14ac:dyDescent="0.2">
      <c r="A4016" t="str">
        <f>'Novia Web Query'!A4012</f>
        <v>GB00B7S8N055</v>
      </c>
      <c r="B4016" t="str">
        <f>VLOOKUP(NoviaFunds[[#This Row],[ISIN]],'Novia Web Query'!$A:$E,2,FALSE)</f>
        <v>Threadneedle Global Equity Income ZNI GBP TR in GB</v>
      </c>
      <c r="C4016" t="str">
        <f>VLOOKUP(NoviaFunds[[#This Row],[ISIN]],'Novia Web Query'!$A:$E,3,FALSE)</f>
        <v>UT Global Equity Income</v>
      </c>
      <c r="D4016" s="139">
        <f>VLOOKUP(NoviaFunds[[#This Row],[ISIN]],'Novia Web Query'!$A:$E,4,FALSE)/100</f>
        <v>9.0000000000000011E-3</v>
      </c>
      <c r="E4016" s="3" t="str">
        <f>VLOOKUP(NoviaFunds[[#This Row],[ISIN]],'Novia Web Query'!$A:$E,5,FALSE)</f>
        <v>30/04/2021</v>
      </c>
      <c r="F4016" t="str">
        <f>VLOOKUP(NoviaFunds[[#This Row],[Sector]],Sectors[],2,FALSE)</f>
        <v>Other Equities</v>
      </c>
    </row>
    <row r="4017" spans="1:6" x14ac:dyDescent="0.2">
      <c r="A4017" t="str">
        <f>'Novia Web Query'!A4013</f>
        <v>GB00B3B0F606</v>
      </c>
      <c r="B4017" t="str">
        <f>VLOOKUP(NoviaFunds[[#This Row],[ISIN]],'Novia Web Query'!$A:$E,2,FALSE)</f>
        <v>Threadneedle Global Extended Alpha INA GBP in GB</v>
      </c>
      <c r="C4017" t="str">
        <f>VLOOKUP(NoviaFunds[[#This Row],[ISIN]],'Novia Web Query'!$A:$E,3,FALSE)</f>
        <v>UT Global</v>
      </c>
      <c r="D4017" s="139">
        <f>VLOOKUP(NoviaFunds[[#This Row],[ISIN]],'Novia Web Query'!$A:$E,4,FALSE)/100</f>
        <v>8.199999999999999E-3</v>
      </c>
      <c r="E4017" s="3" t="str">
        <f>VLOOKUP(NoviaFunds[[#This Row],[ISIN]],'Novia Web Query'!$A:$E,5,FALSE)</f>
        <v>30/04/2021</v>
      </c>
      <c r="F4017" t="str">
        <f>VLOOKUP(NoviaFunds[[#This Row],[Sector]],Sectors[],2,FALSE)</f>
        <v>Other Equities</v>
      </c>
    </row>
    <row r="4018" spans="1:6" x14ac:dyDescent="0.2">
      <c r="A4018" t="str">
        <f>'Novia Web Query'!A4014</f>
        <v>GB00B3B0FF94</v>
      </c>
      <c r="B4018" t="str">
        <f>VLOOKUP(NoviaFunds[[#This Row],[ISIN]],'Novia Web Query'!$A:$E,2,FALSE)</f>
        <v>Threadneedle Global Extended Alpha RNA GBP in GB</v>
      </c>
      <c r="C4018" t="str">
        <f>VLOOKUP(NoviaFunds[[#This Row],[ISIN]],'Novia Web Query'!$A:$E,3,FALSE)</f>
        <v>UT Global</v>
      </c>
      <c r="D4018" s="139">
        <f>VLOOKUP(NoviaFunds[[#This Row],[ISIN]],'Novia Web Query'!$A:$E,4,FALSE)/100</f>
        <v>1.6200000000000003E-2</v>
      </c>
      <c r="E4018" s="3" t="str">
        <f>VLOOKUP(NoviaFunds[[#This Row],[ISIN]],'Novia Web Query'!$A:$E,5,FALSE)</f>
        <v>30/04/2021</v>
      </c>
      <c r="F4018" t="str">
        <f>VLOOKUP(NoviaFunds[[#This Row],[Sector]],Sectors[],2,FALSE)</f>
        <v>Other Equities</v>
      </c>
    </row>
    <row r="4019" spans="1:6" x14ac:dyDescent="0.2">
      <c r="A4019" t="str">
        <f>'Novia Web Query'!A4015</f>
        <v>GB00BF0Q8K85</v>
      </c>
      <c r="B4019" t="str">
        <f>VLOOKUP(NoviaFunds[[#This Row],[ISIN]],'Novia Web Query'!$A:$E,2,FALSE)</f>
        <v>Threadneedle Global Focus Z in GB</v>
      </c>
      <c r="C4019" t="str">
        <f>VLOOKUP(NoviaFunds[[#This Row],[ISIN]],'Novia Web Query'!$A:$E,3,FALSE)</f>
        <v>UT Global</v>
      </c>
      <c r="D4019" s="139">
        <f>VLOOKUP(NoviaFunds[[#This Row],[ISIN]],'Novia Web Query'!$A:$E,4,FALSE)/100</f>
        <v>9.0000000000000011E-3</v>
      </c>
      <c r="E4019" s="3" t="str">
        <f>VLOOKUP(NoviaFunds[[#This Row],[ISIN]],'Novia Web Query'!$A:$E,5,FALSE)</f>
        <v>30/04/2021</v>
      </c>
      <c r="F4019" t="str">
        <f>VLOOKUP(NoviaFunds[[#This Row],[Sector]],Sectors[],2,FALSE)</f>
        <v>Other Equities</v>
      </c>
    </row>
    <row r="4020" spans="1:6" x14ac:dyDescent="0.2">
      <c r="A4020" t="str">
        <f>'Novia Web Query'!A4016</f>
        <v>GB00BNG64558</v>
      </c>
      <c r="B4020" t="str">
        <f>VLOOKUP(NoviaFunds[[#This Row],[ISIN]],'Novia Web Query'!$A:$E,2,FALSE)</f>
        <v>Threadneedle Global Multi Asset Income ZNA GBP in GB</v>
      </c>
      <c r="C4020" t="str">
        <f>VLOOKUP(NoviaFunds[[#This Row],[ISIN]],'Novia Web Query'!$A:$E,3,FALSE)</f>
        <v>UT Mixed Investment 20-60% Shares</v>
      </c>
      <c r="D4020" s="139">
        <f>VLOOKUP(NoviaFunds[[#This Row],[ISIN]],'Novia Web Query'!$A:$E,4,FALSE)/100</f>
        <v>8.8999999999999999E-3</v>
      </c>
      <c r="E4020" s="3" t="str">
        <f>VLOOKUP(NoviaFunds[[#This Row],[ISIN]],'Novia Web Query'!$A:$E,5,FALSE)</f>
        <v>25/05/2021</v>
      </c>
      <c r="F4020" t="str">
        <f>VLOOKUP(NoviaFunds[[#This Row],[Sector]],Sectors[],2,FALSE)</f>
        <v>Mixed 20%-60%</v>
      </c>
    </row>
    <row r="4021" spans="1:6" x14ac:dyDescent="0.2">
      <c r="A4021" t="str">
        <f>'Novia Web Query'!A4017</f>
        <v>GB00BNG64665</v>
      </c>
      <c r="B4021" t="str">
        <f>VLOOKUP(NoviaFunds[[#This Row],[ISIN]],'Novia Web Query'!$A:$E,2,FALSE)</f>
        <v>Threadneedle Global Multi Asset Income ZNI GBP TR in GB</v>
      </c>
      <c r="C4021" t="str">
        <f>VLOOKUP(NoviaFunds[[#This Row],[ISIN]],'Novia Web Query'!$A:$E,3,FALSE)</f>
        <v>UT Mixed Investment 20-60% Shares</v>
      </c>
      <c r="D4021" s="139">
        <f>VLOOKUP(NoviaFunds[[#This Row],[ISIN]],'Novia Web Query'!$A:$E,4,FALSE)/100</f>
        <v>8.8999999999999999E-3</v>
      </c>
      <c r="E4021" s="3" t="str">
        <f>VLOOKUP(NoviaFunds[[#This Row],[ISIN]],'Novia Web Query'!$A:$E,5,FALSE)</f>
        <v>25/05/2021</v>
      </c>
      <c r="F4021" t="str">
        <f>VLOOKUP(NoviaFunds[[#This Row],[Sector]],Sectors[],2,FALSE)</f>
        <v>Mixed 20%-60%</v>
      </c>
    </row>
    <row r="4022" spans="1:6" x14ac:dyDescent="0.2">
      <c r="A4022" t="str">
        <f>'Novia Web Query'!A4018</f>
        <v>GB0001444701</v>
      </c>
      <c r="B4022" t="str">
        <f>VLOOKUP(NoviaFunds[[#This Row],[ISIN]],'Novia Web Query'!$A:$E,2,FALSE)</f>
        <v>Threadneedle Global Select RNA GBP in GB</v>
      </c>
      <c r="C4022" t="str">
        <f>VLOOKUP(NoviaFunds[[#This Row],[ISIN]],'Novia Web Query'!$A:$E,3,FALSE)</f>
        <v>UT Global</v>
      </c>
      <c r="D4022" s="139">
        <f>VLOOKUP(NoviaFunds[[#This Row],[ISIN]],'Novia Web Query'!$A:$E,4,FALSE)/100</f>
        <v>1.6299999999999999E-2</v>
      </c>
      <c r="E4022" s="3" t="str">
        <f>VLOOKUP(NoviaFunds[[#This Row],[ISIN]],'Novia Web Query'!$A:$E,5,FALSE)</f>
        <v>07/03/2021</v>
      </c>
      <c r="F4022" t="str">
        <f>VLOOKUP(NoviaFunds[[#This Row],[Sector]],Sectors[],2,FALSE)</f>
        <v>Other Equities</v>
      </c>
    </row>
    <row r="4023" spans="1:6" x14ac:dyDescent="0.2">
      <c r="A4023" t="str">
        <f>'Novia Web Query'!A4019</f>
        <v>GB00B8C2TM45</v>
      </c>
      <c r="B4023" t="str">
        <f>VLOOKUP(NoviaFunds[[#This Row],[ISIN]],'Novia Web Query'!$A:$E,2,FALSE)</f>
        <v>Threadneedle Global Select ZNA GBP in GB</v>
      </c>
      <c r="C4023" t="str">
        <f>VLOOKUP(NoviaFunds[[#This Row],[ISIN]],'Novia Web Query'!$A:$E,3,FALSE)</f>
        <v>UT Global</v>
      </c>
      <c r="D4023" s="139">
        <f>VLOOKUP(NoviaFunds[[#This Row],[ISIN]],'Novia Web Query'!$A:$E,4,FALSE)/100</f>
        <v>8.5000000000000006E-3</v>
      </c>
      <c r="E4023" s="3" t="str">
        <f>VLOOKUP(NoviaFunds[[#This Row],[ISIN]],'Novia Web Query'!$A:$E,5,FALSE)</f>
        <v>07/03/2021</v>
      </c>
      <c r="F4023" t="str">
        <f>VLOOKUP(NoviaFunds[[#This Row],[Sector]],Sectors[],2,FALSE)</f>
        <v>Other Equities</v>
      </c>
    </row>
    <row r="4024" spans="1:6" x14ac:dyDescent="0.2">
      <c r="A4024" t="str">
        <f>'Novia Web Query'!A4020</f>
        <v>GB0033884791</v>
      </c>
      <c r="B4024" t="str">
        <f>VLOOKUP(NoviaFunds[[#This Row],[ISIN]],'Novia Web Query'!$A:$E,2,FALSE)</f>
        <v>Threadneedle High Yield Bond IGA GBP in GB</v>
      </c>
      <c r="C4024" t="str">
        <f>VLOOKUP(NoviaFunds[[#This Row],[ISIN]],'Novia Web Query'!$A:$E,3,FALSE)</f>
        <v>UT Sterling High Yield</v>
      </c>
      <c r="D4024" s="139">
        <f>VLOOKUP(NoviaFunds[[#This Row],[ISIN]],'Novia Web Query'!$A:$E,4,FALSE)/100</f>
        <v>8.1000000000000013E-3</v>
      </c>
      <c r="E4024" s="3" t="str">
        <f>VLOOKUP(NoviaFunds[[#This Row],[ISIN]],'Novia Web Query'!$A:$E,5,FALSE)</f>
        <v>07/03/2021</v>
      </c>
      <c r="F4024" t="str">
        <f>VLOOKUP(NoviaFunds[[#This Row],[Sector]],Sectors[],2,FALSE)</f>
        <v>High Yield</v>
      </c>
    </row>
    <row r="4025" spans="1:6" x14ac:dyDescent="0.2">
      <c r="A4025" t="str">
        <f>'Novia Web Query'!A4021</f>
        <v>GB00B39QB844</v>
      </c>
      <c r="B4025" t="str">
        <f>VLOOKUP(NoviaFunds[[#This Row],[ISIN]],'Novia Web Query'!$A:$E,2,FALSE)</f>
        <v>Threadneedle High Yield Bond IGI GBP TR in GB</v>
      </c>
      <c r="C4025" t="str">
        <f>VLOOKUP(NoviaFunds[[#This Row],[ISIN]],'Novia Web Query'!$A:$E,3,FALSE)</f>
        <v>UT Sterling High Yield</v>
      </c>
      <c r="D4025" s="139">
        <f>VLOOKUP(NoviaFunds[[#This Row],[ISIN]],'Novia Web Query'!$A:$E,4,FALSE)/100</f>
        <v>8.1000000000000013E-3</v>
      </c>
      <c r="E4025" s="3" t="str">
        <f>VLOOKUP(NoviaFunds[[#This Row],[ISIN]],'Novia Web Query'!$A:$E,5,FALSE)</f>
        <v>07/03/2021</v>
      </c>
      <c r="F4025" t="str">
        <f>VLOOKUP(NoviaFunds[[#This Row],[Sector]],Sectors[],2,FALSE)</f>
        <v>High Yield</v>
      </c>
    </row>
    <row r="4026" spans="1:6" x14ac:dyDescent="0.2">
      <c r="A4026" t="str">
        <f>'Novia Web Query'!A4022</f>
        <v>GB0008371121</v>
      </c>
      <c r="B4026" t="str">
        <f>VLOOKUP(NoviaFunds[[#This Row],[ISIN]],'Novia Web Query'!$A:$E,2,FALSE)</f>
        <v>Threadneedle High Yield Bond INI GBP TR in GB</v>
      </c>
      <c r="C4026" t="str">
        <f>VLOOKUP(NoviaFunds[[#This Row],[ISIN]],'Novia Web Query'!$A:$E,3,FALSE)</f>
        <v>UT Sterling High Yield</v>
      </c>
      <c r="D4026" s="139">
        <f>VLOOKUP(NoviaFunds[[#This Row],[ISIN]],'Novia Web Query'!$A:$E,4,FALSE)/100</f>
        <v>8.1000000000000013E-3</v>
      </c>
      <c r="E4026" s="3" t="str">
        <f>VLOOKUP(NoviaFunds[[#This Row],[ISIN]],'Novia Web Query'!$A:$E,5,FALSE)</f>
        <v>07/03/2021</v>
      </c>
      <c r="F4026" t="str">
        <f>VLOOKUP(NoviaFunds[[#This Row],[Sector]],Sectors[],2,FALSE)</f>
        <v>High Yield</v>
      </c>
    </row>
    <row r="4027" spans="1:6" x14ac:dyDescent="0.2">
      <c r="A4027" t="str">
        <f>'Novia Web Query'!A4023</f>
        <v>GB0033884809</v>
      </c>
      <c r="B4027" t="str">
        <f>VLOOKUP(NoviaFunds[[#This Row],[ISIN]],'Novia Web Query'!$A:$E,2,FALSE)</f>
        <v>Threadneedle High Yield Bond RGI GBP TR in GB</v>
      </c>
      <c r="C4027" t="str">
        <f>VLOOKUP(NoviaFunds[[#This Row],[ISIN]],'Novia Web Query'!$A:$E,3,FALSE)</f>
        <v>UT Sterling High Yield</v>
      </c>
      <c r="D4027" s="139">
        <f>VLOOKUP(NoviaFunds[[#This Row],[ISIN]],'Novia Web Query'!$A:$E,4,FALSE)/100</f>
        <v>1.3300000000000001E-2</v>
      </c>
      <c r="E4027" s="3" t="str">
        <f>VLOOKUP(NoviaFunds[[#This Row],[ISIN]],'Novia Web Query'!$A:$E,5,FALSE)</f>
        <v>07/03/2021</v>
      </c>
      <c r="F4027" t="str">
        <f>VLOOKUP(NoviaFunds[[#This Row],[Sector]],Sectors[],2,FALSE)</f>
        <v>High Yield</v>
      </c>
    </row>
    <row r="4028" spans="1:6" x14ac:dyDescent="0.2">
      <c r="A4028" t="str">
        <f>'Novia Web Query'!A4024</f>
        <v>GB0008371014</v>
      </c>
      <c r="B4028" t="str">
        <f>VLOOKUP(NoviaFunds[[#This Row],[ISIN]],'Novia Web Query'!$A:$E,2,FALSE)</f>
        <v>Threadneedle High Yield Bond RNI GBP TR in GB</v>
      </c>
      <c r="C4028" t="str">
        <f>VLOOKUP(NoviaFunds[[#This Row],[ISIN]],'Novia Web Query'!$A:$E,3,FALSE)</f>
        <v>UT Sterling High Yield</v>
      </c>
      <c r="D4028" s="139">
        <f>VLOOKUP(NoviaFunds[[#This Row],[ISIN]],'Novia Web Query'!$A:$E,4,FALSE)/100</f>
        <v>1.3300000000000001E-2</v>
      </c>
      <c r="E4028" s="3" t="str">
        <f>VLOOKUP(NoviaFunds[[#This Row],[ISIN]],'Novia Web Query'!$A:$E,5,FALSE)</f>
        <v>07/03/2021</v>
      </c>
      <c r="F4028" t="str">
        <f>VLOOKUP(NoviaFunds[[#This Row],[Sector]],Sectors[],2,FALSE)</f>
        <v>High Yield</v>
      </c>
    </row>
    <row r="4029" spans="1:6" x14ac:dyDescent="0.2">
      <c r="A4029" t="str">
        <f>'Novia Web Query'!A4025</f>
        <v>GB00B82VC222</v>
      </c>
      <c r="B4029" t="str">
        <f>VLOOKUP(NoviaFunds[[#This Row],[ISIN]],'Novia Web Query'!$A:$E,2,FALSE)</f>
        <v>Threadneedle High Yield Bond ZGA GBP TR in GB**</v>
      </c>
      <c r="C4029" t="str">
        <f>VLOOKUP(NoviaFunds[[#This Row],[ISIN]],'Novia Web Query'!$A:$E,3,FALSE)</f>
        <v>UT Sterling High Yield</v>
      </c>
      <c r="D4029" s="139">
        <f>VLOOKUP(NoviaFunds[[#This Row],[ISIN]],'Novia Web Query'!$A:$E,4,FALSE)/100</f>
        <v>7.3000000000000001E-3</v>
      </c>
      <c r="E4029" s="3" t="str">
        <f>VLOOKUP(NoviaFunds[[#This Row],[ISIN]],'Novia Web Query'!$A:$E,5,FALSE)</f>
        <v>07/03/2021</v>
      </c>
      <c r="F4029" t="str">
        <f>VLOOKUP(NoviaFunds[[#This Row],[Sector]],Sectors[],2,FALSE)</f>
        <v>High Yield</v>
      </c>
    </row>
    <row r="4030" spans="1:6" x14ac:dyDescent="0.2">
      <c r="A4030" t="str">
        <f>'Novia Web Query'!A4026</f>
        <v>GB00B99MVQ21</v>
      </c>
      <c r="B4030" t="str">
        <f>VLOOKUP(NoviaFunds[[#This Row],[ISIN]],'Novia Web Query'!$A:$E,2,FALSE)</f>
        <v>Threadneedle High Yield Bond ZGI GBP TR in GB</v>
      </c>
      <c r="C4030" t="str">
        <f>VLOOKUP(NoviaFunds[[#This Row],[ISIN]],'Novia Web Query'!$A:$E,3,FALSE)</f>
        <v>UT Sterling High Yield</v>
      </c>
      <c r="D4030" s="139">
        <f>VLOOKUP(NoviaFunds[[#This Row],[ISIN]],'Novia Web Query'!$A:$E,4,FALSE)/100</f>
        <v>7.3000000000000001E-3</v>
      </c>
      <c r="E4030" s="3" t="str">
        <f>VLOOKUP(NoviaFunds[[#This Row],[ISIN]],'Novia Web Query'!$A:$E,5,FALSE)</f>
        <v>07/03/2021</v>
      </c>
      <c r="F4030" t="str">
        <f>VLOOKUP(NoviaFunds[[#This Row],[Sector]],Sectors[],2,FALSE)</f>
        <v>High Yield</v>
      </c>
    </row>
    <row r="4031" spans="1:6" x14ac:dyDescent="0.2">
      <c r="A4031" t="str">
        <f>'Novia Web Query'!A4027</f>
        <v>GB00B7SGDT88</v>
      </c>
      <c r="B4031" t="str">
        <f>VLOOKUP(NoviaFunds[[#This Row],[ISIN]],'Novia Web Query'!$A:$E,2,FALSE)</f>
        <v>Threadneedle High Yield Bond ZNI GBP TR in GB</v>
      </c>
      <c r="C4031" t="str">
        <f>VLOOKUP(NoviaFunds[[#This Row],[ISIN]],'Novia Web Query'!$A:$E,3,FALSE)</f>
        <v>UT Sterling High Yield</v>
      </c>
      <c r="D4031" s="139">
        <f>VLOOKUP(NoviaFunds[[#This Row],[ISIN]],'Novia Web Query'!$A:$E,4,FALSE)/100</f>
        <v>7.3000000000000001E-3</v>
      </c>
      <c r="E4031" s="3" t="str">
        <f>VLOOKUP(NoviaFunds[[#This Row],[ISIN]],'Novia Web Query'!$A:$E,5,FALSE)</f>
        <v>07/03/2021</v>
      </c>
      <c r="F4031" t="str">
        <f>VLOOKUP(NoviaFunds[[#This Row],[Sector]],Sectors[],2,FALSE)</f>
        <v>High Yield</v>
      </c>
    </row>
    <row r="4032" spans="1:6" x14ac:dyDescent="0.2">
      <c r="A4032" t="str">
        <f>'Novia Web Query'!A4028</f>
        <v>GB0001529121</v>
      </c>
      <c r="B4032" t="str">
        <f>VLOOKUP(NoviaFunds[[#This Row],[ISIN]],'Novia Web Query'!$A:$E,2,FALSE)</f>
        <v>Threadneedle Japan RNA GBP in GB</v>
      </c>
      <c r="C4032" t="str">
        <f>VLOOKUP(NoviaFunds[[#This Row],[ISIN]],'Novia Web Query'!$A:$E,3,FALSE)</f>
        <v>UT Japan</v>
      </c>
      <c r="D4032" s="139">
        <f>VLOOKUP(NoviaFunds[[#This Row],[ISIN]],'Novia Web Query'!$A:$E,4,FALSE)/100</f>
        <v>1.6299999999999999E-2</v>
      </c>
      <c r="E4032" s="3" t="str">
        <f>VLOOKUP(NoviaFunds[[#This Row],[ISIN]],'Novia Web Query'!$A:$E,5,FALSE)</f>
        <v>07/03/2021</v>
      </c>
      <c r="F4032" t="str">
        <f>VLOOKUP(NoviaFunds[[#This Row],[Sector]],Sectors[],2,FALSE)</f>
        <v>Japanese Equities</v>
      </c>
    </row>
    <row r="4033" spans="1:6" x14ac:dyDescent="0.2">
      <c r="A4033" t="str">
        <f>'Novia Web Query'!A4029</f>
        <v>GB00B7TRT705</v>
      </c>
      <c r="B4033" t="str">
        <f>VLOOKUP(NoviaFunds[[#This Row],[ISIN]],'Novia Web Query'!$A:$E,2,FALSE)</f>
        <v>Threadneedle Japan ZNA GBP in GB</v>
      </c>
      <c r="C4033" t="str">
        <f>VLOOKUP(NoviaFunds[[#This Row],[ISIN]],'Novia Web Query'!$A:$E,3,FALSE)</f>
        <v>UT Japan</v>
      </c>
      <c r="D4033" s="139">
        <f>VLOOKUP(NoviaFunds[[#This Row],[ISIN]],'Novia Web Query'!$A:$E,4,FALSE)/100</f>
        <v>8.8000000000000005E-3</v>
      </c>
      <c r="E4033" s="3" t="str">
        <f>VLOOKUP(NoviaFunds[[#This Row],[ISIN]],'Novia Web Query'!$A:$E,5,FALSE)</f>
        <v>07/03/2021</v>
      </c>
      <c r="F4033" t="str">
        <f>VLOOKUP(NoviaFunds[[#This Row],[Sector]],Sectors[],2,FALSE)</f>
        <v>Japanese Equities</v>
      </c>
    </row>
    <row r="4034" spans="1:6" x14ac:dyDescent="0.2">
      <c r="A4034" t="str">
        <f>'Novia Web Query'!A4030</f>
        <v>GB0001531754</v>
      </c>
      <c r="B4034" t="str">
        <f>VLOOKUP(NoviaFunds[[#This Row],[ISIN]],'Novia Web Query'!$A:$E,2,FALSE)</f>
        <v>Threadneedle Latin America RNA GBP in GB</v>
      </c>
      <c r="C4034" t="str">
        <f>VLOOKUP(NoviaFunds[[#This Row],[ISIN]],'Novia Web Query'!$A:$E,3,FALSE)</f>
        <v>UT Latin America</v>
      </c>
      <c r="D4034" s="139">
        <f>VLOOKUP(NoviaFunds[[#This Row],[ISIN]],'Novia Web Query'!$A:$E,4,FALSE)/100</f>
        <v>1.7000000000000001E-2</v>
      </c>
      <c r="E4034" s="3" t="str">
        <f>VLOOKUP(NoviaFunds[[#This Row],[ISIN]],'Novia Web Query'!$A:$E,5,FALSE)</f>
        <v>07/03/2021</v>
      </c>
      <c r="F4034" t="e">
        <f>VLOOKUP(NoviaFunds[[#This Row],[Sector]],Sectors[],2,FALSE)</f>
        <v>#N/A</v>
      </c>
    </row>
    <row r="4035" spans="1:6" x14ac:dyDescent="0.2">
      <c r="A4035" t="str">
        <f>'Novia Web Query'!A4031</f>
        <v>GB00B8BQ6V57</v>
      </c>
      <c r="B4035" t="str">
        <f>VLOOKUP(NoviaFunds[[#This Row],[ISIN]],'Novia Web Query'!$A:$E,2,FALSE)</f>
        <v>Threadneedle Latin America ZNA GBP in GB</v>
      </c>
      <c r="C4035" t="str">
        <f>VLOOKUP(NoviaFunds[[#This Row],[ISIN]],'Novia Web Query'!$A:$E,3,FALSE)</f>
        <v>UT Latin America</v>
      </c>
      <c r="D4035" s="139">
        <f>VLOOKUP(NoviaFunds[[#This Row],[ISIN]],'Novia Web Query'!$A:$E,4,FALSE)/100</f>
        <v>9.1000000000000004E-3</v>
      </c>
      <c r="E4035" s="3" t="str">
        <f>VLOOKUP(NoviaFunds[[#This Row],[ISIN]],'Novia Web Query'!$A:$E,5,FALSE)</f>
        <v>07/03/2021</v>
      </c>
      <c r="F4035" t="e">
        <f>VLOOKUP(NoviaFunds[[#This Row],[Sector]],Sectors[],2,FALSE)</f>
        <v>#N/A</v>
      </c>
    </row>
    <row r="4036" spans="1:6" x14ac:dyDescent="0.2">
      <c r="A4036" t="str">
        <f>'Novia Web Query'!A4032</f>
        <v>GB0008370826</v>
      </c>
      <c r="B4036" t="str">
        <f>VLOOKUP(NoviaFunds[[#This Row],[ISIN]],'Novia Web Query'!$A:$E,2,FALSE)</f>
        <v>Threadneedle Monthly Extra Income RNI GBP TR in GB</v>
      </c>
      <c r="C4036" t="str">
        <f>VLOOKUP(NoviaFunds[[#This Row],[ISIN]],'Novia Web Query'!$A:$E,3,FALSE)</f>
        <v>UT Mixed Investment 40-85% Shares</v>
      </c>
      <c r="D4036" s="139">
        <f>VLOOKUP(NoviaFunds[[#This Row],[ISIN]],'Novia Web Query'!$A:$E,4,FALSE)/100</f>
        <v>1.3000000000000001E-2</v>
      </c>
      <c r="E4036" s="3" t="str">
        <f>VLOOKUP(NoviaFunds[[#This Row],[ISIN]],'Novia Web Query'!$A:$E,5,FALSE)</f>
        <v>13/02/2020</v>
      </c>
      <c r="F4036" t="str">
        <f>VLOOKUP(NoviaFunds[[#This Row],[Sector]],Sectors[],2,FALSE)</f>
        <v>Mixed 40%-85%</v>
      </c>
    </row>
    <row r="4037" spans="1:6" x14ac:dyDescent="0.2">
      <c r="A4037" t="str">
        <f>'Novia Web Query'!A4033</f>
        <v>GB00BP8S6244</v>
      </c>
      <c r="B4037" t="str">
        <f>VLOOKUP(NoviaFunds[[#This Row],[ISIN]],'Novia Web Query'!$A:$E,2,FALSE)</f>
        <v>Threadneedle Monthly Extra Income ZNA GBP TR in GB**</v>
      </c>
      <c r="C4037" t="str">
        <f>VLOOKUP(NoviaFunds[[#This Row],[ISIN]],'Novia Web Query'!$A:$E,3,FALSE)</f>
        <v>UT Mixed Investment 40-85% Shares</v>
      </c>
      <c r="D4037" s="139">
        <f>VLOOKUP(NoviaFunds[[#This Row],[ISIN]],'Novia Web Query'!$A:$E,4,FALSE)/100</f>
        <v>7.4000000000000003E-3</v>
      </c>
      <c r="E4037" s="3" t="str">
        <f>VLOOKUP(NoviaFunds[[#This Row],[ISIN]],'Novia Web Query'!$A:$E,5,FALSE)</f>
        <v>07/03/2021</v>
      </c>
      <c r="F4037" t="str">
        <f>VLOOKUP(NoviaFunds[[#This Row],[Sector]],Sectors[],2,FALSE)</f>
        <v>Mixed 40%-85%</v>
      </c>
    </row>
    <row r="4038" spans="1:6" x14ac:dyDescent="0.2">
      <c r="A4038" t="str">
        <f>'Novia Web Query'!A4034</f>
        <v>GB00B8BZ3226</v>
      </c>
      <c r="B4038" t="str">
        <f>VLOOKUP(NoviaFunds[[#This Row],[ISIN]],'Novia Web Query'!$A:$E,2,FALSE)</f>
        <v>Threadneedle Monthly Extra Income ZNI GBP TR in GB</v>
      </c>
      <c r="C4038" t="str">
        <f>VLOOKUP(NoviaFunds[[#This Row],[ISIN]],'Novia Web Query'!$A:$E,3,FALSE)</f>
        <v>UT Mixed Investment 40-85% Shares</v>
      </c>
      <c r="D4038" s="139">
        <f>VLOOKUP(NoviaFunds[[#This Row],[ISIN]],'Novia Web Query'!$A:$E,4,FALSE)/100</f>
        <v>7.4000000000000003E-3</v>
      </c>
      <c r="E4038" s="3" t="str">
        <f>VLOOKUP(NoviaFunds[[#This Row],[ISIN]],'Novia Web Query'!$A:$E,5,FALSE)</f>
        <v>07/03/2021</v>
      </c>
      <c r="F4038" t="str">
        <f>VLOOKUP(NoviaFunds[[#This Row],[Sector]],Sectors[],2,FALSE)</f>
        <v>Mixed 40%-85%</v>
      </c>
    </row>
    <row r="4039" spans="1:6" x14ac:dyDescent="0.2">
      <c r="A4039" t="str">
        <f>'Novia Web Query'!A4035</f>
        <v>GB00B01CWZ36</v>
      </c>
      <c r="B4039" t="str">
        <f>VLOOKUP(NoviaFunds[[#This Row],[ISIN]],'Novia Web Query'!$A:$E,2,FALSE)</f>
        <v>Threadneedle Pan European Focus RNA GBP in GB</v>
      </c>
      <c r="C4039" t="str">
        <f>VLOOKUP(NoviaFunds[[#This Row],[ISIN]],'Novia Web Query'!$A:$E,3,FALSE)</f>
        <v>UT Europe Including UK</v>
      </c>
      <c r="D4039" s="139">
        <f>VLOOKUP(NoviaFunds[[#This Row],[ISIN]],'Novia Web Query'!$A:$E,4,FALSE)/100</f>
        <v>1.66E-2</v>
      </c>
      <c r="E4039" s="3" t="str">
        <f>VLOOKUP(NoviaFunds[[#This Row],[ISIN]],'Novia Web Query'!$A:$E,5,FALSE)</f>
        <v>30/04/2021</v>
      </c>
      <c r="F4039" t="str">
        <f>VLOOKUP(NoviaFunds[[#This Row],[Sector]],Sectors[],2,FALSE)</f>
        <v>European Equities</v>
      </c>
    </row>
    <row r="4040" spans="1:6" x14ac:dyDescent="0.2">
      <c r="A4040" t="str">
        <f>'Novia Web Query'!A4036</f>
        <v>GB00B60L2M02</v>
      </c>
      <c r="B4040" t="str">
        <f>VLOOKUP(NoviaFunds[[#This Row],[ISIN]],'Novia Web Query'!$A:$E,2,FALSE)</f>
        <v>Threadneedle Pan European Focus ZNA GBP in GB</v>
      </c>
      <c r="C4040" t="str">
        <f>VLOOKUP(NoviaFunds[[#This Row],[ISIN]],'Novia Web Query'!$A:$E,3,FALSE)</f>
        <v>UT Europe Including UK</v>
      </c>
      <c r="D4040" s="139">
        <f>VLOOKUP(NoviaFunds[[#This Row],[ISIN]],'Novia Web Query'!$A:$E,4,FALSE)/100</f>
        <v>9.1000000000000004E-3</v>
      </c>
      <c r="E4040" s="3" t="str">
        <f>VLOOKUP(NoviaFunds[[#This Row],[ISIN]],'Novia Web Query'!$A:$E,5,FALSE)</f>
        <v>30/04/2021</v>
      </c>
      <c r="F4040" t="str">
        <f>VLOOKUP(NoviaFunds[[#This Row],[Sector]],Sectors[],2,FALSE)</f>
        <v>European Equities</v>
      </c>
    </row>
    <row r="4041" spans="1:6" x14ac:dyDescent="0.2">
      <c r="A4041" t="str">
        <f>'Novia Web Query'!A4037</f>
        <v>GB0002777745</v>
      </c>
      <c r="B4041" t="str">
        <f>VLOOKUP(NoviaFunds[[#This Row],[ISIN]],'Novia Web Query'!$A:$E,2,FALSE)</f>
        <v>Threadneedle Sterling Bond RGA GBP in GB</v>
      </c>
      <c r="C4041" t="str">
        <f>VLOOKUP(NoviaFunds[[#This Row],[ISIN]],'Novia Web Query'!$A:$E,3,FALSE)</f>
        <v>UT UK Gilts</v>
      </c>
      <c r="D4041" s="139">
        <f>VLOOKUP(NoviaFunds[[#This Row],[ISIN]],'Novia Web Query'!$A:$E,4,FALSE)/100</f>
        <v>5.3E-3</v>
      </c>
      <c r="E4041" s="3" t="str">
        <f>VLOOKUP(NoviaFunds[[#This Row],[ISIN]],'Novia Web Query'!$A:$E,5,FALSE)</f>
        <v>07/03/2021</v>
      </c>
      <c r="F4041" t="str">
        <f>VLOOKUP(NoviaFunds[[#This Row],[Sector]],Sectors[],2,FALSE)</f>
        <v>Gilts</v>
      </c>
    </row>
    <row r="4042" spans="1:6" x14ac:dyDescent="0.2">
      <c r="A4042" t="str">
        <f>'Novia Web Query'!A4038</f>
        <v>GB0002703642</v>
      </c>
      <c r="B4042" t="str">
        <f>VLOOKUP(NoviaFunds[[#This Row],[ISIN]],'Novia Web Query'!$A:$E,2,FALSE)</f>
        <v>Threadneedle Sterling Bond RNI GBP TR in GB</v>
      </c>
      <c r="C4042" t="str">
        <f>VLOOKUP(NoviaFunds[[#This Row],[ISIN]],'Novia Web Query'!$A:$E,3,FALSE)</f>
        <v>UT UK Gilts</v>
      </c>
      <c r="D4042" s="139">
        <f>VLOOKUP(NoviaFunds[[#This Row],[ISIN]],'Novia Web Query'!$A:$E,4,FALSE)/100</f>
        <v>5.3E-3</v>
      </c>
      <c r="E4042" s="3" t="str">
        <f>VLOOKUP(NoviaFunds[[#This Row],[ISIN]],'Novia Web Query'!$A:$E,5,FALSE)</f>
        <v>07/03/2021</v>
      </c>
      <c r="F4042" t="str">
        <f>VLOOKUP(NoviaFunds[[#This Row],[Sector]],Sectors[],2,FALSE)</f>
        <v>Gilts</v>
      </c>
    </row>
    <row r="4043" spans="1:6" x14ac:dyDescent="0.2">
      <c r="A4043" t="str">
        <f>'Novia Web Query'!A4039</f>
        <v>GB00B836MP96</v>
      </c>
      <c r="B4043" t="str">
        <f>VLOOKUP(NoviaFunds[[#This Row],[ISIN]],'Novia Web Query'!$A:$E,2,FALSE)</f>
        <v>Threadneedle Sterling Bond ZGA GBP in GB</v>
      </c>
      <c r="C4043" t="str">
        <f>VLOOKUP(NoviaFunds[[#This Row],[ISIN]],'Novia Web Query'!$A:$E,3,FALSE)</f>
        <v>UT UK Gilts</v>
      </c>
      <c r="D4043" s="139">
        <f>VLOOKUP(NoviaFunds[[#This Row],[ISIN]],'Novia Web Query'!$A:$E,4,FALSE)/100</f>
        <v>4.0999999999999995E-3</v>
      </c>
      <c r="E4043" s="3" t="str">
        <f>VLOOKUP(NoviaFunds[[#This Row],[ISIN]],'Novia Web Query'!$A:$E,5,FALSE)</f>
        <v>07/03/2021</v>
      </c>
      <c r="F4043" t="str">
        <f>VLOOKUP(NoviaFunds[[#This Row],[Sector]],Sectors[],2,FALSE)</f>
        <v>Gilts</v>
      </c>
    </row>
    <row r="4044" spans="1:6" x14ac:dyDescent="0.2">
      <c r="A4044" t="str">
        <f>'Novia Web Query'!A4040</f>
        <v>GB00B7SH5738</v>
      </c>
      <c r="B4044" t="str">
        <f>VLOOKUP(NoviaFunds[[#This Row],[ISIN]],'Novia Web Query'!$A:$E,2,FALSE)</f>
        <v>Threadneedle Sterling Bond ZNI GBP TR in GB</v>
      </c>
      <c r="C4044" t="str">
        <f>VLOOKUP(NoviaFunds[[#This Row],[ISIN]],'Novia Web Query'!$A:$E,3,FALSE)</f>
        <v>UT UK Gilts</v>
      </c>
      <c r="D4044" s="139">
        <f>VLOOKUP(NoviaFunds[[#This Row],[ISIN]],'Novia Web Query'!$A:$E,4,FALSE)/100</f>
        <v>4.0999999999999995E-3</v>
      </c>
      <c r="E4044" s="3" t="str">
        <f>VLOOKUP(NoviaFunds[[#This Row],[ISIN]],'Novia Web Query'!$A:$E,5,FALSE)</f>
        <v>07/03/2021</v>
      </c>
      <c r="F4044" t="str">
        <f>VLOOKUP(NoviaFunds[[#This Row],[Sector]],Sectors[],2,FALSE)</f>
        <v>Gilts</v>
      </c>
    </row>
    <row r="4045" spans="1:6" x14ac:dyDescent="0.2">
      <c r="A4045" t="str">
        <f>'Novia Web Query'!A4041</f>
        <v>GB0033885327</v>
      </c>
      <c r="B4045" t="str">
        <f>VLOOKUP(NoviaFunds[[#This Row],[ISIN]],'Novia Web Query'!$A:$E,2,FALSE)</f>
        <v>Threadneedle Sterling Corporate Bond IGA GBP in GB</v>
      </c>
      <c r="C4045" t="str">
        <f>VLOOKUP(NoviaFunds[[#This Row],[ISIN]],'Novia Web Query'!$A:$E,3,FALSE)</f>
        <v>UT Sterling Corporate Bond</v>
      </c>
      <c r="D4045" s="139">
        <f>VLOOKUP(NoviaFunds[[#This Row],[ISIN]],'Novia Web Query'!$A:$E,4,FALSE)/100</f>
        <v>5.6000000000000008E-3</v>
      </c>
      <c r="E4045" s="3" t="str">
        <f>VLOOKUP(NoviaFunds[[#This Row],[ISIN]],'Novia Web Query'!$A:$E,5,FALSE)</f>
        <v>07/03/2021</v>
      </c>
      <c r="F4045" t="str">
        <f>VLOOKUP(NoviaFunds[[#This Row],[Sector]],Sectors[],2,FALSE)</f>
        <v>Sterling Corporate Bonds</v>
      </c>
    </row>
    <row r="4046" spans="1:6" x14ac:dyDescent="0.2">
      <c r="A4046" t="str">
        <f>'Novia Web Query'!A4042</f>
        <v>GB0001451508</v>
      </c>
      <c r="B4046" t="str">
        <f>VLOOKUP(NoviaFunds[[#This Row],[ISIN]],'Novia Web Query'!$A:$E,2,FALSE)</f>
        <v>Threadneedle Sterling Corporate Bond INI GBP TR in GB</v>
      </c>
      <c r="C4046" t="str">
        <f>VLOOKUP(NoviaFunds[[#This Row],[ISIN]],'Novia Web Query'!$A:$E,3,FALSE)</f>
        <v>UT Sterling Corporate Bond</v>
      </c>
      <c r="D4046" s="139">
        <f>VLOOKUP(NoviaFunds[[#This Row],[ISIN]],'Novia Web Query'!$A:$E,4,FALSE)/100</f>
        <v>5.6000000000000008E-3</v>
      </c>
      <c r="E4046" s="3" t="str">
        <f>VLOOKUP(NoviaFunds[[#This Row],[ISIN]],'Novia Web Query'!$A:$E,5,FALSE)</f>
        <v>07/03/2021</v>
      </c>
      <c r="F4046" t="str">
        <f>VLOOKUP(NoviaFunds[[#This Row],[Sector]],Sectors[],2,FALSE)</f>
        <v>Sterling Corporate Bonds</v>
      </c>
    </row>
    <row r="4047" spans="1:6" x14ac:dyDescent="0.2">
      <c r="A4047" t="str">
        <f>'Novia Web Query'!A4043</f>
        <v>GB0033749739</v>
      </c>
      <c r="B4047" t="str">
        <f>VLOOKUP(NoviaFunds[[#This Row],[ISIN]],'Novia Web Query'!$A:$E,2,FALSE)</f>
        <v>Threadneedle Sterling Corporate Bond RGI GBP TR in GB</v>
      </c>
      <c r="C4047" t="str">
        <f>VLOOKUP(NoviaFunds[[#This Row],[ISIN]],'Novia Web Query'!$A:$E,3,FALSE)</f>
        <v>UT Sterling Corporate Bond</v>
      </c>
      <c r="D4047" s="139">
        <f>VLOOKUP(NoviaFunds[[#This Row],[ISIN]],'Novia Web Query'!$A:$E,4,FALSE)/100</f>
        <v>8.8000000000000005E-3</v>
      </c>
      <c r="E4047" s="3" t="str">
        <f>VLOOKUP(NoviaFunds[[#This Row],[ISIN]],'Novia Web Query'!$A:$E,5,FALSE)</f>
        <v>07/03/2021</v>
      </c>
      <c r="F4047" t="str">
        <f>VLOOKUP(NoviaFunds[[#This Row],[Sector]],Sectors[],2,FALSE)</f>
        <v>Sterling Corporate Bonds</v>
      </c>
    </row>
    <row r="4048" spans="1:6" x14ac:dyDescent="0.2">
      <c r="A4048" t="str">
        <f>'Novia Web Query'!A4044</f>
        <v>GB0031109738</v>
      </c>
      <c r="B4048" t="str">
        <f>VLOOKUP(NoviaFunds[[#This Row],[ISIN]],'Novia Web Query'!$A:$E,2,FALSE)</f>
        <v>Threadneedle Sterling Corporate Bond RNI GBP TR in GB</v>
      </c>
      <c r="C4048" t="str">
        <f>VLOOKUP(NoviaFunds[[#This Row],[ISIN]],'Novia Web Query'!$A:$E,3,FALSE)</f>
        <v>UT Sterling Corporate Bond</v>
      </c>
      <c r="D4048" s="139">
        <f>VLOOKUP(NoviaFunds[[#This Row],[ISIN]],'Novia Web Query'!$A:$E,4,FALSE)/100</f>
        <v>8.8000000000000005E-3</v>
      </c>
      <c r="E4048" s="3" t="str">
        <f>VLOOKUP(NoviaFunds[[#This Row],[ISIN]],'Novia Web Query'!$A:$E,5,FALSE)</f>
        <v>07/03/2021</v>
      </c>
      <c r="F4048" t="str">
        <f>VLOOKUP(NoviaFunds[[#This Row],[Sector]],Sectors[],2,FALSE)</f>
        <v>Sterling Corporate Bonds</v>
      </c>
    </row>
    <row r="4049" spans="1:6" x14ac:dyDescent="0.2">
      <c r="A4049" t="str">
        <f>'Novia Web Query'!A4045</f>
        <v>GB00BYQFJT88</v>
      </c>
      <c r="B4049" t="str">
        <f>VLOOKUP(NoviaFunds[[#This Row],[ISIN]],'Novia Web Query'!$A:$E,2,FALSE)</f>
        <v>Threadneedle Sterling Short Dated Corporate Bond IGA GBP in GB</v>
      </c>
      <c r="C4049" t="str">
        <f>VLOOKUP(NoviaFunds[[#This Row],[ISIN]],'Novia Web Query'!$A:$E,3,FALSE)</f>
        <v>UT Sterling Corporate Bond</v>
      </c>
      <c r="D4049" s="139">
        <f>VLOOKUP(NoviaFunds[[#This Row],[ISIN]],'Novia Web Query'!$A:$E,4,FALSE)/100</f>
        <v>4.5999999999999999E-3</v>
      </c>
      <c r="E4049" s="3" t="str">
        <f>VLOOKUP(NoviaFunds[[#This Row],[ISIN]],'Novia Web Query'!$A:$E,5,FALSE)</f>
        <v>30/04/2021</v>
      </c>
      <c r="F4049" t="str">
        <f>VLOOKUP(NoviaFunds[[#This Row],[Sector]],Sectors[],2,FALSE)</f>
        <v>Sterling Corporate Bonds</v>
      </c>
    </row>
    <row r="4050" spans="1:6" x14ac:dyDescent="0.2">
      <c r="A4050" t="str">
        <f>'Novia Web Query'!A4046</f>
        <v>GB00BD8GMC64</v>
      </c>
      <c r="B4050" t="str">
        <f>VLOOKUP(NoviaFunds[[#This Row],[ISIN]],'Novia Web Query'!$A:$E,2,FALSE)</f>
        <v>Threadneedle Sterling Short Dated Corporate Bond IGI GBP TR in GB</v>
      </c>
      <c r="C4050" t="str">
        <f>VLOOKUP(NoviaFunds[[#This Row],[ISIN]],'Novia Web Query'!$A:$E,3,FALSE)</f>
        <v>UT Sterling Corporate Bond</v>
      </c>
      <c r="D4050" s="139">
        <f>VLOOKUP(NoviaFunds[[#This Row],[ISIN]],'Novia Web Query'!$A:$E,4,FALSE)/100</f>
        <v>4.5999999999999999E-3</v>
      </c>
      <c r="E4050" s="3" t="str">
        <f>VLOOKUP(NoviaFunds[[#This Row],[ISIN]],'Novia Web Query'!$A:$E,5,FALSE)</f>
        <v>30/04/2021</v>
      </c>
      <c r="F4050" t="str">
        <f>VLOOKUP(NoviaFunds[[#This Row],[Sector]],Sectors[],2,FALSE)</f>
        <v>Sterling Corporate Bonds</v>
      </c>
    </row>
    <row r="4051" spans="1:6" x14ac:dyDescent="0.2">
      <c r="A4051" t="str">
        <f>'Novia Web Query'!A4047</f>
        <v>GB00BD8GMB57</v>
      </c>
      <c r="B4051" t="str">
        <f>VLOOKUP(NoviaFunds[[#This Row],[ISIN]],'Novia Web Query'!$A:$E,2,FALSE)</f>
        <v>Threadneedle Sterling Short Dated Corporate Bond Ini GBP TR in GB</v>
      </c>
      <c r="C4051" t="str">
        <f>VLOOKUP(NoviaFunds[[#This Row],[ISIN]],'Novia Web Query'!$A:$E,3,FALSE)</f>
        <v>UT Sterling Corporate Bond</v>
      </c>
      <c r="D4051" s="139">
        <f>VLOOKUP(NoviaFunds[[#This Row],[ISIN]],'Novia Web Query'!$A:$E,4,FALSE)/100</f>
        <v>4.5999999999999999E-3</v>
      </c>
      <c r="E4051" s="3" t="str">
        <f>VLOOKUP(NoviaFunds[[#This Row],[ISIN]],'Novia Web Query'!$A:$E,5,FALSE)</f>
        <v>30/04/2021</v>
      </c>
      <c r="F4051" t="str">
        <f>VLOOKUP(NoviaFunds[[#This Row],[Sector]],Sectors[],2,FALSE)</f>
        <v>Sterling Corporate Bonds</v>
      </c>
    </row>
    <row r="4052" spans="1:6" x14ac:dyDescent="0.2">
      <c r="A4052" t="str">
        <f>'Novia Web Query'!A4048</f>
        <v>GB00B2NBDK41</v>
      </c>
      <c r="B4052" t="str">
        <f>VLOOKUP(NoviaFunds[[#This Row],[ISIN]],'Novia Web Query'!$A:$E,2,FALSE)</f>
        <v>Threadneedle Sterling Short-Term Money Market Ret Inc GBP TR in GB</v>
      </c>
      <c r="C4052" t="str">
        <f>VLOOKUP(NoviaFunds[[#This Row],[ISIN]],'Novia Web Query'!$A:$E,3,FALSE)</f>
        <v>UT Standard Money Market</v>
      </c>
      <c r="D4052" s="139">
        <f>VLOOKUP(NoviaFunds[[#This Row],[ISIN]],'Novia Web Query'!$A:$E,4,FALSE)/100</f>
        <v>2.3E-3</v>
      </c>
      <c r="E4052" s="3" t="str">
        <f>VLOOKUP(NoviaFunds[[#This Row],[ISIN]],'Novia Web Query'!$A:$E,5,FALSE)</f>
        <v>07/03/2021</v>
      </c>
      <c r="F4052" t="e">
        <f>VLOOKUP(NoviaFunds[[#This Row],[Sector]],Sectors[],2,FALSE)</f>
        <v>#N/A</v>
      </c>
    </row>
    <row r="4053" spans="1:6" x14ac:dyDescent="0.2">
      <c r="A4053" t="str">
        <f>'Novia Web Query'!A4049</f>
        <v>GB0033884684</v>
      </c>
      <c r="B4053" t="str">
        <f>VLOOKUP(NoviaFunds[[#This Row],[ISIN]],'Novia Web Query'!$A:$E,2,FALSE)</f>
        <v>Threadneedle Strategic Bond RGI GBP TR in GB</v>
      </c>
      <c r="C4053" t="str">
        <f>VLOOKUP(NoviaFunds[[#This Row],[ISIN]],'Novia Web Query'!$A:$E,3,FALSE)</f>
        <v>UT Sterling Strategic Bond</v>
      </c>
      <c r="D4053" s="139">
        <f>VLOOKUP(NoviaFunds[[#This Row],[ISIN]],'Novia Web Query'!$A:$E,4,FALSE)/100</f>
        <v>1.2800000000000001E-2</v>
      </c>
      <c r="E4053" s="3" t="str">
        <f>VLOOKUP(NoviaFunds[[#This Row],[ISIN]],'Novia Web Query'!$A:$E,5,FALSE)</f>
        <v>13/02/2020</v>
      </c>
      <c r="F4053" t="str">
        <f>VLOOKUP(NoviaFunds[[#This Row],[Sector]],Sectors[],2,FALSE)</f>
        <v>Other Bonds</v>
      </c>
    </row>
    <row r="4054" spans="1:6" x14ac:dyDescent="0.2">
      <c r="A4054" t="str">
        <f>'Novia Web Query'!A4050</f>
        <v>GB0031022378</v>
      </c>
      <c r="B4054" t="str">
        <f>VLOOKUP(NoviaFunds[[#This Row],[ISIN]],'Novia Web Query'!$A:$E,2,FALSE)</f>
        <v>Threadneedle Strategic Bond RNI GBP TR in GB</v>
      </c>
      <c r="C4054" t="str">
        <f>VLOOKUP(NoviaFunds[[#This Row],[ISIN]],'Novia Web Query'!$A:$E,3,FALSE)</f>
        <v>UT Sterling Strategic Bond</v>
      </c>
      <c r="D4054" s="139">
        <f>VLOOKUP(NoviaFunds[[#This Row],[ISIN]],'Novia Web Query'!$A:$E,4,FALSE)/100</f>
        <v>1.2800000000000001E-2</v>
      </c>
      <c r="E4054" s="3" t="str">
        <f>VLOOKUP(NoviaFunds[[#This Row],[ISIN]],'Novia Web Query'!$A:$E,5,FALSE)</f>
        <v>18/02/2020</v>
      </c>
      <c r="F4054" t="str">
        <f>VLOOKUP(NoviaFunds[[#This Row],[Sector]],Sectors[],2,FALSE)</f>
        <v>Other Bonds</v>
      </c>
    </row>
    <row r="4055" spans="1:6" x14ac:dyDescent="0.2">
      <c r="A4055" t="str">
        <f>'Novia Web Query'!A4051</f>
        <v>GB00B8863D91</v>
      </c>
      <c r="B4055" t="str">
        <f>VLOOKUP(NoviaFunds[[#This Row],[ISIN]],'Novia Web Query'!$A:$E,2,FALSE)</f>
        <v>Threadneedle Strategic Bond ZGA GBP TR in GB**</v>
      </c>
      <c r="C4055" t="str">
        <f>VLOOKUP(NoviaFunds[[#This Row],[ISIN]],'Novia Web Query'!$A:$E,3,FALSE)</f>
        <v>UT Sterling Strategic Bond</v>
      </c>
      <c r="D4055" s="139">
        <f>VLOOKUP(NoviaFunds[[#This Row],[ISIN]],'Novia Web Query'!$A:$E,4,FALSE)/100</f>
        <v>7.4000000000000003E-3</v>
      </c>
      <c r="E4055" s="3" t="str">
        <f>VLOOKUP(NoviaFunds[[#This Row],[ISIN]],'Novia Web Query'!$A:$E,5,FALSE)</f>
        <v>07/03/2021</v>
      </c>
      <c r="F4055" t="str">
        <f>VLOOKUP(NoviaFunds[[#This Row],[Sector]],Sectors[],2,FALSE)</f>
        <v>Other Bonds</v>
      </c>
    </row>
    <row r="4056" spans="1:6" x14ac:dyDescent="0.2">
      <c r="A4056" t="str">
        <f>'Novia Web Query'!A4052</f>
        <v>GB00B882KH00</v>
      </c>
      <c r="B4056" t="str">
        <f>VLOOKUP(NoviaFunds[[#This Row],[ISIN]],'Novia Web Query'!$A:$E,2,FALSE)</f>
        <v>Threadneedle Strategic Bond ZGI GBP TR in GB</v>
      </c>
      <c r="C4056" t="str">
        <f>VLOOKUP(NoviaFunds[[#This Row],[ISIN]],'Novia Web Query'!$A:$E,3,FALSE)</f>
        <v>UT Sterling Strategic Bond</v>
      </c>
      <c r="D4056" s="139">
        <f>VLOOKUP(NoviaFunds[[#This Row],[ISIN]],'Novia Web Query'!$A:$E,4,FALSE)/100</f>
        <v>7.4000000000000003E-3</v>
      </c>
      <c r="E4056" s="3" t="str">
        <f>VLOOKUP(NoviaFunds[[#This Row],[ISIN]],'Novia Web Query'!$A:$E,5,FALSE)</f>
        <v>07/03/2021</v>
      </c>
      <c r="F4056" t="str">
        <f>VLOOKUP(NoviaFunds[[#This Row],[Sector]],Sectors[],2,FALSE)</f>
        <v>Other Bonds</v>
      </c>
    </row>
    <row r="4057" spans="1:6" x14ac:dyDescent="0.2">
      <c r="A4057" t="str">
        <f>'Novia Web Query'!A4053</f>
        <v>GB00B882QB67</v>
      </c>
      <c r="B4057" t="str">
        <f>VLOOKUP(NoviaFunds[[#This Row],[ISIN]],'Novia Web Query'!$A:$E,2,FALSE)</f>
        <v>Threadneedle Strategic Bond ZNI GBP TR in GB</v>
      </c>
      <c r="C4057" t="str">
        <f>VLOOKUP(NoviaFunds[[#This Row],[ISIN]],'Novia Web Query'!$A:$E,3,FALSE)</f>
        <v>UT Sterling Strategic Bond</v>
      </c>
      <c r="D4057" s="139">
        <f>VLOOKUP(NoviaFunds[[#This Row],[ISIN]],'Novia Web Query'!$A:$E,4,FALSE)/100</f>
        <v>7.4000000000000003E-3</v>
      </c>
      <c r="E4057" s="3" t="str">
        <f>VLOOKUP(NoviaFunds[[#This Row],[ISIN]],'Novia Web Query'!$A:$E,5,FALSE)</f>
        <v>07/03/2021</v>
      </c>
      <c r="F4057" t="str">
        <f>VLOOKUP(NoviaFunds[[#This Row],[Sector]],Sectors[],2,FALSE)</f>
        <v>Other Bonds</v>
      </c>
    </row>
    <row r="4058" spans="1:6" x14ac:dyDescent="0.2">
      <c r="A4058" t="str">
        <f>'Novia Web Query'!A4054</f>
        <v>GB00B12WJV48</v>
      </c>
      <c r="B4058" t="str">
        <f>VLOOKUP(NoviaFunds[[#This Row],[ISIN]],'Novia Web Query'!$A:$E,2,FALSE)</f>
        <v>Threadneedle UK Equity Alpha Income INI GBP TR in GB</v>
      </c>
      <c r="C4058" t="str">
        <f>VLOOKUP(NoviaFunds[[#This Row],[ISIN]],'Novia Web Query'!$A:$E,3,FALSE)</f>
        <v>UT UK Equity Income</v>
      </c>
      <c r="D4058" s="139">
        <f>VLOOKUP(NoviaFunds[[#This Row],[ISIN]],'Novia Web Query'!$A:$E,4,FALSE)/100</f>
        <v>1.06E-2</v>
      </c>
      <c r="E4058" s="3" t="str">
        <f>VLOOKUP(NoviaFunds[[#This Row],[ISIN]],'Novia Web Query'!$A:$E,5,FALSE)</f>
        <v>30/04/2021</v>
      </c>
      <c r="F4058" t="str">
        <f>VLOOKUP(NoviaFunds[[#This Row],[Sector]],Sectors[],2,FALSE)</f>
        <v>UK Equities</v>
      </c>
    </row>
    <row r="4059" spans="1:6" x14ac:dyDescent="0.2">
      <c r="A4059" t="str">
        <f>'Novia Web Query'!A4055</f>
        <v>GB00B12WJY78</v>
      </c>
      <c r="B4059" t="str">
        <f>VLOOKUP(NoviaFunds[[#This Row],[ISIN]],'Novia Web Query'!$A:$E,2,FALSE)</f>
        <v>Threadneedle UK Equity Alpha Income RNI GBP TR in GB</v>
      </c>
      <c r="C4059" t="str">
        <f>VLOOKUP(NoviaFunds[[#This Row],[ISIN]],'Novia Web Query'!$A:$E,3,FALSE)</f>
        <v>UT UK Equity Income</v>
      </c>
      <c r="D4059" s="139">
        <f>VLOOKUP(NoviaFunds[[#This Row],[ISIN]],'Novia Web Query'!$A:$E,4,FALSE)/100</f>
        <v>1.6299999999999999E-2</v>
      </c>
      <c r="E4059" s="3" t="str">
        <f>VLOOKUP(NoviaFunds[[#This Row],[ISIN]],'Novia Web Query'!$A:$E,5,FALSE)</f>
        <v>30/04/2021</v>
      </c>
      <c r="F4059" t="str">
        <f>VLOOKUP(NoviaFunds[[#This Row],[Sector]],Sectors[],2,FALSE)</f>
        <v>UK Equities</v>
      </c>
    </row>
    <row r="4060" spans="1:6" x14ac:dyDescent="0.2">
      <c r="A4060" t="str">
        <f>'Novia Web Query'!A4056</f>
        <v>GB00B88P6D76</v>
      </c>
      <c r="B4060" t="str">
        <f>VLOOKUP(NoviaFunds[[#This Row],[ISIN]],'Novia Web Query'!$A:$E,2,FALSE)</f>
        <v>Threadneedle UK Equity Alpha Income ZNI GBP TR in GB</v>
      </c>
      <c r="C4060" t="str">
        <f>VLOOKUP(NoviaFunds[[#This Row],[ISIN]],'Novia Web Query'!$A:$E,3,FALSE)</f>
        <v>UT UK Equity Income</v>
      </c>
      <c r="D4060" s="139">
        <f>VLOOKUP(NoviaFunds[[#This Row],[ISIN]],'Novia Web Query'!$A:$E,4,FALSE)/100</f>
        <v>8.8000000000000005E-3</v>
      </c>
      <c r="E4060" s="3" t="str">
        <f>VLOOKUP(NoviaFunds[[#This Row],[ISIN]],'Novia Web Query'!$A:$E,5,FALSE)</f>
        <v>30/04/2021</v>
      </c>
      <c r="F4060" t="str">
        <f>VLOOKUP(NoviaFunds[[#This Row],[Sector]],Sectors[],2,FALSE)</f>
        <v>UK Equities</v>
      </c>
    </row>
    <row r="4061" spans="1:6" x14ac:dyDescent="0.2">
      <c r="A4061" t="str">
        <f>'Novia Web Query'!A4057</f>
        <v>GB0001448785</v>
      </c>
      <c r="B4061" t="str">
        <f>VLOOKUP(NoviaFunds[[#This Row],[ISIN]],'Novia Web Query'!$A:$E,2,FALSE)</f>
        <v>Threadneedle UK Equity Income INI GBP TR in GB</v>
      </c>
      <c r="C4061" t="str">
        <f>VLOOKUP(NoviaFunds[[#This Row],[ISIN]],'Novia Web Query'!$A:$E,3,FALSE)</f>
        <v>UT UK Equity Income</v>
      </c>
      <c r="D4061" s="139">
        <f>VLOOKUP(NoviaFunds[[#This Row],[ISIN]],'Novia Web Query'!$A:$E,4,FALSE)/100</f>
        <v>1.0500000000000001E-2</v>
      </c>
      <c r="E4061" s="3" t="str">
        <f>VLOOKUP(NoviaFunds[[#This Row],[ISIN]],'Novia Web Query'!$A:$E,5,FALSE)</f>
        <v>07/03/2021</v>
      </c>
      <c r="F4061" t="str">
        <f>VLOOKUP(NoviaFunds[[#This Row],[Sector]],Sectors[],2,FALSE)</f>
        <v>UK Equities</v>
      </c>
    </row>
    <row r="4062" spans="1:6" x14ac:dyDescent="0.2">
      <c r="A4062" t="str">
        <f>'Novia Web Query'!A4058</f>
        <v>GB00BDZYJV10</v>
      </c>
      <c r="B4062" t="str">
        <f>VLOOKUP(NoviaFunds[[#This Row],[ISIN]],'Novia Web Query'!$A:$E,2,FALSE)</f>
        <v>Threadneedle UK Equity Income LI GBP TR in GB</v>
      </c>
      <c r="C4062" t="str">
        <f>VLOOKUP(NoviaFunds[[#This Row],[ISIN]],'Novia Web Query'!$A:$E,3,FALSE)</f>
        <v>UT UK Equity Income</v>
      </c>
      <c r="D4062" s="139">
        <f>VLOOKUP(NoviaFunds[[#This Row],[ISIN]],'Novia Web Query'!$A:$E,4,FALSE)/100</f>
        <v>6.0000000000000001E-3</v>
      </c>
      <c r="E4062" s="3" t="str">
        <f>VLOOKUP(NoviaFunds[[#This Row],[ISIN]],'Novia Web Query'!$A:$E,5,FALSE)</f>
        <v>07/03/2021</v>
      </c>
      <c r="F4062" t="str">
        <f>VLOOKUP(NoviaFunds[[#This Row],[Sector]],Sectors[],2,FALSE)</f>
        <v>UK Equities</v>
      </c>
    </row>
    <row r="4063" spans="1:6" x14ac:dyDescent="0.2">
      <c r="A4063" t="str">
        <f>'Novia Web Query'!A4059</f>
        <v>GB00B60SM090</v>
      </c>
      <c r="B4063" t="str">
        <f>VLOOKUP(NoviaFunds[[#This Row],[ISIN]],'Novia Web Query'!$A:$E,2,FALSE)</f>
        <v>Threadneedle UK Equity Income RNA GBP in GB</v>
      </c>
      <c r="C4063" t="str">
        <f>VLOOKUP(NoviaFunds[[#This Row],[ISIN]],'Novia Web Query'!$A:$E,3,FALSE)</f>
        <v>UT UK Equity Income</v>
      </c>
      <c r="D4063" s="139">
        <f>VLOOKUP(NoviaFunds[[#This Row],[ISIN]],'Novia Web Query'!$A:$E,4,FALSE)/100</f>
        <v>1.5900000000000001E-2</v>
      </c>
      <c r="E4063" s="3" t="str">
        <f>VLOOKUP(NoviaFunds[[#This Row],[ISIN]],'Novia Web Query'!$A:$E,5,FALSE)</f>
        <v>07/03/2021</v>
      </c>
      <c r="F4063" t="str">
        <f>VLOOKUP(NoviaFunds[[#This Row],[Sector]],Sectors[],2,FALSE)</f>
        <v>UK Equities</v>
      </c>
    </row>
    <row r="4064" spans="1:6" x14ac:dyDescent="0.2">
      <c r="A4064" t="str">
        <f>'Novia Web Query'!A4060</f>
        <v>GB0001448900</v>
      </c>
      <c r="B4064" t="str">
        <f>VLOOKUP(NoviaFunds[[#This Row],[ISIN]],'Novia Web Query'!$A:$E,2,FALSE)</f>
        <v>Threadneedle UK Equity Income RNI GBP TR in GB</v>
      </c>
      <c r="C4064" t="str">
        <f>VLOOKUP(NoviaFunds[[#This Row],[ISIN]],'Novia Web Query'!$A:$E,3,FALSE)</f>
        <v>UT UK Equity Income</v>
      </c>
      <c r="D4064" s="139">
        <f>VLOOKUP(NoviaFunds[[#This Row],[ISIN]],'Novia Web Query'!$A:$E,4,FALSE)/100</f>
        <v>1.5900000000000001E-2</v>
      </c>
      <c r="E4064" s="3" t="str">
        <f>VLOOKUP(NoviaFunds[[#This Row],[ISIN]],'Novia Web Query'!$A:$E,5,FALSE)</f>
        <v>07/03/2021</v>
      </c>
      <c r="F4064" t="str">
        <f>VLOOKUP(NoviaFunds[[#This Row],[Sector]],Sectors[],2,FALSE)</f>
        <v>UK Equities</v>
      </c>
    </row>
    <row r="4065" spans="1:6" x14ac:dyDescent="0.2">
      <c r="A4065" t="str">
        <f>'Novia Web Query'!A4061</f>
        <v>GB00B888FR33</v>
      </c>
      <c r="B4065" t="str">
        <f>VLOOKUP(NoviaFunds[[#This Row],[ISIN]],'Novia Web Query'!$A:$E,2,FALSE)</f>
        <v>Threadneedle UK Equity Income ZNA GBP in GB</v>
      </c>
      <c r="C4065" t="str">
        <f>VLOOKUP(NoviaFunds[[#This Row],[ISIN]],'Novia Web Query'!$A:$E,3,FALSE)</f>
        <v>UT UK Equity Income</v>
      </c>
      <c r="D4065" s="139">
        <f>VLOOKUP(NoviaFunds[[#This Row],[ISIN]],'Novia Web Query'!$A:$E,4,FALSE)/100</f>
        <v>8.199999999999999E-3</v>
      </c>
      <c r="E4065" s="3" t="str">
        <f>VLOOKUP(NoviaFunds[[#This Row],[ISIN]],'Novia Web Query'!$A:$E,5,FALSE)</f>
        <v>07/03/2021</v>
      </c>
      <c r="F4065" t="str">
        <f>VLOOKUP(NoviaFunds[[#This Row],[Sector]],Sectors[],2,FALSE)</f>
        <v>UK Equities</v>
      </c>
    </row>
    <row r="4066" spans="1:6" x14ac:dyDescent="0.2">
      <c r="A4066" t="str">
        <f>'Novia Web Query'!A4062</f>
        <v>GB00B8169Q14</v>
      </c>
      <c r="B4066" t="str">
        <f>VLOOKUP(NoviaFunds[[#This Row],[ISIN]],'Novia Web Query'!$A:$E,2,FALSE)</f>
        <v>Threadneedle UK Equity Income ZNI GBP TR in GB</v>
      </c>
      <c r="C4066" t="str">
        <f>VLOOKUP(NoviaFunds[[#This Row],[ISIN]],'Novia Web Query'!$A:$E,3,FALSE)</f>
        <v>UT UK Equity Income</v>
      </c>
      <c r="D4066" s="139">
        <f>VLOOKUP(NoviaFunds[[#This Row],[ISIN]],'Novia Web Query'!$A:$E,4,FALSE)/100</f>
        <v>8.199999999999999E-3</v>
      </c>
      <c r="E4066" s="3" t="str">
        <f>VLOOKUP(NoviaFunds[[#This Row],[ISIN]],'Novia Web Query'!$A:$E,5,FALSE)</f>
        <v>07/03/2021</v>
      </c>
      <c r="F4066" t="str">
        <f>VLOOKUP(NoviaFunds[[#This Row],[Sector]],Sectors[],2,FALSE)</f>
        <v>UK Equities</v>
      </c>
    </row>
    <row r="4067" spans="1:6" x14ac:dyDescent="0.2">
      <c r="A4067" t="str">
        <f>'Novia Web Query'!A4063</f>
        <v>GB0033027474</v>
      </c>
      <c r="B4067" t="str">
        <f>VLOOKUP(NoviaFunds[[#This Row],[ISIN]],'Novia Web Query'!$A:$E,2,FALSE)</f>
        <v>Threadneedle UK Extended Alpha INA GBP in GB</v>
      </c>
      <c r="C4067" t="str">
        <f>VLOOKUP(NoviaFunds[[#This Row],[ISIN]],'Novia Web Query'!$A:$E,3,FALSE)</f>
        <v>UT UK All Companies</v>
      </c>
      <c r="D4067" s="139">
        <f>VLOOKUP(NoviaFunds[[#This Row],[ISIN]],'Novia Web Query'!$A:$E,4,FALSE)/100</f>
        <v>8.3000000000000001E-3</v>
      </c>
      <c r="E4067" s="3" t="str">
        <f>VLOOKUP(NoviaFunds[[#This Row],[ISIN]],'Novia Web Query'!$A:$E,5,FALSE)</f>
        <v>30/04/2021</v>
      </c>
      <c r="F4067" t="str">
        <f>VLOOKUP(NoviaFunds[[#This Row],[Sector]],Sectors[],2,FALSE)</f>
        <v>UK Equities</v>
      </c>
    </row>
    <row r="4068" spans="1:6" x14ac:dyDescent="0.2">
      <c r="A4068" t="str">
        <f>'Novia Web Query'!A4064</f>
        <v>GB00B02QB917</v>
      </c>
      <c r="B4068" t="str">
        <f>VLOOKUP(NoviaFunds[[#This Row],[ISIN]],'Novia Web Query'!$A:$E,2,FALSE)</f>
        <v>Threadneedle UK Extended Alpha RNA GBP in GB</v>
      </c>
      <c r="C4068" t="str">
        <f>VLOOKUP(NoviaFunds[[#This Row],[ISIN]],'Novia Web Query'!$A:$E,3,FALSE)</f>
        <v>UT UK All Companies</v>
      </c>
      <c r="D4068" s="139">
        <f>VLOOKUP(NoviaFunds[[#This Row],[ISIN]],'Novia Web Query'!$A:$E,4,FALSE)/100</f>
        <v>1.3899999999999999E-2</v>
      </c>
      <c r="E4068" s="3" t="str">
        <f>VLOOKUP(NoviaFunds[[#This Row],[ISIN]],'Novia Web Query'!$A:$E,5,FALSE)</f>
        <v>30/04/2021</v>
      </c>
      <c r="F4068" t="str">
        <f>VLOOKUP(NoviaFunds[[#This Row],[Sector]],Sectors[],2,FALSE)</f>
        <v>UK Equities</v>
      </c>
    </row>
    <row r="4069" spans="1:6" x14ac:dyDescent="0.2">
      <c r="A4069" t="str">
        <f>'Novia Web Query'!A4065</f>
        <v>GB0001647246</v>
      </c>
      <c r="B4069" t="str">
        <f>VLOOKUP(NoviaFunds[[#This Row],[ISIN]],'Novia Web Query'!$A:$E,2,FALSE)</f>
        <v>Threadneedle UK Growth and Income INI GBP TR in GB</v>
      </c>
      <c r="C4069" t="str">
        <f>VLOOKUP(NoviaFunds[[#This Row],[ISIN]],'Novia Web Query'!$A:$E,3,FALSE)</f>
        <v>UT UK All Companies</v>
      </c>
      <c r="D4069" s="139">
        <f>VLOOKUP(NoviaFunds[[#This Row],[ISIN]],'Novia Web Query'!$A:$E,4,FALSE)/100</f>
        <v>1.06E-2</v>
      </c>
      <c r="E4069" s="3" t="str">
        <f>VLOOKUP(NoviaFunds[[#This Row],[ISIN]],'Novia Web Query'!$A:$E,5,FALSE)</f>
        <v>07/03/2021</v>
      </c>
      <c r="F4069" t="str">
        <f>VLOOKUP(NoviaFunds[[#This Row],[Sector]],Sectors[],2,FALSE)</f>
        <v>UK Equities</v>
      </c>
    </row>
    <row r="4070" spans="1:6" x14ac:dyDescent="0.2">
      <c r="A4070" t="str">
        <f>'Novia Web Query'!A4066</f>
        <v>GB0001529675</v>
      </c>
      <c r="B4070" t="str">
        <f>VLOOKUP(NoviaFunds[[#This Row],[ISIN]],'Novia Web Query'!$A:$E,2,FALSE)</f>
        <v>Threadneedle UK Growth and Income RNI GBP TR in GB</v>
      </c>
      <c r="C4070" t="str">
        <f>VLOOKUP(NoviaFunds[[#This Row],[ISIN]],'Novia Web Query'!$A:$E,3,FALSE)</f>
        <v>UT UK All Companies</v>
      </c>
      <c r="D4070" s="139">
        <f>VLOOKUP(NoviaFunds[[#This Row],[ISIN]],'Novia Web Query'!$A:$E,4,FALSE)/100</f>
        <v>1.6299999999999999E-2</v>
      </c>
      <c r="E4070" s="3" t="str">
        <f>VLOOKUP(NoviaFunds[[#This Row],[ISIN]],'Novia Web Query'!$A:$E,5,FALSE)</f>
        <v>07/03/2021</v>
      </c>
      <c r="F4070" t="str">
        <f>VLOOKUP(NoviaFunds[[#This Row],[Sector]],Sectors[],2,FALSE)</f>
        <v>UK Equities</v>
      </c>
    </row>
    <row r="4071" spans="1:6" x14ac:dyDescent="0.2">
      <c r="A4071" t="str">
        <f>'Novia Web Query'!A4067</f>
        <v>GB00BYQFJZ49</v>
      </c>
      <c r="B4071" t="str">
        <f>VLOOKUP(NoviaFunds[[#This Row],[ISIN]],'Novia Web Query'!$A:$E,2,FALSE)</f>
        <v>Threadneedle UK Growth and Income ZGA GBP TR in GB**</v>
      </c>
      <c r="C4071" t="str">
        <f>VLOOKUP(NoviaFunds[[#This Row],[ISIN]],'Novia Web Query'!$A:$E,3,FALSE)</f>
        <v>UT UK All Companies</v>
      </c>
      <c r="D4071" s="139">
        <f>VLOOKUP(NoviaFunds[[#This Row],[ISIN]],'Novia Web Query'!$A:$E,4,FALSE)/100</f>
        <v>8.8000000000000005E-3</v>
      </c>
      <c r="E4071" s="3" t="str">
        <f>VLOOKUP(NoviaFunds[[#This Row],[ISIN]],'Novia Web Query'!$A:$E,5,FALSE)</f>
        <v>07/03/2021</v>
      </c>
      <c r="F4071" t="str">
        <f>VLOOKUP(NoviaFunds[[#This Row],[Sector]],Sectors[],2,FALSE)</f>
        <v>UK Equities</v>
      </c>
    </row>
    <row r="4072" spans="1:6" x14ac:dyDescent="0.2">
      <c r="A4072" t="str">
        <f>'Novia Web Query'!A4068</f>
        <v>GB00B8848T44</v>
      </c>
      <c r="B4072" t="str">
        <f>VLOOKUP(NoviaFunds[[#This Row],[ISIN]],'Novia Web Query'!$A:$E,2,FALSE)</f>
        <v>Threadneedle UK Growth and Income ZNI GBP TR in GB</v>
      </c>
      <c r="C4072" t="str">
        <f>VLOOKUP(NoviaFunds[[#This Row],[ISIN]],'Novia Web Query'!$A:$E,3,FALSE)</f>
        <v>UT UK All Companies</v>
      </c>
      <c r="D4072" s="139">
        <f>VLOOKUP(NoviaFunds[[#This Row],[ISIN]],'Novia Web Query'!$A:$E,4,FALSE)/100</f>
        <v>8.8000000000000005E-3</v>
      </c>
      <c r="E4072" s="3" t="str">
        <f>VLOOKUP(NoviaFunds[[#This Row],[ISIN]],'Novia Web Query'!$A:$E,5,FALSE)</f>
        <v>07/03/2021</v>
      </c>
      <c r="F4072" t="str">
        <f>VLOOKUP(NoviaFunds[[#This Row],[Sector]],Sectors[],2,FALSE)</f>
        <v>UK Equities</v>
      </c>
    </row>
    <row r="4073" spans="1:6" x14ac:dyDescent="0.2">
      <c r="A4073" t="str">
        <f>'Novia Web Query'!A4069</f>
        <v>GB0001439610</v>
      </c>
      <c r="B4073" t="str">
        <f>VLOOKUP(NoviaFunds[[#This Row],[ISIN]],'Novia Web Query'!$A:$E,2,FALSE)</f>
        <v>Threadneedle UK INI GBP TR in GB</v>
      </c>
      <c r="C4073" t="str">
        <f>VLOOKUP(NoviaFunds[[#This Row],[ISIN]],'Novia Web Query'!$A:$E,3,FALSE)</f>
        <v>UT UK All Companies</v>
      </c>
      <c r="D4073" s="139">
        <f>VLOOKUP(NoviaFunds[[#This Row],[ISIN]],'Novia Web Query'!$A:$E,4,FALSE)/100</f>
        <v>1.0500000000000001E-2</v>
      </c>
      <c r="E4073" s="3" t="str">
        <f>VLOOKUP(NoviaFunds[[#This Row],[ISIN]],'Novia Web Query'!$A:$E,5,FALSE)</f>
        <v>01/11/2021</v>
      </c>
      <c r="F4073" t="str">
        <f>VLOOKUP(NoviaFunds[[#This Row],[Sector]],Sectors[],2,FALSE)</f>
        <v>UK Equities</v>
      </c>
    </row>
    <row r="4074" spans="1:6" x14ac:dyDescent="0.2">
      <c r="A4074" t="str">
        <f>'Novia Web Query'!A4070</f>
        <v>GB0001451615</v>
      </c>
      <c r="B4074" t="str">
        <f>VLOOKUP(NoviaFunds[[#This Row],[ISIN]],'Novia Web Query'!$A:$E,2,FALSE)</f>
        <v>Threadneedle UK Institutional INA GBP in GB</v>
      </c>
      <c r="C4074" t="str">
        <f>VLOOKUP(NoviaFunds[[#This Row],[ISIN]],'Novia Web Query'!$A:$E,3,FALSE)</f>
        <v>UT UK All Companies</v>
      </c>
      <c r="D4074" s="139">
        <f>VLOOKUP(NoviaFunds[[#This Row],[ISIN]],'Novia Web Query'!$A:$E,4,FALSE)/100</f>
        <v>8.1000000000000013E-3</v>
      </c>
      <c r="E4074" s="3" t="str">
        <f>VLOOKUP(NoviaFunds[[#This Row],[ISIN]],'Novia Web Query'!$A:$E,5,FALSE)</f>
        <v>07/03/2021</v>
      </c>
      <c r="F4074" t="str">
        <f>VLOOKUP(NoviaFunds[[#This Row],[Sector]],Sectors[],2,FALSE)</f>
        <v>UK Equities</v>
      </c>
    </row>
    <row r="4075" spans="1:6" x14ac:dyDescent="0.2">
      <c r="A4075" t="str">
        <f>'Novia Web Query'!A4071</f>
        <v>GB0031833394</v>
      </c>
      <c r="B4075" t="str">
        <f>VLOOKUP(NoviaFunds[[#This Row],[ISIN]],'Novia Web Query'!$A:$E,2,FALSE)</f>
        <v>Threadneedle UK Institutional RNA GBP in GB</v>
      </c>
      <c r="C4075" t="str">
        <f>VLOOKUP(NoviaFunds[[#This Row],[ISIN]],'Novia Web Query'!$A:$E,3,FALSE)</f>
        <v>UT UK All Companies</v>
      </c>
      <c r="D4075" s="139">
        <f>VLOOKUP(NoviaFunds[[#This Row],[ISIN]],'Novia Web Query'!$A:$E,4,FALSE)/100</f>
        <v>1.49E-2</v>
      </c>
      <c r="E4075" s="3" t="str">
        <f>VLOOKUP(NoviaFunds[[#This Row],[ISIN]],'Novia Web Query'!$A:$E,5,FALSE)</f>
        <v>06/02/2020</v>
      </c>
      <c r="F4075" t="str">
        <f>VLOOKUP(NoviaFunds[[#This Row],[Sector]],Sectors[],2,FALSE)</f>
        <v>UK Equities</v>
      </c>
    </row>
    <row r="4076" spans="1:6" x14ac:dyDescent="0.2">
      <c r="A4076" t="str">
        <f>'Novia Web Query'!A4072</f>
        <v>GB0033547604</v>
      </c>
      <c r="B4076" t="str">
        <f>VLOOKUP(NoviaFunds[[#This Row],[ISIN]],'Novia Web Query'!$A:$E,2,FALSE)</f>
        <v>Threadneedle UK Mid 250 RNA GBP in GB</v>
      </c>
      <c r="C4076" t="str">
        <f>VLOOKUP(NoviaFunds[[#This Row],[ISIN]],'Novia Web Query'!$A:$E,3,FALSE)</f>
        <v>UT UK All Companies</v>
      </c>
      <c r="D4076" s="139">
        <f>VLOOKUP(NoviaFunds[[#This Row],[ISIN]],'Novia Web Query'!$A:$E,4,FALSE)/100</f>
        <v>1.5700000000000002E-2</v>
      </c>
      <c r="E4076" s="3" t="str">
        <f>VLOOKUP(NoviaFunds[[#This Row],[ISIN]],'Novia Web Query'!$A:$E,5,FALSE)</f>
        <v>29/01/2021</v>
      </c>
      <c r="F4076" t="str">
        <f>VLOOKUP(NoviaFunds[[#This Row],[Sector]],Sectors[],2,FALSE)</f>
        <v>UK Equities</v>
      </c>
    </row>
    <row r="4077" spans="1:6" x14ac:dyDescent="0.2">
      <c r="A4077" t="str">
        <f>'Novia Web Query'!A4073</f>
        <v>GB00B8BX5X11</v>
      </c>
      <c r="B4077" t="str">
        <f>VLOOKUP(NoviaFunds[[#This Row],[ISIN]],'Novia Web Query'!$A:$E,2,FALSE)</f>
        <v>Threadneedle UK Mid 250 ZNA GBP in GB</v>
      </c>
      <c r="C4077" t="str">
        <f>VLOOKUP(NoviaFunds[[#This Row],[ISIN]],'Novia Web Query'!$A:$E,3,FALSE)</f>
        <v>UT UK All Companies</v>
      </c>
      <c r="D4077" s="139">
        <f>VLOOKUP(NoviaFunds[[#This Row],[ISIN]],'Novia Web Query'!$A:$E,4,FALSE)/100</f>
        <v>9.1999999999999998E-3</v>
      </c>
      <c r="E4077" s="3" t="str">
        <f>VLOOKUP(NoviaFunds[[#This Row],[ISIN]],'Novia Web Query'!$A:$E,5,FALSE)</f>
        <v>30/04/2021</v>
      </c>
      <c r="F4077" t="str">
        <f>VLOOKUP(NoviaFunds[[#This Row],[Sector]],Sectors[],2,FALSE)</f>
        <v>UK Equities</v>
      </c>
    </row>
    <row r="4078" spans="1:6" x14ac:dyDescent="0.2">
      <c r="A4078" t="str">
        <f>'Novia Web Query'!A4074</f>
        <v>GB0001529568</v>
      </c>
      <c r="B4078" t="str">
        <f>VLOOKUP(NoviaFunds[[#This Row],[ISIN]],'Novia Web Query'!$A:$E,2,FALSE)</f>
        <v>Threadneedle UK Monthly Income RNI GBP TR in GB</v>
      </c>
      <c r="C4078" t="str">
        <f>VLOOKUP(NoviaFunds[[#This Row],[ISIN]],'Novia Web Query'!$A:$E,3,FALSE)</f>
        <v>UT UK Equity Income</v>
      </c>
      <c r="D4078" s="139">
        <f>VLOOKUP(NoviaFunds[[#This Row],[ISIN]],'Novia Web Query'!$A:$E,4,FALSE)/100</f>
        <v>1.5300000000000001E-2</v>
      </c>
      <c r="E4078" s="3" t="str">
        <f>VLOOKUP(NoviaFunds[[#This Row],[ISIN]],'Novia Web Query'!$A:$E,5,FALSE)</f>
        <v>13/02/2020</v>
      </c>
      <c r="F4078" t="str">
        <f>VLOOKUP(NoviaFunds[[#This Row],[Sector]],Sectors[],2,FALSE)</f>
        <v>UK Equities</v>
      </c>
    </row>
    <row r="4079" spans="1:6" x14ac:dyDescent="0.2">
      <c r="A4079" t="str">
        <f>'Novia Web Query'!A4075</f>
        <v>GB00B8BV4509</v>
      </c>
      <c r="B4079" t="str">
        <f>VLOOKUP(NoviaFunds[[#This Row],[ISIN]],'Novia Web Query'!$A:$E,2,FALSE)</f>
        <v>Threadneedle UK Monthly Income ZNI GBP TR in GB</v>
      </c>
      <c r="C4079" t="str">
        <f>VLOOKUP(NoviaFunds[[#This Row],[ISIN]],'Novia Web Query'!$A:$E,3,FALSE)</f>
        <v>UT UK Equity Income</v>
      </c>
      <c r="D4079" s="139">
        <f>VLOOKUP(NoviaFunds[[#This Row],[ISIN]],'Novia Web Query'!$A:$E,4,FALSE)/100</f>
        <v>8.8000000000000005E-3</v>
      </c>
      <c r="E4079" s="3" t="str">
        <f>VLOOKUP(NoviaFunds[[#This Row],[ISIN]],'Novia Web Query'!$A:$E,5,FALSE)</f>
        <v>07/03/2021</v>
      </c>
      <c r="F4079" t="str">
        <f>VLOOKUP(NoviaFunds[[#This Row],[Sector]],Sectors[],2,FALSE)</f>
        <v>UK Equities</v>
      </c>
    </row>
    <row r="4080" spans="1:6" x14ac:dyDescent="0.2">
      <c r="A4080" t="str">
        <f>'Novia Web Query'!A4076</f>
        <v>GB00BQ3G0Y06</v>
      </c>
      <c r="B4080" t="str">
        <f>VLOOKUP(NoviaFunds[[#This Row],[ISIN]],'Novia Web Query'!$A:$E,2,FALSE)</f>
        <v>Threadneedle UK Property Authorised Trust INST Acc GBP in GB</v>
      </c>
      <c r="C4080" t="str">
        <f>VLOOKUP(NoviaFunds[[#This Row],[ISIN]],'Novia Web Query'!$A:$E,3,FALSE)</f>
        <v>UT UK Direct Property</v>
      </c>
      <c r="D4080" s="139">
        <f>VLOOKUP(NoviaFunds[[#This Row],[ISIN]],'Novia Web Query'!$A:$E,4,FALSE)/100</f>
        <v>7.9000000000000008E-3</v>
      </c>
      <c r="E4080" s="3" t="str">
        <f>VLOOKUP(NoviaFunds[[#This Row],[ISIN]],'Novia Web Query'!$A:$E,5,FALSE)</f>
        <v>15/05/2021</v>
      </c>
      <c r="F4080" t="e">
        <f>VLOOKUP(NoviaFunds[[#This Row],[Sector]],Sectors[],2,FALSE)</f>
        <v>#N/A</v>
      </c>
    </row>
    <row r="4081" spans="1:6" x14ac:dyDescent="0.2">
      <c r="A4081" t="str">
        <f>'Novia Web Query'!A4077</f>
        <v>GB00BQ3G0Z13</v>
      </c>
      <c r="B4081" t="str">
        <f>VLOOKUP(NoviaFunds[[#This Row],[ISIN]],'Novia Web Query'!$A:$E,2,FALSE)</f>
        <v>Threadneedle UK Property Authorised Trust INST Inc GBP TR in GB</v>
      </c>
      <c r="C4081" t="str">
        <f>VLOOKUP(NoviaFunds[[#This Row],[ISIN]],'Novia Web Query'!$A:$E,3,FALSE)</f>
        <v>UT UK Direct Property</v>
      </c>
      <c r="D4081" s="139">
        <f>VLOOKUP(NoviaFunds[[#This Row],[ISIN]],'Novia Web Query'!$A:$E,4,FALSE)/100</f>
        <v>7.9000000000000008E-3</v>
      </c>
      <c r="E4081" s="3" t="str">
        <f>VLOOKUP(NoviaFunds[[#This Row],[ISIN]],'Novia Web Query'!$A:$E,5,FALSE)</f>
        <v>15/05/2021</v>
      </c>
      <c r="F4081" t="e">
        <f>VLOOKUP(NoviaFunds[[#This Row],[Sector]],Sectors[],2,FALSE)</f>
        <v>#N/A</v>
      </c>
    </row>
    <row r="4082" spans="1:6" x14ac:dyDescent="0.2">
      <c r="A4082" t="str">
        <f>'Novia Web Query'!A4078</f>
        <v>GB00BQ3G1143</v>
      </c>
      <c r="B4082" t="str">
        <f>VLOOKUP(NoviaFunds[[#This Row],[ISIN]],'Novia Web Query'!$A:$E,2,FALSE)</f>
        <v>Threadneedle UK Property Authorised Trust Retail Acc GBP in GB</v>
      </c>
      <c r="C4082" t="str">
        <f>VLOOKUP(NoviaFunds[[#This Row],[ISIN]],'Novia Web Query'!$A:$E,3,FALSE)</f>
        <v>UT UK Direct Property</v>
      </c>
      <c r="D4082" s="139">
        <f>VLOOKUP(NoviaFunds[[#This Row],[ISIN]],'Novia Web Query'!$A:$E,4,FALSE)/100</f>
        <v>1.5800000000000002E-2</v>
      </c>
      <c r="E4082" s="3" t="str">
        <f>VLOOKUP(NoviaFunds[[#This Row],[ISIN]],'Novia Web Query'!$A:$E,5,FALSE)</f>
        <v>15/05/2021</v>
      </c>
      <c r="F4082" t="e">
        <f>VLOOKUP(NoviaFunds[[#This Row],[Sector]],Sectors[],2,FALSE)</f>
        <v>#N/A</v>
      </c>
    </row>
    <row r="4083" spans="1:6" x14ac:dyDescent="0.2">
      <c r="A4083" t="str">
        <f>'Novia Web Query'!A4079</f>
        <v>GB00BQ3G0X98</v>
      </c>
      <c r="B4083" t="str">
        <f>VLOOKUP(NoviaFunds[[#This Row],[ISIN]],'Novia Web Query'!$A:$E,2,FALSE)</f>
        <v>Threadneedle UK Property Authorised Trust Retail Inc GBP TR in GB</v>
      </c>
      <c r="C4083" t="str">
        <f>VLOOKUP(NoviaFunds[[#This Row],[ISIN]],'Novia Web Query'!$A:$E,3,FALSE)</f>
        <v>UT UK Direct Property</v>
      </c>
      <c r="D4083" s="139">
        <f>VLOOKUP(NoviaFunds[[#This Row],[ISIN]],'Novia Web Query'!$A:$E,4,FALSE)/100</f>
        <v>1.5800000000000002E-2</v>
      </c>
      <c r="E4083" s="3" t="str">
        <f>VLOOKUP(NoviaFunds[[#This Row],[ISIN]],'Novia Web Query'!$A:$E,5,FALSE)</f>
        <v>15/05/2021</v>
      </c>
      <c r="F4083" t="e">
        <f>VLOOKUP(NoviaFunds[[#This Row],[Sector]],Sectors[],2,FALSE)</f>
        <v>#N/A</v>
      </c>
    </row>
    <row r="4084" spans="1:6" x14ac:dyDescent="0.2">
      <c r="A4084" t="str">
        <f>'Novia Web Query'!A4080</f>
        <v>GB0001529782</v>
      </c>
      <c r="B4084" t="str">
        <f>VLOOKUP(NoviaFunds[[#This Row],[ISIN]],'Novia Web Query'!$A:$E,2,FALSE)</f>
        <v>Threadneedle UK RNI GBP TR in GB</v>
      </c>
      <c r="C4084" t="str">
        <f>VLOOKUP(NoviaFunds[[#This Row],[ISIN]],'Novia Web Query'!$A:$E,3,FALSE)</f>
        <v>UT UK All Companies</v>
      </c>
      <c r="D4084" s="139">
        <f>VLOOKUP(NoviaFunds[[#This Row],[ISIN]],'Novia Web Query'!$A:$E,4,FALSE)/100</f>
        <v>1.6200000000000003E-2</v>
      </c>
      <c r="E4084" s="3" t="str">
        <f>VLOOKUP(NoviaFunds[[#This Row],[ISIN]],'Novia Web Query'!$A:$E,5,FALSE)</f>
        <v>01/11/2021</v>
      </c>
      <c r="F4084" t="str">
        <f>VLOOKUP(NoviaFunds[[#This Row],[Sector]],Sectors[],2,FALSE)</f>
        <v>UK Equities</v>
      </c>
    </row>
    <row r="4085" spans="1:6" x14ac:dyDescent="0.2">
      <c r="A4085" t="str">
        <f>'Novia Web Query'!A4081</f>
        <v>GB0001530343</v>
      </c>
      <c r="B4085" t="str">
        <f>VLOOKUP(NoviaFunds[[#This Row],[ISIN]],'Novia Web Query'!$A:$E,2,FALSE)</f>
        <v>Threadneedle UK Smaller Companies RNI GBP TR in GB</v>
      </c>
      <c r="C4085" t="str">
        <f>VLOOKUP(NoviaFunds[[#This Row],[ISIN]],'Novia Web Query'!$A:$E,3,FALSE)</f>
        <v>UT UK Smaller Companies</v>
      </c>
      <c r="D4085" s="139">
        <f>VLOOKUP(NoviaFunds[[#This Row],[ISIN]],'Novia Web Query'!$A:$E,4,FALSE)/100</f>
        <v>1.5900000000000001E-2</v>
      </c>
      <c r="E4085" s="3" t="str">
        <f>VLOOKUP(NoviaFunds[[#This Row],[ISIN]],'Novia Web Query'!$A:$E,5,FALSE)</f>
        <v>30/01/2020</v>
      </c>
      <c r="F4085" t="str">
        <f>VLOOKUP(NoviaFunds[[#This Row],[Sector]],Sectors[],2,FALSE)</f>
        <v>UK Equities</v>
      </c>
    </row>
    <row r="4086" spans="1:6" x14ac:dyDescent="0.2">
      <c r="A4086" t="str">
        <f>'Novia Web Query'!A4082</f>
        <v>GB00B7JL4Y45</v>
      </c>
      <c r="B4086" t="str">
        <f>VLOOKUP(NoviaFunds[[#This Row],[ISIN]],'Novia Web Query'!$A:$E,2,FALSE)</f>
        <v>Threadneedle UK Smaller Companies ZNI GBP TR in GB</v>
      </c>
      <c r="C4086" t="str">
        <f>VLOOKUP(NoviaFunds[[#This Row],[ISIN]],'Novia Web Query'!$A:$E,3,FALSE)</f>
        <v>UT UK Smaller Companies</v>
      </c>
      <c r="D4086" s="139">
        <f>VLOOKUP(NoviaFunds[[#This Row],[ISIN]],'Novia Web Query'!$A:$E,4,FALSE)/100</f>
        <v>8.8999999999999999E-3</v>
      </c>
      <c r="E4086" s="3" t="str">
        <f>VLOOKUP(NoviaFunds[[#This Row],[ISIN]],'Novia Web Query'!$A:$E,5,FALSE)</f>
        <v>07/03/2021</v>
      </c>
      <c r="F4086" t="str">
        <f>VLOOKUP(NoviaFunds[[#This Row],[Sector]],Sectors[],2,FALSE)</f>
        <v>UK Equities</v>
      </c>
    </row>
    <row r="4087" spans="1:6" x14ac:dyDescent="0.2">
      <c r="A4087" t="str">
        <f>'Novia Web Query'!A4083</f>
        <v>GB00BF233G82</v>
      </c>
      <c r="B4087" t="str">
        <f>VLOOKUP(NoviaFunds[[#This Row],[ISIN]],'Novia Web Query'!$A:$E,2,FALSE)</f>
        <v>Threadneedle UK Social Bond IGI GBP TR in GB</v>
      </c>
      <c r="C4087" t="str">
        <f>VLOOKUP(NoviaFunds[[#This Row],[ISIN]],'Novia Web Query'!$A:$E,3,FALSE)</f>
        <v>UT Sterling Corporate Bond</v>
      </c>
      <c r="D4087" s="139">
        <f>VLOOKUP(NoviaFunds[[#This Row],[ISIN]],'Novia Web Query'!$A:$E,4,FALSE)/100</f>
        <v>3.2000000000000002E-3</v>
      </c>
      <c r="E4087" s="3" t="str">
        <f>VLOOKUP(NoviaFunds[[#This Row],[ISIN]],'Novia Web Query'!$A:$E,5,FALSE)</f>
        <v>01/10/2021</v>
      </c>
      <c r="F4087" t="str">
        <f>VLOOKUP(NoviaFunds[[#This Row],[Sector]],Sectors[],2,FALSE)</f>
        <v>Sterling Corporate Bonds</v>
      </c>
    </row>
    <row r="4088" spans="1:6" x14ac:dyDescent="0.2">
      <c r="A4088" t="str">
        <f>'Novia Web Query'!A4084</f>
        <v>GB00BF233C45</v>
      </c>
      <c r="B4088" t="str">
        <f>VLOOKUP(NoviaFunds[[#This Row],[ISIN]],'Novia Web Query'!$A:$E,2,FALSE)</f>
        <v>Threadneedle UK Social Bond INA GBP in GB</v>
      </c>
      <c r="C4088" t="str">
        <f>VLOOKUP(NoviaFunds[[#This Row],[ISIN]],'Novia Web Query'!$A:$E,3,FALSE)</f>
        <v>UT Sterling Corporate Bond</v>
      </c>
      <c r="D4088" s="139">
        <f>VLOOKUP(NoviaFunds[[#This Row],[ISIN]],'Novia Web Query'!$A:$E,4,FALSE)/100</f>
        <v>3.2000000000000002E-3</v>
      </c>
      <c r="E4088" s="3" t="str">
        <f>VLOOKUP(NoviaFunds[[#This Row],[ISIN]],'Novia Web Query'!$A:$E,5,FALSE)</f>
        <v>01/10/2021</v>
      </c>
      <c r="F4088" t="str">
        <f>VLOOKUP(NoviaFunds[[#This Row],[Sector]],Sectors[],2,FALSE)</f>
        <v>Sterling Corporate Bonds</v>
      </c>
    </row>
    <row r="4089" spans="1:6" x14ac:dyDescent="0.2">
      <c r="A4089" t="str">
        <f>'Novia Web Query'!A4085</f>
        <v>GB00BF233808</v>
      </c>
      <c r="B4089" t="str">
        <f>VLOOKUP(NoviaFunds[[#This Row],[ISIN]],'Novia Web Query'!$A:$E,2,FALSE)</f>
        <v>Threadneedle UK Social Bond ZGA GBP in GB</v>
      </c>
      <c r="C4089" t="str">
        <f>VLOOKUP(NoviaFunds[[#This Row],[ISIN]],'Novia Web Query'!$A:$E,3,FALSE)</f>
        <v>UT Sterling Corporate Bond</v>
      </c>
      <c r="D4089" s="139">
        <f>VLOOKUP(NoviaFunds[[#This Row],[ISIN]],'Novia Web Query'!$A:$E,4,FALSE)/100</f>
        <v>3.5999999999999999E-3</v>
      </c>
      <c r="E4089" s="3" t="str">
        <f>VLOOKUP(NoviaFunds[[#This Row],[ISIN]],'Novia Web Query'!$A:$E,5,FALSE)</f>
        <v>01/10/2021</v>
      </c>
      <c r="F4089" t="str">
        <f>VLOOKUP(NoviaFunds[[#This Row],[Sector]],Sectors[],2,FALSE)</f>
        <v>Sterling Corporate Bonds</v>
      </c>
    </row>
    <row r="4090" spans="1:6" x14ac:dyDescent="0.2">
      <c r="A4090" t="str">
        <f>'Novia Web Query'!A4086</f>
        <v>GB00BF233B38</v>
      </c>
      <c r="B4090" t="str">
        <f>VLOOKUP(NoviaFunds[[#This Row],[ISIN]],'Novia Web Query'!$A:$E,2,FALSE)</f>
        <v>Threadneedle UK Social Bond ZGI GBP TR in GB</v>
      </c>
      <c r="C4090" t="str">
        <f>VLOOKUP(NoviaFunds[[#This Row],[ISIN]],'Novia Web Query'!$A:$E,3,FALSE)</f>
        <v>UT Sterling Corporate Bond</v>
      </c>
      <c r="D4090" s="139">
        <f>VLOOKUP(NoviaFunds[[#This Row],[ISIN]],'Novia Web Query'!$A:$E,4,FALSE)/100</f>
        <v>3.5999999999999999E-3</v>
      </c>
      <c r="E4090" s="3" t="str">
        <f>VLOOKUP(NoviaFunds[[#This Row],[ISIN]],'Novia Web Query'!$A:$E,5,FALSE)</f>
        <v>01/10/2021</v>
      </c>
      <c r="F4090" t="str">
        <f>VLOOKUP(NoviaFunds[[#This Row],[Sector]],Sectors[],2,FALSE)</f>
        <v>Sterling Corporate Bonds</v>
      </c>
    </row>
    <row r="4091" spans="1:6" x14ac:dyDescent="0.2">
      <c r="A4091" t="str">
        <f>'Novia Web Query'!A4087</f>
        <v>GB00BF233790</v>
      </c>
      <c r="B4091" t="str">
        <f>VLOOKUP(NoviaFunds[[#This Row],[ISIN]],'Novia Web Query'!$A:$E,2,FALSE)</f>
        <v>Threadneedle UK Social Bond ZNA GBP in GB</v>
      </c>
      <c r="C4091" t="str">
        <f>VLOOKUP(NoviaFunds[[#This Row],[ISIN]],'Novia Web Query'!$A:$E,3,FALSE)</f>
        <v>UT Sterling Corporate Bond</v>
      </c>
      <c r="D4091" s="139">
        <f>VLOOKUP(NoviaFunds[[#This Row],[ISIN]],'Novia Web Query'!$A:$E,4,FALSE)/100</f>
        <v>3.5999999999999999E-3</v>
      </c>
      <c r="E4091" s="3" t="str">
        <f>VLOOKUP(NoviaFunds[[#This Row],[ISIN]],'Novia Web Query'!$A:$E,5,FALSE)</f>
        <v>01/10/2021</v>
      </c>
      <c r="F4091" t="str">
        <f>VLOOKUP(NoviaFunds[[#This Row],[Sector]],Sectors[],2,FALSE)</f>
        <v>Sterling Corporate Bonds</v>
      </c>
    </row>
    <row r="4092" spans="1:6" x14ac:dyDescent="0.2">
      <c r="A4092" t="str">
        <f>'Novia Web Query'!A4088</f>
        <v>GB00BF233915</v>
      </c>
      <c r="B4092" t="str">
        <f>VLOOKUP(NoviaFunds[[#This Row],[ISIN]],'Novia Web Query'!$A:$E,2,FALSE)</f>
        <v>Threadneedle UK Social Bond ZNI GBP TR in GB</v>
      </c>
      <c r="C4092" t="str">
        <f>VLOOKUP(NoviaFunds[[#This Row],[ISIN]],'Novia Web Query'!$A:$E,3,FALSE)</f>
        <v>UT Sterling Corporate Bond</v>
      </c>
      <c r="D4092" s="139">
        <f>VLOOKUP(NoviaFunds[[#This Row],[ISIN]],'Novia Web Query'!$A:$E,4,FALSE)/100</f>
        <v>3.5999999999999999E-3</v>
      </c>
      <c r="E4092" s="3" t="str">
        <f>VLOOKUP(NoviaFunds[[#This Row],[ISIN]],'Novia Web Query'!$A:$E,5,FALSE)</f>
        <v>01/10/2021</v>
      </c>
      <c r="F4092" t="str">
        <f>VLOOKUP(NoviaFunds[[#This Row],[Sector]],Sectors[],2,FALSE)</f>
        <v>Sterling Corporate Bonds</v>
      </c>
    </row>
    <row r="4093" spans="1:6" x14ac:dyDescent="0.2">
      <c r="A4093" t="str">
        <f>'Novia Web Query'!A4089</f>
        <v>GB00BZ21SS97</v>
      </c>
      <c r="B4093" t="str">
        <f>VLOOKUP(NoviaFunds[[#This Row],[ISIN]],'Novia Web Query'!$A:$E,2,FALSE)</f>
        <v>Threadneedle UK Sustainable Equity ZNA GBP in GB</v>
      </c>
      <c r="C4093" t="str">
        <f>VLOOKUP(NoviaFunds[[#This Row],[ISIN]],'Novia Web Query'!$A:$E,3,FALSE)</f>
        <v>UT UK All Companies</v>
      </c>
      <c r="D4093" s="139">
        <f>VLOOKUP(NoviaFunds[[#This Row],[ISIN]],'Novia Web Query'!$A:$E,4,FALSE)/100</f>
        <v>9.1999999999999998E-3</v>
      </c>
      <c r="E4093" s="3" t="str">
        <f>VLOOKUP(NoviaFunds[[#This Row],[ISIN]],'Novia Web Query'!$A:$E,5,FALSE)</f>
        <v>30/04/2021</v>
      </c>
      <c r="F4093" t="str">
        <f>VLOOKUP(NoviaFunds[[#This Row],[Sector]],Sectors[],2,FALSE)</f>
        <v>UK Equities</v>
      </c>
    </row>
    <row r="4094" spans="1:6" x14ac:dyDescent="0.2">
      <c r="A4094" t="str">
        <f>'Novia Web Query'!A4090</f>
        <v>GB00B84PM559</v>
      </c>
      <c r="B4094" t="str">
        <f>VLOOKUP(NoviaFunds[[#This Row],[ISIN]],'Novia Web Query'!$A:$E,2,FALSE)</f>
        <v>Threadneedle UK ZNA GBP TR in GB**</v>
      </c>
      <c r="C4094" t="str">
        <f>VLOOKUP(NoviaFunds[[#This Row],[ISIN]],'Novia Web Query'!$A:$E,3,FALSE)</f>
        <v>UT UK All Companies</v>
      </c>
      <c r="D4094" s="139">
        <f>VLOOKUP(NoviaFunds[[#This Row],[ISIN]],'Novia Web Query'!$A:$E,4,FALSE)/100</f>
        <v>8.3000000000000001E-3</v>
      </c>
      <c r="E4094" s="3" t="str">
        <f>VLOOKUP(NoviaFunds[[#This Row],[ISIN]],'Novia Web Query'!$A:$E,5,FALSE)</f>
        <v>07/03/2021</v>
      </c>
      <c r="F4094" t="str">
        <f>VLOOKUP(NoviaFunds[[#This Row],[Sector]],Sectors[],2,FALSE)</f>
        <v>UK Equities</v>
      </c>
    </row>
    <row r="4095" spans="1:6" x14ac:dyDescent="0.2">
      <c r="A4095" t="str">
        <f>'Novia Web Query'!A4091</f>
        <v>GB00B84PMM20</v>
      </c>
      <c r="B4095" t="str">
        <f>VLOOKUP(NoviaFunds[[#This Row],[ISIN]],'Novia Web Query'!$A:$E,2,FALSE)</f>
        <v>Threadneedle UK ZNI GBP TR in GB</v>
      </c>
      <c r="C4095" t="str">
        <f>VLOOKUP(NoviaFunds[[#This Row],[ISIN]],'Novia Web Query'!$A:$E,3,FALSE)</f>
        <v>UT UK All Companies</v>
      </c>
      <c r="D4095" s="139">
        <f>VLOOKUP(NoviaFunds[[#This Row],[ISIN]],'Novia Web Query'!$A:$E,4,FALSE)/100</f>
        <v>8.3000000000000001E-3</v>
      </c>
      <c r="E4095" s="3" t="str">
        <f>VLOOKUP(NoviaFunds[[#This Row],[ISIN]],'Novia Web Query'!$A:$E,5,FALSE)</f>
        <v>07/03/2021</v>
      </c>
      <c r="F4095" t="str">
        <f>VLOOKUP(NoviaFunds[[#This Row],[Sector]],Sectors[],2,FALSE)</f>
        <v>UK Equities</v>
      </c>
    </row>
    <row r="4096" spans="1:6" x14ac:dyDescent="0.2">
      <c r="A4096" t="str">
        <f>'Novia Web Query'!A4092</f>
        <v>GB00BZ563T77</v>
      </c>
      <c r="B4096" t="str">
        <f>VLOOKUP(NoviaFunds[[#This Row],[ISIN]],'Novia Web Query'!$A:$E,2,FALSE)</f>
        <v>Threadneedle US Equity Income LNI GBP TR in GB</v>
      </c>
      <c r="C4096" t="str">
        <f>VLOOKUP(NoviaFunds[[#This Row],[ISIN]],'Novia Web Query'!$A:$E,3,FALSE)</f>
        <v>UT North America</v>
      </c>
      <c r="D4096" s="139">
        <f>VLOOKUP(NoviaFunds[[#This Row],[ISIN]],'Novia Web Query'!$A:$E,4,FALSE)/100</f>
        <v>6.8999999999999999E-3</v>
      </c>
      <c r="E4096" s="3" t="str">
        <f>VLOOKUP(NoviaFunds[[#This Row],[ISIN]],'Novia Web Query'!$A:$E,5,FALSE)</f>
        <v>30/04/2021</v>
      </c>
      <c r="F4096" t="str">
        <f>VLOOKUP(NoviaFunds[[#This Row],[Sector]],Sectors[],2,FALSE)</f>
        <v>USA Equities</v>
      </c>
    </row>
    <row r="4097" spans="1:6" x14ac:dyDescent="0.2">
      <c r="A4097" t="str">
        <f>'Novia Web Query'!A4093</f>
        <v>GB00BZ563P30</v>
      </c>
      <c r="B4097" t="str">
        <f>VLOOKUP(NoviaFunds[[#This Row],[ISIN]],'Novia Web Query'!$A:$E,2,FALSE)</f>
        <v>Threadneedle US Equity Income ZNI GBP TR in GB</v>
      </c>
      <c r="C4097" t="str">
        <f>VLOOKUP(NoviaFunds[[#This Row],[ISIN]],'Novia Web Query'!$A:$E,3,FALSE)</f>
        <v>UT North America</v>
      </c>
      <c r="D4097" s="139">
        <f>VLOOKUP(NoviaFunds[[#This Row],[ISIN]],'Novia Web Query'!$A:$E,4,FALSE)/100</f>
        <v>9.1000000000000004E-3</v>
      </c>
      <c r="E4097" s="3" t="str">
        <f>VLOOKUP(NoviaFunds[[#This Row],[ISIN]],'Novia Web Query'!$A:$E,5,FALSE)</f>
        <v>30/04/2021</v>
      </c>
      <c r="F4097" t="str">
        <f>VLOOKUP(NoviaFunds[[#This Row],[Sector]],Sectors[],2,FALSE)</f>
        <v>USA Equities</v>
      </c>
    </row>
    <row r="4098" spans="1:6" x14ac:dyDescent="0.2">
      <c r="A4098" t="str">
        <f>'Novia Web Query'!A4094</f>
        <v>GB00BJJPTT09</v>
      </c>
      <c r="B4098" t="str">
        <f>VLOOKUP(NoviaFunds[[#This Row],[ISIN]],'Novia Web Query'!$A:$E,2,FALSE)</f>
        <v>TIME Investments ARC TIME Commercial Long Income Feeder Trust I Net Acc in GB</v>
      </c>
      <c r="C4098" t="str">
        <f>VLOOKUP(NoviaFunds[[#This Row],[ISIN]],'Novia Web Query'!$A:$E,3,FALSE)</f>
        <v>UT UK Direct Property</v>
      </c>
      <c r="D4098" s="139">
        <f>VLOOKUP(NoviaFunds[[#This Row],[ISIN]],'Novia Web Query'!$A:$E,4,FALSE)/100</f>
        <v>1.34E-2</v>
      </c>
      <c r="E4098" s="3" t="str">
        <f>VLOOKUP(NoviaFunds[[#This Row],[ISIN]],'Novia Web Query'!$A:$E,5,FALSE)</f>
        <v>31/12/2020</v>
      </c>
      <c r="F4098" t="e">
        <f>VLOOKUP(NoviaFunds[[#This Row],[Sector]],Sectors[],2,FALSE)</f>
        <v>#N/A</v>
      </c>
    </row>
    <row r="4099" spans="1:6" x14ac:dyDescent="0.2">
      <c r="A4099" t="str">
        <f>'Novia Web Query'!A4095</f>
        <v>GB00BJJPV945</v>
      </c>
      <c r="B4099" t="str">
        <f>VLOOKUP(NoviaFunds[[#This Row],[ISIN]],'Novia Web Query'!$A:$E,2,FALSE)</f>
        <v>TIME Investments ARC TIME Commercial Long Income Feeder Trust J Net Inc TR in GB</v>
      </c>
      <c r="C4099" t="str">
        <f>VLOOKUP(NoviaFunds[[#This Row],[ISIN]],'Novia Web Query'!$A:$E,3,FALSE)</f>
        <v>UT UK Direct Property</v>
      </c>
      <c r="D4099" s="139">
        <f>VLOOKUP(NoviaFunds[[#This Row],[ISIN]],'Novia Web Query'!$A:$E,4,FALSE)/100</f>
        <v>1.34E-2</v>
      </c>
      <c r="E4099" s="3" t="str">
        <f>VLOOKUP(NoviaFunds[[#This Row],[ISIN]],'Novia Web Query'!$A:$E,5,FALSE)</f>
        <v>31/12/2020</v>
      </c>
      <c r="F4099" t="e">
        <f>VLOOKUP(NoviaFunds[[#This Row],[Sector]],Sectors[],2,FALSE)</f>
        <v>#N/A</v>
      </c>
    </row>
    <row r="4100" spans="1:6" x14ac:dyDescent="0.2">
      <c r="A4100" t="str">
        <f>'Novia Web Query'!A4096</f>
        <v>GB00BJJPVD86</v>
      </c>
      <c r="B4100" t="str">
        <f>VLOOKUP(NoviaFunds[[#This Row],[ISIN]],'Novia Web Query'!$A:$E,2,FALSE)</f>
        <v>TIME Investments ARC TIME Commercial Long Income Feeder Trust Q Net Acc in GB**</v>
      </c>
      <c r="C4100" t="str">
        <f>VLOOKUP(NoviaFunds[[#This Row],[ISIN]],'Novia Web Query'!$A:$E,3,FALSE)</f>
        <v>UT UK Direct Property</v>
      </c>
      <c r="D4100" s="139">
        <f>VLOOKUP(NoviaFunds[[#This Row],[ISIN]],'Novia Web Query'!$A:$E,4,FALSE)/100</f>
        <v>1.09E-2</v>
      </c>
      <c r="E4100" s="3" t="str">
        <f>VLOOKUP(NoviaFunds[[#This Row],[ISIN]],'Novia Web Query'!$A:$E,5,FALSE)</f>
        <v>31/12/2020</v>
      </c>
      <c r="F4100" t="e">
        <f>VLOOKUP(NoviaFunds[[#This Row],[Sector]],Sectors[],2,FALSE)</f>
        <v>#N/A</v>
      </c>
    </row>
    <row r="4101" spans="1:6" x14ac:dyDescent="0.2">
      <c r="A4101" t="str">
        <f>'Novia Web Query'!A4097</f>
        <v>GB00BJJPVF01</v>
      </c>
      <c r="B4101" t="str">
        <f>VLOOKUP(NoviaFunds[[#This Row],[ISIN]],'Novia Web Query'!$A:$E,2,FALSE)</f>
        <v>TIME Investments ARC TIME Commercial Long Income Feeder Trust R Net Inc TR in GB**</v>
      </c>
      <c r="C4101" t="str">
        <f>VLOOKUP(NoviaFunds[[#This Row],[ISIN]],'Novia Web Query'!$A:$E,3,FALSE)</f>
        <v>UT UK Direct Property</v>
      </c>
      <c r="D4101" s="139">
        <f>VLOOKUP(NoviaFunds[[#This Row],[ISIN]],'Novia Web Query'!$A:$E,4,FALSE)/100</f>
        <v>1.09E-2</v>
      </c>
      <c r="E4101" s="3" t="str">
        <f>VLOOKUP(NoviaFunds[[#This Row],[ISIN]],'Novia Web Query'!$A:$E,5,FALSE)</f>
        <v>31/12/2020</v>
      </c>
      <c r="F4101" t="e">
        <f>VLOOKUP(NoviaFunds[[#This Row],[Sector]],Sectors[],2,FALSE)</f>
        <v>#N/A</v>
      </c>
    </row>
    <row r="4102" spans="1:6" x14ac:dyDescent="0.2">
      <c r="A4102" t="str">
        <f>'Novia Web Query'!A4098</f>
        <v>GB00B94RFB51</v>
      </c>
      <c r="B4102" t="str">
        <f>VLOOKUP(NoviaFunds[[#This Row],[ISIN]],'Novia Web Query'!$A:$E,2,FALSE)</f>
        <v>TIME Investments ARC TIME Freehold Income Authorised Feeder Trust I Net Acc in GB</v>
      </c>
      <c r="C4102" t="str">
        <f>VLOOKUP(NoviaFunds[[#This Row],[ISIN]],'Novia Web Query'!$A:$E,3,FALSE)</f>
        <v>UT Property Other</v>
      </c>
      <c r="D4102" s="139">
        <f>VLOOKUP(NoviaFunds[[#This Row],[ISIN]],'Novia Web Query'!$A:$E,4,FALSE)/100</f>
        <v>1.67E-2</v>
      </c>
      <c r="E4102" s="3" t="str">
        <f>VLOOKUP(NoviaFunds[[#This Row],[ISIN]],'Novia Web Query'!$A:$E,5,FALSE)</f>
        <v>31/12/2020</v>
      </c>
      <c r="F4102" t="e">
        <f>VLOOKUP(NoviaFunds[[#This Row],[Sector]],Sectors[],2,FALSE)</f>
        <v>#N/A</v>
      </c>
    </row>
    <row r="4103" spans="1:6" x14ac:dyDescent="0.2">
      <c r="A4103" t="str">
        <f>'Novia Web Query'!A4099</f>
        <v>GB00B94RFF99</v>
      </c>
      <c r="B4103" t="str">
        <f>VLOOKUP(NoviaFunds[[#This Row],[ISIN]],'Novia Web Query'!$A:$E,2,FALSE)</f>
        <v>TIME Investments ARC TIME Freehold Income Authorised Feeder Trust J Net Inc TR in GB</v>
      </c>
      <c r="C4103" t="str">
        <f>VLOOKUP(NoviaFunds[[#This Row],[ISIN]],'Novia Web Query'!$A:$E,3,FALSE)</f>
        <v>UT Property Other</v>
      </c>
      <c r="D4103" s="139">
        <f>VLOOKUP(NoviaFunds[[#This Row],[ISIN]],'Novia Web Query'!$A:$E,4,FALSE)/100</f>
        <v>1.67E-2</v>
      </c>
      <c r="E4103" s="3" t="str">
        <f>VLOOKUP(NoviaFunds[[#This Row],[ISIN]],'Novia Web Query'!$A:$E,5,FALSE)</f>
        <v>31/12/2020</v>
      </c>
      <c r="F4103" t="e">
        <f>VLOOKUP(NoviaFunds[[#This Row],[Sector]],Sectors[],2,FALSE)</f>
        <v>#N/A</v>
      </c>
    </row>
    <row r="4104" spans="1:6" x14ac:dyDescent="0.2">
      <c r="A4104" t="str">
        <f>'Novia Web Query'!A4100</f>
        <v>GB00B94RFG07</v>
      </c>
      <c r="B4104" t="str">
        <f>VLOOKUP(NoviaFunds[[#This Row],[ISIN]],'Novia Web Query'!$A:$E,2,FALSE)</f>
        <v>TIME Investments ARC TIME Freehold Income Authorised Feeder Trust K Net Acc in GB</v>
      </c>
      <c r="C4104" t="str">
        <f>VLOOKUP(NoviaFunds[[#This Row],[ISIN]],'Novia Web Query'!$A:$E,3,FALSE)</f>
        <v>UT Property Other</v>
      </c>
      <c r="D4104" s="139">
        <f>VLOOKUP(NoviaFunds[[#This Row],[ISIN]],'Novia Web Query'!$A:$E,4,FALSE)/100</f>
        <v>1.9400000000000001E-2</v>
      </c>
      <c r="E4104" s="3" t="str">
        <f>VLOOKUP(NoviaFunds[[#This Row],[ISIN]],'Novia Web Query'!$A:$E,5,FALSE)</f>
        <v>31/12/2020</v>
      </c>
      <c r="F4104" t="e">
        <f>VLOOKUP(NoviaFunds[[#This Row],[Sector]],Sectors[],2,FALSE)</f>
        <v>#N/A</v>
      </c>
    </row>
    <row r="4105" spans="1:6" x14ac:dyDescent="0.2">
      <c r="A4105" t="str">
        <f>'Novia Web Query'!A4101</f>
        <v>GB00B94RFN73</v>
      </c>
      <c r="B4105" t="str">
        <f>VLOOKUP(NoviaFunds[[#This Row],[ISIN]],'Novia Web Query'!$A:$E,2,FALSE)</f>
        <v>TIME Investments ARC TIME Freehold Income Authorised Feeder Trust L Net Inc TR in GB</v>
      </c>
      <c r="C4105" t="str">
        <f>VLOOKUP(NoviaFunds[[#This Row],[ISIN]],'Novia Web Query'!$A:$E,3,FALSE)</f>
        <v>UT Property Other</v>
      </c>
      <c r="D4105" s="139">
        <f>VLOOKUP(NoviaFunds[[#This Row],[ISIN]],'Novia Web Query'!$A:$E,4,FALSE)/100</f>
        <v>1.9400000000000001E-2</v>
      </c>
      <c r="E4105" s="3" t="str">
        <f>VLOOKUP(NoviaFunds[[#This Row],[ISIN]],'Novia Web Query'!$A:$E,5,FALSE)</f>
        <v>31/12/2020</v>
      </c>
      <c r="F4105" t="e">
        <f>VLOOKUP(NoviaFunds[[#This Row],[Sector]],Sectors[],2,FALSE)</f>
        <v>#N/A</v>
      </c>
    </row>
    <row r="4106" spans="1:6" x14ac:dyDescent="0.2">
      <c r="A4106" t="str">
        <f>'Novia Web Query'!A4102</f>
        <v>GB00BJK12P40</v>
      </c>
      <c r="B4106" t="str">
        <f>VLOOKUP(NoviaFunds[[#This Row],[ISIN]],'Novia Web Query'!$A:$E,2,FALSE)</f>
        <v>TIME Investments ARC TIME Social Long Income Feeder Trust I in GB</v>
      </c>
      <c r="C4106" t="str">
        <f>VLOOKUP(NoviaFunds[[#This Row],[ISIN]],'Novia Web Query'!$A:$E,3,FALSE)</f>
        <v>UT UK Direct Property</v>
      </c>
      <c r="D4106" s="139">
        <f>VLOOKUP(NoviaFunds[[#This Row],[ISIN]],'Novia Web Query'!$A:$E,4,FALSE)/100</f>
        <v>1.4499999999999999E-2</v>
      </c>
      <c r="E4106" s="3" t="str">
        <f>VLOOKUP(NoviaFunds[[#This Row],[ISIN]],'Novia Web Query'!$A:$E,5,FALSE)</f>
        <v>31/12/2020</v>
      </c>
      <c r="F4106" t="e">
        <f>VLOOKUP(NoviaFunds[[#This Row],[Sector]],Sectors[],2,FALSE)</f>
        <v>#N/A</v>
      </c>
    </row>
    <row r="4107" spans="1:6" x14ac:dyDescent="0.2">
      <c r="A4107" t="str">
        <f>'Novia Web Query'!A4103</f>
        <v>GB00BZ17GL78</v>
      </c>
      <c r="B4107" t="str">
        <f>VLOOKUP(NoviaFunds[[#This Row],[ISIN]],'Novia Web Query'!$A:$E,2,FALSE)</f>
        <v>TIME Investments ARC TIME UK Infrastructure Income C Acc in GB</v>
      </c>
      <c r="C4107" t="str">
        <f>VLOOKUP(NoviaFunds[[#This Row],[ISIN]],'Novia Web Query'!$A:$E,3,FALSE)</f>
        <v>UT Infrastructure</v>
      </c>
      <c r="D4107" s="139">
        <f>VLOOKUP(NoviaFunds[[#This Row],[ISIN]],'Novia Web Query'!$A:$E,4,FALSE)/100</f>
        <v>6.6E-3</v>
      </c>
      <c r="E4107" s="3" t="str">
        <f>VLOOKUP(NoviaFunds[[#This Row],[ISIN]],'Novia Web Query'!$A:$E,5,FALSE)</f>
        <v>12/03/2021</v>
      </c>
      <c r="F4107" t="e">
        <f>VLOOKUP(NoviaFunds[[#This Row],[Sector]],Sectors[],2,FALSE)</f>
        <v>#N/A</v>
      </c>
    </row>
    <row r="4108" spans="1:6" x14ac:dyDescent="0.2">
      <c r="A4108" t="str">
        <f>'Novia Web Query'!A4104</f>
        <v>GB00BF00QK62</v>
      </c>
      <c r="B4108" t="str">
        <f>VLOOKUP(NoviaFunds[[#This Row],[ISIN]],'Novia Web Query'!$A:$E,2,FALSE)</f>
        <v>TM Cerno Global Leaders A GBP Acc in GB</v>
      </c>
      <c r="C4108" t="str">
        <f>VLOOKUP(NoviaFunds[[#This Row],[ISIN]],'Novia Web Query'!$A:$E,3,FALSE)</f>
        <v>UT Global</v>
      </c>
      <c r="D4108" s="139">
        <f>VLOOKUP(NoviaFunds[[#This Row],[ISIN]],'Novia Web Query'!$A:$E,4,FALSE)/100</f>
        <v>8.3999999999999995E-3</v>
      </c>
      <c r="E4108" s="3" t="str">
        <f>VLOOKUP(NoviaFunds[[#This Row],[ISIN]],'Novia Web Query'!$A:$E,5,FALSE)</f>
        <v>19/10/2021</v>
      </c>
      <c r="F4108" t="str">
        <f>VLOOKUP(NoviaFunds[[#This Row],[Sector]],Sectors[],2,FALSE)</f>
        <v>Other Equities</v>
      </c>
    </row>
    <row r="4109" spans="1:6" x14ac:dyDescent="0.2">
      <c r="A4109" t="str">
        <f>'Novia Web Query'!A4105</f>
        <v>GB00BF00QJ57</v>
      </c>
      <c r="B4109" t="str">
        <f>VLOOKUP(NoviaFunds[[#This Row],[ISIN]],'Novia Web Query'!$A:$E,2,FALSE)</f>
        <v>TM Cerno Global Leaders A GBP Inc TR in GB</v>
      </c>
      <c r="C4109" t="str">
        <f>VLOOKUP(NoviaFunds[[#This Row],[ISIN]],'Novia Web Query'!$A:$E,3,FALSE)</f>
        <v>UT Global</v>
      </c>
      <c r="D4109" s="139">
        <f>VLOOKUP(NoviaFunds[[#This Row],[ISIN]],'Novia Web Query'!$A:$E,4,FALSE)/100</f>
        <v>8.3999999999999995E-3</v>
      </c>
      <c r="E4109" s="3" t="str">
        <f>VLOOKUP(NoviaFunds[[#This Row],[ISIN]],'Novia Web Query'!$A:$E,5,FALSE)</f>
        <v>19/10/2021</v>
      </c>
      <c r="F4109" t="str">
        <f>VLOOKUP(NoviaFunds[[#This Row],[Sector]],Sectors[],2,FALSE)</f>
        <v>Other Equities</v>
      </c>
    </row>
    <row r="4110" spans="1:6" x14ac:dyDescent="0.2">
      <c r="A4110" t="str">
        <f>'Novia Web Query'!A4106</f>
        <v>GB00BDCJB138</v>
      </c>
      <c r="B4110" t="str">
        <f>VLOOKUP(NoviaFunds[[#This Row],[ISIN]],'Novia Web Query'!$A:$E,2,FALSE)</f>
        <v>TM Cerno Pacific B Acc GBP in GB</v>
      </c>
      <c r="C4110" t="str">
        <f>VLOOKUP(NoviaFunds[[#This Row],[ISIN]],'Novia Web Query'!$A:$E,3,FALSE)</f>
        <v>UT Asia Pacific Including Japan</v>
      </c>
      <c r="D4110" s="139">
        <f>VLOOKUP(NoviaFunds[[#This Row],[ISIN]],'Novia Web Query'!$A:$E,4,FALSE)/100</f>
        <v>9.5999999999999992E-3</v>
      </c>
      <c r="E4110" s="3" t="str">
        <f>VLOOKUP(NoviaFunds[[#This Row],[ISIN]],'Novia Web Query'!$A:$E,5,FALSE)</f>
        <v>19/10/2021</v>
      </c>
      <c r="F4110" t="str">
        <f>VLOOKUP(NoviaFunds[[#This Row],[Sector]],Sectors[],2,FALSE)</f>
        <v>Asia Pacific</v>
      </c>
    </row>
    <row r="4111" spans="1:6" x14ac:dyDescent="0.2">
      <c r="A4111" t="str">
        <f>'Novia Web Query'!A4107</f>
        <v>GB00BDCJB021</v>
      </c>
      <c r="B4111" t="str">
        <f>VLOOKUP(NoviaFunds[[#This Row],[ISIN]],'Novia Web Query'!$A:$E,2,FALSE)</f>
        <v>TM Cerno Pacific B Inc GBP in GB</v>
      </c>
      <c r="C4111" t="str">
        <f>VLOOKUP(NoviaFunds[[#This Row],[ISIN]],'Novia Web Query'!$A:$E,3,FALSE)</f>
        <v>UT Asia Pacific Including Japan</v>
      </c>
      <c r="D4111" s="139">
        <f>VLOOKUP(NoviaFunds[[#This Row],[ISIN]],'Novia Web Query'!$A:$E,4,FALSE)/100</f>
        <v>9.5999999999999992E-3</v>
      </c>
      <c r="E4111" s="3" t="str">
        <f>VLOOKUP(NoviaFunds[[#This Row],[ISIN]],'Novia Web Query'!$A:$E,5,FALSE)</f>
        <v>19/10/2021</v>
      </c>
      <c r="F4111" t="str">
        <f>VLOOKUP(NoviaFunds[[#This Row],[Sector]],Sectors[],2,FALSE)</f>
        <v>Asia Pacific</v>
      </c>
    </row>
    <row r="4112" spans="1:6" x14ac:dyDescent="0.2">
      <c r="A4112" t="str">
        <f>'Novia Web Query'!A4108</f>
        <v>GB00BCZXTP59</v>
      </c>
      <c r="B4112" t="str">
        <f>VLOOKUP(NoviaFunds[[#This Row],[ISIN]],'Novia Web Query'!$A:$E,2,FALSE)</f>
        <v>TM Cerno Select C Acc in GB</v>
      </c>
      <c r="C4112" t="str">
        <f>VLOOKUP(NoviaFunds[[#This Row],[ISIN]],'Novia Web Query'!$A:$E,3,FALSE)</f>
        <v>UT Flexible Investment</v>
      </c>
      <c r="D4112" s="139">
        <f>VLOOKUP(NoviaFunds[[#This Row],[ISIN]],'Novia Web Query'!$A:$E,4,FALSE)/100</f>
        <v>1.3500000000000002E-2</v>
      </c>
      <c r="E4112" s="3" t="str">
        <f>VLOOKUP(NoviaFunds[[#This Row],[ISIN]],'Novia Web Query'!$A:$E,5,FALSE)</f>
        <v>19/10/2021</v>
      </c>
      <c r="F4112" t="str">
        <f>VLOOKUP(NoviaFunds[[#This Row],[Sector]],Sectors[],2,FALSE)</f>
        <v>Flexible</v>
      </c>
    </row>
    <row r="4113" spans="1:6" x14ac:dyDescent="0.2">
      <c r="A4113" t="str">
        <f>'Novia Web Query'!A4109</f>
        <v>GB00B5839S67</v>
      </c>
      <c r="B4113" t="str">
        <f>VLOOKUP(NoviaFunds[[#This Row],[ISIN]],'Novia Web Query'!$A:$E,2,FALSE)</f>
        <v>TM CRUX UK Core B Acc GBP in GB</v>
      </c>
      <c r="C4113" t="str">
        <f>VLOOKUP(NoviaFunds[[#This Row],[ISIN]],'Novia Web Query'!$A:$E,3,FALSE)</f>
        <v>UT UK All Companies</v>
      </c>
      <c r="D4113" s="139">
        <f>VLOOKUP(NoviaFunds[[#This Row],[ISIN]],'Novia Web Query'!$A:$E,4,FALSE)/100</f>
        <v>7.4000000000000003E-3</v>
      </c>
      <c r="E4113" s="3" t="str">
        <f>VLOOKUP(NoviaFunds[[#This Row],[ISIN]],'Novia Web Query'!$A:$E,5,FALSE)</f>
        <v>19/02/2020</v>
      </c>
      <c r="F4113" t="str">
        <f>VLOOKUP(NoviaFunds[[#This Row],[Sector]],Sectors[],2,FALSE)</f>
        <v>UK Equities</v>
      </c>
    </row>
    <row r="4114" spans="1:6" x14ac:dyDescent="0.2">
      <c r="A4114" t="str">
        <f>'Novia Web Query'!A4110</f>
        <v>GB00B05MF837</v>
      </c>
      <c r="B4114" t="str">
        <f>VLOOKUP(NoviaFunds[[#This Row],[ISIN]],'Novia Web Query'!$A:$E,2,FALSE)</f>
        <v>TM CRUX UK Core B Inc GBP TR in GB</v>
      </c>
      <c r="C4114" t="str">
        <f>VLOOKUP(NoviaFunds[[#This Row],[ISIN]],'Novia Web Query'!$A:$E,3,FALSE)</f>
        <v>UT UK All Companies</v>
      </c>
      <c r="D4114" s="139">
        <f>VLOOKUP(NoviaFunds[[#This Row],[ISIN]],'Novia Web Query'!$A:$E,4,FALSE)/100</f>
        <v>7.4000000000000003E-3</v>
      </c>
      <c r="E4114" s="3" t="str">
        <f>VLOOKUP(NoviaFunds[[#This Row],[ISIN]],'Novia Web Query'!$A:$E,5,FALSE)</f>
        <v>19/02/2020</v>
      </c>
      <c r="F4114" t="str">
        <f>VLOOKUP(NoviaFunds[[#This Row],[Sector]],Sectors[],2,FALSE)</f>
        <v>UK Equities</v>
      </c>
    </row>
    <row r="4115" spans="1:6" x14ac:dyDescent="0.2">
      <c r="A4115" t="str">
        <f>'Novia Web Query'!A4111</f>
        <v>GB00B95V2K41</v>
      </c>
      <c r="B4115" t="str">
        <f>VLOOKUP(NoviaFunds[[#This Row],[ISIN]],'Novia Web Query'!$A:$E,2,FALSE)</f>
        <v>TM Home Investor Feeder Unbundled Ret in GB</v>
      </c>
      <c r="C4115" t="str">
        <f>VLOOKUP(NoviaFunds[[#This Row],[ISIN]],'Novia Web Query'!$A:$E,3,FALSE)</f>
        <v>UT Property Other</v>
      </c>
      <c r="D4115" s="139">
        <f>VLOOKUP(NoviaFunds[[#This Row],[ISIN]],'Novia Web Query'!$A:$E,4,FALSE)/100</f>
        <v>1.6899999999999998E-2</v>
      </c>
      <c r="E4115" s="3" t="str">
        <f>VLOOKUP(NoviaFunds[[#This Row],[ISIN]],'Novia Web Query'!$A:$E,5,FALSE)</f>
        <v>21/06/2021</v>
      </c>
      <c r="F4115" t="e">
        <f>VLOOKUP(NoviaFunds[[#This Row],[Sector]],Sectors[],2,FALSE)</f>
        <v>#N/A</v>
      </c>
    </row>
    <row r="4116" spans="1:6" x14ac:dyDescent="0.2">
      <c r="A4116" t="str">
        <f>'Novia Web Query'!A4112</f>
        <v>GB00BG342D73</v>
      </c>
      <c r="B4116" t="str">
        <f>VLOOKUP(NoviaFunds[[#This Row],[ISIN]],'Novia Web Query'!$A:$E,2,FALSE)</f>
        <v>TM RWC UK Equity Income L Acc GBP in GB</v>
      </c>
      <c r="C4116" t="str">
        <f>VLOOKUP(NoviaFunds[[#This Row],[ISIN]],'Novia Web Query'!$A:$E,3,FALSE)</f>
        <v>UT UK Equity Income</v>
      </c>
      <c r="D4116" s="139">
        <f>VLOOKUP(NoviaFunds[[#This Row],[ISIN]],'Novia Web Query'!$A:$E,4,FALSE)/100</f>
        <v>6.0000000000000001E-3</v>
      </c>
      <c r="E4116" s="3" t="str">
        <f>VLOOKUP(NoviaFunds[[#This Row],[ISIN]],'Novia Web Query'!$A:$E,5,FALSE)</f>
        <v>27/11/2021</v>
      </c>
      <c r="F4116" t="str">
        <f>VLOOKUP(NoviaFunds[[#This Row],[Sector]],Sectors[],2,FALSE)</f>
        <v>UK Equities</v>
      </c>
    </row>
    <row r="4117" spans="1:6" x14ac:dyDescent="0.2">
      <c r="A4117" t="str">
        <f>'Novia Web Query'!A4113</f>
        <v>GB00BG342F97</v>
      </c>
      <c r="B4117" t="str">
        <f>VLOOKUP(NoviaFunds[[#This Row],[ISIN]],'Novia Web Query'!$A:$E,2,FALSE)</f>
        <v>TM RWC UK Equity Income L Inc GBP TR in GB</v>
      </c>
      <c r="C4117" t="str">
        <f>VLOOKUP(NoviaFunds[[#This Row],[ISIN]],'Novia Web Query'!$A:$E,3,FALSE)</f>
        <v>UT UK Equity Income</v>
      </c>
      <c r="D4117" s="139">
        <f>VLOOKUP(NoviaFunds[[#This Row],[ISIN]],'Novia Web Query'!$A:$E,4,FALSE)/100</f>
        <v>6.0000000000000001E-3</v>
      </c>
      <c r="E4117" s="3" t="str">
        <f>VLOOKUP(NoviaFunds[[#This Row],[ISIN]],'Novia Web Query'!$A:$E,5,FALSE)</f>
        <v>27/11/2021</v>
      </c>
      <c r="F4117" t="str">
        <f>VLOOKUP(NoviaFunds[[#This Row],[Sector]],Sectors[],2,FALSE)</f>
        <v>UK Equities</v>
      </c>
    </row>
    <row r="4118" spans="1:6" x14ac:dyDescent="0.2">
      <c r="A4118" t="str">
        <f>'Novia Web Query'!A4114</f>
        <v>GB00BG341295</v>
      </c>
      <c r="B4118" t="str">
        <f>VLOOKUP(NoviaFunds[[#This Row],[ISIN]],'Novia Web Query'!$A:$E,2,FALSE)</f>
        <v>TM RWC UK Equity Income R Acc GBP in GB</v>
      </c>
      <c r="C4118" t="str">
        <f>VLOOKUP(NoviaFunds[[#This Row],[ISIN]],'Novia Web Query'!$A:$E,3,FALSE)</f>
        <v>UT UK Equity Income</v>
      </c>
      <c r="D4118" s="139">
        <f>VLOOKUP(NoviaFunds[[#This Row],[ISIN]],'Novia Web Query'!$A:$E,4,FALSE)/100</f>
        <v>8.0000000000000002E-3</v>
      </c>
      <c r="E4118" s="3" t="str">
        <f>VLOOKUP(NoviaFunds[[#This Row],[ISIN]],'Novia Web Query'!$A:$E,5,FALSE)</f>
        <v>27/11/2021</v>
      </c>
      <c r="F4118" t="str">
        <f>VLOOKUP(NoviaFunds[[#This Row],[Sector]],Sectors[],2,FALSE)</f>
        <v>UK Equities</v>
      </c>
    </row>
    <row r="4119" spans="1:6" x14ac:dyDescent="0.2">
      <c r="A4119" t="str">
        <f>'Novia Web Query'!A4115</f>
        <v>GB00BG342939</v>
      </c>
      <c r="B4119" t="str">
        <f>VLOOKUP(NoviaFunds[[#This Row],[ISIN]],'Novia Web Query'!$A:$E,2,FALSE)</f>
        <v>TM RWC UK Equity Income R Inc GBP TR in GB</v>
      </c>
      <c r="C4119" t="str">
        <f>VLOOKUP(NoviaFunds[[#This Row],[ISIN]],'Novia Web Query'!$A:$E,3,FALSE)</f>
        <v>UT UK Equity Income</v>
      </c>
      <c r="D4119" s="139">
        <f>VLOOKUP(NoviaFunds[[#This Row],[ISIN]],'Novia Web Query'!$A:$E,4,FALSE)/100</f>
        <v>8.0000000000000002E-3</v>
      </c>
      <c r="E4119" s="3" t="str">
        <f>VLOOKUP(NoviaFunds[[#This Row],[ISIN]],'Novia Web Query'!$A:$E,5,FALSE)</f>
        <v>27/11/2021</v>
      </c>
      <c r="F4119" t="str">
        <f>VLOOKUP(NoviaFunds[[#This Row],[Sector]],Sectors[],2,FALSE)</f>
        <v>UK Equities</v>
      </c>
    </row>
    <row r="4120" spans="1:6" x14ac:dyDescent="0.2">
      <c r="A4120" t="str">
        <f>'Novia Web Query'!A4116</f>
        <v>GB00BG342B59</v>
      </c>
      <c r="B4120" t="str">
        <f>VLOOKUP(NoviaFunds[[#This Row],[ISIN]],'Novia Web Query'!$A:$E,2,FALSE)</f>
        <v>TM RWC UK Equity Income S Acc GBP in GB</v>
      </c>
      <c r="C4120" t="str">
        <f>VLOOKUP(NoviaFunds[[#This Row],[ISIN]],'Novia Web Query'!$A:$E,3,FALSE)</f>
        <v>UT UK Equity Income</v>
      </c>
      <c r="D4120" s="139">
        <f>VLOOKUP(NoviaFunds[[#This Row],[ISIN]],'Novia Web Query'!$A:$E,4,FALSE)/100</f>
        <v>6.9999999999999993E-3</v>
      </c>
      <c r="E4120" s="3" t="str">
        <f>VLOOKUP(NoviaFunds[[#This Row],[ISIN]],'Novia Web Query'!$A:$E,5,FALSE)</f>
        <v>27/11/2021</v>
      </c>
      <c r="F4120" t="str">
        <f>VLOOKUP(NoviaFunds[[#This Row],[Sector]],Sectors[],2,FALSE)</f>
        <v>UK Equities</v>
      </c>
    </row>
    <row r="4121" spans="1:6" x14ac:dyDescent="0.2">
      <c r="A4121" t="str">
        <f>'Novia Web Query'!A4117</f>
        <v>GB00BG342C66</v>
      </c>
      <c r="B4121" t="str">
        <f>VLOOKUP(NoviaFunds[[#This Row],[ISIN]],'Novia Web Query'!$A:$E,2,FALSE)</f>
        <v>TM RWC UK Equity Income S Inc GBP TR in GB</v>
      </c>
      <c r="C4121" t="str">
        <f>VLOOKUP(NoviaFunds[[#This Row],[ISIN]],'Novia Web Query'!$A:$E,3,FALSE)</f>
        <v>UT UK Equity Income</v>
      </c>
      <c r="D4121" s="139">
        <f>VLOOKUP(NoviaFunds[[#This Row],[ISIN]],'Novia Web Query'!$A:$E,4,FALSE)/100</f>
        <v>6.9999999999999993E-3</v>
      </c>
      <c r="E4121" s="3" t="str">
        <f>VLOOKUP(NoviaFunds[[#This Row],[ISIN]],'Novia Web Query'!$A:$E,5,FALSE)</f>
        <v>27/11/2021</v>
      </c>
      <c r="F4121" t="str">
        <f>VLOOKUP(NoviaFunds[[#This Row],[Sector]],Sectors[],2,FALSE)</f>
        <v>UK Equities</v>
      </c>
    </row>
    <row r="4122" spans="1:6" x14ac:dyDescent="0.2">
      <c r="A4122" t="str">
        <f>'Novia Web Query'!A4118</f>
        <v>GB00BCV7SW11</v>
      </c>
      <c r="B4122" t="str">
        <f>VLOOKUP(NoviaFunds[[#This Row],[ISIN]],'Novia Web Query'!$A:$E,2,FALSE)</f>
        <v>TM UBS (UK) Balanced F Acc in GB**</v>
      </c>
      <c r="C4122" t="str">
        <f>VLOOKUP(NoviaFunds[[#This Row],[ISIN]],'Novia Web Query'!$A:$E,3,FALSE)</f>
        <v>UT Mixed Investment 20-60% Shares</v>
      </c>
      <c r="D4122" s="139">
        <f>VLOOKUP(NoviaFunds[[#This Row],[ISIN]],'Novia Web Query'!$A:$E,4,FALSE)/100</f>
        <v>1.1399999999999999E-2</v>
      </c>
      <c r="E4122" s="3" t="str">
        <f>VLOOKUP(NoviaFunds[[#This Row],[ISIN]],'Novia Web Query'!$A:$E,5,FALSE)</f>
        <v>27/09/2021</v>
      </c>
      <c r="F4122" t="str">
        <f>VLOOKUP(NoviaFunds[[#This Row],[Sector]],Sectors[],2,FALSE)</f>
        <v>Mixed 20%-60%</v>
      </c>
    </row>
    <row r="4123" spans="1:6" x14ac:dyDescent="0.2">
      <c r="A4123" t="str">
        <f>'Novia Web Query'!A4119</f>
        <v>GB00BCV7T629</v>
      </c>
      <c r="B4123" t="str">
        <f>VLOOKUP(NoviaFunds[[#This Row],[ISIN]],'Novia Web Query'!$A:$E,2,FALSE)</f>
        <v>TM UBS (UK) Global Balanced F Acc in GB**</v>
      </c>
      <c r="C4123" t="str">
        <f>VLOOKUP(NoviaFunds[[#This Row],[ISIN]],'Novia Web Query'!$A:$E,3,FALSE)</f>
        <v>UT Mixed Investment 20-60% Shares</v>
      </c>
      <c r="D4123" s="139">
        <f>VLOOKUP(NoviaFunds[[#This Row],[ISIN]],'Novia Web Query'!$A:$E,4,FALSE)/100</f>
        <v>1.2800000000000001E-2</v>
      </c>
      <c r="E4123" s="3" t="str">
        <f>VLOOKUP(NoviaFunds[[#This Row],[ISIN]],'Novia Web Query'!$A:$E,5,FALSE)</f>
        <v>19/10/2021</v>
      </c>
      <c r="F4123" t="str">
        <f>VLOOKUP(NoviaFunds[[#This Row],[Sector]],Sectors[],2,FALSE)</f>
        <v>Mixed 20%-60%</v>
      </c>
    </row>
    <row r="4124" spans="1:6" x14ac:dyDescent="0.2">
      <c r="A4124" t="str">
        <f>'Novia Web Query'!A4120</f>
        <v>GB00BCV7T397</v>
      </c>
      <c r="B4124" t="str">
        <f>VLOOKUP(NoviaFunds[[#This Row],[ISIN]],'Novia Web Query'!$A:$E,2,FALSE)</f>
        <v>TM UBS (UK) Global Balanced F Inc TR in GB**</v>
      </c>
      <c r="C4124" t="str">
        <f>VLOOKUP(NoviaFunds[[#This Row],[ISIN]],'Novia Web Query'!$A:$E,3,FALSE)</f>
        <v>UT Mixed Investment 20-60% Shares</v>
      </c>
      <c r="D4124" s="139">
        <f>VLOOKUP(NoviaFunds[[#This Row],[ISIN]],'Novia Web Query'!$A:$E,4,FALSE)/100</f>
        <v>1.2800000000000001E-2</v>
      </c>
      <c r="E4124" s="3" t="str">
        <f>VLOOKUP(NoviaFunds[[#This Row],[ISIN]],'Novia Web Query'!$A:$E,5,FALSE)</f>
        <v>19/10/2021</v>
      </c>
      <c r="F4124" t="str">
        <f>VLOOKUP(NoviaFunds[[#This Row],[Sector]],Sectors[],2,FALSE)</f>
        <v>Mixed 20%-60%</v>
      </c>
    </row>
    <row r="4125" spans="1:6" x14ac:dyDescent="0.2">
      <c r="A4125" t="str">
        <f>'Novia Web Query'!A4121</f>
        <v>GB00BCV7T280</v>
      </c>
      <c r="B4125" t="str">
        <f>VLOOKUP(NoviaFunds[[#This Row],[ISIN]],'Novia Web Query'!$A:$E,2,FALSE)</f>
        <v>TM UBS (UK) Global Equity F Acc in GB**</v>
      </c>
      <c r="C4125" t="str">
        <f>VLOOKUP(NoviaFunds[[#This Row],[ISIN]],'Novia Web Query'!$A:$E,3,FALSE)</f>
        <v>UT Global</v>
      </c>
      <c r="D4125" s="139">
        <f>VLOOKUP(NoviaFunds[[#This Row],[ISIN]],'Novia Web Query'!$A:$E,4,FALSE)/100</f>
        <v>1.4199999999999999E-2</v>
      </c>
      <c r="E4125" s="3" t="str">
        <f>VLOOKUP(NoviaFunds[[#This Row],[ISIN]],'Novia Web Query'!$A:$E,5,FALSE)</f>
        <v>19/10/2021</v>
      </c>
      <c r="F4125" t="str">
        <f>VLOOKUP(NoviaFunds[[#This Row],[Sector]],Sectors[],2,FALSE)</f>
        <v>Other Equities</v>
      </c>
    </row>
    <row r="4126" spans="1:6" x14ac:dyDescent="0.2">
      <c r="A4126" t="str">
        <f>'Novia Web Query'!A4122</f>
        <v>GB00B8HMPV01</v>
      </c>
      <c r="B4126" t="str">
        <f>VLOOKUP(NoviaFunds[[#This Row],[ISIN]],'Novia Web Query'!$A:$E,2,FALSE)</f>
        <v>TM UBS (UK) Global Fixed Income E Acc in GB</v>
      </c>
      <c r="C4126" t="str">
        <f>VLOOKUP(NoviaFunds[[#This Row],[ISIN]],'Novia Web Query'!$A:$E,3,FALSE)</f>
        <v>UT Global Bonds</v>
      </c>
      <c r="D4126" s="139">
        <f>VLOOKUP(NoviaFunds[[#This Row],[ISIN]],'Novia Web Query'!$A:$E,4,FALSE)/100</f>
        <v>1.1000000000000001E-2</v>
      </c>
      <c r="E4126" s="3" t="str">
        <f>VLOOKUP(NoviaFunds[[#This Row],[ISIN]],'Novia Web Query'!$A:$E,5,FALSE)</f>
        <v>19/10/2021</v>
      </c>
      <c r="F4126" t="str">
        <f>VLOOKUP(NoviaFunds[[#This Row],[Sector]],Sectors[],2,FALSE)</f>
        <v>Global Investment Grade</v>
      </c>
    </row>
    <row r="4127" spans="1:6" x14ac:dyDescent="0.2">
      <c r="A4127" t="str">
        <f>'Novia Web Query'!A4123</f>
        <v>GB00B7JC9M01</v>
      </c>
      <c r="B4127" t="str">
        <f>VLOOKUP(NoviaFunds[[#This Row],[ISIN]],'Novia Web Query'!$A:$E,2,FALSE)</f>
        <v>TM UBS (UK) Global Fixed Income E Inc TR in GB</v>
      </c>
      <c r="C4127" t="str">
        <f>VLOOKUP(NoviaFunds[[#This Row],[ISIN]],'Novia Web Query'!$A:$E,3,FALSE)</f>
        <v>UT Global Bonds</v>
      </c>
      <c r="D4127" s="139">
        <f>VLOOKUP(NoviaFunds[[#This Row],[ISIN]],'Novia Web Query'!$A:$E,4,FALSE)/100</f>
        <v>1.1000000000000001E-2</v>
      </c>
      <c r="E4127" s="3" t="str">
        <f>VLOOKUP(NoviaFunds[[#This Row],[ISIN]],'Novia Web Query'!$A:$E,5,FALSE)</f>
        <v>19/10/2021</v>
      </c>
      <c r="F4127" t="str">
        <f>VLOOKUP(NoviaFunds[[#This Row],[Sector]],Sectors[],2,FALSE)</f>
        <v>Global Investment Grade</v>
      </c>
    </row>
    <row r="4128" spans="1:6" x14ac:dyDescent="0.2">
      <c r="A4128" t="str">
        <f>'Novia Web Query'!A4124</f>
        <v>GB00BCV7T066</v>
      </c>
      <c r="B4128" t="str">
        <f>VLOOKUP(NoviaFunds[[#This Row],[ISIN]],'Novia Web Query'!$A:$E,2,FALSE)</f>
        <v>TM UBS (UK) Global Growth F Acc in GB**</v>
      </c>
      <c r="C4128" t="str">
        <f>VLOOKUP(NoviaFunds[[#This Row],[ISIN]],'Novia Web Query'!$A:$E,3,FALSE)</f>
        <v>UT Mixed Investment 40-85% Shares</v>
      </c>
      <c r="D4128" s="139">
        <f>VLOOKUP(NoviaFunds[[#This Row],[ISIN]],'Novia Web Query'!$A:$E,4,FALSE)/100</f>
        <v>1.34E-2</v>
      </c>
      <c r="E4128" s="3" t="str">
        <f>VLOOKUP(NoviaFunds[[#This Row],[ISIN]],'Novia Web Query'!$A:$E,5,FALSE)</f>
        <v>19/10/2021</v>
      </c>
      <c r="F4128" t="str">
        <f>VLOOKUP(NoviaFunds[[#This Row],[Sector]],Sectors[],2,FALSE)</f>
        <v>Mixed 40%-85%</v>
      </c>
    </row>
    <row r="4129" spans="1:6" x14ac:dyDescent="0.2">
      <c r="A4129" t="str">
        <f>'Novia Web Query'!A4125</f>
        <v>GB00BCV7SZ42</v>
      </c>
      <c r="B4129" t="str">
        <f>VLOOKUP(NoviaFunds[[#This Row],[ISIN]],'Novia Web Query'!$A:$E,2,FALSE)</f>
        <v>TM UBS (UK) Global Growth F Inc TR in GB**</v>
      </c>
      <c r="C4129" t="str">
        <f>VLOOKUP(NoviaFunds[[#This Row],[ISIN]],'Novia Web Query'!$A:$E,3,FALSE)</f>
        <v>UT Mixed Investment 40-85% Shares</v>
      </c>
      <c r="D4129" s="139">
        <f>VLOOKUP(NoviaFunds[[#This Row],[ISIN]],'Novia Web Query'!$A:$E,4,FALSE)/100</f>
        <v>1.34E-2</v>
      </c>
      <c r="E4129" s="3" t="str">
        <f>VLOOKUP(NoviaFunds[[#This Row],[ISIN]],'Novia Web Query'!$A:$E,5,FALSE)</f>
        <v>19/10/2021</v>
      </c>
      <c r="F4129" t="str">
        <f>VLOOKUP(NoviaFunds[[#This Row],[Sector]],Sectors[],2,FALSE)</f>
        <v>Mixed 40%-85%</v>
      </c>
    </row>
    <row r="4130" spans="1:6" x14ac:dyDescent="0.2">
      <c r="A4130" t="str">
        <f>'Novia Web Query'!A4126</f>
        <v>GB00BCV7SY35</v>
      </c>
      <c r="B4130" t="str">
        <f>VLOOKUP(NoviaFunds[[#This Row],[ISIN]],'Novia Web Query'!$A:$E,2,FALSE)</f>
        <v>TM UBS (UK) Global Yield F Acc in GB**</v>
      </c>
      <c r="C4130" t="str">
        <f>VLOOKUP(NoviaFunds[[#This Row],[ISIN]],'Novia Web Query'!$A:$E,3,FALSE)</f>
        <v>UT Mixed Investment 0-35% Shares</v>
      </c>
      <c r="D4130" s="139">
        <f>VLOOKUP(NoviaFunds[[#This Row],[ISIN]],'Novia Web Query'!$A:$E,4,FALSE)/100</f>
        <v>1.26E-2</v>
      </c>
      <c r="E4130" s="3" t="str">
        <f>VLOOKUP(NoviaFunds[[#This Row],[ISIN]],'Novia Web Query'!$A:$E,5,FALSE)</f>
        <v>19/10/2021</v>
      </c>
      <c r="F4130" t="str">
        <f>VLOOKUP(NoviaFunds[[#This Row],[Sector]],Sectors[],2,FALSE)</f>
        <v>Mixed 0%-35%</v>
      </c>
    </row>
    <row r="4131" spans="1:6" x14ac:dyDescent="0.2">
      <c r="A4131" t="str">
        <f>'Novia Web Query'!A4127</f>
        <v>GB00BCV7SX28</v>
      </c>
      <c r="B4131" t="str">
        <f>VLOOKUP(NoviaFunds[[#This Row],[ISIN]],'Novia Web Query'!$A:$E,2,FALSE)</f>
        <v>TM UBS (UK) Global Yield F Inc TR in GB**</v>
      </c>
      <c r="C4131" t="str">
        <f>VLOOKUP(NoviaFunds[[#This Row],[ISIN]],'Novia Web Query'!$A:$E,3,FALSE)</f>
        <v>UT Mixed Investment 0-35% Shares</v>
      </c>
      <c r="D4131" s="139">
        <f>VLOOKUP(NoviaFunds[[#This Row],[ISIN]],'Novia Web Query'!$A:$E,4,FALSE)/100</f>
        <v>1.26E-2</v>
      </c>
      <c r="E4131" s="3" t="str">
        <f>VLOOKUP(NoviaFunds[[#This Row],[ISIN]],'Novia Web Query'!$A:$E,5,FALSE)</f>
        <v>19/10/2021</v>
      </c>
      <c r="F4131" t="str">
        <f>VLOOKUP(NoviaFunds[[#This Row],[Sector]],Sectors[],2,FALSE)</f>
        <v>Mixed 0%-35%</v>
      </c>
    </row>
    <row r="4132" spans="1:6" x14ac:dyDescent="0.2">
      <c r="A4132" t="str">
        <f>'Novia Web Query'!A4128</f>
        <v>GB00BCV7SR67</v>
      </c>
      <c r="B4132" t="str">
        <f>VLOOKUP(NoviaFunds[[#This Row],[ISIN]],'Novia Web Query'!$A:$E,2,FALSE)</f>
        <v>TM UBS (UK) Growth F Acc in GB**</v>
      </c>
      <c r="C4132" t="str">
        <f>VLOOKUP(NoviaFunds[[#This Row],[ISIN]],'Novia Web Query'!$A:$E,3,FALSE)</f>
        <v>UT Mixed Investment 40-85% Shares</v>
      </c>
      <c r="D4132" s="139">
        <f>VLOOKUP(NoviaFunds[[#This Row],[ISIN]],'Novia Web Query'!$A:$E,4,FALSE)/100</f>
        <v>1.15E-2</v>
      </c>
      <c r="E4132" s="3" t="str">
        <f>VLOOKUP(NoviaFunds[[#This Row],[ISIN]],'Novia Web Query'!$A:$E,5,FALSE)</f>
        <v>27/09/2021</v>
      </c>
      <c r="F4132" t="str">
        <f>VLOOKUP(NoviaFunds[[#This Row],[Sector]],Sectors[],2,FALSE)</f>
        <v>Mixed 40%-85%</v>
      </c>
    </row>
    <row r="4133" spans="1:6" x14ac:dyDescent="0.2">
      <c r="A4133" t="str">
        <f>'Novia Web Query'!A4129</f>
        <v>GB00BCV7SP44</v>
      </c>
      <c r="B4133" t="str">
        <f>VLOOKUP(NoviaFunds[[#This Row],[ISIN]],'Novia Web Query'!$A:$E,2,FALSE)</f>
        <v>TM UBS (UK) Income Focus F Acc in GB**</v>
      </c>
      <c r="C4133" t="str">
        <f>VLOOKUP(NoviaFunds[[#This Row],[ISIN]],'Novia Web Query'!$A:$E,3,FALSE)</f>
        <v>UT Mixed Investment 40-85% Shares</v>
      </c>
      <c r="D4133" s="139">
        <f>VLOOKUP(NoviaFunds[[#This Row],[ISIN]],'Novia Web Query'!$A:$E,4,FALSE)/100</f>
        <v>1.0200000000000001E-2</v>
      </c>
      <c r="E4133" s="3" t="str">
        <f>VLOOKUP(NoviaFunds[[#This Row],[ISIN]],'Novia Web Query'!$A:$E,5,FALSE)</f>
        <v>27/09/2021</v>
      </c>
      <c r="F4133" t="str">
        <f>VLOOKUP(NoviaFunds[[#This Row],[Sector]],Sectors[],2,FALSE)</f>
        <v>Mixed 40%-85%</v>
      </c>
    </row>
    <row r="4134" spans="1:6" x14ac:dyDescent="0.2">
      <c r="A4134" t="str">
        <f>'Novia Web Query'!A4130</f>
        <v>GB00BCV7SN20</v>
      </c>
      <c r="B4134" t="str">
        <f>VLOOKUP(NoviaFunds[[#This Row],[ISIN]],'Novia Web Query'!$A:$E,2,FALSE)</f>
        <v>TM UBS (UK) Income Focus F Inc TR in GB**</v>
      </c>
      <c r="C4134" t="str">
        <f>VLOOKUP(NoviaFunds[[#This Row],[ISIN]],'Novia Web Query'!$A:$E,3,FALSE)</f>
        <v>UT Mixed Investment 40-85% Shares</v>
      </c>
      <c r="D4134" s="139">
        <f>VLOOKUP(NoviaFunds[[#This Row],[ISIN]],'Novia Web Query'!$A:$E,4,FALSE)/100</f>
        <v>1.0200000000000001E-2</v>
      </c>
      <c r="E4134" s="3" t="str">
        <f>VLOOKUP(NoviaFunds[[#This Row],[ISIN]],'Novia Web Query'!$A:$E,5,FALSE)</f>
        <v>27/09/2021</v>
      </c>
      <c r="F4134" t="str">
        <f>VLOOKUP(NoviaFunds[[#This Row],[Sector]],Sectors[],2,FALSE)</f>
        <v>Mixed 40%-85%</v>
      </c>
    </row>
    <row r="4135" spans="1:6" x14ac:dyDescent="0.2">
      <c r="A4135" t="str">
        <f>'Novia Web Query'!A4131</f>
        <v>GB00BCV7ST81</v>
      </c>
      <c r="B4135" t="str">
        <f>VLOOKUP(NoviaFunds[[#This Row],[ISIN]],'Novia Web Query'!$A:$E,2,FALSE)</f>
        <v>TM UBS (UK) UK Equity F Acc in GB**</v>
      </c>
      <c r="C4135" t="str">
        <f>VLOOKUP(NoviaFunds[[#This Row],[ISIN]],'Novia Web Query'!$A:$E,3,FALSE)</f>
        <v>UT UK All Companies</v>
      </c>
      <c r="D4135" s="139">
        <f>VLOOKUP(NoviaFunds[[#This Row],[ISIN]],'Novia Web Query'!$A:$E,4,FALSE)/100</f>
        <v>1.11E-2</v>
      </c>
      <c r="E4135" s="3" t="str">
        <f>VLOOKUP(NoviaFunds[[#This Row],[ISIN]],'Novia Web Query'!$A:$E,5,FALSE)</f>
        <v>19/10/2021</v>
      </c>
      <c r="F4135" t="str">
        <f>VLOOKUP(NoviaFunds[[#This Row],[Sector]],Sectors[],2,FALSE)</f>
        <v>UK Equities</v>
      </c>
    </row>
    <row r="4136" spans="1:6" x14ac:dyDescent="0.2">
      <c r="A4136" t="str">
        <f>'Novia Web Query'!A4132</f>
        <v>GB00BYQJX435</v>
      </c>
      <c r="B4136" t="str">
        <f>VLOOKUP(NoviaFunds[[#This Row],[ISIN]],'Novia Web Query'!$A:$E,2,FALSE)</f>
        <v>TM CRUX European I Acc GBP in GB</v>
      </c>
      <c r="C4136" t="str">
        <f>VLOOKUP(NoviaFunds[[#This Row],[ISIN]],'Novia Web Query'!$A:$E,3,FALSE)</f>
        <v>UT Europe Excluding UK</v>
      </c>
      <c r="D4136" s="139">
        <f>VLOOKUP(NoviaFunds[[#This Row],[ISIN]],'Novia Web Query'!$A:$E,4,FALSE)/100</f>
        <v>9.3999999999999986E-3</v>
      </c>
      <c r="E4136" s="3" t="str">
        <f>VLOOKUP(NoviaFunds[[#This Row],[ISIN]],'Novia Web Query'!$A:$E,5,FALSE)</f>
        <v>19/02/2020</v>
      </c>
      <c r="F4136" t="str">
        <f>VLOOKUP(NoviaFunds[[#This Row],[Sector]],Sectors[],2,FALSE)</f>
        <v>European Equities</v>
      </c>
    </row>
    <row r="4137" spans="1:6" x14ac:dyDescent="0.2">
      <c r="A4137" t="str">
        <f>'Novia Web Query'!A4133</f>
        <v>GB00BYQJX104</v>
      </c>
      <c r="B4137" t="str">
        <f>VLOOKUP(NoviaFunds[[#This Row],[ISIN]],'Novia Web Query'!$A:$E,2,FALSE)</f>
        <v>TM CRUX European I Inc GBP TR in GB</v>
      </c>
      <c r="C4137" t="str">
        <f>VLOOKUP(NoviaFunds[[#This Row],[ISIN]],'Novia Web Query'!$A:$E,3,FALSE)</f>
        <v>UT Europe Excluding UK</v>
      </c>
      <c r="D4137" s="139">
        <f>VLOOKUP(NoviaFunds[[#This Row],[ISIN]],'Novia Web Query'!$A:$E,4,FALSE)/100</f>
        <v>9.3999999999999986E-3</v>
      </c>
      <c r="E4137" s="3" t="str">
        <f>VLOOKUP(NoviaFunds[[#This Row],[ISIN]],'Novia Web Query'!$A:$E,5,FALSE)</f>
        <v>19/02/2020</v>
      </c>
      <c r="F4137" t="str">
        <f>VLOOKUP(NoviaFunds[[#This Row],[Sector]],Sectors[],2,FALSE)</f>
        <v>European Equities</v>
      </c>
    </row>
    <row r="4138" spans="1:6" x14ac:dyDescent="0.2">
      <c r="A4138" t="str">
        <f>'Novia Web Query'!A4134</f>
        <v>GB00BTJRQ064</v>
      </c>
      <c r="B4138" t="str">
        <f>VLOOKUP(NoviaFunds[[#This Row],[ISIN]],'Novia Web Query'!$A:$E,2,FALSE)</f>
        <v>TM CRUX European Special Situations I Acc GBP in GB</v>
      </c>
      <c r="C4138" t="str">
        <f>VLOOKUP(NoviaFunds[[#This Row],[ISIN]],'Novia Web Query'!$A:$E,3,FALSE)</f>
        <v>UT Europe Excluding UK</v>
      </c>
      <c r="D4138" s="139">
        <f>VLOOKUP(NoviaFunds[[#This Row],[ISIN]],'Novia Web Query'!$A:$E,4,FALSE)/100</f>
        <v>8.8000000000000005E-3</v>
      </c>
      <c r="E4138" s="3" t="str">
        <f>VLOOKUP(NoviaFunds[[#This Row],[ISIN]],'Novia Web Query'!$A:$E,5,FALSE)</f>
        <v>19/02/2020</v>
      </c>
      <c r="F4138" t="str">
        <f>VLOOKUP(NoviaFunds[[#This Row],[Sector]],Sectors[],2,FALSE)</f>
        <v>European Equities</v>
      </c>
    </row>
    <row r="4139" spans="1:6" x14ac:dyDescent="0.2">
      <c r="A4139" t="str">
        <f>'Novia Web Query'!A4135</f>
        <v>GB00BTJRPZ43</v>
      </c>
      <c r="B4139" t="str">
        <f>VLOOKUP(NoviaFunds[[#This Row],[ISIN]],'Novia Web Query'!$A:$E,2,FALSE)</f>
        <v>TM CRUX European Special Situations I Inc GBP TR in GB</v>
      </c>
      <c r="C4139" t="str">
        <f>VLOOKUP(NoviaFunds[[#This Row],[ISIN]],'Novia Web Query'!$A:$E,3,FALSE)</f>
        <v>UT Europe Excluding UK</v>
      </c>
      <c r="D4139" s="139">
        <f>VLOOKUP(NoviaFunds[[#This Row],[ISIN]],'Novia Web Query'!$A:$E,4,FALSE)/100</f>
        <v>8.8000000000000005E-3</v>
      </c>
      <c r="E4139" s="3" t="str">
        <f>VLOOKUP(NoviaFunds[[#This Row],[ISIN]],'Novia Web Query'!$A:$E,5,FALSE)</f>
        <v>19/02/2020</v>
      </c>
      <c r="F4139" t="str">
        <f>VLOOKUP(NoviaFunds[[#This Row],[Sector]],Sectors[],2,FALSE)</f>
        <v>European Equities</v>
      </c>
    </row>
    <row r="4140" spans="1:6" x14ac:dyDescent="0.2">
      <c r="A4140" t="str">
        <f>'Novia Web Query'!A4136</f>
        <v>GB00BG5Q5X24</v>
      </c>
      <c r="B4140" t="str">
        <f>VLOOKUP(NoviaFunds[[#This Row],[ISIN]],'Novia Web Query'!$A:$E,2,FALSE)</f>
        <v>TM CRUX UK Special Situations I Acc in GB</v>
      </c>
      <c r="C4140" t="str">
        <f>VLOOKUP(NoviaFunds[[#This Row],[ISIN]],'Novia Web Query'!$A:$E,3,FALSE)</f>
        <v>UT UK All Companies</v>
      </c>
      <c r="D4140" s="139">
        <f>VLOOKUP(NoviaFunds[[#This Row],[ISIN]],'Novia Web Query'!$A:$E,4,FALSE)/100</f>
        <v>8.3000000000000001E-3</v>
      </c>
      <c r="E4140" s="3" t="str">
        <f>VLOOKUP(NoviaFunds[[#This Row],[ISIN]],'Novia Web Query'!$A:$E,5,FALSE)</f>
        <v>19/02/2020</v>
      </c>
      <c r="F4140" t="str">
        <f>VLOOKUP(NoviaFunds[[#This Row],[Sector]],Sectors[],2,FALSE)</f>
        <v>UK Equities</v>
      </c>
    </row>
    <row r="4141" spans="1:6" x14ac:dyDescent="0.2">
      <c r="A4141" t="str">
        <f>'Novia Web Query'!A4137</f>
        <v>GB00BG5Q5V00</v>
      </c>
      <c r="B4141" t="str">
        <f>VLOOKUP(NoviaFunds[[#This Row],[ISIN]],'Novia Web Query'!$A:$E,2,FALSE)</f>
        <v>TM CRUX UK Special Situations I Inc TR in GB</v>
      </c>
      <c r="C4141" t="str">
        <f>VLOOKUP(NoviaFunds[[#This Row],[ISIN]],'Novia Web Query'!$A:$E,3,FALSE)</f>
        <v>UT UK All Companies</v>
      </c>
      <c r="D4141" s="139">
        <f>VLOOKUP(NoviaFunds[[#This Row],[ISIN]],'Novia Web Query'!$A:$E,4,FALSE)/100</f>
        <v>8.3000000000000001E-3</v>
      </c>
      <c r="E4141" s="3" t="str">
        <f>VLOOKUP(NoviaFunds[[#This Row],[ISIN]],'Novia Web Query'!$A:$E,5,FALSE)</f>
        <v>19/02/2020</v>
      </c>
      <c r="F4141" t="str">
        <f>VLOOKUP(NoviaFunds[[#This Row],[Sector]],Sectors[],2,FALSE)</f>
        <v>UK Equities</v>
      </c>
    </row>
    <row r="4142" spans="1:6" x14ac:dyDescent="0.2">
      <c r="A4142" t="str">
        <f>'Novia Web Query'!A4138</f>
        <v>GB00BG5Q5Z48</v>
      </c>
      <c r="B4142" t="str">
        <f>VLOOKUP(NoviaFunds[[#This Row],[ISIN]],'Novia Web Query'!$A:$E,2,FALSE)</f>
        <v>TM CRUX UK Special Situations S Acc in GB</v>
      </c>
      <c r="C4142" t="str">
        <f>VLOOKUP(NoviaFunds[[#This Row],[ISIN]],'Novia Web Query'!$A:$E,3,FALSE)</f>
        <v>UT UK All Companies</v>
      </c>
      <c r="D4142" s="139">
        <f>VLOOKUP(NoviaFunds[[#This Row],[ISIN]],'Novia Web Query'!$A:$E,4,FALSE)/100</f>
        <v>6.7000000000000002E-3</v>
      </c>
      <c r="E4142" s="3" t="str">
        <f>VLOOKUP(NoviaFunds[[#This Row],[ISIN]],'Novia Web Query'!$A:$E,5,FALSE)</f>
        <v>19/02/2020</v>
      </c>
      <c r="F4142" t="str">
        <f>VLOOKUP(NoviaFunds[[#This Row],[Sector]],Sectors[],2,FALSE)</f>
        <v>UK Equities</v>
      </c>
    </row>
    <row r="4143" spans="1:6" x14ac:dyDescent="0.2">
      <c r="A4143" t="str">
        <f>'Novia Web Query'!A4139</f>
        <v>GB00B7N2VD17</v>
      </c>
      <c r="B4143" t="str">
        <f>VLOOKUP(NoviaFunds[[#This Row],[ISIN]],'Novia Web Query'!$A:$E,2,FALSE)</f>
        <v>TM Fulcrum Diversified Absolute Return C Acc GBP in GB</v>
      </c>
      <c r="C4143" t="str">
        <f>VLOOKUP(NoviaFunds[[#This Row],[ISIN]],'Novia Web Query'!$A:$E,3,FALSE)</f>
        <v>UT Targeted Absolute Return</v>
      </c>
      <c r="D4143" s="139">
        <f>VLOOKUP(NoviaFunds[[#This Row],[ISIN]],'Novia Web Query'!$A:$E,4,FALSE)/100</f>
        <v>1.1399999999999999E-2</v>
      </c>
      <c r="E4143" s="3" t="str">
        <f>VLOOKUP(NoviaFunds[[#This Row],[ISIN]],'Novia Web Query'!$A:$E,5,FALSE)</f>
        <v>19/10/2021</v>
      </c>
      <c r="F4143" t="str">
        <f>VLOOKUP(NoviaFunds[[#This Row],[Sector]],Sectors[],2,FALSE)</f>
        <v>Absolute Return</v>
      </c>
    </row>
    <row r="4144" spans="1:6" x14ac:dyDescent="0.2">
      <c r="A4144" t="str">
        <f>'Novia Web Query'!A4140</f>
        <v>GB00BRTNY847</v>
      </c>
      <c r="B4144" t="str">
        <f>VLOOKUP(NoviaFunds[[#This Row],[ISIN]],'Novia Web Query'!$A:$E,2,FALSE)</f>
        <v>TM Fulcrum Diversified Core Absolute Return C Acc GBP in GB</v>
      </c>
      <c r="C4144" t="str">
        <f>VLOOKUP(NoviaFunds[[#This Row],[ISIN]],'Novia Web Query'!$A:$E,3,FALSE)</f>
        <v>UT Targeted Absolute Return</v>
      </c>
      <c r="D4144" s="139">
        <f>VLOOKUP(NoviaFunds[[#This Row],[ISIN]],'Novia Web Query'!$A:$E,4,FALSE)/100</f>
        <v>9.4999999999999998E-3</v>
      </c>
      <c r="E4144" s="3" t="str">
        <f>VLOOKUP(NoviaFunds[[#This Row],[ISIN]],'Novia Web Query'!$A:$E,5,FALSE)</f>
        <v>19/10/2021</v>
      </c>
      <c r="F4144" t="str">
        <f>VLOOKUP(NoviaFunds[[#This Row],[Sector]],Sectors[],2,FALSE)</f>
        <v>Absolute Return</v>
      </c>
    </row>
    <row r="4145" spans="1:6" x14ac:dyDescent="0.2">
      <c r="A4145" t="str">
        <f>'Novia Web Query'!A4141</f>
        <v>GB00B622XS49</v>
      </c>
      <c r="B4145" t="str">
        <f>VLOOKUP(NoviaFunds[[#This Row],[ISIN]],'Novia Web Query'!$A:$E,2,FALSE)</f>
        <v>TM Fulcrum Diversified Growth C GBP in GB**</v>
      </c>
      <c r="C4145" t="str">
        <f>VLOOKUP(NoviaFunds[[#This Row],[ISIN]],'Novia Web Query'!$A:$E,3,FALSE)</f>
        <v>UT Flexible Investment</v>
      </c>
      <c r="D4145" s="139">
        <f>VLOOKUP(NoviaFunds[[#This Row],[ISIN]],'Novia Web Query'!$A:$E,4,FALSE)/100</f>
        <v>1.26E-2</v>
      </c>
      <c r="E4145" s="3" t="str">
        <f>VLOOKUP(NoviaFunds[[#This Row],[ISIN]],'Novia Web Query'!$A:$E,5,FALSE)</f>
        <v>19/10/2021</v>
      </c>
      <c r="F4145" t="str">
        <f>VLOOKUP(NoviaFunds[[#This Row],[Sector]],Sectors[],2,FALSE)</f>
        <v>Flexible</v>
      </c>
    </row>
    <row r="4146" spans="1:6" x14ac:dyDescent="0.2">
      <c r="A4146" t="str">
        <f>'Novia Web Query'!A4142</f>
        <v>GB00BD5GC076</v>
      </c>
      <c r="B4146" t="str">
        <f>VLOOKUP(NoviaFunds[[#This Row],[ISIN]],'Novia Web Query'!$A:$E,2,FALSE)</f>
        <v>TM Fulcrum Income F Acc GBP in GB</v>
      </c>
      <c r="C4146" t="str">
        <f>VLOOKUP(NoviaFunds[[#This Row],[ISIN]],'Novia Web Query'!$A:$E,3,FALSE)</f>
        <v>UT Targeted Absolute Return</v>
      </c>
      <c r="D4146" s="139">
        <f>VLOOKUP(NoviaFunds[[#This Row],[ISIN]],'Novia Web Query'!$A:$E,4,FALSE)/100</f>
        <v>5.5000000000000005E-3</v>
      </c>
      <c r="E4146" s="3" t="str">
        <f>VLOOKUP(NoviaFunds[[#This Row],[ISIN]],'Novia Web Query'!$A:$E,5,FALSE)</f>
        <v>19/10/2021</v>
      </c>
      <c r="F4146" t="str">
        <f>VLOOKUP(NoviaFunds[[#This Row],[Sector]],Sectors[],2,FALSE)</f>
        <v>Absolute Return</v>
      </c>
    </row>
    <row r="4147" spans="1:6" x14ac:dyDescent="0.2">
      <c r="A4147" t="str">
        <f>'Novia Web Query'!A4143</f>
        <v>GB00BF8F7115</v>
      </c>
      <c r="B4147" t="str">
        <f>VLOOKUP(NoviaFunds[[#This Row],[ISIN]],'Novia Web Query'!$A:$E,2,FALSE)</f>
        <v>TM Fulcrum Income F Inc GBP TR in GB</v>
      </c>
      <c r="C4147" t="str">
        <f>VLOOKUP(NoviaFunds[[#This Row],[ISIN]],'Novia Web Query'!$A:$E,3,FALSE)</f>
        <v>UT Targeted Absolute Return</v>
      </c>
      <c r="D4147" s="139">
        <f>VLOOKUP(NoviaFunds[[#This Row],[ISIN]],'Novia Web Query'!$A:$E,4,FALSE)/100</f>
        <v>5.5000000000000005E-3</v>
      </c>
      <c r="E4147" s="3" t="str">
        <f>VLOOKUP(NoviaFunds[[#This Row],[ISIN]],'Novia Web Query'!$A:$E,5,FALSE)</f>
        <v>19/10/2021</v>
      </c>
      <c r="F4147" t="str">
        <f>VLOOKUP(NoviaFunds[[#This Row],[Sector]],Sectors[],2,FALSE)</f>
        <v>Absolute Return</v>
      </c>
    </row>
    <row r="4148" spans="1:6" x14ac:dyDescent="0.2">
      <c r="A4148" t="str">
        <f>'Novia Web Query'!A4144</f>
        <v>GB00B2990B27</v>
      </c>
      <c r="B4148" t="str">
        <f>VLOOKUP(NoviaFunds[[#This Row],[ISIN]],'Novia Web Query'!$A:$E,2,FALSE)</f>
        <v>Troy Asset Management Ltd Spectrum O Acc in GB</v>
      </c>
      <c r="C4148" t="str">
        <f>VLOOKUP(NoviaFunds[[#This Row],[ISIN]],'Novia Web Query'!$A:$E,3,FALSE)</f>
        <v>UT Flexible Investment</v>
      </c>
      <c r="D4148" s="139">
        <f>VLOOKUP(NoviaFunds[[#This Row],[ISIN]],'Novia Web Query'!$A:$E,4,FALSE)/100</f>
        <v>1.4800000000000001E-2</v>
      </c>
      <c r="E4148" s="3" t="str">
        <f>VLOOKUP(NoviaFunds[[#This Row],[ISIN]],'Novia Web Query'!$A:$E,5,FALSE)</f>
        <v>19/02/2021</v>
      </c>
      <c r="F4148" t="str">
        <f>VLOOKUP(NoviaFunds[[#This Row],[Sector]],Sectors[],2,FALSE)</f>
        <v>Flexible</v>
      </c>
    </row>
    <row r="4149" spans="1:6" x14ac:dyDescent="0.2">
      <c r="A4149" t="str">
        <f>'Novia Web Query'!A4145</f>
        <v>GB00B2996V43</v>
      </c>
      <c r="B4149" t="str">
        <f>VLOOKUP(NoviaFunds[[#This Row],[ISIN]],'Novia Web Query'!$A:$E,2,FALSE)</f>
        <v>Troy Asset Management Ltd Spectrum O Inc TR in GB</v>
      </c>
      <c r="C4149" t="str">
        <f>VLOOKUP(NoviaFunds[[#This Row],[ISIN]],'Novia Web Query'!$A:$E,3,FALSE)</f>
        <v>UT Flexible Investment</v>
      </c>
      <c r="D4149" s="139">
        <f>VLOOKUP(NoviaFunds[[#This Row],[ISIN]],'Novia Web Query'!$A:$E,4,FALSE)/100</f>
        <v>1.4800000000000001E-2</v>
      </c>
      <c r="E4149" s="3" t="str">
        <f>VLOOKUP(NoviaFunds[[#This Row],[ISIN]],'Novia Web Query'!$A:$E,5,FALSE)</f>
        <v>19/02/2021</v>
      </c>
      <c r="F4149" t="str">
        <f>VLOOKUP(NoviaFunds[[#This Row],[Sector]],Sectors[],2,FALSE)</f>
        <v>Flexible</v>
      </c>
    </row>
    <row r="4150" spans="1:6" x14ac:dyDescent="0.2">
      <c r="A4150" t="str">
        <f>'Novia Web Query'!A4146</f>
        <v>GB00BYMLFK38</v>
      </c>
      <c r="B4150" t="str">
        <f>VLOOKUP(NoviaFunds[[#This Row],[ISIN]],'Novia Web Query'!$A:$E,2,FALSE)</f>
        <v>Troy Asset Management Ltd Trojan Ethical Income O Acc in GB</v>
      </c>
      <c r="C4150" t="str">
        <f>VLOOKUP(NoviaFunds[[#This Row],[ISIN]],'Novia Web Query'!$A:$E,3,FALSE)</f>
        <v>UT Unclassified</v>
      </c>
      <c r="D4150" s="139">
        <f>VLOOKUP(NoviaFunds[[#This Row],[ISIN]],'Novia Web Query'!$A:$E,4,FALSE)/100</f>
        <v>1.0200000000000001E-2</v>
      </c>
      <c r="E4150" s="3" t="str">
        <f>VLOOKUP(NoviaFunds[[#This Row],[ISIN]],'Novia Web Query'!$A:$E,5,FALSE)</f>
        <v>19/02/2021</v>
      </c>
      <c r="F4150" t="str">
        <f>VLOOKUP(NoviaFunds[[#This Row],[Sector]],Sectors[],2,FALSE)</f>
        <v>Unclassified</v>
      </c>
    </row>
    <row r="4151" spans="1:6" x14ac:dyDescent="0.2">
      <c r="A4151" t="str">
        <f>'Novia Web Query'!A4147</f>
        <v>GB00BYMLFL45</v>
      </c>
      <c r="B4151" t="str">
        <f>VLOOKUP(NoviaFunds[[#This Row],[ISIN]],'Novia Web Query'!$A:$E,2,FALSE)</f>
        <v>Troy Asset Management Ltd Trojan Ethical Income O Inc TR in GB</v>
      </c>
      <c r="C4151" t="str">
        <f>VLOOKUP(NoviaFunds[[#This Row],[ISIN]],'Novia Web Query'!$A:$E,3,FALSE)</f>
        <v>UT Unclassified</v>
      </c>
      <c r="D4151" s="139">
        <f>VLOOKUP(NoviaFunds[[#This Row],[ISIN]],'Novia Web Query'!$A:$E,4,FALSE)/100</f>
        <v>1.0200000000000001E-2</v>
      </c>
      <c r="E4151" s="3" t="str">
        <f>VLOOKUP(NoviaFunds[[#This Row],[ISIN]],'Novia Web Query'!$A:$E,5,FALSE)</f>
        <v>19/02/2021</v>
      </c>
      <c r="F4151" t="str">
        <f>VLOOKUP(NoviaFunds[[#This Row],[Sector]],Sectors[],2,FALSE)</f>
        <v>Unclassified</v>
      </c>
    </row>
    <row r="4152" spans="1:6" x14ac:dyDescent="0.2">
      <c r="A4152" t="str">
        <f>'Novia Web Query'!A4148</f>
        <v>GB00BKTW4T37</v>
      </c>
      <c r="B4152" t="str">
        <f>VLOOKUP(NoviaFunds[[#This Row],[ISIN]],'Novia Web Query'!$A:$E,2,FALSE)</f>
        <v>Troy Asset Management Ltd Trojan Ethical Income X Acc in GB**</v>
      </c>
      <c r="C4152" t="str">
        <f>VLOOKUP(NoviaFunds[[#This Row],[ISIN]],'Novia Web Query'!$A:$E,3,FALSE)</f>
        <v>UT Unclassified</v>
      </c>
      <c r="D4152" s="139">
        <f>VLOOKUP(NoviaFunds[[#This Row],[ISIN]],'Novia Web Query'!$A:$E,4,FALSE)/100</f>
        <v>8.6999999999999994E-3</v>
      </c>
      <c r="E4152" s="3" t="str">
        <f>VLOOKUP(NoviaFunds[[#This Row],[ISIN]],'Novia Web Query'!$A:$E,5,FALSE)</f>
        <v>19/02/2021</v>
      </c>
      <c r="F4152" t="str">
        <f>VLOOKUP(NoviaFunds[[#This Row],[Sector]],Sectors[],2,FALSE)</f>
        <v>Unclassified</v>
      </c>
    </row>
    <row r="4153" spans="1:6" x14ac:dyDescent="0.2">
      <c r="A4153" t="str">
        <f>'Novia Web Query'!A4149</f>
        <v>GB00BKTW4V58</v>
      </c>
      <c r="B4153" t="str">
        <f>VLOOKUP(NoviaFunds[[#This Row],[ISIN]],'Novia Web Query'!$A:$E,2,FALSE)</f>
        <v>Troy Asset Management Ltd Trojan Ethical Income X Inc TR in GB**</v>
      </c>
      <c r="C4153" t="str">
        <f>VLOOKUP(NoviaFunds[[#This Row],[ISIN]],'Novia Web Query'!$A:$E,3,FALSE)</f>
        <v>UT Unclassified</v>
      </c>
      <c r="D4153" s="139">
        <f>VLOOKUP(NoviaFunds[[#This Row],[ISIN]],'Novia Web Query'!$A:$E,4,FALSE)/100</f>
        <v>8.6999999999999994E-3</v>
      </c>
      <c r="E4153" s="3" t="str">
        <f>VLOOKUP(NoviaFunds[[#This Row],[ISIN]],'Novia Web Query'!$A:$E,5,FALSE)</f>
        <v>19/02/2021</v>
      </c>
      <c r="F4153" t="str">
        <f>VLOOKUP(NoviaFunds[[#This Row],[Sector]],Sectors[],2,FALSE)</f>
        <v>Unclassified</v>
      </c>
    </row>
    <row r="4154" spans="1:6" x14ac:dyDescent="0.2">
      <c r="A4154" t="str">
        <f>'Novia Web Query'!A4150</f>
        <v>GB00BJP0XX17</v>
      </c>
      <c r="B4154" t="str">
        <f>VLOOKUP(NoviaFunds[[#This Row],[ISIN]],'Novia Web Query'!$A:$E,2,FALSE)</f>
        <v>Troy Asset Management Ltd Trojan Ethical O Acc in GB</v>
      </c>
      <c r="C4154" t="str">
        <f>VLOOKUP(NoviaFunds[[#This Row],[ISIN]],'Novia Web Query'!$A:$E,3,FALSE)</f>
        <v>UT Flexible Investment</v>
      </c>
      <c r="D4154" s="139">
        <f>VLOOKUP(NoviaFunds[[#This Row],[ISIN]],'Novia Web Query'!$A:$E,4,FALSE)/100</f>
        <v>1.0200000000000001E-2</v>
      </c>
      <c r="E4154" s="3" t="str">
        <f>VLOOKUP(NoviaFunds[[#This Row],[ISIN]],'Novia Web Query'!$A:$E,5,FALSE)</f>
        <v>19/02/2021</v>
      </c>
      <c r="F4154" t="str">
        <f>VLOOKUP(NoviaFunds[[#This Row],[Sector]],Sectors[],2,FALSE)</f>
        <v>Flexible</v>
      </c>
    </row>
    <row r="4155" spans="1:6" x14ac:dyDescent="0.2">
      <c r="A4155" t="str">
        <f>'Novia Web Query'!A4151</f>
        <v>GB00BJP0XY24</v>
      </c>
      <c r="B4155" t="str">
        <f>VLOOKUP(NoviaFunds[[#This Row],[ISIN]],'Novia Web Query'!$A:$E,2,FALSE)</f>
        <v>Troy Asset Management Ltd Trojan Ethical O Inc TR in GB</v>
      </c>
      <c r="C4155" t="str">
        <f>VLOOKUP(NoviaFunds[[#This Row],[ISIN]],'Novia Web Query'!$A:$E,3,FALSE)</f>
        <v>UT Flexible Investment</v>
      </c>
      <c r="D4155" s="139">
        <f>VLOOKUP(NoviaFunds[[#This Row],[ISIN]],'Novia Web Query'!$A:$E,4,FALSE)/100</f>
        <v>1.0200000000000001E-2</v>
      </c>
      <c r="E4155" s="3" t="str">
        <f>VLOOKUP(NoviaFunds[[#This Row],[ISIN]],'Novia Web Query'!$A:$E,5,FALSE)</f>
        <v>19/02/2021</v>
      </c>
      <c r="F4155" t="str">
        <f>VLOOKUP(NoviaFunds[[#This Row],[Sector]],Sectors[],2,FALSE)</f>
        <v>Flexible</v>
      </c>
    </row>
    <row r="4156" spans="1:6" x14ac:dyDescent="0.2">
      <c r="A4156" t="str">
        <f>'Novia Web Query'!A4152</f>
        <v>GB00BKTW4R13</v>
      </c>
      <c r="B4156" t="str">
        <f>VLOOKUP(NoviaFunds[[#This Row],[ISIN]],'Novia Web Query'!$A:$E,2,FALSE)</f>
        <v>Troy Asset Management Ltd Trojan Ethical X Acc in GB**</v>
      </c>
      <c r="C4156" t="str">
        <f>VLOOKUP(NoviaFunds[[#This Row],[ISIN]],'Novia Web Query'!$A:$E,3,FALSE)</f>
        <v>UT Flexible Investment</v>
      </c>
      <c r="D4156" s="139">
        <f>VLOOKUP(NoviaFunds[[#This Row],[ISIN]],'Novia Web Query'!$A:$E,4,FALSE)/100</f>
        <v>8.6999999999999994E-3</v>
      </c>
      <c r="E4156" s="3" t="str">
        <f>VLOOKUP(NoviaFunds[[#This Row],[ISIN]],'Novia Web Query'!$A:$E,5,FALSE)</f>
        <v>19/02/2021</v>
      </c>
      <c r="F4156" t="str">
        <f>VLOOKUP(NoviaFunds[[#This Row],[Sector]],Sectors[],2,FALSE)</f>
        <v>Flexible</v>
      </c>
    </row>
    <row r="4157" spans="1:6" x14ac:dyDescent="0.2">
      <c r="A4157" t="str">
        <f>'Novia Web Query'!A4153</f>
        <v>GB00BKTW4S20</v>
      </c>
      <c r="B4157" t="str">
        <f>VLOOKUP(NoviaFunds[[#This Row],[ISIN]],'Novia Web Query'!$A:$E,2,FALSE)</f>
        <v>Troy Asset Management Ltd Trojan Ethical X Inc TR in GB**</v>
      </c>
      <c r="C4157" t="str">
        <f>VLOOKUP(NoviaFunds[[#This Row],[ISIN]],'Novia Web Query'!$A:$E,3,FALSE)</f>
        <v>UT Flexible Investment</v>
      </c>
      <c r="D4157" s="139">
        <f>VLOOKUP(NoviaFunds[[#This Row],[ISIN]],'Novia Web Query'!$A:$E,4,FALSE)/100</f>
        <v>8.6999999999999994E-3</v>
      </c>
      <c r="E4157" s="3" t="str">
        <f>VLOOKUP(NoviaFunds[[#This Row],[ISIN]],'Novia Web Query'!$A:$E,5,FALSE)</f>
        <v>19/02/2021</v>
      </c>
      <c r="F4157" t="str">
        <f>VLOOKUP(NoviaFunds[[#This Row],[Sector]],Sectors[],2,FALSE)</f>
        <v>Flexible</v>
      </c>
    </row>
    <row r="4158" spans="1:6" x14ac:dyDescent="0.2">
      <c r="A4158" t="str">
        <f>'Novia Web Query'!A4154</f>
        <v>GB00B0ZJNL30</v>
      </c>
      <c r="B4158" t="str">
        <f>VLOOKUP(NoviaFunds[[#This Row],[ISIN]],'Novia Web Query'!$A:$E,2,FALSE)</f>
        <v>Troy Asset Management Ltd Trojan Global Equity I Acc in GB</v>
      </c>
      <c r="C4158" t="str">
        <f>VLOOKUP(NoviaFunds[[#This Row],[ISIN]],'Novia Web Query'!$A:$E,3,FALSE)</f>
        <v>UT Global</v>
      </c>
      <c r="D4158" s="139">
        <f>VLOOKUP(NoviaFunds[[#This Row],[ISIN]],'Novia Web Query'!$A:$E,4,FALSE)/100</f>
        <v>1.4199999999999999E-2</v>
      </c>
      <c r="E4158" s="3" t="str">
        <f>VLOOKUP(NoviaFunds[[#This Row],[ISIN]],'Novia Web Query'!$A:$E,5,FALSE)</f>
        <v>19/02/2021</v>
      </c>
      <c r="F4158" t="str">
        <f>VLOOKUP(NoviaFunds[[#This Row],[Sector]],Sectors[],2,FALSE)</f>
        <v>Other Equities</v>
      </c>
    </row>
    <row r="4159" spans="1:6" x14ac:dyDescent="0.2">
      <c r="A4159" t="str">
        <f>'Novia Web Query'!A4155</f>
        <v>GB00B0ZJ5S47</v>
      </c>
      <c r="B4159" t="str">
        <f>VLOOKUP(NoviaFunds[[#This Row],[ISIN]],'Novia Web Query'!$A:$E,2,FALSE)</f>
        <v>Troy Asset Management Ltd Trojan Global Equity O Acc in GB</v>
      </c>
      <c r="C4159" t="str">
        <f>VLOOKUP(NoviaFunds[[#This Row],[ISIN]],'Novia Web Query'!$A:$E,3,FALSE)</f>
        <v>UT Global</v>
      </c>
      <c r="D4159" s="139">
        <f>VLOOKUP(NoviaFunds[[#This Row],[ISIN]],'Novia Web Query'!$A:$E,4,FALSE)/100</f>
        <v>9.1999999999999998E-3</v>
      </c>
      <c r="E4159" s="3" t="str">
        <f>VLOOKUP(NoviaFunds[[#This Row],[ISIN]],'Novia Web Query'!$A:$E,5,FALSE)</f>
        <v>19/02/2021</v>
      </c>
      <c r="F4159" t="str">
        <f>VLOOKUP(NoviaFunds[[#This Row],[Sector]],Sectors[],2,FALSE)</f>
        <v>Other Equities</v>
      </c>
    </row>
    <row r="4160" spans="1:6" x14ac:dyDescent="0.2">
      <c r="A4160" t="str">
        <f>'Novia Web Query'!A4156</f>
        <v>GB00B0ZJ0230</v>
      </c>
      <c r="B4160" t="str">
        <f>VLOOKUP(NoviaFunds[[#This Row],[ISIN]],'Novia Web Query'!$A:$E,2,FALSE)</f>
        <v>Troy Asset Management Ltd Trojan Global Equity O Inc TR in GB</v>
      </c>
      <c r="C4160" t="str">
        <f>VLOOKUP(NoviaFunds[[#This Row],[ISIN]],'Novia Web Query'!$A:$E,3,FALSE)</f>
        <v>UT Global</v>
      </c>
      <c r="D4160" s="139">
        <f>VLOOKUP(NoviaFunds[[#This Row],[ISIN]],'Novia Web Query'!$A:$E,4,FALSE)/100</f>
        <v>9.1999999999999998E-3</v>
      </c>
      <c r="E4160" s="3" t="str">
        <f>VLOOKUP(NoviaFunds[[#This Row],[ISIN]],'Novia Web Query'!$A:$E,5,FALSE)</f>
        <v>19/02/2021</v>
      </c>
      <c r="F4160" t="str">
        <f>VLOOKUP(NoviaFunds[[#This Row],[Sector]],Sectors[],2,FALSE)</f>
        <v>Other Equities</v>
      </c>
    </row>
    <row r="4161" spans="1:6" x14ac:dyDescent="0.2">
      <c r="A4161" t="str">
        <f>'Novia Web Query'!A4157</f>
        <v>GB00BD82KP33</v>
      </c>
      <c r="B4161" t="str">
        <f>VLOOKUP(NoviaFunds[[#This Row],[ISIN]],'Novia Web Query'!$A:$E,2,FALSE)</f>
        <v>Troy Asset Management Ltd Trojan Global Income O Acc in GB</v>
      </c>
      <c r="C4161" t="str">
        <f>VLOOKUP(NoviaFunds[[#This Row],[ISIN]],'Novia Web Query'!$A:$E,3,FALSE)</f>
        <v>UT Global Equity Income</v>
      </c>
      <c r="D4161" s="139">
        <f>VLOOKUP(NoviaFunds[[#This Row],[ISIN]],'Novia Web Query'!$A:$E,4,FALSE)/100</f>
        <v>9.300000000000001E-3</v>
      </c>
      <c r="E4161" s="3" t="str">
        <f>VLOOKUP(NoviaFunds[[#This Row],[ISIN]],'Novia Web Query'!$A:$E,5,FALSE)</f>
        <v>30/09/2020</v>
      </c>
      <c r="F4161" t="str">
        <f>VLOOKUP(NoviaFunds[[#This Row],[Sector]],Sectors[],2,FALSE)</f>
        <v>Other Equities</v>
      </c>
    </row>
    <row r="4162" spans="1:6" x14ac:dyDescent="0.2">
      <c r="A4162" t="str">
        <f>'Novia Web Query'!A4158</f>
        <v>GB00BD82KQ40</v>
      </c>
      <c r="B4162" t="str">
        <f>VLOOKUP(NoviaFunds[[#This Row],[ISIN]],'Novia Web Query'!$A:$E,2,FALSE)</f>
        <v>Troy Asset Management Ltd Trojan Global Income O Inc TR in GB</v>
      </c>
      <c r="C4162" t="str">
        <f>VLOOKUP(NoviaFunds[[#This Row],[ISIN]],'Novia Web Query'!$A:$E,3,FALSE)</f>
        <v>UT Global Equity Income</v>
      </c>
      <c r="D4162" s="139">
        <f>VLOOKUP(NoviaFunds[[#This Row],[ISIN]],'Novia Web Query'!$A:$E,4,FALSE)/100</f>
        <v>9.300000000000001E-3</v>
      </c>
      <c r="E4162" s="3" t="str">
        <f>VLOOKUP(NoviaFunds[[#This Row],[ISIN]],'Novia Web Query'!$A:$E,5,FALSE)</f>
        <v>30/09/2020</v>
      </c>
      <c r="F4162" t="str">
        <f>VLOOKUP(NoviaFunds[[#This Row],[Sector]],Sectors[],2,FALSE)</f>
        <v>Other Equities</v>
      </c>
    </row>
    <row r="4163" spans="1:6" x14ac:dyDescent="0.2">
      <c r="A4163" t="str">
        <f>'Novia Web Query'!A4159</f>
        <v>GB00B05KY352</v>
      </c>
      <c r="B4163" t="str">
        <f>VLOOKUP(NoviaFunds[[#This Row],[ISIN]],'Novia Web Query'!$A:$E,2,FALSE)</f>
        <v>Troy Asset Management Ltd Trojan I Acc in GB</v>
      </c>
      <c r="C4163" t="str">
        <f>VLOOKUP(NoviaFunds[[#This Row],[ISIN]],'Novia Web Query'!$A:$E,3,FALSE)</f>
        <v>UT Flexible Investment</v>
      </c>
      <c r="D4163" s="139">
        <f>VLOOKUP(NoviaFunds[[#This Row],[ISIN]],'Novia Web Query'!$A:$E,4,FALSE)/100</f>
        <v>1.5100000000000001E-2</v>
      </c>
      <c r="E4163" s="3" t="str">
        <f>VLOOKUP(NoviaFunds[[#This Row],[ISIN]],'Novia Web Query'!$A:$E,5,FALSE)</f>
        <v>19/02/2021</v>
      </c>
      <c r="F4163" t="str">
        <f>VLOOKUP(NoviaFunds[[#This Row],[Sector]],Sectors[],2,FALSE)</f>
        <v>Flexible</v>
      </c>
    </row>
    <row r="4164" spans="1:6" x14ac:dyDescent="0.2">
      <c r="A4164" t="str">
        <f>'Novia Web Query'!A4160</f>
        <v>GB00B05KY469</v>
      </c>
      <c r="B4164" t="str">
        <f>VLOOKUP(NoviaFunds[[#This Row],[ISIN]],'Novia Web Query'!$A:$E,2,FALSE)</f>
        <v>Troy Asset Management Ltd Trojan I Inc TR in GB</v>
      </c>
      <c r="C4164" t="str">
        <f>VLOOKUP(NoviaFunds[[#This Row],[ISIN]],'Novia Web Query'!$A:$E,3,FALSE)</f>
        <v>UT Flexible Investment</v>
      </c>
      <c r="D4164" s="139">
        <f>VLOOKUP(NoviaFunds[[#This Row],[ISIN]],'Novia Web Query'!$A:$E,4,FALSE)/100</f>
        <v>1.5100000000000001E-2</v>
      </c>
      <c r="E4164" s="3" t="str">
        <f>VLOOKUP(NoviaFunds[[#This Row],[ISIN]],'Novia Web Query'!$A:$E,5,FALSE)</f>
        <v>19/02/2021</v>
      </c>
      <c r="F4164" t="str">
        <f>VLOOKUP(NoviaFunds[[#This Row],[Sector]],Sectors[],2,FALSE)</f>
        <v>Flexible</v>
      </c>
    </row>
    <row r="4165" spans="1:6" x14ac:dyDescent="0.2">
      <c r="A4165" t="str">
        <f>'Novia Web Query'!A4161</f>
        <v>GB00B05K0N75</v>
      </c>
      <c r="B4165" t="str">
        <f>VLOOKUP(NoviaFunds[[#This Row],[ISIN]],'Novia Web Query'!$A:$E,2,FALSE)</f>
        <v>Troy Asset Management Ltd Trojan Income I Acc in GB</v>
      </c>
      <c r="C4165" t="str">
        <f>VLOOKUP(NoviaFunds[[#This Row],[ISIN]],'Novia Web Query'!$A:$E,3,FALSE)</f>
        <v>UT UK Equity Income</v>
      </c>
      <c r="D4165" s="139">
        <f>VLOOKUP(NoviaFunds[[#This Row],[ISIN]],'Novia Web Query'!$A:$E,4,FALSE)/100</f>
        <v>1.5100000000000001E-2</v>
      </c>
      <c r="E4165" s="3" t="str">
        <f>VLOOKUP(NoviaFunds[[#This Row],[ISIN]],'Novia Web Query'!$A:$E,5,FALSE)</f>
        <v>19/02/2021</v>
      </c>
      <c r="F4165" t="str">
        <f>VLOOKUP(NoviaFunds[[#This Row],[Sector]],Sectors[],2,FALSE)</f>
        <v>UK Equities</v>
      </c>
    </row>
    <row r="4166" spans="1:6" x14ac:dyDescent="0.2">
      <c r="A4166" t="str">
        <f>'Novia Web Query'!A4162</f>
        <v>GB00B05K0Q07</v>
      </c>
      <c r="B4166" t="str">
        <f>VLOOKUP(NoviaFunds[[#This Row],[ISIN]],'Novia Web Query'!$A:$E,2,FALSE)</f>
        <v>Troy Asset Management Ltd Trojan Income I Inc TR in GB</v>
      </c>
      <c r="C4166" t="str">
        <f>VLOOKUP(NoviaFunds[[#This Row],[ISIN]],'Novia Web Query'!$A:$E,3,FALSE)</f>
        <v>UT UK Equity Income</v>
      </c>
      <c r="D4166" s="139">
        <f>VLOOKUP(NoviaFunds[[#This Row],[ISIN]],'Novia Web Query'!$A:$E,4,FALSE)/100</f>
        <v>1.5100000000000001E-2</v>
      </c>
      <c r="E4166" s="3" t="str">
        <f>VLOOKUP(NoviaFunds[[#This Row],[ISIN]],'Novia Web Query'!$A:$E,5,FALSE)</f>
        <v>19/02/2021</v>
      </c>
      <c r="F4166" t="str">
        <f>VLOOKUP(NoviaFunds[[#This Row],[Sector]],Sectors[],2,FALSE)</f>
        <v>UK Equities</v>
      </c>
    </row>
    <row r="4167" spans="1:6" x14ac:dyDescent="0.2">
      <c r="A4167" t="str">
        <f>'Novia Web Query'!A4163</f>
        <v>GB00B01BP176</v>
      </c>
      <c r="B4167" t="str">
        <f>VLOOKUP(NoviaFunds[[#This Row],[ISIN]],'Novia Web Query'!$A:$E,2,FALSE)</f>
        <v>Troy Asset Management Ltd Trojan Income O Acc in GB</v>
      </c>
      <c r="C4167" t="str">
        <f>VLOOKUP(NoviaFunds[[#This Row],[ISIN]],'Novia Web Query'!$A:$E,3,FALSE)</f>
        <v>UT UK Equity Income</v>
      </c>
      <c r="D4167" s="139">
        <f>VLOOKUP(NoviaFunds[[#This Row],[ISIN]],'Novia Web Query'!$A:$E,4,FALSE)/100</f>
        <v>1.01E-2</v>
      </c>
      <c r="E4167" s="3" t="str">
        <f>VLOOKUP(NoviaFunds[[#This Row],[ISIN]],'Novia Web Query'!$A:$E,5,FALSE)</f>
        <v>19/02/2021</v>
      </c>
      <c r="F4167" t="str">
        <f>VLOOKUP(NoviaFunds[[#This Row],[Sector]],Sectors[],2,FALSE)</f>
        <v>UK Equities</v>
      </c>
    </row>
    <row r="4168" spans="1:6" x14ac:dyDescent="0.2">
      <c r="A4168" t="str">
        <f>'Novia Web Query'!A4164</f>
        <v>GB00B01BNW49</v>
      </c>
      <c r="B4168" t="str">
        <f>VLOOKUP(NoviaFunds[[#This Row],[ISIN]],'Novia Web Query'!$A:$E,2,FALSE)</f>
        <v>Troy Asset Management Ltd Trojan Income O Inc TR in GB</v>
      </c>
      <c r="C4168" t="str">
        <f>VLOOKUP(NoviaFunds[[#This Row],[ISIN]],'Novia Web Query'!$A:$E,3,FALSE)</f>
        <v>UT UK Equity Income</v>
      </c>
      <c r="D4168" s="139">
        <f>VLOOKUP(NoviaFunds[[#This Row],[ISIN]],'Novia Web Query'!$A:$E,4,FALSE)/100</f>
        <v>1.01E-2</v>
      </c>
      <c r="E4168" s="3" t="str">
        <f>VLOOKUP(NoviaFunds[[#This Row],[ISIN]],'Novia Web Query'!$A:$E,5,FALSE)</f>
        <v>19/02/2021</v>
      </c>
      <c r="F4168" t="str">
        <f>VLOOKUP(NoviaFunds[[#This Row],[Sector]],Sectors[],2,FALSE)</f>
        <v>UK Equities</v>
      </c>
    </row>
    <row r="4169" spans="1:6" x14ac:dyDescent="0.2">
      <c r="A4169" t="str">
        <f>'Novia Web Query'!A4165</f>
        <v>GB00BZ6CQ390</v>
      </c>
      <c r="B4169" t="str">
        <f>VLOOKUP(NoviaFunds[[#This Row],[ISIN]],'Novia Web Query'!$A:$E,2,FALSE)</f>
        <v>Troy Asset Management Ltd Trojan Income X Acc in GB</v>
      </c>
      <c r="C4169" t="str">
        <f>VLOOKUP(NoviaFunds[[#This Row],[ISIN]],'Novia Web Query'!$A:$E,3,FALSE)</f>
        <v>UT UK Equity Income</v>
      </c>
      <c r="D4169" s="139">
        <f>VLOOKUP(NoviaFunds[[#This Row],[ISIN]],'Novia Web Query'!$A:$E,4,FALSE)/100</f>
        <v>8.6E-3</v>
      </c>
      <c r="E4169" s="3" t="str">
        <f>VLOOKUP(NoviaFunds[[#This Row],[ISIN]],'Novia Web Query'!$A:$E,5,FALSE)</f>
        <v>19/02/2021</v>
      </c>
      <c r="F4169" t="str">
        <f>VLOOKUP(NoviaFunds[[#This Row],[Sector]],Sectors[],2,FALSE)</f>
        <v>UK Equities</v>
      </c>
    </row>
    <row r="4170" spans="1:6" x14ac:dyDescent="0.2">
      <c r="A4170" t="str">
        <f>'Novia Web Query'!A4166</f>
        <v>GB00BZ6CQ176</v>
      </c>
      <c r="B4170" t="str">
        <f>VLOOKUP(NoviaFunds[[#This Row],[ISIN]],'Novia Web Query'!$A:$E,2,FALSE)</f>
        <v>Troy Asset Management Ltd Trojan Income X Inc TR in GB</v>
      </c>
      <c r="C4170" t="str">
        <f>VLOOKUP(NoviaFunds[[#This Row],[ISIN]],'Novia Web Query'!$A:$E,3,FALSE)</f>
        <v>UT UK Equity Income</v>
      </c>
      <c r="D4170" s="139">
        <f>VLOOKUP(NoviaFunds[[#This Row],[ISIN]],'Novia Web Query'!$A:$E,4,FALSE)/100</f>
        <v>8.6E-3</v>
      </c>
      <c r="E4170" s="3" t="str">
        <f>VLOOKUP(NoviaFunds[[#This Row],[ISIN]],'Novia Web Query'!$A:$E,5,FALSE)</f>
        <v>19/02/2021</v>
      </c>
      <c r="F4170" t="str">
        <f>VLOOKUP(NoviaFunds[[#This Row],[Sector]],Sectors[],2,FALSE)</f>
        <v>UK Equities</v>
      </c>
    </row>
    <row r="4171" spans="1:6" x14ac:dyDescent="0.2">
      <c r="A4171" t="str">
        <f>'Novia Web Query'!A4167</f>
        <v>GB00B01BP952</v>
      </c>
      <c r="B4171" t="str">
        <f>VLOOKUP(NoviaFunds[[#This Row],[ISIN]],'Novia Web Query'!$A:$E,2,FALSE)</f>
        <v>Troy Asset Management Ltd Trojan O Acc TR in GB**</v>
      </c>
      <c r="C4171" t="str">
        <f>VLOOKUP(NoviaFunds[[#This Row],[ISIN]],'Novia Web Query'!$A:$E,3,FALSE)</f>
        <v>UT Flexible Investment</v>
      </c>
      <c r="D4171" s="139">
        <f>VLOOKUP(NoviaFunds[[#This Row],[ISIN]],'Novia Web Query'!$A:$E,4,FALSE)/100</f>
        <v>1.01E-2</v>
      </c>
      <c r="E4171" s="3" t="str">
        <f>VLOOKUP(NoviaFunds[[#This Row],[ISIN]],'Novia Web Query'!$A:$E,5,FALSE)</f>
        <v>19/02/2021</v>
      </c>
      <c r="F4171" t="str">
        <f>VLOOKUP(NoviaFunds[[#This Row],[Sector]],Sectors[],2,FALSE)</f>
        <v>Flexible</v>
      </c>
    </row>
    <row r="4172" spans="1:6" x14ac:dyDescent="0.2">
      <c r="A4172" t="str">
        <f>'Novia Web Query'!A4168</f>
        <v>GB0034243732</v>
      </c>
      <c r="B4172" t="str">
        <f>VLOOKUP(NoviaFunds[[#This Row],[ISIN]],'Novia Web Query'!$A:$E,2,FALSE)</f>
        <v>Troy Asset Management Ltd Trojan O Inc TR in GB</v>
      </c>
      <c r="C4172" t="str">
        <f>VLOOKUP(NoviaFunds[[#This Row],[ISIN]],'Novia Web Query'!$A:$E,3,FALSE)</f>
        <v>UT Flexible Investment</v>
      </c>
      <c r="D4172" s="139">
        <f>VLOOKUP(NoviaFunds[[#This Row],[ISIN]],'Novia Web Query'!$A:$E,4,FALSE)/100</f>
        <v>1.01E-2</v>
      </c>
      <c r="E4172" s="3" t="str">
        <f>VLOOKUP(NoviaFunds[[#This Row],[ISIN]],'Novia Web Query'!$A:$E,5,FALSE)</f>
        <v>19/02/2021</v>
      </c>
      <c r="F4172" t="str">
        <f>VLOOKUP(NoviaFunds[[#This Row],[Sector]],Sectors[],2,FALSE)</f>
        <v>Flexible</v>
      </c>
    </row>
    <row r="4173" spans="1:6" x14ac:dyDescent="0.2">
      <c r="A4173" t="str">
        <f>'Novia Web Query'!A4169</f>
        <v>GB00BZ6CNS31</v>
      </c>
      <c r="B4173" t="str">
        <f>VLOOKUP(NoviaFunds[[#This Row],[ISIN]],'Novia Web Query'!$A:$E,2,FALSE)</f>
        <v>Troy Asset Management Ltd Trojan X Acc in GB</v>
      </c>
      <c r="C4173" t="str">
        <f>VLOOKUP(NoviaFunds[[#This Row],[ISIN]],'Novia Web Query'!$A:$E,3,FALSE)</f>
        <v>UT Flexible Investment</v>
      </c>
      <c r="D4173" s="139">
        <f>VLOOKUP(NoviaFunds[[#This Row],[ISIN]],'Novia Web Query'!$A:$E,4,FALSE)/100</f>
        <v>8.6E-3</v>
      </c>
      <c r="E4173" s="3" t="str">
        <f>VLOOKUP(NoviaFunds[[#This Row],[ISIN]],'Novia Web Query'!$A:$E,5,FALSE)</f>
        <v>19/02/2021</v>
      </c>
      <c r="F4173" t="str">
        <f>VLOOKUP(NoviaFunds[[#This Row],[Sector]],Sectors[],2,FALSE)</f>
        <v>Flexible</v>
      </c>
    </row>
    <row r="4174" spans="1:6" x14ac:dyDescent="0.2">
      <c r="A4174" t="str">
        <f>'Novia Web Query'!A4170</f>
        <v>GB00BZ6CQ069</v>
      </c>
      <c r="B4174" t="str">
        <f>VLOOKUP(NoviaFunds[[#This Row],[ISIN]],'Novia Web Query'!$A:$E,2,FALSE)</f>
        <v>Troy Asset Management Ltd Trojan X Inc TR in GB</v>
      </c>
      <c r="C4174" t="str">
        <f>VLOOKUP(NoviaFunds[[#This Row],[ISIN]],'Novia Web Query'!$A:$E,3,FALSE)</f>
        <v>UT Flexible Investment</v>
      </c>
      <c r="D4174" s="139">
        <f>VLOOKUP(NoviaFunds[[#This Row],[ISIN]],'Novia Web Query'!$A:$E,4,FALSE)/100</f>
        <v>8.6E-3</v>
      </c>
      <c r="E4174" s="3" t="str">
        <f>VLOOKUP(NoviaFunds[[#This Row],[ISIN]],'Novia Web Query'!$A:$E,5,FALSE)</f>
        <v>19/02/2021</v>
      </c>
      <c r="F4174" t="str">
        <f>VLOOKUP(NoviaFunds[[#This Row],[Sector]],Sectors[],2,FALSE)</f>
        <v>Flexible</v>
      </c>
    </row>
    <row r="4175" spans="1:6" x14ac:dyDescent="0.2">
      <c r="A4175" t="str">
        <f>'Novia Web Query'!A4171</f>
        <v>GB00B5M01B05</v>
      </c>
      <c r="B4175" t="str">
        <f>VLOOKUP(NoviaFunds[[#This Row],[ISIN]],'Novia Web Query'!$A:$E,2,FALSE)</f>
        <v>TwentyFour Dynamic Bond A Gr Inc GBP TR in GB</v>
      </c>
      <c r="C4175" t="str">
        <f>VLOOKUP(NoviaFunds[[#This Row],[ISIN]],'Novia Web Query'!$A:$E,3,FALSE)</f>
        <v>UT Sterling Strategic Bond</v>
      </c>
      <c r="D4175" s="139">
        <f>VLOOKUP(NoviaFunds[[#This Row],[ISIN]],'Novia Web Query'!$A:$E,4,FALSE)/100</f>
        <v>1.3000000000000001E-2</v>
      </c>
      <c r="E4175" s="3" t="str">
        <f>VLOOKUP(NoviaFunds[[#This Row],[ISIN]],'Novia Web Query'!$A:$E,5,FALSE)</f>
        <v>31/03/2020</v>
      </c>
      <c r="F4175" t="str">
        <f>VLOOKUP(NoviaFunds[[#This Row],[Sector]],Sectors[],2,FALSE)</f>
        <v>Other Bonds</v>
      </c>
    </row>
    <row r="4176" spans="1:6" x14ac:dyDescent="0.2">
      <c r="A4176" t="str">
        <f>'Novia Web Query'!A4172</f>
        <v>GB00B5KPRZ34</v>
      </c>
      <c r="B4176" t="str">
        <f>VLOOKUP(NoviaFunds[[#This Row],[ISIN]],'Novia Web Query'!$A:$E,2,FALSE)</f>
        <v>TwentyFour Dynamic Bond A Net Acc GBP in GB</v>
      </c>
      <c r="C4176" t="str">
        <f>VLOOKUP(NoviaFunds[[#This Row],[ISIN]],'Novia Web Query'!$A:$E,3,FALSE)</f>
        <v>UT Sterling Strategic Bond</v>
      </c>
      <c r="D4176" s="139">
        <f>VLOOKUP(NoviaFunds[[#This Row],[ISIN]],'Novia Web Query'!$A:$E,4,FALSE)/100</f>
        <v>1.3000000000000001E-2</v>
      </c>
      <c r="E4176" s="3" t="str">
        <f>VLOOKUP(NoviaFunds[[#This Row],[ISIN]],'Novia Web Query'!$A:$E,5,FALSE)</f>
        <v>31/03/2020</v>
      </c>
      <c r="F4176" t="str">
        <f>VLOOKUP(NoviaFunds[[#This Row],[Sector]],Sectors[],2,FALSE)</f>
        <v>Other Bonds</v>
      </c>
    </row>
    <row r="4177" spans="1:6" x14ac:dyDescent="0.2">
      <c r="A4177" t="str">
        <f>'Novia Web Query'!A4173</f>
        <v>GB00B5VNH238</v>
      </c>
      <c r="B4177" t="str">
        <f>VLOOKUP(NoviaFunds[[#This Row],[ISIN]],'Novia Web Query'!$A:$E,2,FALSE)</f>
        <v>TwentyFour Dynamic Bond I Gr Acc GBP in GB</v>
      </c>
      <c r="C4177" t="str">
        <f>VLOOKUP(NoviaFunds[[#This Row],[ISIN]],'Novia Web Query'!$A:$E,3,FALSE)</f>
        <v>UT Sterling Strategic Bond</v>
      </c>
      <c r="D4177" s="139">
        <f>VLOOKUP(NoviaFunds[[#This Row],[ISIN]],'Novia Web Query'!$A:$E,4,FALSE)/100</f>
        <v>7.8000000000000005E-3</v>
      </c>
      <c r="E4177" s="3" t="str">
        <f>VLOOKUP(NoviaFunds[[#This Row],[ISIN]],'Novia Web Query'!$A:$E,5,FALSE)</f>
        <v>30/09/2020</v>
      </c>
      <c r="F4177" t="str">
        <f>VLOOKUP(NoviaFunds[[#This Row],[Sector]],Sectors[],2,FALSE)</f>
        <v>Other Bonds</v>
      </c>
    </row>
    <row r="4178" spans="1:6" x14ac:dyDescent="0.2">
      <c r="A4178" t="str">
        <f>'Novia Web Query'!A4174</f>
        <v>GB00B57GX403</v>
      </c>
      <c r="B4178" t="str">
        <f>VLOOKUP(NoviaFunds[[#This Row],[ISIN]],'Novia Web Query'!$A:$E,2,FALSE)</f>
        <v>TwentyFour Dynamic Bond I Gr Inc GBP TR in GB</v>
      </c>
      <c r="C4178" t="str">
        <f>VLOOKUP(NoviaFunds[[#This Row],[ISIN]],'Novia Web Query'!$A:$E,3,FALSE)</f>
        <v>UT Sterling Strategic Bond</v>
      </c>
      <c r="D4178" s="139">
        <f>VLOOKUP(NoviaFunds[[#This Row],[ISIN]],'Novia Web Query'!$A:$E,4,FALSE)/100</f>
        <v>7.8000000000000005E-3</v>
      </c>
      <c r="E4178" s="3" t="str">
        <f>VLOOKUP(NoviaFunds[[#This Row],[ISIN]],'Novia Web Query'!$A:$E,5,FALSE)</f>
        <v>30/09/2020</v>
      </c>
      <c r="F4178" t="str">
        <f>VLOOKUP(NoviaFunds[[#This Row],[Sector]],Sectors[],2,FALSE)</f>
        <v>Other Bonds</v>
      </c>
    </row>
    <row r="4179" spans="1:6" x14ac:dyDescent="0.2">
      <c r="A4179" t="str">
        <f>'Novia Web Query'!A4175</f>
        <v>GB00B5VRV677</v>
      </c>
      <c r="B4179" t="str">
        <f>VLOOKUP(NoviaFunds[[#This Row],[ISIN]],'Novia Web Query'!$A:$E,2,FALSE)</f>
        <v>TwentyFour Dynamic Bond I Net Acc GBP in GB</v>
      </c>
      <c r="C4179" t="str">
        <f>VLOOKUP(NoviaFunds[[#This Row],[ISIN]],'Novia Web Query'!$A:$E,3,FALSE)</f>
        <v>UT Sterling Strategic Bond</v>
      </c>
      <c r="D4179" s="139">
        <f>VLOOKUP(NoviaFunds[[#This Row],[ISIN]],'Novia Web Query'!$A:$E,4,FALSE)/100</f>
        <v>7.8000000000000005E-3</v>
      </c>
      <c r="E4179" s="3" t="str">
        <f>VLOOKUP(NoviaFunds[[#This Row],[ISIN]],'Novia Web Query'!$A:$E,5,FALSE)</f>
        <v>30/09/2020</v>
      </c>
      <c r="F4179" t="str">
        <f>VLOOKUP(NoviaFunds[[#This Row],[Sector]],Sectors[],2,FALSE)</f>
        <v>Other Bonds</v>
      </c>
    </row>
    <row r="4180" spans="1:6" x14ac:dyDescent="0.2">
      <c r="A4180" t="str">
        <f>'Novia Web Query'!A4176</f>
        <v>GB00B57TXN82</v>
      </c>
      <c r="B4180" t="str">
        <f>VLOOKUP(NoviaFunds[[#This Row],[ISIN]],'Novia Web Query'!$A:$E,2,FALSE)</f>
        <v>TwentyFour Dynamic Bond I Net Inc GBP TR in GB</v>
      </c>
      <c r="C4180" t="str">
        <f>VLOOKUP(NoviaFunds[[#This Row],[ISIN]],'Novia Web Query'!$A:$E,3,FALSE)</f>
        <v>UT Sterling Strategic Bond</v>
      </c>
      <c r="D4180" s="139">
        <f>VLOOKUP(NoviaFunds[[#This Row],[ISIN]],'Novia Web Query'!$A:$E,4,FALSE)/100</f>
        <v>7.8000000000000005E-3</v>
      </c>
      <c r="E4180" s="3" t="str">
        <f>VLOOKUP(NoviaFunds[[#This Row],[ISIN]],'Novia Web Query'!$A:$E,5,FALSE)</f>
        <v>30/09/2020</v>
      </c>
      <c r="F4180" t="str">
        <f>VLOOKUP(NoviaFunds[[#This Row],[Sector]],Sectors[],2,FALSE)</f>
        <v>Other Bonds</v>
      </c>
    </row>
    <row r="4181" spans="1:6" x14ac:dyDescent="0.2">
      <c r="A4181" t="str">
        <f>'Novia Web Query'!A4177</f>
        <v>GB00B8BG8H54</v>
      </c>
      <c r="B4181" t="str">
        <f>VLOOKUP(NoviaFunds[[#This Row],[ISIN]],'Novia Web Query'!$A:$E,2,FALSE)</f>
        <v>TwentyFour Dynamic Bond M Gr Inc GBP TR in GB**</v>
      </c>
      <c r="C4181" t="str">
        <f>VLOOKUP(NoviaFunds[[#This Row],[ISIN]],'Novia Web Query'!$A:$E,3,FALSE)</f>
        <v>UT Sterling Strategic Bond</v>
      </c>
      <c r="D4181" s="139">
        <f>VLOOKUP(NoviaFunds[[#This Row],[ISIN]],'Novia Web Query'!$A:$E,4,FALSE)/100</f>
        <v>7.8000000000000005E-3</v>
      </c>
      <c r="E4181" s="3" t="str">
        <f>VLOOKUP(NoviaFunds[[#This Row],[ISIN]],'Novia Web Query'!$A:$E,5,FALSE)</f>
        <v>30/09/2020</v>
      </c>
      <c r="F4181" t="str">
        <f>VLOOKUP(NoviaFunds[[#This Row],[Sector]],Sectors[],2,FALSE)</f>
        <v>Other Bonds</v>
      </c>
    </row>
    <row r="4182" spans="1:6" x14ac:dyDescent="0.2">
      <c r="A4182" t="str">
        <f>'Novia Web Query'!A4178</f>
        <v>GB00B3VH8W86</v>
      </c>
      <c r="B4182" t="str">
        <f>VLOOKUP(NoviaFunds[[#This Row],[ISIN]],'Novia Web Query'!$A:$E,2,FALSE)</f>
        <v>TwentyFour Monument Bond A Net Acc GBP in GB</v>
      </c>
      <c r="C4182" t="str">
        <f>VLOOKUP(NoviaFunds[[#This Row],[ISIN]],'Novia Web Query'!$A:$E,3,FALSE)</f>
        <v>UT Specialist</v>
      </c>
      <c r="D4182" s="139">
        <f>VLOOKUP(NoviaFunds[[#This Row],[ISIN]],'Novia Web Query'!$A:$E,4,FALSE)/100</f>
        <v>1.0800000000000001E-2</v>
      </c>
      <c r="E4182" s="3" t="str">
        <f>VLOOKUP(NoviaFunds[[#This Row],[ISIN]],'Novia Web Query'!$A:$E,5,FALSE)</f>
        <v>30/09/2020</v>
      </c>
      <c r="F4182" t="str">
        <f>VLOOKUP(NoviaFunds[[#This Row],[Sector]],Sectors[],2,FALSE)</f>
        <v>Specialist</v>
      </c>
    </row>
    <row r="4183" spans="1:6" x14ac:dyDescent="0.2">
      <c r="A4183" t="str">
        <f>'Novia Web Query'!A4179</f>
        <v>GB00B4XMPS34</v>
      </c>
      <c r="B4183" t="str">
        <f>VLOOKUP(NoviaFunds[[#This Row],[ISIN]],'Novia Web Query'!$A:$E,2,FALSE)</f>
        <v>TwentyFour Monument Bond I Gr Acc GBP in GB</v>
      </c>
      <c r="C4183" t="str">
        <f>VLOOKUP(NoviaFunds[[#This Row],[ISIN]],'Novia Web Query'!$A:$E,3,FALSE)</f>
        <v>UT Specialist</v>
      </c>
      <c r="D4183" s="139">
        <f>VLOOKUP(NoviaFunds[[#This Row],[ISIN]],'Novia Web Query'!$A:$E,4,FALSE)/100</f>
        <v>6.3E-3</v>
      </c>
      <c r="E4183" s="3" t="str">
        <f>VLOOKUP(NoviaFunds[[#This Row],[ISIN]],'Novia Web Query'!$A:$E,5,FALSE)</f>
        <v>30/09/2020</v>
      </c>
      <c r="F4183" t="str">
        <f>VLOOKUP(NoviaFunds[[#This Row],[Sector]],Sectors[],2,FALSE)</f>
        <v>Specialist</v>
      </c>
    </row>
    <row r="4184" spans="1:6" x14ac:dyDescent="0.2">
      <c r="A4184" t="str">
        <f>'Novia Web Query'!A4180</f>
        <v>GB00B4XCQT18</v>
      </c>
      <c r="B4184" t="str">
        <f>VLOOKUP(NoviaFunds[[#This Row],[ISIN]],'Novia Web Query'!$A:$E,2,FALSE)</f>
        <v>TwentyFour Monument Bond I Gr Inc GBP TR in GB</v>
      </c>
      <c r="C4184" t="str">
        <f>VLOOKUP(NoviaFunds[[#This Row],[ISIN]],'Novia Web Query'!$A:$E,3,FALSE)</f>
        <v>UT Specialist</v>
      </c>
      <c r="D4184" s="139">
        <f>VLOOKUP(NoviaFunds[[#This Row],[ISIN]],'Novia Web Query'!$A:$E,4,FALSE)/100</f>
        <v>6.3E-3</v>
      </c>
      <c r="E4184" s="3" t="str">
        <f>VLOOKUP(NoviaFunds[[#This Row],[ISIN]],'Novia Web Query'!$A:$E,5,FALSE)</f>
        <v>30/09/2020</v>
      </c>
      <c r="F4184" t="str">
        <f>VLOOKUP(NoviaFunds[[#This Row],[Sector]],Sectors[],2,FALSE)</f>
        <v>Specialist</v>
      </c>
    </row>
    <row r="4185" spans="1:6" x14ac:dyDescent="0.2">
      <c r="A4185" t="str">
        <f>'Novia Web Query'!A4181</f>
        <v>GB00B3V5V897</v>
      </c>
      <c r="B4185" t="str">
        <f>VLOOKUP(NoviaFunds[[#This Row],[ISIN]],'Novia Web Query'!$A:$E,2,FALSE)</f>
        <v>TwentyFour Monument Bond I Net Acc GBP in GB</v>
      </c>
      <c r="C4185" t="str">
        <f>VLOOKUP(NoviaFunds[[#This Row],[ISIN]],'Novia Web Query'!$A:$E,3,FALSE)</f>
        <v>UT Specialist</v>
      </c>
      <c r="D4185" s="139">
        <f>VLOOKUP(NoviaFunds[[#This Row],[ISIN]],'Novia Web Query'!$A:$E,4,FALSE)/100</f>
        <v>6.3E-3</v>
      </c>
      <c r="E4185" s="3" t="str">
        <f>VLOOKUP(NoviaFunds[[#This Row],[ISIN]],'Novia Web Query'!$A:$E,5,FALSE)</f>
        <v>30/09/2020</v>
      </c>
      <c r="F4185" t="str">
        <f>VLOOKUP(NoviaFunds[[#This Row],[Sector]],Sectors[],2,FALSE)</f>
        <v>Specialist</v>
      </c>
    </row>
    <row r="4186" spans="1:6" x14ac:dyDescent="0.2">
      <c r="A4186" t="str">
        <f>'Novia Web Query'!A4182</f>
        <v>GB00B3XVTT21</v>
      </c>
      <c r="B4186" t="str">
        <f>VLOOKUP(NoviaFunds[[#This Row],[ISIN]],'Novia Web Query'!$A:$E,2,FALSE)</f>
        <v>TwentyFour Monument Bond I Net Inc GBP TR in GB</v>
      </c>
      <c r="C4186" t="str">
        <f>VLOOKUP(NoviaFunds[[#This Row],[ISIN]],'Novia Web Query'!$A:$E,3,FALSE)</f>
        <v>UT Specialist</v>
      </c>
      <c r="D4186" s="139">
        <f>VLOOKUP(NoviaFunds[[#This Row],[ISIN]],'Novia Web Query'!$A:$E,4,FALSE)/100</f>
        <v>6.3E-3</v>
      </c>
      <c r="E4186" s="3" t="str">
        <f>VLOOKUP(NoviaFunds[[#This Row],[ISIN]],'Novia Web Query'!$A:$E,5,FALSE)</f>
        <v>30/09/2020</v>
      </c>
      <c r="F4186" t="str">
        <f>VLOOKUP(NoviaFunds[[#This Row],[Sector]],Sectors[],2,FALSE)</f>
        <v>Specialist</v>
      </c>
    </row>
    <row r="4187" spans="1:6" x14ac:dyDescent="0.2">
      <c r="A4187" t="str">
        <f>'Novia Web Query'!A4183</f>
        <v>GB00BDD9NG10</v>
      </c>
      <c r="B4187" t="str">
        <f>VLOOKUP(NoviaFunds[[#This Row],[ISIN]],'Novia Web Query'!$A:$E,2,FALSE)</f>
        <v>TwentyFour Monument Bond L Acc GBP in GB**</v>
      </c>
      <c r="C4187" t="str">
        <f>VLOOKUP(NoviaFunds[[#This Row],[ISIN]],'Novia Web Query'!$A:$E,3,FALSE)</f>
        <v>UT Specialist</v>
      </c>
      <c r="D4187" s="139">
        <f>VLOOKUP(NoviaFunds[[#This Row],[ISIN]],'Novia Web Query'!$A:$E,4,FALSE)/100</f>
        <v>3.8E-3</v>
      </c>
      <c r="E4187" s="3" t="str">
        <f>VLOOKUP(NoviaFunds[[#This Row],[ISIN]],'Novia Web Query'!$A:$E,5,FALSE)</f>
        <v>30/09/2020</v>
      </c>
      <c r="F4187" t="str">
        <f>VLOOKUP(NoviaFunds[[#This Row],[Sector]],Sectors[],2,FALSE)</f>
        <v>Specialist</v>
      </c>
    </row>
    <row r="4188" spans="1:6" x14ac:dyDescent="0.2">
      <c r="A4188" t="str">
        <f>'Novia Web Query'!A4184</f>
        <v>GB00BDD9NJ41</v>
      </c>
      <c r="B4188" t="str">
        <f>VLOOKUP(NoviaFunds[[#This Row],[ISIN]],'Novia Web Query'!$A:$E,2,FALSE)</f>
        <v>TwentyFour Monument Bond L Gr Acc GBP in GB**</v>
      </c>
      <c r="C4188" t="str">
        <f>VLOOKUP(NoviaFunds[[#This Row],[ISIN]],'Novia Web Query'!$A:$E,3,FALSE)</f>
        <v>UT Specialist</v>
      </c>
      <c r="D4188" s="139">
        <f>VLOOKUP(NoviaFunds[[#This Row],[ISIN]],'Novia Web Query'!$A:$E,4,FALSE)/100</f>
        <v>3.8E-3</v>
      </c>
      <c r="E4188" s="3" t="str">
        <f>VLOOKUP(NoviaFunds[[#This Row],[ISIN]],'Novia Web Query'!$A:$E,5,FALSE)</f>
        <v>30/09/2020</v>
      </c>
      <c r="F4188" t="str">
        <f>VLOOKUP(NoviaFunds[[#This Row],[Sector]],Sectors[],2,FALSE)</f>
        <v>Specialist</v>
      </c>
    </row>
    <row r="4189" spans="1:6" x14ac:dyDescent="0.2">
      <c r="A4189" t="str">
        <f>'Novia Web Query'!A4185</f>
        <v>GB00BDD9NH27</v>
      </c>
      <c r="B4189" t="str">
        <f>VLOOKUP(NoviaFunds[[#This Row],[ISIN]],'Novia Web Query'!$A:$E,2,FALSE)</f>
        <v>TwentyFour Monument Bond L Gr Inc GBP TR in GB**</v>
      </c>
      <c r="C4189" t="str">
        <f>VLOOKUP(NoviaFunds[[#This Row],[ISIN]],'Novia Web Query'!$A:$E,3,FALSE)</f>
        <v>UT Specialist</v>
      </c>
      <c r="D4189" s="139">
        <f>VLOOKUP(NoviaFunds[[#This Row],[ISIN]],'Novia Web Query'!$A:$E,4,FALSE)/100</f>
        <v>3.8E-3</v>
      </c>
      <c r="E4189" s="3" t="str">
        <f>VLOOKUP(NoviaFunds[[#This Row],[ISIN]],'Novia Web Query'!$A:$E,5,FALSE)</f>
        <v>30/09/2020</v>
      </c>
      <c r="F4189" t="str">
        <f>VLOOKUP(NoviaFunds[[#This Row],[Sector]],Sectors[],2,FALSE)</f>
        <v>Specialist</v>
      </c>
    </row>
    <row r="4190" spans="1:6" x14ac:dyDescent="0.2">
      <c r="A4190" t="str">
        <f>'Novia Web Query'!A4186</f>
        <v>GB00BDD9NF03</v>
      </c>
      <c r="B4190" t="str">
        <f>VLOOKUP(NoviaFunds[[#This Row],[ISIN]],'Novia Web Query'!$A:$E,2,FALSE)</f>
        <v>TwentyFour Monument Bond L Inc GBP TR in GB**</v>
      </c>
      <c r="C4190" t="str">
        <f>VLOOKUP(NoviaFunds[[#This Row],[ISIN]],'Novia Web Query'!$A:$E,3,FALSE)</f>
        <v>UT Specialist</v>
      </c>
      <c r="D4190" s="139">
        <f>VLOOKUP(NoviaFunds[[#This Row],[ISIN]],'Novia Web Query'!$A:$E,4,FALSE)/100</f>
        <v>3.8E-3</v>
      </c>
      <c r="E4190" s="3" t="str">
        <f>VLOOKUP(NoviaFunds[[#This Row],[ISIN]],'Novia Web Query'!$A:$E,5,FALSE)</f>
        <v>30/09/2020</v>
      </c>
      <c r="F4190" t="str">
        <f>VLOOKUP(NoviaFunds[[#This Row],[Sector]],Sectors[],2,FALSE)</f>
        <v>Specialist</v>
      </c>
    </row>
    <row r="4191" spans="1:6" x14ac:dyDescent="0.2">
      <c r="A4191" t="str">
        <f>'Novia Web Query'!A4187</f>
        <v>GB00BX9C1L56</v>
      </c>
      <c r="B4191" t="str">
        <f>VLOOKUP(NoviaFunds[[#This Row],[ISIN]],'Novia Web Query'!$A:$E,2,FALSE)</f>
        <v>UBS FTSE RAFI Developed 1000 Index C Acc TR in GB**</v>
      </c>
      <c r="C4191" t="str">
        <f>VLOOKUP(NoviaFunds[[#This Row],[ISIN]],'Novia Web Query'!$A:$E,3,FALSE)</f>
        <v>UT Global</v>
      </c>
      <c r="D4191" s="139">
        <f>VLOOKUP(NoviaFunds[[#This Row],[ISIN]],'Novia Web Query'!$A:$E,4,FALSE)/100</f>
        <v>2.5000000000000001E-3</v>
      </c>
      <c r="E4191" s="3" t="str">
        <f>VLOOKUP(NoviaFunds[[#This Row],[ISIN]],'Novia Web Query'!$A:$E,5,FALSE)</f>
        <v>04/02/2021</v>
      </c>
      <c r="F4191" t="str">
        <f>VLOOKUP(NoviaFunds[[#This Row],[Sector]],Sectors[],2,FALSE)</f>
        <v>Other Equities</v>
      </c>
    </row>
    <row r="4192" spans="1:6" x14ac:dyDescent="0.2">
      <c r="A4192" t="str">
        <f>'Novia Web Query'!A4188</f>
        <v>GB00B4MGDQ07</v>
      </c>
      <c r="B4192" t="str">
        <f>VLOOKUP(NoviaFunds[[#This Row],[ISIN]],'Novia Web Query'!$A:$E,2,FALSE)</f>
        <v>UBS Global Allocation UK C Acc in GB</v>
      </c>
      <c r="C4192" t="str">
        <f>VLOOKUP(NoviaFunds[[#This Row],[ISIN]],'Novia Web Query'!$A:$E,3,FALSE)</f>
        <v>UT Mixed Investment 40-85% Shares</v>
      </c>
      <c r="D4192" s="139">
        <f>VLOOKUP(NoviaFunds[[#This Row],[ISIN]],'Novia Web Query'!$A:$E,4,FALSE)/100</f>
        <v>8.3000000000000001E-3</v>
      </c>
      <c r="E4192" s="3" t="str">
        <f>VLOOKUP(NoviaFunds[[#This Row],[ISIN]],'Novia Web Query'!$A:$E,5,FALSE)</f>
        <v>04/02/2021</v>
      </c>
      <c r="F4192" t="str">
        <f>VLOOKUP(NoviaFunds[[#This Row],[Sector]],Sectors[],2,FALSE)</f>
        <v>Mixed 40%-85%</v>
      </c>
    </row>
    <row r="4193" spans="1:6" x14ac:dyDescent="0.2">
      <c r="A4193" t="str">
        <f>'Novia Web Query'!A4189</f>
        <v>GB00BKMDQ539</v>
      </c>
      <c r="B4193" t="str">
        <f>VLOOKUP(NoviaFunds[[#This Row],[ISIN]],'Novia Web Query'!$A:$E,2,FALSE)</f>
        <v>UBS Global Diversified Income R Acc in GB**</v>
      </c>
      <c r="C4193" t="str">
        <f>VLOOKUP(NoviaFunds[[#This Row],[ISIN]],'Novia Web Query'!$A:$E,3,FALSE)</f>
        <v>UT Mixed Investment 20-60% Shares</v>
      </c>
      <c r="D4193" s="139">
        <f>VLOOKUP(NoviaFunds[[#This Row],[ISIN]],'Novia Web Query'!$A:$E,4,FALSE)/100</f>
        <v>5.6999999999999993E-3</v>
      </c>
      <c r="E4193" s="3" t="str">
        <f>VLOOKUP(NoviaFunds[[#This Row],[ISIN]],'Novia Web Query'!$A:$E,5,FALSE)</f>
        <v>29/12/2021</v>
      </c>
      <c r="F4193" t="str">
        <f>VLOOKUP(NoviaFunds[[#This Row],[Sector]],Sectors[],2,FALSE)</f>
        <v>Mixed 20%-60%</v>
      </c>
    </row>
    <row r="4194" spans="1:6" x14ac:dyDescent="0.2">
      <c r="A4194" t="str">
        <f>'Novia Web Query'!A4190</f>
        <v>GB00BKMDQ646</v>
      </c>
      <c r="B4194" t="str">
        <f>VLOOKUP(NoviaFunds[[#This Row],[ISIN]],'Novia Web Query'!$A:$E,2,FALSE)</f>
        <v>UBS Global Diversified Income R Inc TR in GB**</v>
      </c>
      <c r="C4194" t="str">
        <f>VLOOKUP(NoviaFunds[[#This Row],[ISIN]],'Novia Web Query'!$A:$E,3,FALSE)</f>
        <v>UT Mixed Investment 20-60% Shares</v>
      </c>
      <c r="D4194" s="139">
        <f>VLOOKUP(NoviaFunds[[#This Row],[ISIN]],'Novia Web Query'!$A:$E,4,FALSE)/100</f>
        <v>5.6999999999999993E-3</v>
      </c>
      <c r="E4194" s="3" t="str">
        <f>VLOOKUP(NoviaFunds[[#This Row],[ISIN]],'Novia Web Query'!$A:$E,5,FALSE)</f>
        <v>29/12/2021</v>
      </c>
      <c r="F4194" t="str">
        <f>VLOOKUP(NoviaFunds[[#This Row],[Sector]],Sectors[],2,FALSE)</f>
        <v>Mixed 20%-60%</v>
      </c>
    </row>
    <row r="4195" spans="1:6" x14ac:dyDescent="0.2">
      <c r="A4195" t="str">
        <f>'Novia Web Query'!A4191</f>
        <v>GB00B7L34154</v>
      </c>
      <c r="B4195" t="str">
        <f>VLOOKUP(NoviaFunds[[#This Row],[ISIN]],'Novia Web Query'!$A:$E,2,FALSE)</f>
        <v>UBS Global Emerging Markets Equity C Acc in GB</v>
      </c>
      <c r="C4195" t="str">
        <f>VLOOKUP(NoviaFunds[[#This Row],[ISIN]],'Novia Web Query'!$A:$E,3,FALSE)</f>
        <v>UT Global Emerging Markets</v>
      </c>
      <c r="D4195" s="139">
        <f>VLOOKUP(NoviaFunds[[#This Row],[ISIN]],'Novia Web Query'!$A:$E,4,FALSE)/100</f>
        <v>8.8999999999999999E-3</v>
      </c>
      <c r="E4195" s="3" t="str">
        <f>VLOOKUP(NoviaFunds[[#This Row],[ISIN]],'Novia Web Query'!$A:$E,5,FALSE)</f>
        <v>04/02/2021</v>
      </c>
      <c r="F4195" t="str">
        <f>VLOOKUP(NoviaFunds[[#This Row],[Sector]],Sectors[],2,FALSE)</f>
        <v>Emerging Markets</v>
      </c>
    </row>
    <row r="4196" spans="1:6" x14ac:dyDescent="0.2">
      <c r="A4196" t="str">
        <f>'Novia Web Query'!A4192</f>
        <v>GB00BL0RSN63</v>
      </c>
      <c r="B4196" t="str">
        <f>VLOOKUP(NoviaFunds[[#This Row],[ISIN]],'Novia Web Query'!$A:$E,2,FALSE)</f>
        <v>UBS Global Enhanced Equity Income Sustainable C Acc in GB</v>
      </c>
      <c r="C4196" t="str">
        <f>VLOOKUP(NoviaFunds[[#This Row],[ISIN]],'Novia Web Query'!$A:$E,3,FALSE)</f>
        <v>UT Global Equity Income</v>
      </c>
      <c r="D4196" s="139">
        <f>VLOOKUP(NoviaFunds[[#This Row],[ISIN]],'Novia Web Query'!$A:$E,4,FALSE)/100</f>
        <v>7.6E-3</v>
      </c>
      <c r="E4196" s="3" t="str">
        <f>VLOOKUP(NoviaFunds[[#This Row],[ISIN]],'Novia Web Query'!$A:$E,5,FALSE)</f>
        <v>04/02/2021</v>
      </c>
      <c r="F4196" t="str">
        <f>VLOOKUP(NoviaFunds[[#This Row],[Sector]],Sectors[],2,FALSE)</f>
        <v>Other Equities</v>
      </c>
    </row>
    <row r="4197" spans="1:6" x14ac:dyDescent="0.2">
      <c r="A4197" t="str">
        <f>'Novia Web Query'!A4193</f>
        <v>GB00BL0RSP87</v>
      </c>
      <c r="B4197" t="str">
        <f>VLOOKUP(NoviaFunds[[#This Row],[ISIN]],'Novia Web Query'!$A:$E,2,FALSE)</f>
        <v>UBS Global Enhanced Equity Income Sustainable C Inc TR in GB</v>
      </c>
      <c r="C4197" t="str">
        <f>VLOOKUP(NoviaFunds[[#This Row],[ISIN]],'Novia Web Query'!$A:$E,3,FALSE)</f>
        <v>UT Global Equity Income</v>
      </c>
      <c r="D4197" s="139">
        <f>VLOOKUP(NoviaFunds[[#This Row],[ISIN]],'Novia Web Query'!$A:$E,4,FALSE)/100</f>
        <v>7.6E-3</v>
      </c>
      <c r="E4197" s="3" t="str">
        <f>VLOOKUP(NoviaFunds[[#This Row],[ISIN]],'Novia Web Query'!$A:$E,5,FALSE)</f>
        <v>04/02/2021</v>
      </c>
      <c r="F4197" t="str">
        <f>VLOOKUP(NoviaFunds[[#This Row],[Sector]],Sectors[],2,FALSE)</f>
        <v>Other Equities</v>
      </c>
    </row>
    <row r="4198" spans="1:6" x14ac:dyDescent="0.2">
      <c r="A4198" t="str">
        <f>'Novia Web Query'!A4194</f>
        <v>GB00B89NPX39</v>
      </c>
      <c r="B4198" t="str">
        <f>VLOOKUP(NoviaFunds[[#This Row],[ISIN]],'Novia Web Query'!$A:$E,2,FALSE)</f>
        <v>UBS Global Optimal C Acc in GB</v>
      </c>
      <c r="C4198" t="str">
        <f>VLOOKUP(NoviaFunds[[#This Row],[ISIN]],'Novia Web Query'!$A:$E,3,FALSE)</f>
        <v>UT Global</v>
      </c>
      <c r="D4198" s="139">
        <f>VLOOKUP(NoviaFunds[[#This Row],[ISIN]],'Novia Web Query'!$A:$E,4,FALSE)/100</f>
        <v>0.01</v>
      </c>
      <c r="E4198" s="3" t="str">
        <f>VLOOKUP(NoviaFunds[[#This Row],[ISIN]],'Novia Web Query'!$A:$E,5,FALSE)</f>
        <v>04/02/2021</v>
      </c>
      <c r="F4198" t="str">
        <f>VLOOKUP(NoviaFunds[[#This Row],[Sector]],Sectors[],2,FALSE)</f>
        <v>Other Equities</v>
      </c>
    </row>
    <row r="4199" spans="1:6" x14ac:dyDescent="0.2">
      <c r="A4199" t="str">
        <f>'Novia Web Query'!A4195</f>
        <v>GB00BX9C1N70</v>
      </c>
      <c r="B4199" t="str">
        <f>VLOOKUP(NoviaFunds[[#This Row],[ISIN]],'Novia Web Query'!$A:$E,2,FALSE)</f>
        <v>UBS MSCI World Minimum Volatility Index C Acc in GB</v>
      </c>
      <c r="C4199" t="str">
        <f>VLOOKUP(NoviaFunds[[#This Row],[ISIN]],'Novia Web Query'!$A:$E,3,FALSE)</f>
        <v>UT Global</v>
      </c>
      <c r="D4199" s="139">
        <f>VLOOKUP(NoviaFunds[[#This Row],[ISIN]],'Novia Web Query'!$A:$E,4,FALSE)/100</f>
        <v>2E-3</v>
      </c>
      <c r="E4199" s="3" t="str">
        <f>VLOOKUP(NoviaFunds[[#This Row],[ISIN]],'Novia Web Query'!$A:$E,5,FALSE)</f>
        <v>04/02/2021</v>
      </c>
      <c r="F4199" t="str">
        <f>VLOOKUP(NoviaFunds[[#This Row],[Sector]],Sectors[],2,FALSE)</f>
        <v>Other Equities</v>
      </c>
    </row>
    <row r="4200" spans="1:6" x14ac:dyDescent="0.2">
      <c r="A4200" t="str">
        <f>'Novia Web Query'!A4196</f>
        <v>GB00B7SQL276</v>
      </c>
      <c r="B4200" t="str">
        <f>VLOOKUP(NoviaFunds[[#This Row],[ISIN]],'Novia Web Query'!$A:$E,2,FALSE)</f>
        <v>UBS Multi Asset Income C Gr Acc in GB**</v>
      </c>
      <c r="C4200" t="str">
        <f>VLOOKUP(NoviaFunds[[#This Row],[ISIN]],'Novia Web Query'!$A:$E,3,FALSE)</f>
        <v>UT Mixed Investment 20-60% Shares</v>
      </c>
      <c r="D4200" s="139">
        <f>VLOOKUP(NoviaFunds[[#This Row],[ISIN]],'Novia Web Query'!$A:$E,4,FALSE)/100</f>
        <v>8.3999999999999995E-3</v>
      </c>
      <c r="E4200" s="3" t="str">
        <f>VLOOKUP(NoviaFunds[[#This Row],[ISIN]],'Novia Web Query'!$A:$E,5,FALSE)</f>
        <v>14/12/2021</v>
      </c>
      <c r="F4200" t="str">
        <f>VLOOKUP(NoviaFunds[[#This Row],[Sector]],Sectors[],2,FALSE)</f>
        <v>Mixed 20%-60%</v>
      </c>
    </row>
    <row r="4201" spans="1:6" x14ac:dyDescent="0.2">
      <c r="A4201" t="str">
        <f>'Novia Web Query'!A4197</f>
        <v>GB00B804TT93</v>
      </c>
      <c r="B4201" t="str">
        <f>VLOOKUP(NoviaFunds[[#This Row],[ISIN]],'Novia Web Query'!$A:$E,2,FALSE)</f>
        <v>UBS Multi Asset Income C Gr Inc TR in GB**</v>
      </c>
      <c r="C4201" t="str">
        <f>VLOOKUP(NoviaFunds[[#This Row],[ISIN]],'Novia Web Query'!$A:$E,3,FALSE)</f>
        <v>UT Mixed Investment 20-60% Shares</v>
      </c>
      <c r="D4201" s="139">
        <f>VLOOKUP(NoviaFunds[[#This Row],[ISIN]],'Novia Web Query'!$A:$E,4,FALSE)/100</f>
        <v>8.8999999999999999E-3</v>
      </c>
      <c r="E4201" s="3" t="str">
        <f>VLOOKUP(NoviaFunds[[#This Row],[ISIN]],'Novia Web Query'!$A:$E,5,FALSE)</f>
        <v>04/02/2021</v>
      </c>
      <c r="F4201" t="str">
        <f>VLOOKUP(NoviaFunds[[#This Row],[Sector]],Sectors[],2,FALSE)</f>
        <v>Mixed 20%-60%</v>
      </c>
    </row>
    <row r="4202" spans="1:6" x14ac:dyDescent="0.2">
      <c r="A4202" t="str">
        <f>'Novia Web Query'!A4198</f>
        <v>GB00BMN91T34</v>
      </c>
      <c r="B4202" t="str">
        <f>VLOOKUP(NoviaFunds[[#This Row],[ISIN]],'Novia Web Query'!$A:$E,2,FALSE)</f>
        <v>UBS S&amp;P 500 Index C Acc in GB</v>
      </c>
      <c r="C4202" t="str">
        <f>VLOOKUP(NoviaFunds[[#This Row],[ISIN]],'Novia Web Query'!$A:$E,3,FALSE)</f>
        <v>UT North America</v>
      </c>
      <c r="D4202" s="139">
        <f>VLOOKUP(NoviaFunds[[#This Row],[ISIN]],'Novia Web Query'!$A:$E,4,FALSE)/100</f>
        <v>8.9999999999999998E-4</v>
      </c>
      <c r="E4202" s="3" t="str">
        <f>VLOOKUP(NoviaFunds[[#This Row],[ISIN]],'Novia Web Query'!$A:$E,5,FALSE)</f>
        <v>04/02/2021</v>
      </c>
      <c r="F4202" t="str">
        <f>VLOOKUP(NoviaFunds[[#This Row],[Sector]],Sectors[],2,FALSE)</f>
        <v>USA Equities</v>
      </c>
    </row>
    <row r="4203" spans="1:6" x14ac:dyDescent="0.2">
      <c r="A4203" t="str">
        <f>'Novia Web Query'!A4199</f>
        <v>GB00BMN91V55</v>
      </c>
      <c r="B4203" t="str">
        <f>VLOOKUP(NoviaFunds[[#This Row],[ISIN]],'Novia Web Query'!$A:$E,2,FALSE)</f>
        <v>UBS S&amp;P 500 Index C Inc TR in GB</v>
      </c>
      <c r="C4203" t="str">
        <f>VLOOKUP(NoviaFunds[[#This Row],[ISIN]],'Novia Web Query'!$A:$E,3,FALSE)</f>
        <v>UT North America</v>
      </c>
      <c r="D4203" s="139">
        <f>VLOOKUP(NoviaFunds[[#This Row],[ISIN]],'Novia Web Query'!$A:$E,4,FALSE)/100</f>
        <v>8.9999999999999998E-4</v>
      </c>
      <c r="E4203" s="3" t="str">
        <f>VLOOKUP(NoviaFunds[[#This Row],[ISIN]],'Novia Web Query'!$A:$E,5,FALSE)</f>
        <v>04/02/2021</v>
      </c>
      <c r="F4203" t="str">
        <f>VLOOKUP(NoviaFunds[[#This Row],[Sector]],Sectors[],2,FALSE)</f>
        <v>USA Equities</v>
      </c>
    </row>
    <row r="4204" spans="1:6" x14ac:dyDescent="0.2">
      <c r="A4204" t="str">
        <f>'Novia Web Query'!A4200</f>
        <v>GB00B95J1785</v>
      </c>
      <c r="B4204" t="str">
        <f>VLOOKUP(NoviaFunds[[#This Row],[ISIN]],'Novia Web Query'!$A:$E,2,FALSE)</f>
        <v>UBS Sterling Corporate Bond Indexed C Grs Acc TR in GB**</v>
      </c>
      <c r="C4204" t="str">
        <f>VLOOKUP(NoviaFunds[[#This Row],[ISIN]],'Novia Web Query'!$A:$E,3,FALSE)</f>
        <v>UT Sterling Corporate Bond</v>
      </c>
      <c r="D4204" s="139">
        <f>VLOOKUP(NoviaFunds[[#This Row],[ISIN]],'Novia Web Query'!$A:$E,4,FALSE)/100</f>
        <v>1.7000000000000001E-3</v>
      </c>
      <c r="E4204" s="3" t="str">
        <f>VLOOKUP(NoviaFunds[[#This Row],[ISIN]],'Novia Web Query'!$A:$E,5,FALSE)</f>
        <v>21/04/2021</v>
      </c>
      <c r="F4204" t="str">
        <f>VLOOKUP(NoviaFunds[[#This Row],[Sector]],Sectors[],2,FALSE)</f>
        <v>Sterling Corporate Bonds</v>
      </c>
    </row>
    <row r="4205" spans="1:6" x14ac:dyDescent="0.2">
      <c r="A4205" t="str">
        <f>'Novia Web Query'!A4201</f>
        <v>GB00B9LD6X50</v>
      </c>
      <c r="B4205" t="str">
        <f>VLOOKUP(NoviaFunds[[#This Row],[ISIN]],'Novia Web Query'!$A:$E,2,FALSE)</f>
        <v>UBS Sterling Corporate Bond Indexed C Grs Inc TR in GB**</v>
      </c>
      <c r="C4205" t="str">
        <f>VLOOKUP(NoviaFunds[[#This Row],[ISIN]],'Novia Web Query'!$A:$E,3,FALSE)</f>
        <v>UT Sterling Corporate Bond</v>
      </c>
      <c r="D4205" s="139">
        <f>VLOOKUP(NoviaFunds[[#This Row],[ISIN]],'Novia Web Query'!$A:$E,4,FALSE)/100</f>
        <v>1.7000000000000001E-3</v>
      </c>
      <c r="E4205" s="3" t="str">
        <f>VLOOKUP(NoviaFunds[[#This Row],[ISIN]],'Novia Web Query'!$A:$E,5,FALSE)</f>
        <v>21/04/2021</v>
      </c>
      <c r="F4205" t="str">
        <f>VLOOKUP(NoviaFunds[[#This Row],[Sector]],Sectors[],2,FALSE)</f>
        <v>Sterling Corporate Bonds</v>
      </c>
    </row>
    <row r="4206" spans="1:6" x14ac:dyDescent="0.2">
      <c r="A4206" t="str">
        <f>'Novia Web Query'!A4202</f>
        <v>GB00B4W58959</v>
      </c>
      <c r="B4206" t="str">
        <f>VLOOKUP(NoviaFunds[[#This Row],[ISIN]],'Novia Web Query'!$A:$E,2,FALSE)</f>
        <v>UBS UK Equity Income C Acc in GB</v>
      </c>
      <c r="C4206" t="str">
        <f>VLOOKUP(NoviaFunds[[#This Row],[ISIN]],'Novia Web Query'!$A:$E,3,FALSE)</f>
        <v>UT UK Equity Income</v>
      </c>
      <c r="D4206" s="139">
        <f>VLOOKUP(NoviaFunds[[#This Row],[ISIN]],'Novia Web Query'!$A:$E,4,FALSE)/100</f>
        <v>8.3999999999999995E-3</v>
      </c>
      <c r="E4206" s="3" t="str">
        <f>VLOOKUP(NoviaFunds[[#This Row],[ISIN]],'Novia Web Query'!$A:$E,5,FALSE)</f>
        <v>04/02/2021</v>
      </c>
      <c r="F4206" t="str">
        <f>VLOOKUP(NoviaFunds[[#This Row],[Sector]],Sectors[],2,FALSE)</f>
        <v>UK Equities</v>
      </c>
    </row>
    <row r="4207" spans="1:6" x14ac:dyDescent="0.2">
      <c r="A4207" t="str">
        <f>'Novia Web Query'!A4203</f>
        <v>GB00B8034464</v>
      </c>
      <c r="B4207" t="str">
        <f>VLOOKUP(NoviaFunds[[#This Row],[ISIN]],'Novia Web Query'!$A:$E,2,FALSE)</f>
        <v>UBS UK Equity Income C Inc TR in GB**</v>
      </c>
      <c r="C4207" t="str">
        <f>VLOOKUP(NoviaFunds[[#This Row],[ISIN]],'Novia Web Query'!$A:$E,3,FALSE)</f>
        <v>UT UK Equity Income</v>
      </c>
      <c r="D4207" s="139">
        <f>VLOOKUP(NoviaFunds[[#This Row],[ISIN]],'Novia Web Query'!$A:$E,4,FALSE)/100</f>
        <v>8.3999999999999995E-3</v>
      </c>
      <c r="E4207" s="3" t="str">
        <f>VLOOKUP(NoviaFunds[[#This Row],[ISIN]],'Novia Web Query'!$A:$E,5,FALSE)</f>
        <v>04/02/2021</v>
      </c>
      <c r="F4207" t="str">
        <f>VLOOKUP(NoviaFunds[[#This Row],[Sector]],Sectors[],2,FALSE)</f>
        <v>UK Equities</v>
      </c>
    </row>
    <row r="4208" spans="1:6" x14ac:dyDescent="0.2">
      <c r="A4208" t="str">
        <f>'Novia Web Query'!A4204</f>
        <v>GB00B7V68L26</v>
      </c>
      <c r="B4208" t="str">
        <f>VLOOKUP(NoviaFunds[[#This Row],[ISIN]],'Novia Web Query'!$A:$E,2,FALSE)</f>
        <v>UBS US Equity C Acc in GB</v>
      </c>
      <c r="C4208" t="str">
        <f>VLOOKUP(NoviaFunds[[#This Row],[ISIN]],'Novia Web Query'!$A:$E,3,FALSE)</f>
        <v>UT North America</v>
      </c>
      <c r="D4208" s="139">
        <f>VLOOKUP(NoviaFunds[[#This Row],[ISIN]],'Novia Web Query'!$A:$E,4,FALSE)/100</f>
        <v>8.5000000000000006E-3</v>
      </c>
      <c r="E4208" s="3" t="str">
        <f>VLOOKUP(NoviaFunds[[#This Row],[ISIN]],'Novia Web Query'!$A:$E,5,FALSE)</f>
        <v>04/02/2021</v>
      </c>
      <c r="F4208" t="str">
        <f>VLOOKUP(NoviaFunds[[#This Row],[Sector]],Sectors[],2,FALSE)</f>
        <v>USA Equities</v>
      </c>
    </row>
    <row r="4209" spans="1:6" x14ac:dyDescent="0.2">
      <c r="A4209" t="str">
        <f>'Novia Web Query'!A4205</f>
        <v>GB00B7VHZX64</v>
      </c>
      <c r="B4209" t="str">
        <f>VLOOKUP(NoviaFunds[[#This Row],[ISIN]],'Novia Web Query'!$A:$E,2,FALSE)</f>
        <v>UBS US Growth C Acc in GB</v>
      </c>
      <c r="C4209" t="str">
        <f>VLOOKUP(NoviaFunds[[#This Row],[ISIN]],'Novia Web Query'!$A:$E,3,FALSE)</f>
        <v>UT North America</v>
      </c>
      <c r="D4209" s="139">
        <f>VLOOKUP(NoviaFunds[[#This Row],[ISIN]],'Novia Web Query'!$A:$E,4,FALSE)/100</f>
        <v>8.3000000000000001E-3</v>
      </c>
      <c r="E4209" s="3" t="str">
        <f>VLOOKUP(NoviaFunds[[#This Row],[ISIN]],'Novia Web Query'!$A:$E,5,FALSE)</f>
        <v>04/02/2021</v>
      </c>
      <c r="F4209" t="str">
        <f>VLOOKUP(NoviaFunds[[#This Row],[Sector]],Sectors[],2,FALSE)</f>
        <v>USA Equities</v>
      </c>
    </row>
    <row r="4210" spans="1:6" x14ac:dyDescent="0.2">
      <c r="A4210" t="str">
        <f>'Novia Web Query'!A4206</f>
        <v>GB0031269367</v>
      </c>
      <c r="B4210" t="str">
        <f>VLOOKUP(NoviaFunds[[#This Row],[ISIN]],'Novia Web Query'!$A:$E,2,FALSE)</f>
        <v>Unicorn Mastertrust A TR in GB</v>
      </c>
      <c r="C4210" t="str">
        <f>VLOOKUP(NoviaFunds[[#This Row],[ISIN]],'Novia Web Query'!$A:$E,3,FALSE)</f>
        <v>UT Flexible Investment</v>
      </c>
      <c r="D4210" s="139">
        <f>VLOOKUP(NoviaFunds[[#This Row],[ISIN]],'Novia Web Query'!$A:$E,4,FALSE)/100</f>
        <v>1.5800000000000002E-2</v>
      </c>
      <c r="E4210" s="3" t="str">
        <f>VLOOKUP(NoviaFunds[[#This Row],[ISIN]],'Novia Web Query'!$A:$E,5,FALSE)</f>
        <v>22/02/2021</v>
      </c>
      <c r="F4210" t="str">
        <f>VLOOKUP(NoviaFunds[[#This Row],[Sector]],Sectors[],2,FALSE)</f>
        <v>Flexible</v>
      </c>
    </row>
    <row r="4211" spans="1:6" x14ac:dyDescent="0.2">
      <c r="A4211" t="str">
        <f>'Novia Web Query'!A4207</f>
        <v>GB0031218018</v>
      </c>
      <c r="B4211" t="str">
        <f>VLOOKUP(NoviaFunds[[#This Row],[ISIN]],'Novia Web Query'!$A:$E,2,FALSE)</f>
        <v>Unicorn Mastertrust B TR in GB</v>
      </c>
      <c r="C4211" t="str">
        <f>VLOOKUP(NoviaFunds[[#This Row],[ISIN]],'Novia Web Query'!$A:$E,3,FALSE)</f>
        <v>UT Flexible Investment</v>
      </c>
      <c r="D4211" s="139">
        <f>VLOOKUP(NoviaFunds[[#This Row],[ISIN]],'Novia Web Query'!$A:$E,4,FALSE)/100</f>
        <v>8.3000000000000001E-3</v>
      </c>
      <c r="E4211" s="3" t="str">
        <f>VLOOKUP(NoviaFunds[[#This Row],[ISIN]],'Novia Web Query'!$A:$E,5,FALSE)</f>
        <v>22/02/2021</v>
      </c>
      <c r="F4211" t="str">
        <f>VLOOKUP(NoviaFunds[[#This Row],[Sector]],Sectors[],2,FALSE)</f>
        <v>Flexible</v>
      </c>
    </row>
    <row r="4212" spans="1:6" x14ac:dyDescent="0.2">
      <c r="A4212" t="str">
        <f>'Novia Web Query'!A4208</f>
        <v>GB00B1GFWW16</v>
      </c>
      <c r="B4212" t="str">
        <f>VLOOKUP(NoviaFunds[[#This Row],[ISIN]],'Novia Web Query'!$A:$E,2,FALSE)</f>
        <v>Unicorn Outstanding British Companies A in GB</v>
      </c>
      <c r="C4212" t="str">
        <f>VLOOKUP(NoviaFunds[[#This Row],[ISIN]],'Novia Web Query'!$A:$E,3,FALSE)</f>
        <v>UT UK All Companies</v>
      </c>
      <c r="D4212" s="139">
        <f>VLOOKUP(NoviaFunds[[#This Row],[ISIN]],'Novia Web Query'!$A:$E,4,FALSE)/100</f>
        <v>1.5700000000000002E-2</v>
      </c>
      <c r="E4212" s="3" t="str">
        <f>VLOOKUP(NoviaFunds[[#This Row],[ISIN]],'Novia Web Query'!$A:$E,5,FALSE)</f>
        <v>22/02/2021</v>
      </c>
      <c r="F4212" t="str">
        <f>VLOOKUP(NoviaFunds[[#This Row],[Sector]],Sectors[],2,FALSE)</f>
        <v>UK Equities</v>
      </c>
    </row>
    <row r="4213" spans="1:6" x14ac:dyDescent="0.2">
      <c r="A4213" t="str">
        <f>'Novia Web Query'!A4209</f>
        <v>GB00B1GGDH66</v>
      </c>
      <c r="B4213" t="str">
        <f>VLOOKUP(NoviaFunds[[#This Row],[ISIN]],'Novia Web Query'!$A:$E,2,FALSE)</f>
        <v>Unicorn Outstanding British Companies B in GB</v>
      </c>
      <c r="C4213" t="str">
        <f>VLOOKUP(NoviaFunds[[#This Row],[ISIN]],'Novia Web Query'!$A:$E,3,FALSE)</f>
        <v>UT UK All Companies</v>
      </c>
      <c r="D4213" s="139">
        <f>VLOOKUP(NoviaFunds[[#This Row],[ISIN]],'Novia Web Query'!$A:$E,4,FALSE)/100</f>
        <v>8.199999999999999E-3</v>
      </c>
      <c r="E4213" s="3" t="str">
        <f>VLOOKUP(NoviaFunds[[#This Row],[ISIN]],'Novia Web Query'!$A:$E,5,FALSE)</f>
        <v>22/02/2021</v>
      </c>
      <c r="F4213" t="str">
        <f>VLOOKUP(NoviaFunds[[#This Row],[Sector]],Sectors[],2,FALSE)</f>
        <v>UK Equities</v>
      </c>
    </row>
    <row r="4214" spans="1:6" x14ac:dyDescent="0.2">
      <c r="A4214" t="str">
        <f>'Novia Web Query'!A4210</f>
        <v>GB00BYQCS257</v>
      </c>
      <c r="B4214" t="str">
        <f>VLOOKUP(NoviaFunds[[#This Row],[ISIN]],'Novia Web Query'!$A:$E,2,FALSE)</f>
        <v>Unicorn UK Ethical Income B Acc in GB</v>
      </c>
      <c r="C4214" t="str">
        <f>VLOOKUP(NoviaFunds[[#This Row],[ISIN]],'Novia Web Query'!$A:$E,3,FALSE)</f>
        <v>UT UK Equity Income</v>
      </c>
      <c r="D4214" s="139">
        <f>VLOOKUP(NoviaFunds[[#This Row],[ISIN]],'Novia Web Query'!$A:$E,4,FALSE)/100</f>
        <v>8.1000000000000013E-3</v>
      </c>
      <c r="E4214" s="3" t="str">
        <f>VLOOKUP(NoviaFunds[[#This Row],[ISIN]],'Novia Web Query'!$A:$E,5,FALSE)</f>
        <v>22/02/2021</v>
      </c>
      <c r="F4214" t="str">
        <f>VLOOKUP(NoviaFunds[[#This Row],[Sector]],Sectors[],2,FALSE)</f>
        <v>UK Equities</v>
      </c>
    </row>
    <row r="4215" spans="1:6" x14ac:dyDescent="0.2">
      <c r="A4215" t="str">
        <f>'Novia Web Query'!A4211</f>
        <v>GB00BYP2Y515</v>
      </c>
      <c r="B4215" t="str">
        <f>VLOOKUP(NoviaFunds[[#This Row],[ISIN]],'Novia Web Query'!$A:$E,2,FALSE)</f>
        <v>Unicorn UK Ethical Income B Inc TR in GB</v>
      </c>
      <c r="C4215" t="str">
        <f>VLOOKUP(NoviaFunds[[#This Row],[ISIN]],'Novia Web Query'!$A:$E,3,FALSE)</f>
        <v>UT UK Equity Income</v>
      </c>
      <c r="D4215" s="139">
        <f>VLOOKUP(NoviaFunds[[#This Row],[ISIN]],'Novia Web Query'!$A:$E,4,FALSE)/100</f>
        <v>8.1000000000000013E-3</v>
      </c>
      <c r="E4215" s="3" t="str">
        <f>VLOOKUP(NoviaFunds[[#This Row],[ISIN]],'Novia Web Query'!$A:$E,5,FALSE)</f>
        <v>22/02/2021</v>
      </c>
      <c r="F4215" t="str">
        <f>VLOOKUP(NoviaFunds[[#This Row],[Sector]],Sectors[],2,FALSE)</f>
        <v>UK Equities</v>
      </c>
    </row>
    <row r="4216" spans="1:6" x14ac:dyDescent="0.2">
      <c r="A4216" t="str">
        <f>'Novia Web Query'!A4212</f>
        <v>GB0031269250</v>
      </c>
      <c r="B4216" t="str">
        <f>VLOOKUP(NoviaFunds[[#This Row],[ISIN]],'Novia Web Query'!$A:$E,2,FALSE)</f>
        <v>Unicorn UK Growth A Inc TR in GB</v>
      </c>
      <c r="C4216" t="str">
        <f>VLOOKUP(NoviaFunds[[#This Row],[ISIN]],'Novia Web Query'!$A:$E,3,FALSE)</f>
        <v>UT UK All Companies</v>
      </c>
      <c r="D4216" s="139">
        <f>VLOOKUP(NoviaFunds[[#This Row],[ISIN]],'Novia Web Query'!$A:$E,4,FALSE)/100</f>
        <v>1.5700000000000002E-2</v>
      </c>
      <c r="E4216" s="3" t="str">
        <f>VLOOKUP(NoviaFunds[[#This Row],[ISIN]],'Novia Web Query'!$A:$E,5,FALSE)</f>
        <v>22/02/2021</v>
      </c>
      <c r="F4216" t="str">
        <f>VLOOKUP(NoviaFunds[[#This Row],[Sector]],Sectors[],2,FALSE)</f>
        <v>UK Equities</v>
      </c>
    </row>
    <row r="4217" spans="1:6" x14ac:dyDescent="0.2">
      <c r="A4217" t="str">
        <f>'Novia Web Query'!A4213</f>
        <v>GB0031217937</v>
      </c>
      <c r="B4217" t="str">
        <f>VLOOKUP(NoviaFunds[[#This Row],[ISIN]],'Novia Web Query'!$A:$E,2,FALSE)</f>
        <v>Unicorn UK Growth B TR in GB</v>
      </c>
      <c r="C4217" t="str">
        <f>VLOOKUP(NoviaFunds[[#This Row],[ISIN]],'Novia Web Query'!$A:$E,3,FALSE)</f>
        <v>UT UK All Companies</v>
      </c>
      <c r="D4217" s="139">
        <f>VLOOKUP(NoviaFunds[[#This Row],[ISIN]],'Novia Web Query'!$A:$E,4,FALSE)/100</f>
        <v>8.199999999999999E-3</v>
      </c>
      <c r="E4217" s="3" t="str">
        <f>VLOOKUP(NoviaFunds[[#This Row],[ISIN]],'Novia Web Query'!$A:$E,5,FALSE)</f>
        <v>22/02/2021</v>
      </c>
      <c r="F4217" t="str">
        <f>VLOOKUP(NoviaFunds[[#This Row],[Sector]],Sectors[],2,FALSE)</f>
        <v>UK Equities</v>
      </c>
    </row>
    <row r="4218" spans="1:6" x14ac:dyDescent="0.2">
      <c r="A4218" t="str">
        <f>'Novia Web Query'!A4214</f>
        <v>GB00B00Z1S94</v>
      </c>
      <c r="B4218" t="str">
        <f>VLOOKUP(NoviaFunds[[#This Row],[ISIN]],'Novia Web Query'!$A:$E,2,FALSE)</f>
        <v>Unicorn UK Income A TR in GB</v>
      </c>
      <c r="C4218" t="str">
        <f>VLOOKUP(NoviaFunds[[#This Row],[ISIN]],'Novia Web Query'!$A:$E,3,FALSE)</f>
        <v>UT UK Equity Income</v>
      </c>
      <c r="D4218" s="139">
        <f>VLOOKUP(NoviaFunds[[#This Row],[ISIN]],'Novia Web Query'!$A:$E,4,FALSE)/100</f>
        <v>1.5600000000000001E-2</v>
      </c>
      <c r="E4218" s="3" t="str">
        <f>VLOOKUP(NoviaFunds[[#This Row],[ISIN]],'Novia Web Query'!$A:$E,5,FALSE)</f>
        <v>22/02/2021</v>
      </c>
      <c r="F4218" t="str">
        <f>VLOOKUP(NoviaFunds[[#This Row],[Sector]],Sectors[],2,FALSE)</f>
        <v>UK Equities</v>
      </c>
    </row>
    <row r="4219" spans="1:6" x14ac:dyDescent="0.2">
      <c r="A4219" t="str">
        <f>'Novia Web Query'!A4215</f>
        <v>GB00B9XQFY62</v>
      </c>
      <c r="B4219" t="str">
        <f>VLOOKUP(NoviaFunds[[#This Row],[ISIN]],'Novia Web Query'!$A:$E,2,FALSE)</f>
        <v>Unicorn UK Income B Acc TR in GB**</v>
      </c>
      <c r="C4219" t="str">
        <f>VLOOKUP(NoviaFunds[[#This Row],[ISIN]],'Novia Web Query'!$A:$E,3,FALSE)</f>
        <v>UT UK Equity Income</v>
      </c>
      <c r="D4219" s="139">
        <f>VLOOKUP(NoviaFunds[[#This Row],[ISIN]],'Novia Web Query'!$A:$E,4,FALSE)/100</f>
        <v>8.1000000000000013E-3</v>
      </c>
      <c r="E4219" s="3" t="str">
        <f>VLOOKUP(NoviaFunds[[#This Row],[ISIN]],'Novia Web Query'!$A:$E,5,FALSE)</f>
        <v>22/02/2021</v>
      </c>
      <c r="F4219" t="str">
        <f>VLOOKUP(NoviaFunds[[#This Row],[Sector]],Sectors[],2,FALSE)</f>
        <v>UK Equities</v>
      </c>
    </row>
    <row r="4220" spans="1:6" x14ac:dyDescent="0.2">
      <c r="A4220" t="str">
        <f>'Novia Web Query'!A4216</f>
        <v>GB00B00Z1R87</v>
      </c>
      <c r="B4220" t="str">
        <f>VLOOKUP(NoviaFunds[[#This Row],[ISIN]],'Novia Web Query'!$A:$E,2,FALSE)</f>
        <v>Unicorn UK Income B Inc TR in GB</v>
      </c>
      <c r="C4220" t="str">
        <f>VLOOKUP(NoviaFunds[[#This Row],[ISIN]],'Novia Web Query'!$A:$E,3,FALSE)</f>
        <v>UT UK Equity Income</v>
      </c>
      <c r="D4220" s="139">
        <f>VLOOKUP(NoviaFunds[[#This Row],[ISIN]],'Novia Web Query'!$A:$E,4,FALSE)/100</f>
        <v>8.1000000000000013E-3</v>
      </c>
      <c r="E4220" s="3" t="str">
        <f>VLOOKUP(NoviaFunds[[#This Row],[ISIN]],'Novia Web Query'!$A:$E,5,FALSE)</f>
        <v>22/02/2021</v>
      </c>
      <c r="F4220" t="str">
        <f>VLOOKUP(NoviaFunds[[#This Row],[Sector]],Sectors[],2,FALSE)</f>
        <v>UK Equities</v>
      </c>
    </row>
    <row r="4221" spans="1:6" x14ac:dyDescent="0.2">
      <c r="A4221" t="str">
        <f>'Novia Web Query'!A4217</f>
        <v>GB0031791238</v>
      </c>
      <c r="B4221" t="str">
        <f>VLOOKUP(NoviaFunds[[#This Row],[ISIN]],'Novia Web Query'!$A:$E,2,FALSE)</f>
        <v>Unicorn UK Smaller Companies A TR in GB</v>
      </c>
      <c r="C4221" t="str">
        <f>VLOOKUP(NoviaFunds[[#This Row],[ISIN]],'Novia Web Query'!$A:$E,3,FALSE)</f>
        <v>UT UK Smaller Companies</v>
      </c>
      <c r="D4221" s="139">
        <f>VLOOKUP(NoviaFunds[[#This Row],[ISIN]],'Novia Web Query'!$A:$E,4,FALSE)/100</f>
        <v>1.6200000000000003E-2</v>
      </c>
      <c r="E4221" s="3" t="str">
        <f>VLOOKUP(NoviaFunds[[#This Row],[ISIN]],'Novia Web Query'!$A:$E,5,FALSE)</f>
        <v>22/02/2021</v>
      </c>
      <c r="F4221" t="str">
        <f>VLOOKUP(NoviaFunds[[#This Row],[Sector]],Sectors[],2,FALSE)</f>
        <v>UK Equities</v>
      </c>
    </row>
    <row r="4222" spans="1:6" x14ac:dyDescent="0.2">
      <c r="A4222" t="str">
        <f>'Novia Web Query'!A4218</f>
        <v>GB0031785065</v>
      </c>
      <c r="B4222" t="str">
        <f>VLOOKUP(NoviaFunds[[#This Row],[ISIN]],'Novia Web Query'!$A:$E,2,FALSE)</f>
        <v>Unicorn UK Smaller Companies B TR in GB</v>
      </c>
      <c r="C4222" t="str">
        <f>VLOOKUP(NoviaFunds[[#This Row],[ISIN]],'Novia Web Query'!$A:$E,3,FALSE)</f>
        <v>UT UK Smaller Companies</v>
      </c>
      <c r="D4222" s="139">
        <f>VLOOKUP(NoviaFunds[[#This Row],[ISIN]],'Novia Web Query'!$A:$E,4,FALSE)/100</f>
        <v>8.6999999999999994E-3</v>
      </c>
      <c r="E4222" s="3" t="str">
        <f>VLOOKUP(NoviaFunds[[#This Row],[ISIN]],'Novia Web Query'!$A:$E,5,FALSE)</f>
        <v>22/02/2021</v>
      </c>
      <c r="F4222" t="str">
        <f>VLOOKUP(NoviaFunds[[#This Row],[Sector]],Sectors[],2,FALSE)</f>
        <v>UK Equities</v>
      </c>
    </row>
    <row r="4223" spans="1:6" x14ac:dyDescent="0.2">
      <c r="A4223" t="str">
        <f>'Novia Web Query'!A4219</f>
        <v>GB00BK1XRK60</v>
      </c>
      <c r="B4223" t="str">
        <f>VLOOKUP(NoviaFunds[[#This Row],[ISIN]],'Novia Web Query'!$A:$E,2,FALSE)</f>
        <v>Vanguard Active U.K. Equity A Acc GBP in GB</v>
      </c>
      <c r="C4223" t="str">
        <f>VLOOKUP(NoviaFunds[[#This Row],[ISIN]],'Novia Web Query'!$A:$E,3,FALSE)</f>
        <v>UT UK All Companies</v>
      </c>
      <c r="D4223" s="139">
        <f>VLOOKUP(NoviaFunds[[#This Row],[ISIN]],'Novia Web Query'!$A:$E,4,FALSE)/100</f>
        <v>4.5000000000000005E-3</v>
      </c>
      <c r="E4223" s="3" t="str">
        <f>VLOOKUP(NoviaFunds[[#This Row],[ISIN]],'Novia Web Query'!$A:$E,5,FALSE)</f>
        <v>02/04/2020</v>
      </c>
      <c r="F4223" t="str">
        <f>VLOOKUP(NoviaFunds[[#This Row],[Sector]],Sectors[],2,FALSE)</f>
        <v>UK Equities</v>
      </c>
    </row>
    <row r="4224" spans="1:6" x14ac:dyDescent="0.2">
      <c r="A4224" t="str">
        <f>'Novia Web Query'!A4220</f>
        <v>GB00BLLZQL34</v>
      </c>
      <c r="B4224" t="str">
        <f>VLOOKUP(NoviaFunds[[#This Row],[ISIN]],'Novia Web Query'!$A:$E,2,FALSE)</f>
        <v>Vanguard ESG Developed World All Cap Equity Index A Acc GBP in GB</v>
      </c>
      <c r="C4224" t="str">
        <f>VLOOKUP(NoviaFunds[[#This Row],[ISIN]],'Novia Web Query'!$A:$E,3,FALSE)</f>
        <v>UT Global</v>
      </c>
      <c r="D4224" s="139">
        <f>VLOOKUP(NoviaFunds[[#This Row],[ISIN]],'Novia Web Query'!$A:$E,4,FALSE)/100</f>
        <v>2E-3</v>
      </c>
      <c r="E4224" s="3" t="str">
        <f>VLOOKUP(NoviaFunds[[#This Row],[ISIN]],'Novia Web Query'!$A:$E,5,FALSE)</f>
        <v>16/02/2021</v>
      </c>
      <c r="F4224" t="str">
        <f>VLOOKUP(NoviaFunds[[#This Row],[Sector]],Sectors[],2,FALSE)</f>
        <v>Other Equities</v>
      </c>
    </row>
    <row r="4225" spans="1:6" x14ac:dyDescent="0.2">
      <c r="A4225" t="str">
        <f>'Novia Web Query'!A4221</f>
        <v>GB00BLLXGT55</v>
      </c>
      <c r="B4225" t="str">
        <f>VLOOKUP(NoviaFunds[[#This Row],[ISIN]],'Novia Web Query'!$A:$E,2,FALSE)</f>
        <v>Vanguard ESG Developed World All Cap Equity Index A Inc GBP TR in GB</v>
      </c>
      <c r="C4225" t="str">
        <f>VLOOKUP(NoviaFunds[[#This Row],[ISIN]],'Novia Web Query'!$A:$E,3,FALSE)</f>
        <v>UT Global</v>
      </c>
      <c r="D4225" s="139">
        <f>VLOOKUP(NoviaFunds[[#This Row],[ISIN]],'Novia Web Query'!$A:$E,4,FALSE)/100</f>
        <v>2E-3</v>
      </c>
      <c r="E4225" s="3" t="str">
        <f>VLOOKUP(NoviaFunds[[#This Row],[ISIN]],'Novia Web Query'!$A:$E,5,FALSE)</f>
        <v>16/02/2021</v>
      </c>
      <c r="F4225" t="str">
        <f>VLOOKUP(NoviaFunds[[#This Row],[Sector]],Sectors[],2,FALSE)</f>
        <v>Other Equities</v>
      </c>
    </row>
    <row r="4226" spans="1:6" x14ac:dyDescent="0.2">
      <c r="A4226" t="str">
        <f>'Novia Web Query'!A4222</f>
        <v>GB00BLLZQQ88</v>
      </c>
      <c r="B4226" t="str">
        <f>VLOOKUP(NoviaFunds[[#This Row],[ISIN]],'Novia Web Query'!$A:$E,2,FALSE)</f>
        <v>Vanguard ESG Developed World All Cap Equity Index Institutional Plus Inc GBP TR in GB</v>
      </c>
      <c r="C4226" t="str">
        <f>VLOOKUP(NoviaFunds[[#This Row],[ISIN]],'Novia Web Query'!$A:$E,3,FALSE)</f>
        <v>UT Global</v>
      </c>
      <c r="D4226" s="139">
        <f>VLOOKUP(NoviaFunds[[#This Row],[ISIN]],'Novia Web Query'!$A:$E,4,FALSE)/100</f>
        <v>1.2999999999999999E-3</v>
      </c>
      <c r="E4226" s="3" t="str">
        <f>VLOOKUP(NoviaFunds[[#This Row],[ISIN]],'Novia Web Query'!$A:$E,5,FALSE)</f>
        <v>16/02/2021</v>
      </c>
      <c r="F4226" t="str">
        <f>VLOOKUP(NoviaFunds[[#This Row],[Sector]],Sectors[],2,FALSE)</f>
        <v>Other Equities</v>
      </c>
    </row>
    <row r="4227" spans="1:6" x14ac:dyDescent="0.2">
      <c r="A4227" t="str">
        <f>'Novia Web Query'!A4223</f>
        <v>GB00BD3RZ368</v>
      </c>
      <c r="B4227" t="str">
        <f>VLOOKUP(NoviaFunds[[#This Row],[ISIN]],'Novia Web Query'!$A:$E,2,FALSE)</f>
        <v>Vanguard FTSE 100 Index Unit Trust Acc GBP in GB</v>
      </c>
      <c r="C4227" t="str">
        <f>VLOOKUP(NoviaFunds[[#This Row],[ISIN]],'Novia Web Query'!$A:$E,3,FALSE)</f>
        <v>UT UK All Companies</v>
      </c>
      <c r="D4227" s="139">
        <f>VLOOKUP(NoviaFunds[[#This Row],[ISIN]],'Novia Web Query'!$A:$E,4,FALSE)/100</f>
        <v>5.9999999999999995E-4</v>
      </c>
      <c r="E4227" s="3" t="str">
        <f>VLOOKUP(NoviaFunds[[#This Row],[ISIN]],'Novia Web Query'!$A:$E,5,FALSE)</f>
        <v>30/06/2020</v>
      </c>
      <c r="F4227" t="str">
        <f>VLOOKUP(NoviaFunds[[#This Row],[Sector]],Sectors[],2,FALSE)</f>
        <v>UK Equities</v>
      </c>
    </row>
    <row r="4228" spans="1:6" x14ac:dyDescent="0.2">
      <c r="A4228" t="str">
        <f>'Novia Web Query'!A4224</f>
        <v>GB00BD3RZ251</v>
      </c>
      <c r="B4228" t="str">
        <f>VLOOKUP(NoviaFunds[[#This Row],[ISIN]],'Novia Web Query'!$A:$E,2,FALSE)</f>
        <v>Vanguard FTSE 100 Index Unit Trust Inc GBP TR in GB</v>
      </c>
      <c r="C4228" t="str">
        <f>VLOOKUP(NoviaFunds[[#This Row],[ISIN]],'Novia Web Query'!$A:$E,3,FALSE)</f>
        <v>UT UK All Companies</v>
      </c>
      <c r="D4228" s="139">
        <f>VLOOKUP(NoviaFunds[[#This Row],[ISIN]],'Novia Web Query'!$A:$E,4,FALSE)/100</f>
        <v>5.9999999999999995E-4</v>
      </c>
      <c r="E4228" s="3" t="str">
        <f>VLOOKUP(NoviaFunds[[#This Row],[ISIN]],'Novia Web Query'!$A:$E,5,FALSE)</f>
        <v>05/12/2018</v>
      </c>
      <c r="F4228" t="str">
        <f>VLOOKUP(NoviaFunds[[#This Row],[Sector]],Sectors[],2,FALSE)</f>
        <v>UK Equities</v>
      </c>
    </row>
    <row r="4229" spans="1:6" x14ac:dyDescent="0.2">
      <c r="A4229" t="str">
        <f>'Novia Web Query'!A4225</f>
        <v>GB00B5B71H80</v>
      </c>
      <c r="B4229" t="str">
        <f>VLOOKUP(NoviaFunds[[#This Row],[ISIN]],'Novia Web Query'!$A:$E,2,FALSE)</f>
        <v>Vanguard FTSE Developed Europe ex-UK Equity Index Acc GBP in GB</v>
      </c>
      <c r="C4229" t="str">
        <f>VLOOKUP(NoviaFunds[[#This Row],[ISIN]],'Novia Web Query'!$A:$E,3,FALSE)</f>
        <v>UT Europe Excluding UK</v>
      </c>
      <c r="D4229" s="139">
        <f>VLOOKUP(NoviaFunds[[#This Row],[ISIN]],'Novia Web Query'!$A:$E,4,FALSE)/100</f>
        <v>1.1999999999999999E-3</v>
      </c>
      <c r="E4229" s="3" t="str">
        <f>VLOOKUP(NoviaFunds[[#This Row],[ISIN]],'Novia Web Query'!$A:$E,5,FALSE)</f>
        <v>05/12/2018</v>
      </c>
      <c r="F4229" t="str">
        <f>VLOOKUP(NoviaFunds[[#This Row],[Sector]],Sectors[],2,FALSE)</f>
        <v>European Equities</v>
      </c>
    </row>
    <row r="4230" spans="1:6" x14ac:dyDescent="0.2">
      <c r="A4230" t="str">
        <f>'Novia Web Query'!A4226</f>
        <v>GB00B5B74N55</v>
      </c>
      <c r="B4230" t="str">
        <f>VLOOKUP(NoviaFunds[[#This Row],[ISIN]],'Novia Web Query'!$A:$E,2,FALSE)</f>
        <v>Vanguard FTSE Developed Europe ex-UK Equity Index Inc GBP TR in GB</v>
      </c>
      <c r="C4230" t="str">
        <f>VLOOKUP(NoviaFunds[[#This Row],[ISIN]],'Novia Web Query'!$A:$E,3,FALSE)</f>
        <v>UT Europe Excluding UK</v>
      </c>
      <c r="D4230" s="139">
        <f>VLOOKUP(NoviaFunds[[#This Row],[ISIN]],'Novia Web Query'!$A:$E,4,FALSE)/100</f>
        <v>1.1999999999999999E-3</v>
      </c>
      <c r="E4230" s="3" t="str">
        <f>VLOOKUP(NoviaFunds[[#This Row],[ISIN]],'Novia Web Query'!$A:$E,5,FALSE)</f>
        <v>05/12/2018</v>
      </c>
      <c r="F4230" t="str">
        <f>VLOOKUP(NoviaFunds[[#This Row],[Sector]],Sectors[],2,FALSE)</f>
        <v>European Equities</v>
      </c>
    </row>
    <row r="4231" spans="1:6" x14ac:dyDescent="0.2">
      <c r="A4231" t="str">
        <f>'Novia Web Query'!A4227</f>
        <v>GB00BPN5NZ22</v>
      </c>
      <c r="B4231" t="str">
        <f>VLOOKUP(NoviaFunds[[#This Row],[ISIN]],'Novia Web Query'!$A:$E,2,FALSE)</f>
        <v>Vanguard FTSE Developed Europe ex-UK Equity Index Institutional Plus Inc GBP TR in GB</v>
      </c>
      <c r="C4231" t="str">
        <f>VLOOKUP(NoviaFunds[[#This Row],[ISIN]],'Novia Web Query'!$A:$E,3,FALSE)</f>
        <v>UT Europe Excluding UK</v>
      </c>
      <c r="D4231" s="139">
        <f>VLOOKUP(NoviaFunds[[#This Row],[ISIN]],'Novia Web Query'!$A:$E,4,FALSE)/100</f>
        <v>8.0000000000000004E-4</v>
      </c>
      <c r="E4231" s="3" t="str">
        <f>VLOOKUP(NoviaFunds[[#This Row],[ISIN]],'Novia Web Query'!$A:$E,5,FALSE)</f>
        <v>23/10/2019</v>
      </c>
      <c r="F4231" t="str">
        <f>VLOOKUP(NoviaFunds[[#This Row],[Sector]],Sectors[],2,FALSE)</f>
        <v>European Equities</v>
      </c>
    </row>
    <row r="4232" spans="1:6" x14ac:dyDescent="0.2">
      <c r="A4232" t="str">
        <f>'Novia Web Query'!A4228</f>
        <v>GB00B59G4Q73</v>
      </c>
      <c r="B4232" t="str">
        <f>VLOOKUP(NoviaFunds[[#This Row],[ISIN]],'Novia Web Query'!$A:$E,2,FALSE)</f>
        <v>Vanguard FTSE Developed World ex-UK Equity Index Acc GBP in GB</v>
      </c>
      <c r="C4232" t="str">
        <f>VLOOKUP(NoviaFunds[[#This Row],[ISIN]],'Novia Web Query'!$A:$E,3,FALSE)</f>
        <v>UT Global</v>
      </c>
      <c r="D4232" s="139">
        <f>VLOOKUP(NoviaFunds[[#This Row],[ISIN]],'Novia Web Query'!$A:$E,4,FALSE)/100</f>
        <v>1.4000000000000002E-3</v>
      </c>
      <c r="E4232" s="3" t="str">
        <f>VLOOKUP(NoviaFunds[[#This Row],[ISIN]],'Novia Web Query'!$A:$E,5,FALSE)</f>
        <v>23/10/2019</v>
      </c>
      <c r="F4232" t="str">
        <f>VLOOKUP(NoviaFunds[[#This Row],[Sector]],Sectors[],2,FALSE)</f>
        <v>Other Equities</v>
      </c>
    </row>
    <row r="4233" spans="1:6" x14ac:dyDescent="0.2">
      <c r="A4233" t="str">
        <f>'Novia Web Query'!A4229</f>
        <v>GB00B5B74F71</v>
      </c>
      <c r="B4233" t="str">
        <f>VLOOKUP(NoviaFunds[[#This Row],[ISIN]],'Novia Web Query'!$A:$E,2,FALSE)</f>
        <v>Vanguard FTSE Developed World ex-UK Equity Index Inc GBP TR in GB</v>
      </c>
      <c r="C4233" t="str">
        <f>VLOOKUP(NoviaFunds[[#This Row],[ISIN]],'Novia Web Query'!$A:$E,3,FALSE)</f>
        <v>UT Global</v>
      </c>
      <c r="D4233" s="139">
        <f>VLOOKUP(NoviaFunds[[#This Row],[ISIN]],'Novia Web Query'!$A:$E,4,FALSE)/100</f>
        <v>1.4000000000000002E-3</v>
      </c>
      <c r="E4233" s="3" t="str">
        <f>VLOOKUP(NoviaFunds[[#This Row],[ISIN]],'Novia Web Query'!$A:$E,5,FALSE)</f>
        <v>23/10/2019</v>
      </c>
      <c r="F4233" t="str">
        <f>VLOOKUP(NoviaFunds[[#This Row],[Sector]],Sectors[],2,FALSE)</f>
        <v>Other Equities</v>
      </c>
    </row>
    <row r="4234" spans="1:6" x14ac:dyDescent="0.2">
      <c r="A4234" t="str">
        <f>'Novia Web Query'!A4230</f>
        <v>GB00BPN5NY15</v>
      </c>
      <c r="B4234" t="str">
        <f>VLOOKUP(NoviaFunds[[#This Row],[ISIN]],'Novia Web Query'!$A:$E,2,FALSE)</f>
        <v>Vanguard FTSE Developed World ex-UK Equity Index Institutional Plus Acc GBP in GB</v>
      </c>
      <c r="C4234" t="str">
        <f>VLOOKUP(NoviaFunds[[#This Row],[ISIN]],'Novia Web Query'!$A:$E,3,FALSE)</f>
        <v>UT Global</v>
      </c>
      <c r="D4234" s="139">
        <f>VLOOKUP(NoviaFunds[[#This Row],[ISIN]],'Novia Web Query'!$A:$E,4,FALSE)/100</f>
        <v>8.0000000000000004E-4</v>
      </c>
      <c r="E4234" s="3" t="str">
        <f>VLOOKUP(NoviaFunds[[#This Row],[ISIN]],'Novia Web Query'!$A:$E,5,FALSE)</f>
        <v>23/10/2019</v>
      </c>
      <c r="F4234" t="str">
        <f>VLOOKUP(NoviaFunds[[#This Row],[Sector]],Sectors[],2,FALSE)</f>
        <v>Other Equities</v>
      </c>
    </row>
    <row r="4235" spans="1:6" x14ac:dyDescent="0.2">
      <c r="A4235" t="str">
        <f>'Novia Web Query'!A4231</f>
        <v>GB00BPN5NX08</v>
      </c>
      <c r="B4235" t="str">
        <f>VLOOKUP(NoviaFunds[[#This Row],[ISIN]],'Novia Web Query'!$A:$E,2,FALSE)</f>
        <v>Vanguard FTSE Developed World ex-UK Equity Index Institutional Plus Inc GBP TR in GB</v>
      </c>
      <c r="C4235" t="str">
        <f>VLOOKUP(NoviaFunds[[#This Row],[ISIN]],'Novia Web Query'!$A:$E,3,FALSE)</f>
        <v>UT Global</v>
      </c>
      <c r="D4235" s="139">
        <f>VLOOKUP(NoviaFunds[[#This Row],[ISIN]],'Novia Web Query'!$A:$E,4,FALSE)/100</f>
        <v>8.0000000000000004E-4</v>
      </c>
      <c r="E4235" s="3" t="str">
        <f>VLOOKUP(NoviaFunds[[#This Row],[ISIN]],'Novia Web Query'!$A:$E,5,FALSE)</f>
        <v>23/10/2019</v>
      </c>
      <c r="F4235" t="str">
        <f>VLOOKUP(NoviaFunds[[#This Row],[Sector]],Sectors[],2,FALSE)</f>
        <v>Other Equities</v>
      </c>
    </row>
    <row r="4236" spans="1:6" x14ac:dyDescent="0.2">
      <c r="A4236" t="str">
        <f>'Novia Web Query'!A4232</f>
        <v>GB00BD3RZ475</v>
      </c>
      <c r="B4236" t="str">
        <f>VLOOKUP(NoviaFunds[[#This Row],[ISIN]],'Novia Web Query'!$A:$E,2,FALSE)</f>
        <v>Vanguard FTSE Global All Cap Index Inc GBP TR in GB</v>
      </c>
      <c r="C4236" t="str">
        <f>VLOOKUP(NoviaFunds[[#This Row],[ISIN]],'Novia Web Query'!$A:$E,3,FALSE)</f>
        <v>UT Global</v>
      </c>
      <c r="D4236" s="139">
        <f>VLOOKUP(NoviaFunds[[#This Row],[ISIN]],'Novia Web Query'!$A:$E,4,FALSE)/100</f>
        <v>2.3E-3</v>
      </c>
      <c r="E4236" s="3" t="str">
        <f>VLOOKUP(NoviaFunds[[#This Row],[ISIN]],'Novia Web Query'!$A:$E,5,FALSE)</f>
        <v>23/10/2019</v>
      </c>
      <c r="F4236" t="str">
        <f>VLOOKUP(NoviaFunds[[#This Row],[Sector]],Sectors[],2,FALSE)</f>
        <v>Other Equities</v>
      </c>
    </row>
    <row r="4237" spans="1:6" x14ac:dyDescent="0.2">
      <c r="A4237" t="str">
        <f>'Novia Web Query'!A4233</f>
        <v>GB00BD3RZ582</v>
      </c>
      <c r="B4237" t="str">
        <f>VLOOKUP(NoviaFunds[[#This Row],[ISIN]],'Novia Web Query'!$A:$E,2,FALSE)</f>
        <v>Vanguard FTSE Global All Cap Index Investor Acc GBP in GB</v>
      </c>
      <c r="C4237" t="str">
        <f>VLOOKUP(NoviaFunds[[#This Row],[ISIN]],'Novia Web Query'!$A:$E,3,FALSE)</f>
        <v>UT Global</v>
      </c>
      <c r="D4237" s="139">
        <f>VLOOKUP(NoviaFunds[[#This Row],[ISIN]],'Novia Web Query'!$A:$E,4,FALSE)/100</f>
        <v>2.3E-3</v>
      </c>
      <c r="E4237" s="3" t="str">
        <f>VLOOKUP(NoviaFunds[[#This Row],[ISIN]],'Novia Web Query'!$A:$E,5,FALSE)</f>
        <v>23/10/2019</v>
      </c>
      <c r="F4237" t="str">
        <f>VLOOKUP(NoviaFunds[[#This Row],[Sector]],Sectors[],2,FALSE)</f>
        <v>Other Equities</v>
      </c>
    </row>
    <row r="4238" spans="1:6" x14ac:dyDescent="0.2">
      <c r="A4238" t="str">
        <f>'Novia Web Query'!A4234</f>
        <v>GB00B3X7QG63</v>
      </c>
      <c r="B4238" t="str">
        <f>VLOOKUP(NoviaFunds[[#This Row],[ISIN]],'Novia Web Query'!$A:$E,2,FALSE)</f>
        <v>Vanguard FTSE U.K. All Share Index Unit Trust A Acc GBP in GB</v>
      </c>
      <c r="C4238" t="str">
        <f>VLOOKUP(NoviaFunds[[#This Row],[ISIN]],'Novia Web Query'!$A:$E,3,FALSE)</f>
        <v>UT UK All Companies</v>
      </c>
      <c r="D4238" s="139">
        <f>VLOOKUP(NoviaFunds[[#This Row],[ISIN]],'Novia Web Query'!$A:$E,4,FALSE)/100</f>
        <v>5.9999999999999995E-4</v>
      </c>
      <c r="E4238" s="3" t="str">
        <f>VLOOKUP(NoviaFunds[[#This Row],[ISIN]],'Novia Web Query'!$A:$E,5,FALSE)</f>
        <v>23/10/2019</v>
      </c>
      <c r="F4238" t="str">
        <f>VLOOKUP(NoviaFunds[[#This Row],[Sector]],Sectors[],2,FALSE)</f>
        <v>UK Equities</v>
      </c>
    </row>
    <row r="4239" spans="1:6" x14ac:dyDescent="0.2">
      <c r="A4239" t="str">
        <f>'Novia Web Query'!A4235</f>
        <v>GB00BPN5P782</v>
      </c>
      <c r="B4239" t="str">
        <f>VLOOKUP(NoviaFunds[[#This Row],[ISIN]],'Novia Web Query'!$A:$E,2,FALSE)</f>
        <v>Vanguard FTSE U.K. All Share Index Unit Trust A Inc GBP TR in GB</v>
      </c>
      <c r="C4239" t="str">
        <f>VLOOKUP(NoviaFunds[[#This Row],[ISIN]],'Novia Web Query'!$A:$E,3,FALSE)</f>
        <v>UT UK All Companies</v>
      </c>
      <c r="D4239" s="139">
        <f>VLOOKUP(NoviaFunds[[#This Row],[ISIN]],'Novia Web Query'!$A:$E,4,FALSE)/100</f>
        <v>5.9999999999999995E-4</v>
      </c>
      <c r="E4239" s="3" t="str">
        <f>VLOOKUP(NoviaFunds[[#This Row],[ISIN]],'Novia Web Query'!$A:$E,5,FALSE)</f>
        <v>23/10/2019</v>
      </c>
      <c r="F4239" t="str">
        <f>VLOOKUP(NoviaFunds[[#This Row],[Sector]],Sectors[],2,FALSE)</f>
        <v>UK Equities</v>
      </c>
    </row>
    <row r="4240" spans="1:6" x14ac:dyDescent="0.2">
      <c r="A4240" t="str">
        <f>'Novia Web Query'!A4236</f>
        <v>GB00BPN5P907</v>
      </c>
      <c r="B4240" t="str">
        <f>VLOOKUP(NoviaFunds[[#This Row],[ISIN]],'Novia Web Query'!$A:$E,2,FALSE)</f>
        <v>Vanguard FTSE U.K. All Share Index Unit Trust Institutional Plus Acc GBP in GB</v>
      </c>
      <c r="C4240" t="str">
        <f>VLOOKUP(NoviaFunds[[#This Row],[ISIN]],'Novia Web Query'!$A:$E,3,FALSE)</f>
        <v>UT UK All Companies</v>
      </c>
      <c r="D4240" s="139">
        <f>VLOOKUP(NoviaFunds[[#This Row],[ISIN]],'Novia Web Query'!$A:$E,4,FALSE)/100</f>
        <v>5.0000000000000001E-4</v>
      </c>
      <c r="E4240" s="3" t="str">
        <f>VLOOKUP(NoviaFunds[[#This Row],[ISIN]],'Novia Web Query'!$A:$E,5,FALSE)</f>
        <v>05/12/2018</v>
      </c>
      <c r="F4240" t="str">
        <f>VLOOKUP(NoviaFunds[[#This Row],[Sector]],Sectors[],2,FALSE)</f>
        <v>UK Equities</v>
      </c>
    </row>
    <row r="4241" spans="1:6" x14ac:dyDescent="0.2">
      <c r="A4241" t="str">
        <f>'Novia Web Query'!A4237</f>
        <v>GB00BPN5P899</v>
      </c>
      <c r="B4241" t="str">
        <f>VLOOKUP(NoviaFunds[[#This Row],[ISIN]],'Novia Web Query'!$A:$E,2,FALSE)</f>
        <v>Vanguard FTSE U.K. All Share Index Unit Trust Institutional Plus Inc GBP TR in GB</v>
      </c>
      <c r="C4241" t="str">
        <f>VLOOKUP(NoviaFunds[[#This Row],[ISIN]],'Novia Web Query'!$A:$E,3,FALSE)</f>
        <v>UT UK All Companies</v>
      </c>
      <c r="D4241" s="139">
        <f>VLOOKUP(NoviaFunds[[#This Row],[ISIN]],'Novia Web Query'!$A:$E,4,FALSE)/100</f>
        <v>5.0000000000000001E-4</v>
      </c>
      <c r="E4241" s="3" t="str">
        <f>VLOOKUP(NoviaFunds[[#This Row],[ISIN]],'Novia Web Query'!$A:$E,5,FALSE)</f>
        <v>05/12/2018</v>
      </c>
      <c r="F4241" t="str">
        <f>VLOOKUP(NoviaFunds[[#This Row],[Sector]],Sectors[],2,FALSE)</f>
        <v>UK Equities</v>
      </c>
    </row>
    <row r="4242" spans="1:6" x14ac:dyDescent="0.2">
      <c r="A4242" t="str">
        <f>'Novia Web Query'!A4238</f>
        <v>GB00B59G4H82</v>
      </c>
      <c r="B4242" t="str">
        <f>VLOOKUP(NoviaFunds[[#This Row],[ISIN]],'Novia Web Query'!$A:$E,2,FALSE)</f>
        <v>Vanguard FTSE UK Equity Income Index Acc GBP in GB</v>
      </c>
      <c r="C4242" t="str">
        <f>VLOOKUP(NoviaFunds[[#This Row],[ISIN]],'Novia Web Query'!$A:$E,3,FALSE)</f>
        <v>UT UK Equity Income</v>
      </c>
      <c r="D4242" s="139">
        <f>VLOOKUP(NoviaFunds[[#This Row],[ISIN]],'Novia Web Query'!$A:$E,4,FALSE)/100</f>
        <v>1.4000000000000002E-3</v>
      </c>
      <c r="E4242" s="3" t="str">
        <f>VLOOKUP(NoviaFunds[[#This Row],[ISIN]],'Novia Web Query'!$A:$E,5,FALSE)</f>
        <v>23/10/2019</v>
      </c>
      <c r="F4242" t="str">
        <f>VLOOKUP(NoviaFunds[[#This Row],[Sector]],Sectors[],2,FALSE)</f>
        <v>UK Equities</v>
      </c>
    </row>
    <row r="4243" spans="1:6" x14ac:dyDescent="0.2">
      <c r="A4243" t="str">
        <f>'Novia Web Query'!A4239</f>
        <v>GB00B5B74684</v>
      </c>
      <c r="B4243" t="str">
        <f>VLOOKUP(NoviaFunds[[#This Row],[ISIN]],'Novia Web Query'!$A:$E,2,FALSE)</f>
        <v>Vanguard FTSE UK Equity Income Index Inc GBP TR in GB</v>
      </c>
      <c r="C4243" t="str">
        <f>VLOOKUP(NoviaFunds[[#This Row],[ISIN]],'Novia Web Query'!$A:$E,3,FALSE)</f>
        <v>UT UK Equity Income</v>
      </c>
      <c r="D4243" s="139">
        <f>VLOOKUP(NoviaFunds[[#This Row],[ISIN]],'Novia Web Query'!$A:$E,4,FALSE)/100</f>
        <v>1.4000000000000002E-3</v>
      </c>
      <c r="E4243" s="3" t="str">
        <f>VLOOKUP(NoviaFunds[[#This Row],[ISIN]],'Novia Web Query'!$A:$E,5,FALSE)</f>
        <v>23/10/2019</v>
      </c>
      <c r="F4243" t="str">
        <f>VLOOKUP(NoviaFunds[[#This Row],[Sector]],Sectors[],2,FALSE)</f>
        <v>UK Equities</v>
      </c>
    </row>
    <row r="4244" spans="1:6" x14ac:dyDescent="0.2">
      <c r="A4244" t="str">
        <f>'Novia Web Query'!A4240</f>
        <v>GB00BZ82ZY13</v>
      </c>
      <c r="B4244" t="str">
        <f>VLOOKUP(NoviaFunds[[#This Row],[ISIN]],'Novia Web Query'!$A:$E,2,FALSE)</f>
        <v>Vanguard Global Emerging Markets Acc in GB</v>
      </c>
      <c r="C4244" t="str">
        <f>VLOOKUP(NoviaFunds[[#This Row],[ISIN]],'Novia Web Query'!$A:$E,3,FALSE)</f>
        <v>UT Global Emerging Markets</v>
      </c>
      <c r="D4244" s="139">
        <f>VLOOKUP(NoviaFunds[[#This Row],[ISIN]],'Novia Web Query'!$A:$E,4,FALSE)/100</f>
        <v>7.8000000000000005E-3</v>
      </c>
      <c r="E4244" s="3" t="str">
        <f>VLOOKUP(NoviaFunds[[#This Row],[ISIN]],'Novia Web Query'!$A:$E,5,FALSE)</f>
        <v>19/06/2019</v>
      </c>
      <c r="F4244" t="str">
        <f>VLOOKUP(NoviaFunds[[#This Row],[Sector]],Sectors[],2,FALSE)</f>
        <v>Emerging Markets</v>
      </c>
    </row>
    <row r="4245" spans="1:6" x14ac:dyDescent="0.2">
      <c r="A4245" t="str">
        <f>'Novia Web Query'!A4241</f>
        <v>GB00BZ82ZX06</v>
      </c>
      <c r="B4245" t="str">
        <f>VLOOKUP(NoviaFunds[[#This Row],[ISIN]],'Novia Web Query'!$A:$E,2,FALSE)</f>
        <v>Vanguard Global Emerging Markets Inc TR in GB</v>
      </c>
      <c r="C4245" t="str">
        <f>VLOOKUP(NoviaFunds[[#This Row],[ISIN]],'Novia Web Query'!$A:$E,3,FALSE)</f>
        <v>UT Global Emerging Markets</v>
      </c>
      <c r="D4245" s="139">
        <f>VLOOKUP(NoviaFunds[[#This Row],[ISIN]],'Novia Web Query'!$A:$E,4,FALSE)/100</f>
        <v>7.8000000000000005E-3</v>
      </c>
      <c r="E4245" s="3" t="str">
        <f>VLOOKUP(NoviaFunds[[#This Row],[ISIN]],'Novia Web Query'!$A:$E,5,FALSE)</f>
        <v>19/06/2019</v>
      </c>
      <c r="F4245" t="str">
        <f>VLOOKUP(NoviaFunds[[#This Row],[Sector]],Sectors[],2,FALSE)</f>
        <v>Emerging Markets</v>
      </c>
    </row>
    <row r="4246" spans="1:6" x14ac:dyDescent="0.2">
      <c r="A4246" t="str">
        <f>'Novia Web Query'!A4242</f>
        <v>GB00BZ82ZT69</v>
      </c>
      <c r="B4246" t="str">
        <f>VLOOKUP(NoviaFunds[[#This Row],[ISIN]],'Novia Web Query'!$A:$E,2,FALSE)</f>
        <v>Vanguard Global Equity Acc in GB</v>
      </c>
      <c r="C4246" t="str">
        <f>VLOOKUP(NoviaFunds[[#This Row],[ISIN]],'Novia Web Query'!$A:$E,3,FALSE)</f>
        <v>UT Global</v>
      </c>
      <c r="D4246" s="139">
        <f>VLOOKUP(NoviaFunds[[#This Row],[ISIN]],'Novia Web Query'!$A:$E,4,FALSE)/100</f>
        <v>4.7999999999999996E-3</v>
      </c>
      <c r="E4246" s="3" t="str">
        <f>VLOOKUP(NoviaFunds[[#This Row],[ISIN]],'Novia Web Query'!$A:$E,5,FALSE)</f>
        <v>19/06/2019</v>
      </c>
      <c r="F4246" t="str">
        <f>VLOOKUP(NoviaFunds[[#This Row],[Sector]],Sectors[],2,FALSE)</f>
        <v>Other Equities</v>
      </c>
    </row>
    <row r="4247" spans="1:6" x14ac:dyDescent="0.2">
      <c r="A4247" t="str">
        <f>'Novia Web Query'!A4243</f>
        <v>GB00BZ82ZS52</v>
      </c>
      <c r="B4247" t="str">
        <f>VLOOKUP(NoviaFunds[[#This Row],[ISIN]],'Novia Web Query'!$A:$E,2,FALSE)</f>
        <v>Vanguard Global Equity Inc TR in GB</v>
      </c>
      <c r="C4247" t="str">
        <f>VLOOKUP(NoviaFunds[[#This Row],[ISIN]],'Novia Web Query'!$A:$E,3,FALSE)</f>
        <v>UT Global</v>
      </c>
      <c r="D4247" s="139">
        <f>VLOOKUP(NoviaFunds[[#This Row],[ISIN]],'Novia Web Query'!$A:$E,4,FALSE)/100</f>
        <v>4.7999999999999996E-3</v>
      </c>
      <c r="E4247" s="3" t="str">
        <f>VLOOKUP(NoviaFunds[[#This Row],[ISIN]],'Novia Web Query'!$A:$E,5,FALSE)</f>
        <v>19/06/2019</v>
      </c>
      <c r="F4247" t="str">
        <f>VLOOKUP(NoviaFunds[[#This Row],[Sector]],Sectors[],2,FALSE)</f>
        <v>Other Equities</v>
      </c>
    </row>
    <row r="4248" spans="1:6" x14ac:dyDescent="0.2">
      <c r="A4248" t="str">
        <f>'Novia Web Query'!A4244</f>
        <v>GB00BZ82ZW98</v>
      </c>
      <c r="B4248" t="str">
        <f>VLOOKUP(NoviaFunds[[#This Row],[ISIN]],'Novia Web Query'!$A:$E,2,FALSE)</f>
        <v>Vanguard Global Equity Income Acc in GB</v>
      </c>
      <c r="C4248" t="str">
        <f>VLOOKUP(NoviaFunds[[#This Row],[ISIN]],'Novia Web Query'!$A:$E,3,FALSE)</f>
        <v>UT Global Equity Income</v>
      </c>
      <c r="D4248" s="139">
        <f>VLOOKUP(NoviaFunds[[#This Row],[ISIN]],'Novia Web Query'!$A:$E,4,FALSE)/100</f>
        <v>4.7999999999999996E-3</v>
      </c>
      <c r="E4248" s="3" t="str">
        <f>VLOOKUP(NoviaFunds[[#This Row],[ISIN]],'Novia Web Query'!$A:$E,5,FALSE)</f>
        <v>19/06/2019</v>
      </c>
      <c r="F4248" t="str">
        <f>VLOOKUP(NoviaFunds[[#This Row],[Sector]],Sectors[],2,FALSE)</f>
        <v>Other Equities</v>
      </c>
    </row>
    <row r="4249" spans="1:6" x14ac:dyDescent="0.2">
      <c r="A4249" t="str">
        <f>'Novia Web Query'!A4245</f>
        <v>GB00BZ82ZV81</v>
      </c>
      <c r="B4249" t="str">
        <f>VLOOKUP(NoviaFunds[[#This Row],[ISIN]],'Novia Web Query'!$A:$E,2,FALSE)</f>
        <v>Vanguard Global Equity Income Inc TR in GB</v>
      </c>
      <c r="C4249" t="str">
        <f>VLOOKUP(NoviaFunds[[#This Row],[ISIN]],'Novia Web Query'!$A:$E,3,FALSE)</f>
        <v>UT Global Equity Income</v>
      </c>
      <c r="D4249" s="139">
        <f>VLOOKUP(NoviaFunds[[#This Row],[ISIN]],'Novia Web Query'!$A:$E,4,FALSE)/100</f>
        <v>4.7999999999999996E-3</v>
      </c>
      <c r="E4249" s="3" t="str">
        <f>VLOOKUP(NoviaFunds[[#This Row],[ISIN]],'Novia Web Query'!$A:$E,5,FALSE)</f>
        <v>19/06/2019</v>
      </c>
      <c r="F4249" t="str">
        <f>VLOOKUP(NoviaFunds[[#This Row],[Sector]],Sectors[],2,FALSE)</f>
        <v>Other Equities</v>
      </c>
    </row>
    <row r="4250" spans="1:6" x14ac:dyDescent="0.2">
      <c r="A4250" t="str">
        <f>'Novia Web Query'!A4246</f>
        <v>GB00B41XG308</v>
      </c>
      <c r="B4250" t="str">
        <f>VLOOKUP(NoviaFunds[[#This Row],[ISIN]],'Novia Web Query'!$A:$E,2,FALSE)</f>
        <v>Vanguard LifeStrategy 100% Equity A Acc in GB</v>
      </c>
      <c r="C4250" t="str">
        <f>VLOOKUP(NoviaFunds[[#This Row],[ISIN]],'Novia Web Query'!$A:$E,3,FALSE)</f>
        <v>UT Global</v>
      </c>
      <c r="D4250" s="139">
        <f>VLOOKUP(NoviaFunds[[#This Row],[ISIN]],'Novia Web Query'!$A:$E,4,FALSE)/100</f>
        <v>2.2000000000000001E-3</v>
      </c>
      <c r="E4250" s="3" t="str">
        <f>VLOOKUP(NoviaFunds[[#This Row],[ISIN]],'Novia Web Query'!$A:$E,5,FALSE)</f>
        <v>05/12/2018</v>
      </c>
      <c r="F4250" t="str">
        <f>VLOOKUP(NoviaFunds[[#This Row],[Sector]],Sectors[],2,FALSE)</f>
        <v>Other Equities</v>
      </c>
    </row>
    <row r="4251" spans="1:6" x14ac:dyDescent="0.2">
      <c r="A4251" t="str">
        <f>'Novia Web Query'!A4247</f>
        <v>GB00B545NX97</v>
      </c>
      <c r="B4251" t="str">
        <f>VLOOKUP(NoviaFunds[[#This Row],[ISIN]],'Novia Web Query'!$A:$E,2,FALSE)</f>
        <v>Vanguard LifeStrategy 100% Equity A Inc TR in GB</v>
      </c>
      <c r="C4251" t="str">
        <f>VLOOKUP(NoviaFunds[[#This Row],[ISIN]],'Novia Web Query'!$A:$E,3,FALSE)</f>
        <v>UT Global</v>
      </c>
      <c r="D4251" s="139">
        <f>VLOOKUP(NoviaFunds[[#This Row],[ISIN]],'Novia Web Query'!$A:$E,4,FALSE)/100</f>
        <v>2.2000000000000001E-3</v>
      </c>
      <c r="E4251" s="3" t="str">
        <f>VLOOKUP(NoviaFunds[[#This Row],[ISIN]],'Novia Web Query'!$A:$E,5,FALSE)</f>
        <v>05/12/2018</v>
      </c>
      <c r="F4251" t="str">
        <f>VLOOKUP(NoviaFunds[[#This Row],[Sector]],Sectors[],2,FALSE)</f>
        <v>Other Equities</v>
      </c>
    </row>
    <row r="4252" spans="1:6" x14ac:dyDescent="0.2">
      <c r="A4252" t="str">
        <f>'Novia Web Query'!A4248</f>
        <v>GB00B4NXY349</v>
      </c>
      <c r="B4252" t="str">
        <f>VLOOKUP(NoviaFunds[[#This Row],[ISIN]],'Novia Web Query'!$A:$E,2,FALSE)</f>
        <v>Vanguard LifeStrategy 20% Equity A Gross Acc GBP in GB</v>
      </c>
      <c r="C4252" t="str">
        <f>VLOOKUP(NoviaFunds[[#This Row],[ISIN]],'Novia Web Query'!$A:$E,3,FALSE)</f>
        <v>UT Mixed Investment 0-35% Shares</v>
      </c>
      <c r="D4252" s="139">
        <f>VLOOKUP(NoviaFunds[[#This Row],[ISIN]],'Novia Web Query'!$A:$E,4,FALSE)/100</f>
        <v>2.2000000000000001E-3</v>
      </c>
      <c r="E4252" s="3" t="str">
        <f>VLOOKUP(NoviaFunds[[#This Row],[ISIN]],'Novia Web Query'!$A:$E,5,FALSE)</f>
        <v>05/12/2018</v>
      </c>
      <c r="F4252" t="str">
        <f>VLOOKUP(NoviaFunds[[#This Row],[Sector]],Sectors[],2,FALSE)</f>
        <v>Mixed 0%-35%</v>
      </c>
    </row>
    <row r="4253" spans="1:6" x14ac:dyDescent="0.2">
      <c r="A4253" t="str">
        <f>'Novia Web Query'!A4249</f>
        <v>GB00B4620290</v>
      </c>
      <c r="B4253" t="str">
        <f>VLOOKUP(NoviaFunds[[#This Row],[ISIN]],'Novia Web Query'!$A:$E,2,FALSE)</f>
        <v>Vanguard LifeStrategy 20% Equity A Gross Inc GBP TR in GB</v>
      </c>
      <c r="C4253" t="str">
        <f>VLOOKUP(NoviaFunds[[#This Row],[ISIN]],'Novia Web Query'!$A:$E,3,FALSE)</f>
        <v>UT Mixed Investment 0-35% Shares</v>
      </c>
      <c r="D4253" s="139">
        <f>VLOOKUP(NoviaFunds[[#This Row],[ISIN]],'Novia Web Query'!$A:$E,4,FALSE)/100</f>
        <v>2.2000000000000001E-3</v>
      </c>
      <c r="E4253" s="3" t="str">
        <f>VLOOKUP(NoviaFunds[[#This Row],[ISIN]],'Novia Web Query'!$A:$E,5,FALSE)</f>
        <v>05/12/2018</v>
      </c>
      <c r="F4253" t="str">
        <f>VLOOKUP(NoviaFunds[[#This Row],[Sector]],Sectors[],2,FALSE)</f>
        <v>Mixed 0%-35%</v>
      </c>
    </row>
    <row r="4254" spans="1:6" x14ac:dyDescent="0.2">
      <c r="A4254" t="str">
        <f>'Novia Web Query'!A4250</f>
        <v>GB00B3ZHN960</v>
      </c>
      <c r="B4254" t="str">
        <f>VLOOKUP(NoviaFunds[[#This Row],[ISIN]],'Novia Web Query'!$A:$E,2,FALSE)</f>
        <v>Vanguard LifeStrategy 40% Equity A Acc in GB</v>
      </c>
      <c r="C4254" t="str">
        <f>VLOOKUP(NoviaFunds[[#This Row],[ISIN]],'Novia Web Query'!$A:$E,3,FALSE)</f>
        <v>UT Mixed Investment 20-60% Shares</v>
      </c>
      <c r="D4254" s="139">
        <f>VLOOKUP(NoviaFunds[[#This Row],[ISIN]],'Novia Web Query'!$A:$E,4,FALSE)/100</f>
        <v>2.2000000000000001E-3</v>
      </c>
      <c r="E4254" s="3" t="str">
        <f>VLOOKUP(NoviaFunds[[#This Row],[ISIN]],'Novia Web Query'!$A:$E,5,FALSE)</f>
        <v>05/12/2018</v>
      </c>
      <c r="F4254" t="str">
        <f>VLOOKUP(NoviaFunds[[#This Row],[Sector]],Sectors[],2,FALSE)</f>
        <v>Mixed 20%-60%</v>
      </c>
    </row>
    <row r="4255" spans="1:6" x14ac:dyDescent="0.2">
      <c r="A4255" t="str">
        <f>'Novia Web Query'!A4251</f>
        <v>GB00B41F6L43</v>
      </c>
      <c r="B4255" t="str">
        <f>VLOOKUP(NoviaFunds[[#This Row],[ISIN]],'Novia Web Query'!$A:$E,2,FALSE)</f>
        <v>Vanguard LifeStrategy 40% Equity A Inc TR in GB</v>
      </c>
      <c r="C4255" t="str">
        <f>VLOOKUP(NoviaFunds[[#This Row],[ISIN]],'Novia Web Query'!$A:$E,3,FALSE)</f>
        <v>UT Mixed Investment 20-60% Shares</v>
      </c>
      <c r="D4255" s="139">
        <f>VLOOKUP(NoviaFunds[[#This Row],[ISIN]],'Novia Web Query'!$A:$E,4,FALSE)/100</f>
        <v>2.2000000000000001E-3</v>
      </c>
      <c r="E4255" s="3" t="str">
        <f>VLOOKUP(NoviaFunds[[#This Row],[ISIN]],'Novia Web Query'!$A:$E,5,FALSE)</f>
        <v>05/12/2018</v>
      </c>
      <c r="F4255" t="str">
        <f>VLOOKUP(NoviaFunds[[#This Row],[Sector]],Sectors[],2,FALSE)</f>
        <v>Mixed 20%-60%</v>
      </c>
    </row>
    <row r="4256" spans="1:6" x14ac:dyDescent="0.2">
      <c r="A4256" t="str">
        <f>'Novia Web Query'!A4252</f>
        <v>GB00B3TYHH97</v>
      </c>
      <c r="B4256" t="str">
        <f>VLOOKUP(NoviaFunds[[#This Row],[ISIN]],'Novia Web Query'!$A:$E,2,FALSE)</f>
        <v>Vanguard LifeStrategy 60% Equity A Acc in GB</v>
      </c>
      <c r="C4256" t="str">
        <f>VLOOKUP(NoviaFunds[[#This Row],[ISIN]],'Novia Web Query'!$A:$E,3,FALSE)</f>
        <v>UT Mixed Investment 40-85% Shares</v>
      </c>
      <c r="D4256" s="139">
        <f>VLOOKUP(NoviaFunds[[#This Row],[ISIN]],'Novia Web Query'!$A:$E,4,FALSE)/100</f>
        <v>2.2000000000000001E-3</v>
      </c>
      <c r="E4256" s="3" t="str">
        <f>VLOOKUP(NoviaFunds[[#This Row],[ISIN]],'Novia Web Query'!$A:$E,5,FALSE)</f>
        <v>05/12/2018</v>
      </c>
      <c r="F4256" t="str">
        <f>VLOOKUP(NoviaFunds[[#This Row],[Sector]],Sectors[],2,FALSE)</f>
        <v>Mixed 40%-85%</v>
      </c>
    </row>
    <row r="4257" spans="1:6" x14ac:dyDescent="0.2">
      <c r="A4257" t="str">
        <f>'Novia Web Query'!A4253</f>
        <v>GB00B4R2F348</v>
      </c>
      <c r="B4257" t="str">
        <f>VLOOKUP(NoviaFunds[[#This Row],[ISIN]],'Novia Web Query'!$A:$E,2,FALSE)</f>
        <v>Vanguard LifeStrategy 60% Equity A Inc TR in GB</v>
      </c>
      <c r="C4257" t="str">
        <f>VLOOKUP(NoviaFunds[[#This Row],[ISIN]],'Novia Web Query'!$A:$E,3,FALSE)</f>
        <v>UT Mixed Investment 40-85% Shares</v>
      </c>
      <c r="D4257" s="139">
        <f>VLOOKUP(NoviaFunds[[#This Row],[ISIN]],'Novia Web Query'!$A:$E,4,FALSE)/100</f>
        <v>2.2000000000000001E-3</v>
      </c>
      <c r="E4257" s="3" t="str">
        <f>VLOOKUP(NoviaFunds[[#This Row],[ISIN]],'Novia Web Query'!$A:$E,5,FALSE)</f>
        <v>05/12/2018</v>
      </c>
      <c r="F4257" t="str">
        <f>VLOOKUP(NoviaFunds[[#This Row],[Sector]],Sectors[],2,FALSE)</f>
        <v>Mixed 40%-85%</v>
      </c>
    </row>
    <row r="4258" spans="1:6" x14ac:dyDescent="0.2">
      <c r="A4258" t="str">
        <f>'Novia Web Query'!A4254</f>
        <v>GB00B4PQW151</v>
      </c>
      <c r="B4258" t="str">
        <f>VLOOKUP(NoviaFunds[[#This Row],[ISIN]],'Novia Web Query'!$A:$E,2,FALSE)</f>
        <v>Vanguard LifeStrategy 80% Equity A in GB</v>
      </c>
      <c r="C4258" t="str">
        <f>VLOOKUP(NoviaFunds[[#This Row],[ISIN]],'Novia Web Query'!$A:$E,3,FALSE)</f>
        <v>UT Mixed Investment 40-85% Shares</v>
      </c>
      <c r="D4258" s="139">
        <f>VLOOKUP(NoviaFunds[[#This Row],[ISIN]],'Novia Web Query'!$A:$E,4,FALSE)/100</f>
        <v>2.2000000000000001E-3</v>
      </c>
      <c r="E4258" s="3" t="str">
        <f>VLOOKUP(NoviaFunds[[#This Row],[ISIN]],'Novia Web Query'!$A:$E,5,FALSE)</f>
        <v>05/12/2018</v>
      </c>
      <c r="F4258" t="str">
        <f>VLOOKUP(NoviaFunds[[#This Row],[Sector]],Sectors[],2,FALSE)</f>
        <v>Mixed 40%-85%</v>
      </c>
    </row>
    <row r="4259" spans="1:6" x14ac:dyDescent="0.2">
      <c r="A4259" t="str">
        <f>'Novia Web Query'!A4255</f>
        <v>GB00B4KWNF91</v>
      </c>
      <c r="B4259" t="str">
        <f>VLOOKUP(NoviaFunds[[#This Row],[ISIN]],'Novia Web Query'!$A:$E,2,FALSE)</f>
        <v>Vanguard LifeStrategy 80% Equity A Inc TR in GB</v>
      </c>
      <c r="C4259" t="str">
        <f>VLOOKUP(NoviaFunds[[#This Row],[ISIN]],'Novia Web Query'!$A:$E,3,FALSE)</f>
        <v>UT Mixed Investment 40-85% Shares</v>
      </c>
      <c r="D4259" s="139">
        <f>VLOOKUP(NoviaFunds[[#This Row],[ISIN]],'Novia Web Query'!$A:$E,4,FALSE)/100</f>
        <v>2.2000000000000001E-3</v>
      </c>
      <c r="E4259" s="3" t="str">
        <f>VLOOKUP(NoviaFunds[[#This Row],[ISIN]],'Novia Web Query'!$A:$E,5,FALSE)</f>
        <v>05/12/2018</v>
      </c>
      <c r="F4259" t="str">
        <f>VLOOKUP(NoviaFunds[[#This Row],[Sector]],Sectors[],2,FALSE)</f>
        <v>Mixed 40%-85%</v>
      </c>
    </row>
    <row r="4260" spans="1:6" x14ac:dyDescent="0.2">
      <c r="A4260" t="str">
        <f>'Novia Web Query'!A4256</f>
        <v>GB00BZ830054</v>
      </c>
      <c r="B4260" t="str">
        <f>VLOOKUP(NoviaFunds[[#This Row],[ISIN]],'Novia Web Query'!$A:$E,2,FALSE)</f>
        <v>Vanguard SustainableLife 60-70% Equity Acc in GB</v>
      </c>
      <c r="C4260" t="str">
        <f>VLOOKUP(NoviaFunds[[#This Row],[ISIN]],'Novia Web Query'!$A:$E,3,FALSE)</f>
        <v>UT Mixed Investment 40-85% Shares</v>
      </c>
      <c r="D4260" s="139">
        <f>VLOOKUP(NoviaFunds[[#This Row],[ISIN]],'Novia Web Query'!$A:$E,4,FALSE)/100</f>
        <v>4.7999999999999996E-3</v>
      </c>
      <c r="E4260" s="3" t="str">
        <f>VLOOKUP(NoviaFunds[[#This Row],[ISIN]],'Novia Web Query'!$A:$E,5,FALSE)</f>
        <v>19/06/2019</v>
      </c>
      <c r="F4260" t="str">
        <f>VLOOKUP(NoviaFunds[[#This Row],[Sector]],Sectors[],2,FALSE)</f>
        <v>Mixed 40%-85%</v>
      </c>
    </row>
    <row r="4261" spans="1:6" x14ac:dyDescent="0.2">
      <c r="A4261" t="str">
        <f>'Novia Web Query'!A4257</f>
        <v>GB00BZ82ZZ20</v>
      </c>
      <c r="B4261" t="str">
        <f>VLOOKUP(NoviaFunds[[#This Row],[ISIN]],'Novia Web Query'!$A:$E,2,FALSE)</f>
        <v>Vanguard SustainableLife 60-70% Equity Inc TR in GB</v>
      </c>
      <c r="C4261" t="str">
        <f>VLOOKUP(NoviaFunds[[#This Row],[ISIN]],'Novia Web Query'!$A:$E,3,FALSE)</f>
        <v>UT Mixed Investment 40-85% Shares</v>
      </c>
      <c r="D4261" s="139">
        <f>VLOOKUP(NoviaFunds[[#This Row],[ISIN]],'Novia Web Query'!$A:$E,4,FALSE)/100</f>
        <v>4.7999999999999996E-3</v>
      </c>
      <c r="E4261" s="3" t="str">
        <f>VLOOKUP(NoviaFunds[[#This Row],[ISIN]],'Novia Web Query'!$A:$E,5,FALSE)</f>
        <v>19/06/2019</v>
      </c>
      <c r="F4261" t="str">
        <f>VLOOKUP(NoviaFunds[[#This Row],[Sector]],Sectors[],2,FALSE)</f>
        <v>Mixed 40%-85%</v>
      </c>
    </row>
    <row r="4262" spans="1:6" x14ac:dyDescent="0.2">
      <c r="A4262" t="str">
        <f>'Novia Web Query'!A4258</f>
        <v>GB00B45Q9038</v>
      </c>
      <c r="B4262" t="str">
        <f>VLOOKUP(NoviaFunds[[#This Row],[ISIN]],'Novia Web Query'!$A:$E,2,FALSE)</f>
        <v>Vanguard UK Inflation-Linked Gilt Index Gross Acc GBP in GB</v>
      </c>
      <c r="C4262" t="str">
        <f>VLOOKUP(NoviaFunds[[#This Row],[ISIN]],'Novia Web Query'!$A:$E,3,FALSE)</f>
        <v>UT UK Index Linked Gilts</v>
      </c>
      <c r="D4262" s="139">
        <f>VLOOKUP(NoviaFunds[[#This Row],[ISIN]],'Novia Web Query'!$A:$E,4,FALSE)/100</f>
        <v>1.1999999999999999E-3</v>
      </c>
      <c r="E4262" s="3" t="str">
        <f>VLOOKUP(NoviaFunds[[#This Row],[ISIN]],'Novia Web Query'!$A:$E,5,FALSE)</f>
        <v>23/10/2019</v>
      </c>
      <c r="F4262" t="str">
        <f>VLOOKUP(NoviaFunds[[#This Row],[Sector]],Sectors[],2,FALSE)</f>
        <v>UK Index Linked Gilts</v>
      </c>
    </row>
    <row r="4263" spans="1:6" x14ac:dyDescent="0.2">
      <c r="A4263" t="str">
        <f>'Novia Web Query'!A4259</f>
        <v>GB00B467FS56</v>
      </c>
      <c r="B4263" t="str">
        <f>VLOOKUP(NoviaFunds[[#This Row],[ISIN]],'Novia Web Query'!$A:$E,2,FALSE)</f>
        <v>Vanguard UK Inflation-Linked Gilt Index Inc GBP TR in GB</v>
      </c>
      <c r="C4263" t="str">
        <f>VLOOKUP(NoviaFunds[[#This Row],[ISIN]],'Novia Web Query'!$A:$E,3,FALSE)</f>
        <v>UT UK Index Linked Gilts</v>
      </c>
      <c r="D4263" s="139">
        <f>VLOOKUP(NoviaFunds[[#This Row],[ISIN]],'Novia Web Query'!$A:$E,4,FALSE)/100</f>
        <v>1.1999999999999999E-3</v>
      </c>
      <c r="E4263" s="3" t="str">
        <f>VLOOKUP(NoviaFunds[[#This Row],[ISIN]],'Novia Web Query'!$A:$E,5,FALSE)</f>
        <v>23/10/2019</v>
      </c>
      <c r="F4263" t="str">
        <f>VLOOKUP(NoviaFunds[[#This Row],[Sector]],Sectors[],2,FALSE)</f>
        <v>UK Index Linked Gilts</v>
      </c>
    </row>
    <row r="4264" spans="1:6" x14ac:dyDescent="0.2">
      <c r="A4264" t="str">
        <f>'Novia Web Query'!A4260</f>
        <v>GB00B4M89245</v>
      </c>
      <c r="B4264" t="str">
        <f>VLOOKUP(NoviaFunds[[#This Row],[ISIN]],'Novia Web Query'!$A:$E,2,FALSE)</f>
        <v>Vanguard UK Long Duration Gilt Index Gross Acc GBP in GB</v>
      </c>
      <c r="C4264" t="str">
        <f>VLOOKUP(NoviaFunds[[#This Row],[ISIN]],'Novia Web Query'!$A:$E,3,FALSE)</f>
        <v>UT UK Gilts</v>
      </c>
      <c r="D4264" s="139">
        <f>VLOOKUP(NoviaFunds[[#This Row],[ISIN]],'Novia Web Query'!$A:$E,4,FALSE)/100</f>
        <v>1.1999999999999999E-3</v>
      </c>
      <c r="E4264" s="3" t="str">
        <f>VLOOKUP(NoviaFunds[[#This Row],[ISIN]],'Novia Web Query'!$A:$E,5,FALSE)</f>
        <v>23/10/2019</v>
      </c>
      <c r="F4264" t="str">
        <f>VLOOKUP(NoviaFunds[[#This Row],[Sector]],Sectors[],2,FALSE)</f>
        <v>Gilts</v>
      </c>
    </row>
    <row r="4265" spans="1:6" x14ac:dyDescent="0.2">
      <c r="A4265" t="str">
        <f>'Novia Web Query'!A4261</f>
        <v>GB00B44DQC62</v>
      </c>
      <c r="B4265" t="str">
        <f>VLOOKUP(NoviaFunds[[#This Row],[ISIN]],'Novia Web Query'!$A:$E,2,FALSE)</f>
        <v>Vanguard UK Long Duration Gilt Index Inc GBP TR in GB</v>
      </c>
      <c r="C4265" t="str">
        <f>VLOOKUP(NoviaFunds[[#This Row],[ISIN]],'Novia Web Query'!$A:$E,3,FALSE)</f>
        <v>UT UK Gilts</v>
      </c>
      <c r="D4265" s="139">
        <f>VLOOKUP(NoviaFunds[[#This Row],[ISIN]],'Novia Web Query'!$A:$E,4,FALSE)/100</f>
        <v>1.1999999999999999E-3</v>
      </c>
      <c r="E4265" s="3" t="str">
        <f>VLOOKUP(NoviaFunds[[#This Row],[ISIN]],'Novia Web Query'!$A:$E,5,FALSE)</f>
        <v>23/10/2019</v>
      </c>
      <c r="F4265" t="str">
        <f>VLOOKUP(NoviaFunds[[#This Row],[Sector]],Sectors[],2,FALSE)</f>
        <v>Gilts</v>
      </c>
    </row>
    <row r="4266" spans="1:6" x14ac:dyDescent="0.2">
      <c r="A4266" t="str">
        <f>'Novia Web Query'!A4262</f>
        <v>GB00B5B71Q71</v>
      </c>
      <c r="B4266" t="str">
        <f>VLOOKUP(NoviaFunds[[#This Row],[ISIN]],'Novia Web Query'!$A:$E,2,FALSE)</f>
        <v>Vanguard US Equity Index Acc GBP in GB</v>
      </c>
      <c r="C4266" t="str">
        <f>VLOOKUP(NoviaFunds[[#This Row],[ISIN]],'Novia Web Query'!$A:$E,3,FALSE)</f>
        <v>UT North America</v>
      </c>
      <c r="D4266" s="139">
        <f>VLOOKUP(NoviaFunds[[#This Row],[ISIN]],'Novia Web Query'!$A:$E,4,FALSE)/100</f>
        <v>1E-3</v>
      </c>
      <c r="E4266" s="3" t="str">
        <f>VLOOKUP(NoviaFunds[[#This Row],[ISIN]],'Novia Web Query'!$A:$E,5,FALSE)</f>
        <v>05/12/2018</v>
      </c>
      <c r="F4266" t="str">
        <f>VLOOKUP(NoviaFunds[[#This Row],[Sector]],Sectors[],2,FALSE)</f>
        <v>USA Equities</v>
      </c>
    </row>
    <row r="4267" spans="1:6" x14ac:dyDescent="0.2">
      <c r="A4267" t="str">
        <f>'Novia Web Query'!A4263</f>
        <v>GB00B5B74S01</v>
      </c>
      <c r="B4267" t="str">
        <f>VLOOKUP(NoviaFunds[[#This Row],[ISIN]],'Novia Web Query'!$A:$E,2,FALSE)</f>
        <v>Vanguard US Equity Index Inc GBP TR in GB</v>
      </c>
      <c r="C4267" t="str">
        <f>VLOOKUP(NoviaFunds[[#This Row],[ISIN]],'Novia Web Query'!$A:$E,3,FALSE)</f>
        <v>UT North America</v>
      </c>
      <c r="D4267" s="139">
        <f>VLOOKUP(NoviaFunds[[#This Row],[ISIN]],'Novia Web Query'!$A:$E,4,FALSE)/100</f>
        <v>1E-3</v>
      </c>
      <c r="E4267" s="3" t="str">
        <f>VLOOKUP(NoviaFunds[[#This Row],[ISIN]],'Novia Web Query'!$A:$E,5,FALSE)</f>
        <v>05/12/2018</v>
      </c>
      <c r="F4267" t="str">
        <f>VLOOKUP(NoviaFunds[[#This Row],[Sector]],Sectors[],2,FALSE)</f>
        <v>USA Equities</v>
      </c>
    </row>
    <row r="4268" spans="1:6" x14ac:dyDescent="0.2">
      <c r="A4268" t="str">
        <f>'Novia Web Query'!A4264</f>
        <v>GB00BPN5P121</v>
      </c>
      <c r="B4268" t="str">
        <f>VLOOKUP(NoviaFunds[[#This Row],[ISIN]],'Novia Web Query'!$A:$E,2,FALSE)</f>
        <v>Vanguard US Equity Index Inst Plus Inc GBP TR in GB</v>
      </c>
      <c r="C4268" t="str">
        <f>VLOOKUP(NoviaFunds[[#This Row],[ISIN]],'Novia Web Query'!$A:$E,3,FALSE)</f>
        <v>UT North America</v>
      </c>
      <c r="D4268" s="139">
        <f>VLOOKUP(NoviaFunds[[#This Row],[ISIN]],'Novia Web Query'!$A:$E,4,FALSE)/100</f>
        <v>5.9999999999999995E-4</v>
      </c>
      <c r="E4268" s="3" t="str">
        <f>VLOOKUP(NoviaFunds[[#This Row],[ISIN]],'Novia Web Query'!$A:$E,5,FALSE)</f>
        <v>05/12/2018</v>
      </c>
      <c r="F4268" t="str">
        <f>VLOOKUP(NoviaFunds[[#This Row],[Sector]],Sectors[],2,FALSE)</f>
        <v>USA Equities</v>
      </c>
    </row>
    <row r="4269" spans="1:6" x14ac:dyDescent="0.2">
      <c r="A4269" t="str">
        <f>'Novia Web Query'!A4265</f>
        <v>GB00BYV0VQ98</v>
      </c>
      <c r="B4269" t="str">
        <f>VLOOKUP(NoviaFunds[[#This Row],[ISIN]],'Novia Web Query'!$A:$E,2,FALSE)</f>
        <v>VT Active Portfolio Overlay C in GB</v>
      </c>
      <c r="C4269" t="str">
        <f>VLOOKUP(NoviaFunds[[#This Row],[ISIN]],'Novia Web Query'!$A:$E,3,FALSE)</f>
        <v>UT Unclassified</v>
      </c>
      <c r="D4269" s="139">
        <f>VLOOKUP(NoviaFunds[[#This Row],[ISIN]],'Novia Web Query'!$A:$E,4,FALSE)/100</f>
        <v>6.7000000000000002E-3</v>
      </c>
      <c r="E4269" s="3" t="str">
        <f>VLOOKUP(NoviaFunds[[#This Row],[ISIN]],'Novia Web Query'!$A:$E,5,FALSE)</f>
        <v>31/12/2020</v>
      </c>
      <c r="F4269" t="str">
        <f>VLOOKUP(NoviaFunds[[#This Row],[Sector]],Sectors[],2,FALSE)</f>
        <v>Unclassified</v>
      </c>
    </row>
    <row r="4270" spans="1:6" x14ac:dyDescent="0.2">
      <c r="A4270" t="str">
        <f>'Novia Web Query'!A4266</f>
        <v>GB00BYV0VR06</v>
      </c>
      <c r="B4270" t="str">
        <f>VLOOKUP(NoviaFunds[[#This Row],[ISIN]],'Novia Web Query'!$A:$E,2,FALSE)</f>
        <v>VT Aggressive Portfolio Overlay C in GB</v>
      </c>
      <c r="C4270" t="str">
        <f>VLOOKUP(NoviaFunds[[#This Row],[ISIN]],'Novia Web Query'!$A:$E,3,FALSE)</f>
        <v>UT Unclassified</v>
      </c>
      <c r="D4270" s="139">
        <f>VLOOKUP(NoviaFunds[[#This Row],[ISIN]],'Novia Web Query'!$A:$E,4,FALSE)/100</f>
        <v>6.5000000000000006E-3</v>
      </c>
      <c r="E4270" s="3" t="str">
        <f>VLOOKUP(NoviaFunds[[#This Row],[ISIN]],'Novia Web Query'!$A:$E,5,FALSE)</f>
        <v>31/12/2020</v>
      </c>
      <c r="F4270" t="str">
        <f>VLOOKUP(NoviaFunds[[#This Row],[Sector]],Sectors[],2,FALSE)</f>
        <v>Unclassified</v>
      </c>
    </row>
    <row r="4271" spans="1:6" x14ac:dyDescent="0.2">
      <c r="A4271" t="str">
        <f>'Novia Web Query'!A4267</f>
        <v>GB00B7MC0R90</v>
      </c>
      <c r="B4271" t="str">
        <f>VLOOKUP(NoviaFunds[[#This Row],[ISIN]],'Novia Web Query'!$A:$E,2,FALSE)</f>
        <v>VT Argonaut Absolute Return A Acc GBP in GB</v>
      </c>
      <c r="C4271" t="str">
        <f>VLOOKUP(NoviaFunds[[#This Row],[ISIN]],'Novia Web Query'!$A:$E,3,FALSE)</f>
        <v>UT Targeted Absolute Return</v>
      </c>
      <c r="D4271" s="139">
        <f>VLOOKUP(NoviaFunds[[#This Row],[ISIN]],'Novia Web Query'!$A:$E,4,FALSE)/100</f>
        <v>1.6500000000000001E-2</v>
      </c>
      <c r="E4271" s="3" t="str">
        <f>VLOOKUP(NoviaFunds[[#This Row],[ISIN]],'Novia Web Query'!$A:$E,5,FALSE)</f>
        <v>18/06/2021</v>
      </c>
      <c r="F4271" t="str">
        <f>VLOOKUP(NoviaFunds[[#This Row],[Sector]],Sectors[],2,FALSE)</f>
        <v>Absolute Return</v>
      </c>
    </row>
    <row r="4272" spans="1:6" x14ac:dyDescent="0.2">
      <c r="A4272" t="str">
        <f>'Novia Web Query'!A4268</f>
        <v>GB00B79NKW03</v>
      </c>
      <c r="B4272" t="str">
        <f>VLOOKUP(NoviaFunds[[#This Row],[ISIN]],'Novia Web Query'!$A:$E,2,FALSE)</f>
        <v>VT Argonaut Absolute Return I Acc GBP in GB</v>
      </c>
      <c r="C4272" t="str">
        <f>VLOOKUP(NoviaFunds[[#This Row],[ISIN]],'Novia Web Query'!$A:$E,3,FALSE)</f>
        <v>UT Targeted Absolute Return</v>
      </c>
      <c r="D4272" s="139">
        <f>VLOOKUP(NoviaFunds[[#This Row],[ISIN]],'Novia Web Query'!$A:$E,4,FALSE)/100</f>
        <v>9.0000000000000011E-3</v>
      </c>
      <c r="E4272" s="3" t="str">
        <f>VLOOKUP(NoviaFunds[[#This Row],[ISIN]],'Novia Web Query'!$A:$E,5,FALSE)</f>
        <v>18/06/2021</v>
      </c>
      <c r="F4272" t="str">
        <f>VLOOKUP(NoviaFunds[[#This Row],[Sector]],Sectors[],2,FALSE)</f>
        <v>Absolute Return</v>
      </c>
    </row>
    <row r="4273" spans="1:6" x14ac:dyDescent="0.2">
      <c r="A4273" t="str">
        <f>'Novia Web Query'!A4269</f>
        <v>GB00B7FT1K78</v>
      </c>
      <c r="B4273" t="str">
        <f>VLOOKUP(NoviaFunds[[#This Row],[ISIN]],'Novia Web Query'!$A:$E,2,FALSE)</f>
        <v>VT Argonaut Absolute Return R Acc GBP in GB</v>
      </c>
      <c r="C4273" t="str">
        <f>VLOOKUP(NoviaFunds[[#This Row],[ISIN]],'Novia Web Query'!$A:$E,3,FALSE)</f>
        <v>UT Targeted Absolute Return</v>
      </c>
      <c r="D4273" s="139">
        <f>VLOOKUP(NoviaFunds[[#This Row],[ISIN]],'Novia Web Query'!$A:$E,4,FALSE)/100</f>
        <v>9.0000000000000011E-3</v>
      </c>
      <c r="E4273" s="3" t="str">
        <f>VLOOKUP(NoviaFunds[[#This Row],[ISIN]],'Novia Web Query'!$A:$E,5,FALSE)</f>
        <v>18/06/2021</v>
      </c>
      <c r="F4273" t="str">
        <f>VLOOKUP(NoviaFunds[[#This Row],[Sector]],Sectors[],2,FALSE)</f>
        <v>Absolute Return</v>
      </c>
    </row>
    <row r="4274" spans="1:6" x14ac:dyDescent="0.2">
      <c r="A4274" t="str">
        <f>'Novia Web Query'!A4270</f>
        <v>GB00BDSFHH38</v>
      </c>
      <c r="B4274" t="str">
        <f>VLOOKUP(NoviaFunds[[#This Row],[ISIN]],'Novia Web Query'!$A:$E,2,FALSE)</f>
        <v>VT Argonaut Equity Income R Acc GBP in GB</v>
      </c>
      <c r="C4274" t="str">
        <f>VLOOKUP(NoviaFunds[[#This Row],[ISIN]],'Novia Web Query'!$A:$E,3,FALSE)</f>
        <v>UT Europe Excluding UK</v>
      </c>
      <c r="D4274" s="139">
        <f>VLOOKUP(NoviaFunds[[#This Row],[ISIN]],'Novia Web Query'!$A:$E,4,FALSE)/100</f>
        <v>8.5000000000000006E-3</v>
      </c>
      <c r="E4274" s="3" t="str">
        <f>VLOOKUP(NoviaFunds[[#This Row],[ISIN]],'Novia Web Query'!$A:$E,5,FALSE)</f>
        <v>05/02/2021</v>
      </c>
      <c r="F4274" t="str">
        <f>VLOOKUP(NoviaFunds[[#This Row],[Sector]],Sectors[],2,FALSE)</f>
        <v>European Equities</v>
      </c>
    </row>
    <row r="4275" spans="1:6" x14ac:dyDescent="0.2">
      <c r="A4275" t="str">
        <f>'Novia Web Query'!A4271</f>
        <v>GB00BDSFHG21</v>
      </c>
      <c r="B4275" t="str">
        <f>VLOOKUP(NoviaFunds[[#This Row],[ISIN]],'Novia Web Query'!$A:$E,2,FALSE)</f>
        <v>VT Argonaut Equity Income R Inc GBP TR in GB</v>
      </c>
      <c r="C4275" t="str">
        <f>VLOOKUP(NoviaFunds[[#This Row],[ISIN]],'Novia Web Query'!$A:$E,3,FALSE)</f>
        <v>UT Europe Excluding UK</v>
      </c>
      <c r="D4275" s="139">
        <f>VLOOKUP(NoviaFunds[[#This Row],[ISIN]],'Novia Web Query'!$A:$E,4,FALSE)/100</f>
        <v>8.5000000000000006E-3</v>
      </c>
      <c r="E4275" s="3" t="str">
        <f>VLOOKUP(NoviaFunds[[#This Row],[ISIN]],'Novia Web Query'!$A:$E,5,FALSE)</f>
        <v>05/02/2021</v>
      </c>
      <c r="F4275" t="str">
        <f>VLOOKUP(NoviaFunds[[#This Row],[Sector]],Sectors[],2,FALSE)</f>
        <v>European Equities</v>
      </c>
    </row>
    <row r="4276" spans="1:6" x14ac:dyDescent="0.2">
      <c r="A4276" t="str">
        <f>'Novia Web Query'!A4272</f>
        <v>GB00B4ZRCD05</v>
      </c>
      <c r="B4276" t="str">
        <f>VLOOKUP(NoviaFunds[[#This Row],[ISIN]],'Novia Web Query'!$A:$E,2,FALSE)</f>
        <v>VT Argonaut European Alpha A Acc GBP in GB</v>
      </c>
      <c r="C4276" t="str">
        <f>VLOOKUP(NoviaFunds[[#This Row],[ISIN]],'Novia Web Query'!$A:$E,3,FALSE)</f>
        <v>UT Europe Excluding UK</v>
      </c>
      <c r="D4276" s="139">
        <f>VLOOKUP(NoviaFunds[[#This Row],[ISIN]],'Novia Web Query'!$A:$E,4,FALSE)/100</f>
        <v>1.8100000000000002E-2</v>
      </c>
      <c r="E4276" s="3" t="str">
        <f>VLOOKUP(NoviaFunds[[#This Row],[ISIN]],'Novia Web Query'!$A:$E,5,FALSE)</f>
        <v>05/02/2021</v>
      </c>
      <c r="F4276" t="str">
        <f>VLOOKUP(NoviaFunds[[#This Row],[Sector]],Sectors[],2,FALSE)</f>
        <v>European Equities</v>
      </c>
    </row>
    <row r="4277" spans="1:6" x14ac:dyDescent="0.2">
      <c r="A4277" t="str">
        <f>'Novia Web Query'!A4273</f>
        <v>GB00B5LJR434</v>
      </c>
      <c r="B4277" t="str">
        <f>VLOOKUP(NoviaFunds[[#This Row],[ISIN]],'Novia Web Query'!$A:$E,2,FALSE)</f>
        <v>VT Argonaut European Alpha A Inc GBP TR in GB</v>
      </c>
      <c r="C4277" t="str">
        <f>VLOOKUP(NoviaFunds[[#This Row],[ISIN]],'Novia Web Query'!$A:$E,3,FALSE)</f>
        <v>UT Europe Excluding UK</v>
      </c>
      <c r="D4277" s="139">
        <f>VLOOKUP(NoviaFunds[[#This Row],[ISIN]],'Novia Web Query'!$A:$E,4,FALSE)/100</f>
        <v>1.8100000000000002E-2</v>
      </c>
      <c r="E4277" s="3" t="str">
        <f>VLOOKUP(NoviaFunds[[#This Row],[ISIN]],'Novia Web Query'!$A:$E,5,FALSE)</f>
        <v>05/02/2021</v>
      </c>
      <c r="F4277" t="str">
        <f>VLOOKUP(NoviaFunds[[#This Row],[Sector]],Sectors[],2,FALSE)</f>
        <v>European Equities</v>
      </c>
    </row>
    <row r="4278" spans="1:6" x14ac:dyDescent="0.2">
      <c r="A4278" t="str">
        <f>'Novia Web Query'!A4274</f>
        <v>GB00BVYPB156</v>
      </c>
      <c r="B4278" t="str">
        <f>VLOOKUP(NoviaFunds[[#This Row],[ISIN]],'Novia Web Query'!$A:$E,2,FALSE)</f>
        <v>VT Argonaut European Alpha I Hedged Acc GBP in GB</v>
      </c>
      <c r="C4278" t="str">
        <f>VLOOKUP(NoviaFunds[[#This Row],[ISIN]],'Novia Web Query'!$A:$E,3,FALSE)</f>
        <v>UT Europe Excluding UK</v>
      </c>
      <c r="D4278" s="139">
        <f>VLOOKUP(NoviaFunds[[#This Row],[ISIN]],'Novia Web Query'!$A:$E,4,FALSE)/100</f>
        <v>8.1000000000000013E-3</v>
      </c>
      <c r="E4278" s="3" t="str">
        <f>VLOOKUP(NoviaFunds[[#This Row],[ISIN]],'Novia Web Query'!$A:$E,5,FALSE)</f>
        <v>05/02/2021</v>
      </c>
      <c r="F4278" t="str">
        <f>VLOOKUP(NoviaFunds[[#This Row],[Sector]],Sectors[],2,FALSE)</f>
        <v>European Equities</v>
      </c>
    </row>
    <row r="4279" spans="1:6" x14ac:dyDescent="0.2">
      <c r="A4279" t="str">
        <f>'Novia Web Query'!A4275</f>
        <v>GB00B7MW8T72</v>
      </c>
      <c r="B4279" t="str">
        <f>VLOOKUP(NoviaFunds[[#This Row],[ISIN]],'Novia Web Query'!$A:$E,2,FALSE)</f>
        <v>VT Argonaut European Alpha R Acc GBP in GB</v>
      </c>
      <c r="C4279" t="str">
        <f>VLOOKUP(NoviaFunds[[#This Row],[ISIN]],'Novia Web Query'!$A:$E,3,FALSE)</f>
        <v>UT Europe Excluding UK</v>
      </c>
      <c r="D4279" s="139">
        <f>VLOOKUP(NoviaFunds[[#This Row],[ISIN]],'Novia Web Query'!$A:$E,4,FALSE)/100</f>
        <v>8.1000000000000013E-3</v>
      </c>
      <c r="E4279" s="3" t="str">
        <f>VLOOKUP(NoviaFunds[[#This Row],[ISIN]],'Novia Web Query'!$A:$E,5,FALSE)</f>
        <v>05/02/2021</v>
      </c>
      <c r="F4279" t="str">
        <f>VLOOKUP(NoviaFunds[[#This Row],[Sector]],Sectors[],2,FALSE)</f>
        <v>European Equities</v>
      </c>
    </row>
    <row r="4280" spans="1:6" x14ac:dyDescent="0.2">
      <c r="A4280" t="str">
        <f>'Novia Web Query'!A4276</f>
        <v>GB00B7JXMD51</v>
      </c>
      <c r="B4280" t="str">
        <f>VLOOKUP(NoviaFunds[[#This Row],[ISIN]],'Novia Web Query'!$A:$E,2,FALSE)</f>
        <v>VT Argonaut European Alpha R Inc GBP TR in GB</v>
      </c>
      <c r="C4280" t="str">
        <f>VLOOKUP(NoviaFunds[[#This Row],[ISIN]],'Novia Web Query'!$A:$E,3,FALSE)</f>
        <v>UT Europe Excluding UK</v>
      </c>
      <c r="D4280" s="139">
        <f>VLOOKUP(NoviaFunds[[#This Row],[ISIN]],'Novia Web Query'!$A:$E,4,FALSE)/100</f>
        <v>8.1000000000000013E-3</v>
      </c>
      <c r="E4280" s="3" t="str">
        <f>VLOOKUP(NoviaFunds[[#This Row],[ISIN]],'Novia Web Query'!$A:$E,5,FALSE)</f>
        <v>05/02/2021</v>
      </c>
      <c r="F4280" t="str">
        <f>VLOOKUP(NoviaFunds[[#This Row],[Sector]],Sectors[],2,FALSE)</f>
        <v>European Equities</v>
      </c>
    </row>
    <row r="4281" spans="1:6" x14ac:dyDescent="0.2">
      <c r="A4281" t="str">
        <f>'Novia Web Query'!A4277</f>
        <v>GB00BKWGB574</v>
      </c>
      <c r="B4281" t="str">
        <f>VLOOKUP(NoviaFunds[[#This Row],[ISIN]],'Novia Web Query'!$A:$E,2,FALSE)</f>
        <v>VT Astute Balanced A Acc in GB</v>
      </c>
      <c r="C4281" t="str">
        <f>VLOOKUP(NoviaFunds[[#This Row],[ISIN]],'Novia Web Query'!$A:$E,3,FALSE)</f>
        <v>UT Mixed Investment 20-60% Shares</v>
      </c>
      <c r="D4281" s="139">
        <f>VLOOKUP(NoviaFunds[[#This Row],[ISIN]],'Novia Web Query'!$A:$E,4,FALSE)/100</f>
        <v>8.6E-3</v>
      </c>
      <c r="E4281" s="3" t="str">
        <f>VLOOKUP(NoviaFunds[[#This Row],[ISIN]],'Novia Web Query'!$A:$E,5,FALSE)</f>
        <v>31/12/2020</v>
      </c>
      <c r="F4281" t="str">
        <f>VLOOKUP(NoviaFunds[[#This Row],[Sector]],Sectors[],2,FALSE)</f>
        <v>Mixed 20%-60%</v>
      </c>
    </row>
    <row r="4282" spans="1:6" x14ac:dyDescent="0.2">
      <c r="A4282" t="str">
        <f>'Novia Web Query'!A4278</f>
        <v>GB00BKWGB467</v>
      </c>
      <c r="B4282" t="str">
        <f>VLOOKUP(NoviaFunds[[#This Row],[ISIN]],'Novia Web Query'!$A:$E,2,FALSE)</f>
        <v>VT Astute Conservative A Acc in GB</v>
      </c>
      <c r="C4282" t="str">
        <f>VLOOKUP(NoviaFunds[[#This Row],[ISIN]],'Novia Web Query'!$A:$E,3,FALSE)</f>
        <v>UT Mixed Investment 0-35% Shares</v>
      </c>
      <c r="D4282" s="139">
        <f>VLOOKUP(NoviaFunds[[#This Row],[ISIN]],'Novia Web Query'!$A:$E,4,FALSE)/100</f>
        <v>8.6999999999999994E-3</v>
      </c>
      <c r="E4282" s="3" t="str">
        <f>VLOOKUP(NoviaFunds[[#This Row],[ISIN]],'Novia Web Query'!$A:$E,5,FALSE)</f>
        <v>30/09/2021</v>
      </c>
      <c r="F4282" t="str">
        <f>VLOOKUP(NoviaFunds[[#This Row],[Sector]],Sectors[],2,FALSE)</f>
        <v>Mixed 0%-35%</v>
      </c>
    </row>
    <row r="4283" spans="1:6" x14ac:dyDescent="0.2">
      <c r="A4283" t="str">
        <f>'Novia Web Query'!A4279</f>
        <v>GB00BKWGB681</v>
      </c>
      <c r="B4283" t="str">
        <f>VLOOKUP(NoviaFunds[[#This Row],[ISIN]],'Novia Web Query'!$A:$E,2,FALSE)</f>
        <v>VT Astute Growth A Acc in GB</v>
      </c>
      <c r="C4283" t="str">
        <f>VLOOKUP(NoviaFunds[[#This Row],[ISIN]],'Novia Web Query'!$A:$E,3,FALSE)</f>
        <v>UT Mixed Investment 40-85% Shares</v>
      </c>
      <c r="D4283" s="139">
        <f>VLOOKUP(NoviaFunds[[#This Row],[ISIN]],'Novia Web Query'!$A:$E,4,FALSE)/100</f>
        <v>9.3999999999999986E-3</v>
      </c>
      <c r="E4283" s="3" t="str">
        <f>VLOOKUP(NoviaFunds[[#This Row],[ISIN]],'Novia Web Query'!$A:$E,5,FALSE)</f>
        <v>31/12/2020</v>
      </c>
      <c r="F4283" t="str">
        <f>VLOOKUP(NoviaFunds[[#This Row],[Sector]],Sectors[],2,FALSE)</f>
        <v>Mixed 40%-85%</v>
      </c>
    </row>
    <row r="4284" spans="1:6" x14ac:dyDescent="0.2">
      <c r="A4284" t="str">
        <f>'Novia Web Query'!A4280</f>
        <v>GB00BYV0VP81</v>
      </c>
      <c r="B4284" t="str">
        <f>VLOOKUP(NoviaFunds[[#This Row],[ISIN]],'Novia Web Query'!$A:$E,2,FALSE)</f>
        <v>VT Balanced Portfolio Overlay C in GB</v>
      </c>
      <c r="C4284" t="str">
        <f>VLOOKUP(NoviaFunds[[#This Row],[ISIN]],'Novia Web Query'!$A:$E,3,FALSE)</f>
        <v>UT Unclassified</v>
      </c>
      <c r="D4284" s="139">
        <f>VLOOKUP(NoviaFunds[[#This Row],[ISIN]],'Novia Web Query'!$A:$E,4,FALSE)/100</f>
        <v>6.6E-3</v>
      </c>
      <c r="E4284" s="3" t="str">
        <f>VLOOKUP(NoviaFunds[[#This Row],[ISIN]],'Novia Web Query'!$A:$E,5,FALSE)</f>
        <v>31/12/2020</v>
      </c>
      <c r="F4284" t="str">
        <f>VLOOKUP(NoviaFunds[[#This Row],[Sector]],Sectors[],2,FALSE)</f>
        <v>Unclassified</v>
      </c>
    </row>
    <row r="4285" spans="1:6" x14ac:dyDescent="0.2">
      <c r="A4285" t="str">
        <f>'Novia Web Query'!A4281</f>
        <v>GB00BKMPSP30</v>
      </c>
      <c r="B4285" t="str">
        <f>VLOOKUP(NoviaFunds[[#This Row],[ISIN]],'Novia Web Query'!$A:$E,2,FALSE)</f>
        <v>VT Blackfinch Balanced Portfolio F Acc in GB</v>
      </c>
      <c r="C4285" t="str">
        <f>VLOOKUP(NoviaFunds[[#This Row],[ISIN]],'Novia Web Query'!$A:$E,3,FALSE)</f>
        <v>UT Mixed Investment 40-85% Shares</v>
      </c>
      <c r="D4285" s="139">
        <f>VLOOKUP(NoviaFunds[[#This Row],[ISIN]],'Novia Web Query'!$A:$E,4,FALSE)/100</f>
        <v>1.15E-2</v>
      </c>
      <c r="E4285" s="3" t="str">
        <f>VLOOKUP(NoviaFunds[[#This Row],[ISIN]],'Novia Web Query'!$A:$E,5,FALSE)</f>
        <v>31/08/2021</v>
      </c>
      <c r="F4285" t="str">
        <f>VLOOKUP(NoviaFunds[[#This Row],[Sector]],Sectors[],2,FALSE)</f>
        <v>Mixed 40%-85%</v>
      </c>
    </row>
    <row r="4286" spans="1:6" x14ac:dyDescent="0.2">
      <c r="A4286" t="str">
        <f>'Novia Web Query'!A4282</f>
        <v>GB00BKMPSN16</v>
      </c>
      <c r="B4286" t="str">
        <f>VLOOKUP(NoviaFunds[[#This Row],[ISIN]],'Novia Web Query'!$A:$E,2,FALSE)</f>
        <v>VT Blackfinch Balanced Portfolio F Inc TR in GB</v>
      </c>
      <c r="C4286" t="str">
        <f>VLOOKUP(NoviaFunds[[#This Row],[ISIN]],'Novia Web Query'!$A:$E,3,FALSE)</f>
        <v>UT Mixed Investment 40-85% Shares</v>
      </c>
      <c r="D4286" s="139">
        <f>VLOOKUP(NoviaFunds[[#This Row],[ISIN]],'Novia Web Query'!$A:$E,4,FALSE)/100</f>
        <v>1.15E-2</v>
      </c>
      <c r="E4286" s="3" t="str">
        <f>VLOOKUP(NoviaFunds[[#This Row],[ISIN]],'Novia Web Query'!$A:$E,5,FALSE)</f>
        <v>31/08/2021</v>
      </c>
      <c r="F4286" t="str">
        <f>VLOOKUP(NoviaFunds[[#This Row],[Sector]],Sectors[],2,FALSE)</f>
        <v>Mixed 40%-85%</v>
      </c>
    </row>
    <row r="4287" spans="1:6" x14ac:dyDescent="0.2">
      <c r="A4287" t="str">
        <f>'Novia Web Query'!A4283</f>
        <v>GB00BKP3DX73</v>
      </c>
      <c r="B4287" t="str">
        <f>VLOOKUP(NoviaFunds[[#This Row],[ISIN]],'Novia Web Query'!$A:$E,2,FALSE)</f>
        <v>VT Blackfinch Cautious Portfolio F Acc in GB</v>
      </c>
      <c r="C4287" t="str">
        <f>VLOOKUP(NoviaFunds[[#This Row],[ISIN]],'Novia Web Query'!$A:$E,3,FALSE)</f>
        <v>UT Mixed Investment 20-60% Shares</v>
      </c>
      <c r="D4287" s="139">
        <f>VLOOKUP(NoviaFunds[[#This Row],[ISIN]],'Novia Web Query'!$A:$E,4,FALSE)/100</f>
        <v>1.1000000000000001E-2</v>
      </c>
      <c r="E4287" s="3" t="str">
        <f>VLOOKUP(NoviaFunds[[#This Row],[ISIN]],'Novia Web Query'!$A:$E,5,FALSE)</f>
        <v>31/12/2020</v>
      </c>
      <c r="F4287" t="str">
        <f>VLOOKUP(NoviaFunds[[#This Row],[Sector]],Sectors[],2,FALSE)</f>
        <v>Mixed 20%-60%</v>
      </c>
    </row>
    <row r="4288" spans="1:6" x14ac:dyDescent="0.2">
      <c r="A4288" t="str">
        <f>'Novia Web Query'!A4284</f>
        <v>GB00BKP3DW66</v>
      </c>
      <c r="B4288" t="str">
        <f>VLOOKUP(NoviaFunds[[#This Row],[ISIN]],'Novia Web Query'!$A:$E,2,FALSE)</f>
        <v>VT Blackfinch Cautious Portfolio F Inc TR in GB</v>
      </c>
      <c r="C4288" t="str">
        <f>VLOOKUP(NoviaFunds[[#This Row],[ISIN]],'Novia Web Query'!$A:$E,3,FALSE)</f>
        <v>UT Mixed Investment 20-60% Shares</v>
      </c>
      <c r="D4288" s="139">
        <f>VLOOKUP(NoviaFunds[[#This Row],[ISIN]],'Novia Web Query'!$A:$E,4,FALSE)/100</f>
        <v>1.1000000000000001E-2</v>
      </c>
      <c r="E4288" s="3" t="str">
        <f>VLOOKUP(NoviaFunds[[#This Row],[ISIN]],'Novia Web Query'!$A:$E,5,FALSE)</f>
        <v>31/12/2020</v>
      </c>
      <c r="F4288" t="str">
        <f>VLOOKUP(NoviaFunds[[#This Row],[Sector]],Sectors[],2,FALSE)</f>
        <v>Mixed 20%-60%</v>
      </c>
    </row>
    <row r="4289" spans="1:6" x14ac:dyDescent="0.2">
      <c r="A4289" t="str">
        <f>'Novia Web Query'!A4285</f>
        <v>GB00BKP3DS21</v>
      </c>
      <c r="B4289" t="str">
        <f>VLOOKUP(NoviaFunds[[#This Row],[ISIN]],'Novia Web Query'!$A:$E,2,FALSE)</f>
        <v>VT Blackfinch Defensive Portfolio F Acc in GB</v>
      </c>
      <c r="C4289" t="str">
        <f>VLOOKUP(NoviaFunds[[#This Row],[ISIN]],'Novia Web Query'!$A:$E,3,FALSE)</f>
        <v>UT Mixed Investment 0-35% Shares</v>
      </c>
      <c r="D4289" s="139">
        <f>VLOOKUP(NoviaFunds[[#This Row],[ISIN]],'Novia Web Query'!$A:$E,4,FALSE)/100</f>
        <v>1.1699999999999999E-2</v>
      </c>
      <c r="E4289" s="3" t="str">
        <f>VLOOKUP(NoviaFunds[[#This Row],[ISIN]],'Novia Web Query'!$A:$E,5,FALSE)</f>
        <v>31/12/2020</v>
      </c>
      <c r="F4289" t="str">
        <f>VLOOKUP(NoviaFunds[[#This Row],[Sector]],Sectors[],2,FALSE)</f>
        <v>Mixed 0%-35%</v>
      </c>
    </row>
    <row r="4290" spans="1:6" x14ac:dyDescent="0.2">
      <c r="A4290" t="str">
        <f>'Novia Web Query'!A4286</f>
        <v>GB00BKP3DR14</v>
      </c>
      <c r="B4290" t="str">
        <f>VLOOKUP(NoviaFunds[[#This Row],[ISIN]],'Novia Web Query'!$A:$E,2,FALSE)</f>
        <v>VT Blackfinch Defensive Portfolio F Inc TR in GB</v>
      </c>
      <c r="C4290" t="str">
        <f>VLOOKUP(NoviaFunds[[#This Row],[ISIN]],'Novia Web Query'!$A:$E,3,FALSE)</f>
        <v>UT Mixed Investment 0-35% Shares</v>
      </c>
      <c r="D4290" s="139">
        <f>VLOOKUP(NoviaFunds[[#This Row],[ISIN]],'Novia Web Query'!$A:$E,4,FALSE)/100</f>
        <v>1.1699999999999999E-2</v>
      </c>
      <c r="E4290" s="3" t="str">
        <f>VLOOKUP(NoviaFunds[[#This Row],[ISIN]],'Novia Web Query'!$A:$E,5,FALSE)</f>
        <v>31/12/2020</v>
      </c>
      <c r="F4290" t="str">
        <f>VLOOKUP(NoviaFunds[[#This Row],[Sector]],Sectors[],2,FALSE)</f>
        <v>Mixed 0%-35%</v>
      </c>
    </row>
    <row r="4291" spans="1:6" x14ac:dyDescent="0.2">
      <c r="A4291" t="str">
        <f>'Novia Web Query'!A4287</f>
        <v>GB00BKMPST77</v>
      </c>
      <c r="B4291" t="str">
        <f>VLOOKUP(NoviaFunds[[#This Row],[ISIN]],'Novia Web Query'!$A:$E,2,FALSE)</f>
        <v>VT Blackfinch Income Portfolio F Acc in GB</v>
      </c>
      <c r="C4291" t="str">
        <f>VLOOKUP(NoviaFunds[[#This Row],[ISIN]],'Novia Web Query'!$A:$E,3,FALSE)</f>
        <v>UT Flexible Investment</v>
      </c>
      <c r="D4291" s="139">
        <f>VLOOKUP(NoviaFunds[[#This Row],[ISIN]],'Novia Web Query'!$A:$E,4,FALSE)/100</f>
        <v>1.2E-2</v>
      </c>
      <c r="E4291" s="3" t="str">
        <f>VLOOKUP(NoviaFunds[[#This Row],[ISIN]],'Novia Web Query'!$A:$E,5,FALSE)</f>
        <v>30/09/2021</v>
      </c>
      <c r="F4291" t="str">
        <f>VLOOKUP(NoviaFunds[[#This Row],[Sector]],Sectors[],2,FALSE)</f>
        <v>Flexible</v>
      </c>
    </row>
    <row r="4292" spans="1:6" x14ac:dyDescent="0.2">
      <c r="A4292" t="str">
        <f>'Novia Web Query'!A4288</f>
        <v>GB00BKMPSS60</v>
      </c>
      <c r="B4292" t="str">
        <f>VLOOKUP(NoviaFunds[[#This Row],[ISIN]],'Novia Web Query'!$A:$E,2,FALSE)</f>
        <v>VT Blackfinch Income Portfolio F Inc TR in GB</v>
      </c>
      <c r="C4292" t="str">
        <f>VLOOKUP(NoviaFunds[[#This Row],[ISIN]],'Novia Web Query'!$A:$E,3,FALSE)</f>
        <v>UT Flexible Investment</v>
      </c>
      <c r="D4292" s="139">
        <f>VLOOKUP(NoviaFunds[[#This Row],[ISIN]],'Novia Web Query'!$A:$E,4,FALSE)/100</f>
        <v>1.2E-2</v>
      </c>
      <c r="E4292" s="3" t="str">
        <f>VLOOKUP(NoviaFunds[[#This Row],[ISIN]],'Novia Web Query'!$A:$E,5,FALSE)</f>
        <v>30/09/2021</v>
      </c>
      <c r="F4292" t="str">
        <f>VLOOKUP(NoviaFunds[[#This Row],[Sector]],Sectors[],2,FALSE)</f>
        <v>Flexible</v>
      </c>
    </row>
    <row r="4293" spans="1:6" x14ac:dyDescent="0.2">
      <c r="A4293" t="str">
        <f>'Novia Web Query'!A4289</f>
        <v>GB00BG211654</v>
      </c>
      <c r="B4293" t="str">
        <f>VLOOKUP(NoviaFunds[[#This Row],[ISIN]],'Novia Web Query'!$A:$E,2,FALSE)</f>
        <v>VT Cantab Balanced C Acc GBP in GB</v>
      </c>
      <c r="C4293" t="str">
        <f>VLOOKUP(NoviaFunds[[#This Row],[ISIN]],'Novia Web Query'!$A:$E,3,FALSE)</f>
        <v>UT Mixed Investment 40-85% Shares</v>
      </c>
      <c r="D4293" s="139">
        <f>VLOOKUP(NoviaFunds[[#This Row],[ISIN]],'Novia Web Query'!$A:$E,4,FALSE)/100</f>
        <v>1.1399999999999999E-2</v>
      </c>
      <c r="E4293" s="3" t="str">
        <f>VLOOKUP(NoviaFunds[[#This Row],[ISIN]],'Novia Web Query'!$A:$E,5,FALSE)</f>
        <v>31/12/2020</v>
      </c>
      <c r="F4293" t="str">
        <f>VLOOKUP(NoviaFunds[[#This Row],[Sector]],Sectors[],2,FALSE)</f>
        <v>Mixed 40%-85%</v>
      </c>
    </row>
    <row r="4294" spans="1:6" x14ac:dyDescent="0.2">
      <c r="A4294" t="str">
        <f>'Novia Web Query'!A4290</f>
        <v>GB00BG211548</v>
      </c>
      <c r="B4294" t="str">
        <f>VLOOKUP(NoviaFunds[[#This Row],[ISIN]],'Novia Web Query'!$A:$E,2,FALSE)</f>
        <v>VT Cantab Balanced C Inc GBP TR in GB</v>
      </c>
      <c r="C4294" t="str">
        <f>VLOOKUP(NoviaFunds[[#This Row],[ISIN]],'Novia Web Query'!$A:$E,3,FALSE)</f>
        <v>UT Mixed Investment 40-85% Shares</v>
      </c>
      <c r="D4294" s="139">
        <f>VLOOKUP(NoviaFunds[[#This Row],[ISIN]],'Novia Web Query'!$A:$E,4,FALSE)/100</f>
        <v>1.1399999999999999E-2</v>
      </c>
      <c r="E4294" s="3" t="str">
        <f>VLOOKUP(NoviaFunds[[#This Row],[ISIN]],'Novia Web Query'!$A:$E,5,FALSE)</f>
        <v>31/12/2020</v>
      </c>
      <c r="F4294" t="str">
        <f>VLOOKUP(NoviaFunds[[#This Row],[Sector]],Sectors[],2,FALSE)</f>
        <v>Mixed 40%-85%</v>
      </c>
    </row>
    <row r="4295" spans="1:6" x14ac:dyDescent="0.2">
      <c r="A4295" t="str">
        <f>'Novia Web Query'!A4291</f>
        <v>GB00BG210J19</v>
      </c>
      <c r="B4295" t="str">
        <f>VLOOKUP(NoviaFunds[[#This Row],[ISIN]],'Novia Web Query'!$A:$E,2,FALSE)</f>
        <v>VT Cantab Moderate C Acc GBP in GB</v>
      </c>
      <c r="C4295" t="str">
        <f>VLOOKUP(NoviaFunds[[#This Row],[ISIN]],'Novia Web Query'!$A:$E,3,FALSE)</f>
        <v>UT Mixed Investment 40-85% Shares</v>
      </c>
      <c r="D4295" s="139">
        <f>VLOOKUP(NoviaFunds[[#This Row],[ISIN]],'Novia Web Query'!$A:$E,4,FALSE)/100</f>
        <v>1.09E-2</v>
      </c>
      <c r="E4295" s="3" t="str">
        <f>VLOOKUP(NoviaFunds[[#This Row],[ISIN]],'Novia Web Query'!$A:$E,5,FALSE)</f>
        <v>31/12/2020</v>
      </c>
      <c r="F4295" t="str">
        <f>VLOOKUP(NoviaFunds[[#This Row],[Sector]],Sectors[],2,FALSE)</f>
        <v>Mixed 40%-85%</v>
      </c>
    </row>
    <row r="4296" spans="1:6" x14ac:dyDescent="0.2">
      <c r="A4296" t="str">
        <f>'Novia Web Query'!A4292</f>
        <v>GB00BG210H94</v>
      </c>
      <c r="B4296" t="str">
        <f>VLOOKUP(NoviaFunds[[#This Row],[ISIN]],'Novia Web Query'!$A:$E,2,FALSE)</f>
        <v>VT Cantab Moderate C Inc GBP TR in GB</v>
      </c>
      <c r="C4296" t="str">
        <f>VLOOKUP(NoviaFunds[[#This Row],[ISIN]],'Novia Web Query'!$A:$E,3,FALSE)</f>
        <v>UT Mixed Investment 40-85% Shares</v>
      </c>
      <c r="D4296" s="139">
        <f>VLOOKUP(NoviaFunds[[#This Row],[ISIN]],'Novia Web Query'!$A:$E,4,FALSE)/100</f>
        <v>1.09E-2</v>
      </c>
      <c r="E4296" s="3" t="str">
        <f>VLOOKUP(NoviaFunds[[#This Row],[ISIN]],'Novia Web Query'!$A:$E,5,FALSE)</f>
        <v>31/12/2020</v>
      </c>
      <c r="F4296" t="str">
        <f>VLOOKUP(NoviaFunds[[#This Row],[Sector]],Sectors[],2,FALSE)</f>
        <v>Mixed 40%-85%</v>
      </c>
    </row>
    <row r="4297" spans="1:6" x14ac:dyDescent="0.2">
      <c r="A4297" t="str">
        <f>'Novia Web Query'!A4293</f>
        <v>GB00BK5XL008</v>
      </c>
      <c r="B4297" t="str">
        <f>VLOOKUP(NoviaFunds[[#This Row],[ISIN]],'Novia Web Query'!$A:$E,2,FALSE)</f>
        <v>VT Cantab Sustainable Global Equity A Acc in GB</v>
      </c>
      <c r="C4297" t="str">
        <f>VLOOKUP(NoviaFunds[[#This Row],[ISIN]],'Novia Web Query'!$A:$E,3,FALSE)</f>
        <v>UT Global</v>
      </c>
      <c r="D4297" s="139">
        <f>VLOOKUP(NoviaFunds[[#This Row],[ISIN]],'Novia Web Query'!$A:$E,4,FALSE)/100</f>
        <v>0.01</v>
      </c>
      <c r="E4297" s="3" t="str">
        <f>VLOOKUP(NoviaFunds[[#This Row],[ISIN]],'Novia Web Query'!$A:$E,5,FALSE)</f>
        <v>30/06/2021</v>
      </c>
      <c r="F4297" t="str">
        <f>VLOOKUP(NoviaFunds[[#This Row],[Sector]],Sectors[],2,FALSE)</f>
        <v>Other Equities</v>
      </c>
    </row>
    <row r="4298" spans="1:6" x14ac:dyDescent="0.2">
      <c r="A4298" t="str">
        <f>'Novia Web Query'!A4294</f>
        <v>GB00BK5XKZ82</v>
      </c>
      <c r="B4298" t="str">
        <f>VLOOKUP(NoviaFunds[[#This Row],[ISIN]],'Novia Web Query'!$A:$E,2,FALSE)</f>
        <v>VT Cantab Sustainable Global Equity A Inc TR in GB</v>
      </c>
      <c r="C4298" t="str">
        <f>VLOOKUP(NoviaFunds[[#This Row],[ISIN]],'Novia Web Query'!$A:$E,3,FALSE)</f>
        <v>UT Global</v>
      </c>
      <c r="D4298" s="139">
        <f>VLOOKUP(NoviaFunds[[#This Row],[ISIN]],'Novia Web Query'!$A:$E,4,FALSE)/100</f>
        <v>0.01</v>
      </c>
      <c r="E4298" s="3" t="str">
        <f>VLOOKUP(NoviaFunds[[#This Row],[ISIN]],'Novia Web Query'!$A:$E,5,FALSE)</f>
        <v>30/06/2021</v>
      </c>
      <c r="F4298" t="str">
        <f>VLOOKUP(NoviaFunds[[#This Row],[Sector]],Sectors[],2,FALSE)</f>
        <v>Other Equities</v>
      </c>
    </row>
    <row r="4299" spans="1:6" x14ac:dyDescent="0.2">
      <c r="A4299" t="str">
        <f>'Novia Web Query'!A4295</f>
        <v>GB00BV0LF607</v>
      </c>
      <c r="B4299" t="str">
        <f>VLOOKUP(NoviaFunds[[#This Row],[ISIN]],'Novia Web Query'!$A:$E,2,FALSE)</f>
        <v>VT Castlebay UK Equity A Acc in GB</v>
      </c>
      <c r="C4299" t="str">
        <f>VLOOKUP(NoviaFunds[[#This Row],[ISIN]],'Novia Web Query'!$A:$E,3,FALSE)</f>
        <v>UT UK All Companies</v>
      </c>
      <c r="D4299" s="139">
        <f>VLOOKUP(NoviaFunds[[#This Row],[ISIN]],'Novia Web Query'!$A:$E,4,FALSE)/100</f>
        <v>0.01</v>
      </c>
      <c r="E4299" s="3" t="str">
        <f>VLOOKUP(NoviaFunds[[#This Row],[ISIN]],'Novia Web Query'!$A:$E,5,FALSE)</f>
        <v>31/12/2020</v>
      </c>
      <c r="F4299" t="str">
        <f>VLOOKUP(NoviaFunds[[#This Row],[Sector]],Sectors[],2,FALSE)</f>
        <v>UK Equities</v>
      </c>
    </row>
    <row r="4300" spans="1:6" x14ac:dyDescent="0.2">
      <c r="A4300" t="str">
        <f>'Novia Web Query'!A4296</f>
        <v>GB00BV0LF599</v>
      </c>
      <c r="B4300" t="str">
        <f>VLOOKUP(NoviaFunds[[#This Row],[ISIN]],'Novia Web Query'!$A:$E,2,FALSE)</f>
        <v>VT Castlebay UK Equity A Inc TR in GB</v>
      </c>
      <c r="C4300" t="str">
        <f>VLOOKUP(NoviaFunds[[#This Row],[ISIN]],'Novia Web Query'!$A:$E,3,FALSE)</f>
        <v>UT UK All Companies</v>
      </c>
      <c r="D4300" s="139">
        <f>VLOOKUP(NoviaFunds[[#This Row],[ISIN]],'Novia Web Query'!$A:$E,4,FALSE)/100</f>
        <v>0.01</v>
      </c>
      <c r="E4300" s="3" t="str">
        <f>VLOOKUP(NoviaFunds[[#This Row],[ISIN]],'Novia Web Query'!$A:$E,5,FALSE)</f>
        <v>31/12/2020</v>
      </c>
      <c r="F4300" t="str">
        <f>VLOOKUP(NoviaFunds[[#This Row],[Sector]],Sectors[],2,FALSE)</f>
        <v>UK Equities</v>
      </c>
    </row>
    <row r="4301" spans="1:6" x14ac:dyDescent="0.2">
      <c r="A4301" t="str">
        <f>'Novia Web Query'!A4297</f>
        <v>GB00BV0LFB59</v>
      </c>
      <c r="B4301" t="str">
        <f>VLOOKUP(NoviaFunds[[#This Row],[ISIN]],'Novia Web Query'!$A:$E,2,FALSE)</f>
        <v>VT Castlebay UK Equity C Acc in GB</v>
      </c>
      <c r="C4301" t="str">
        <f>VLOOKUP(NoviaFunds[[#This Row],[ISIN]],'Novia Web Query'!$A:$E,3,FALSE)</f>
        <v>UT UK All Companies</v>
      </c>
      <c r="D4301" s="139">
        <f>VLOOKUP(NoviaFunds[[#This Row],[ISIN]],'Novia Web Query'!$A:$E,4,FALSE)/100</f>
        <v>6.0000000000000001E-3</v>
      </c>
      <c r="E4301" s="3" t="str">
        <f>VLOOKUP(NoviaFunds[[#This Row],[ISIN]],'Novia Web Query'!$A:$E,5,FALSE)</f>
        <v>31/12/2020</v>
      </c>
      <c r="F4301" t="str">
        <f>VLOOKUP(NoviaFunds[[#This Row],[Sector]],Sectors[],2,FALSE)</f>
        <v>UK Equities</v>
      </c>
    </row>
    <row r="4302" spans="1:6" x14ac:dyDescent="0.2">
      <c r="A4302" t="str">
        <f>'Novia Web Query'!A4298</f>
        <v>GB00BV0LF938</v>
      </c>
      <c r="B4302" t="str">
        <f>VLOOKUP(NoviaFunds[[#This Row],[ISIN]],'Novia Web Query'!$A:$E,2,FALSE)</f>
        <v>VT Castlebay UK Equity C Inc TR in GB</v>
      </c>
      <c r="C4302" t="str">
        <f>VLOOKUP(NoviaFunds[[#This Row],[ISIN]],'Novia Web Query'!$A:$E,3,FALSE)</f>
        <v>UT UK All Companies</v>
      </c>
      <c r="D4302" s="139">
        <f>VLOOKUP(NoviaFunds[[#This Row],[ISIN]],'Novia Web Query'!$A:$E,4,FALSE)/100</f>
        <v>6.0000000000000001E-3</v>
      </c>
      <c r="E4302" s="3" t="str">
        <f>VLOOKUP(NoviaFunds[[#This Row],[ISIN]],'Novia Web Query'!$A:$E,5,FALSE)</f>
        <v>31/12/2020</v>
      </c>
      <c r="F4302" t="str">
        <f>VLOOKUP(NoviaFunds[[#This Row],[Sector]],Sectors[],2,FALSE)</f>
        <v>UK Equities</v>
      </c>
    </row>
    <row r="4303" spans="1:6" x14ac:dyDescent="0.2">
      <c r="A4303" t="str">
        <f>'Novia Web Query'!A4299</f>
        <v>GB00BYV0VN67</v>
      </c>
      <c r="B4303" t="str">
        <f>VLOOKUP(NoviaFunds[[#This Row],[ISIN]],'Novia Web Query'!$A:$E,2,FALSE)</f>
        <v>VT Cautious Portfolio Overlay C in GB</v>
      </c>
      <c r="C4303" t="str">
        <f>VLOOKUP(NoviaFunds[[#This Row],[ISIN]],'Novia Web Query'!$A:$E,3,FALSE)</f>
        <v>UT Unclassified</v>
      </c>
      <c r="D4303" s="139">
        <f>VLOOKUP(NoviaFunds[[#This Row],[ISIN]],'Novia Web Query'!$A:$E,4,FALSE)/100</f>
        <v>6.4000000000000003E-3</v>
      </c>
      <c r="E4303" s="3" t="str">
        <f>VLOOKUP(NoviaFunds[[#This Row],[ISIN]],'Novia Web Query'!$A:$E,5,FALSE)</f>
        <v>31/12/2020</v>
      </c>
      <c r="F4303" t="str">
        <f>VLOOKUP(NoviaFunds[[#This Row],[Sector]],Sectors[],2,FALSE)</f>
        <v>Unclassified</v>
      </c>
    </row>
    <row r="4304" spans="1:6" x14ac:dyDescent="0.2">
      <c r="A4304" t="str">
        <f>'Novia Web Query'!A4300</f>
        <v>GB00B3QF3G69</v>
      </c>
      <c r="B4304" t="str">
        <f>VLOOKUP(NoviaFunds[[#This Row],[ISIN]],'Novia Web Query'!$A:$E,2,FALSE)</f>
        <v>VT De Lisle America B GBP in GB</v>
      </c>
      <c r="C4304" t="str">
        <f>VLOOKUP(NoviaFunds[[#This Row],[ISIN]],'Novia Web Query'!$A:$E,3,FALSE)</f>
        <v>UT North America</v>
      </c>
      <c r="D4304" s="139">
        <f>VLOOKUP(NoviaFunds[[#This Row],[ISIN]],'Novia Web Query'!$A:$E,4,FALSE)/100</f>
        <v>1.1000000000000001E-2</v>
      </c>
      <c r="E4304" s="3" t="str">
        <f>VLOOKUP(NoviaFunds[[#This Row],[ISIN]],'Novia Web Query'!$A:$E,5,FALSE)</f>
        <v>07/07/2021</v>
      </c>
      <c r="F4304" t="str">
        <f>VLOOKUP(NoviaFunds[[#This Row],[Sector]],Sectors[],2,FALSE)</f>
        <v>USA Equities</v>
      </c>
    </row>
    <row r="4305" spans="1:6" x14ac:dyDescent="0.2">
      <c r="A4305" t="str">
        <f>'Novia Web Query'!A4301</f>
        <v>GB00BYV0VM50</v>
      </c>
      <c r="B4305" t="str">
        <f>VLOOKUP(NoviaFunds[[#This Row],[ISIN]],'Novia Web Query'!$A:$E,2,FALSE)</f>
        <v>VT Defensive Portfolio Overlay C in GB</v>
      </c>
      <c r="C4305" t="str">
        <f>VLOOKUP(NoviaFunds[[#This Row],[ISIN]],'Novia Web Query'!$A:$E,3,FALSE)</f>
        <v>UT Unclassified</v>
      </c>
      <c r="D4305" s="139">
        <f>VLOOKUP(NoviaFunds[[#This Row],[ISIN]],'Novia Web Query'!$A:$E,4,FALSE)/100</f>
        <v>6.0999999999999995E-3</v>
      </c>
      <c r="E4305" s="3" t="str">
        <f>VLOOKUP(NoviaFunds[[#This Row],[ISIN]],'Novia Web Query'!$A:$E,5,FALSE)</f>
        <v>31/12/2020</v>
      </c>
      <c r="F4305" t="str">
        <f>VLOOKUP(NoviaFunds[[#This Row],[Sector]],Sectors[],2,FALSE)</f>
        <v>Unclassified</v>
      </c>
    </row>
    <row r="4306" spans="1:6" x14ac:dyDescent="0.2">
      <c r="A4306" t="str">
        <f>'Novia Web Query'!A4302</f>
        <v>GB00B92M6Y21</v>
      </c>
      <c r="B4306" t="str">
        <f>VLOOKUP(NoviaFunds[[#This Row],[ISIN]],'Novia Web Query'!$A:$E,2,FALSE)</f>
        <v>VT Discovery Balanced B Acc GBP in GB</v>
      </c>
      <c r="C4306" t="str">
        <f>VLOOKUP(NoviaFunds[[#This Row],[ISIN]],'Novia Web Query'!$A:$E,3,FALSE)</f>
        <v>UT Mixed Investment 40-85% Shares</v>
      </c>
      <c r="D4306" s="139">
        <f>VLOOKUP(NoviaFunds[[#This Row],[ISIN]],'Novia Web Query'!$A:$E,4,FALSE)/100</f>
        <v>1.18E-2</v>
      </c>
      <c r="E4306" s="3" t="str">
        <f>VLOOKUP(NoviaFunds[[#This Row],[ISIN]],'Novia Web Query'!$A:$E,5,FALSE)</f>
        <v>31/12/2020</v>
      </c>
      <c r="F4306" t="str">
        <f>VLOOKUP(NoviaFunds[[#This Row],[Sector]],Sectors[],2,FALSE)</f>
        <v>Mixed 40%-85%</v>
      </c>
    </row>
    <row r="4307" spans="1:6" x14ac:dyDescent="0.2">
      <c r="A4307" t="str">
        <f>'Novia Web Query'!A4303</f>
        <v>GB00B92M7J45</v>
      </c>
      <c r="B4307" t="str">
        <f>VLOOKUP(NoviaFunds[[#This Row],[ISIN]],'Novia Web Query'!$A:$E,2,FALSE)</f>
        <v>VT Discovery Balanced B Inc GBP TR in GB</v>
      </c>
      <c r="C4307" t="str">
        <f>VLOOKUP(NoviaFunds[[#This Row],[ISIN]],'Novia Web Query'!$A:$E,3,FALSE)</f>
        <v>UT Mixed Investment 40-85% Shares</v>
      </c>
      <c r="D4307" s="139">
        <f>VLOOKUP(NoviaFunds[[#This Row],[ISIN]],'Novia Web Query'!$A:$E,4,FALSE)/100</f>
        <v>1.18E-2</v>
      </c>
      <c r="E4307" s="3" t="str">
        <f>VLOOKUP(NoviaFunds[[#This Row],[ISIN]],'Novia Web Query'!$A:$E,5,FALSE)</f>
        <v>31/12/2020</v>
      </c>
      <c r="F4307" t="str">
        <f>VLOOKUP(NoviaFunds[[#This Row],[Sector]],Sectors[],2,FALSE)</f>
        <v>Mixed 40%-85%</v>
      </c>
    </row>
    <row r="4308" spans="1:6" x14ac:dyDescent="0.2">
      <c r="A4308" t="str">
        <f>'Novia Web Query'!A4304</f>
        <v>GB00B92MKL75</v>
      </c>
      <c r="B4308" t="str">
        <f>VLOOKUP(NoviaFunds[[#This Row],[ISIN]],'Novia Web Query'!$A:$E,2,FALSE)</f>
        <v>VT Discovery Growth B GBP in GB</v>
      </c>
      <c r="C4308" t="str">
        <f>VLOOKUP(NoviaFunds[[#This Row],[ISIN]],'Novia Web Query'!$A:$E,3,FALSE)</f>
        <v>UT Flexible Investment</v>
      </c>
      <c r="D4308" s="139">
        <f>VLOOKUP(NoviaFunds[[#This Row],[ISIN]],'Novia Web Query'!$A:$E,4,FALSE)/100</f>
        <v>1.2E-2</v>
      </c>
      <c r="E4308" s="3" t="str">
        <f>VLOOKUP(NoviaFunds[[#This Row],[ISIN]],'Novia Web Query'!$A:$E,5,FALSE)</f>
        <v>31/12/2020</v>
      </c>
      <c r="F4308" t="str">
        <f>VLOOKUP(NoviaFunds[[#This Row],[Sector]],Sectors[],2,FALSE)</f>
        <v>Flexible</v>
      </c>
    </row>
    <row r="4309" spans="1:6" x14ac:dyDescent="0.2">
      <c r="A4309" t="str">
        <f>'Novia Web Query'!A4305</f>
        <v>GB00B61JRG28</v>
      </c>
      <c r="B4309" t="str">
        <f>VLOOKUP(NoviaFunds[[#This Row],[ISIN]],'Novia Web Query'!$A:$E,2,FALSE)</f>
        <v>VT Downing Small &amp; Mid-Cap Income Acc in GB</v>
      </c>
      <c r="C4309" t="str">
        <f>VLOOKUP(NoviaFunds[[#This Row],[ISIN]],'Novia Web Query'!$A:$E,3,FALSE)</f>
        <v>UT UK Equity Income</v>
      </c>
      <c r="D4309" s="139">
        <f>VLOOKUP(NoviaFunds[[#This Row],[ISIN]],'Novia Web Query'!$A:$E,4,FALSE)/100</f>
        <v>8.6999999999999994E-3</v>
      </c>
      <c r="E4309" s="3" t="str">
        <f>VLOOKUP(NoviaFunds[[#This Row],[ISIN]],'Novia Web Query'!$A:$E,5,FALSE)</f>
        <v>31/12/2020</v>
      </c>
      <c r="F4309" t="str">
        <f>VLOOKUP(NoviaFunds[[#This Row],[Sector]],Sectors[],2,FALSE)</f>
        <v>UK Equities</v>
      </c>
    </row>
    <row r="4310" spans="1:6" x14ac:dyDescent="0.2">
      <c r="A4310" t="str">
        <f>'Novia Web Query'!A4306</f>
        <v>GB00B625QM82</v>
      </c>
      <c r="B4310" t="str">
        <f>VLOOKUP(NoviaFunds[[#This Row],[ISIN]],'Novia Web Query'!$A:$E,2,FALSE)</f>
        <v>VT Downing Small &amp; Mid-Cap Income Inc TR in GB</v>
      </c>
      <c r="C4310" t="str">
        <f>VLOOKUP(NoviaFunds[[#This Row],[ISIN]],'Novia Web Query'!$A:$E,3,FALSE)</f>
        <v>UT UK Equity Income</v>
      </c>
      <c r="D4310" s="139">
        <f>VLOOKUP(NoviaFunds[[#This Row],[ISIN]],'Novia Web Query'!$A:$E,4,FALSE)/100</f>
        <v>8.6999999999999994E-3</v>
      </c>
      <c r="E4310" s="3" t="str">
        <f>VLOOKUP(NoviaFunds[[#This Row],[ISIN]],'Novia Web Query'!$A:$E,5,FALSE)</f>
        <v>31/12/2020</v>
      </c>
      <c r="F4310" t="str">
        <f>VLOOKUP(NoviaFunds[[#This Row],[Sector]],Sectors[],2,FALSE)</f>
        <v>UK Equities</v>
      </c>
    </row>
    <row r="4311" spans="1:6" x14ac:dyDescent="0.2">
      <c r="A4311" t="str">
        <f>'Novia Web Query'!A4307</f>
        <v>GB00BN2BTG06</v>
      </c>
      <c r="B4311" t="str">
        <f>VLOOKUP(NoviaFunds[[#This Row],[ISIN]],'Novia Web Query'!$A:$E,2,FALSE)</f>
        <v>VT Elston Multi-Asset Income A Acc GBP in GB</v>
      </c>
      <c r="C4311" t="str">
        <f>VLOOKUP(NoviaFunds[[#This Row],[ISIN]],'Novia Web Query'!$A:$E,3,FALSE)</f>
        <v>UT Mixed Investment 20-60% Shares</v>
      </c>
      <c r="D4311" s="139">
        <f>VLOOKUP(NoviaFunds[[#This Row],[ISIN]],'Novia Web Query'!$A:$E,4,FALSE)/100</f>
        <v>1.49E-2</v>
      </c>
      <c r="E4311" s="3" t="str">
        <f>VLOOKUP(NoviaFunds[[#This Row],[ISIN]],'Novia Web Query'!$A:$E,5,FALSE)</f>
        <v>01/12/2021</v>
      </c>
      <c r="F4311" t="str">
        <f>VLOOKUP(NoviaFunds[[#This Row],[Sector]],Sectors[],2,FALSE)</f>
        <v>Mixed 20%-60%</v>
      </c>
    </row>
    <row r="4312" spans="1:6" x14ac:dyDescent="0.2">
      <c r="A4312" t="str">
        <f>'Novia Web Query'!A4308</f>
        <v>GB00BN2BTH13</v>
      </c>
      <c r="B4312" t="str">
        <f>VLOOKUP(NoviaFunds[[#This Row],[ISIN]],'Novia Web Query'!$A:$E,2,FALSE)</f>
        <v>VT Elston Multi-Asset Income A Inc GBP TR in GB</v>
      </c>
      <c r="C4312" t="str">
        <f>VLOOKUP(NoviaFunds[[#This Row],[ISIN]],'Novia Web Query'!$A:$E,3,FALSE)</f>
        <v>UT Mixed Investment 20-60% Shares</v>
      </c>
      <c r="D4312" s="139">
        <f>VLOOKUP(NoviaFunds[[#This Row],[ISIN]],'Novia Web Query'!$A:$E,4,FALSE)/100</f>
        <v>1.49E-2</v>
      </c>
      <c r="E4312" s="3" t="str">
        <f>VLOOKUP(NoviaFunds[[#This Row],[ISIN]],'Novia Web Query'!$A:$E,5,FALSE)</f>
        <v>01/12/2021</v>
      </c>
      <c r="F4312" t="str">
        <f>VLOOKUP(NoviaFunds[[#This Row],[Sector]],Sectors[],2,FALSE)</f>
        <v>Mixed 20%-60%</v>
      </c>
    </row>
    <row r="4313" spans="1:6" x14ac:dyDescent="0.2">
      <c r="A4313" t="str">
        <f>'Novia Web Query'!A4309</f>
        <v>GB00BHD62Q31</v>
      </c>
      <c r="B4313" t="str">
        <f>VLOOKUP(NoviaFunds[[#This Row],[ISIN]],'Novia Web Query'!$A:$E,2,FALSE)</f>
        <v>VT Garraway Diversified Income R Acc GBP in GB</v>
      </c>
      <c r="C4313" t="str">
        <f>VLOOKUP(NoviaFunds[[#This Row],[ISIN]],'Novia Web Query'!$A:$E,3,FALSE)</f>
        <v>UT Sterling Strategic Bond</v>
      </c>
      <c r="D4313" s="139">
        <f>VLOOKUP(NoviaFunds[[#This Row],[ISIN]],'Novia Web Query'!$A:$E,4,FALSE)/100</f>
        <v>1.1699999999999999E-2</v>
      </c>
      <c r="E4313" s="3" t="str">
        <f>VLOOKUP(NoviaFunds[[#This Row],[ISIN]],'Novia Web Query'!$A:$E,5,FALSE)</f>
        <v>31/12/2020</v>
      </c>
      <c r="F4313" t="str">
        <f>VLOOKUP(NoviaFunds[[#This Row],[Sector]],Sectors[],2,FALSE)</f>
        <v>Other Bonds</v>
      </c>
    </row>
    <row r="4314" spans="1:6" x14ac:dyDescent="0.2">
      <c r="A4314" t="str">
        <f>'Novia Web Query'!A4310</f>
        <v>GB00BHD62R48</v>
      </c>
      <c r="B4314" t="str">
        <f>VLOOKUP(NoviaFunds[[#This Row],[ISIN]],'Novia Web Query'!$A:$E,2,FALSE)</f>
        <v>VT Garraway Diversified Income R Inc GBP TR in GB</v>
      </c>
      <c r="C4314" t="str">
        <f>VLOOKUP(NoviaFunds[[#This Row],[ISIN]],'Novia Web Query'!$A:$E,3,FALSE)</f>
        <v>UT Sterling Strategic Bond</v>
      </c>
      <c r="D4314" s="139">
        <f>VLOOKUP(NoviaFunds[[#This Row],[ISIN]],'Novia Web Query'!$A:$E,4,FALSE)/100</f>
        <v>1.1699999999999999E-2</v>
      </c>
      <c r="E4314" s="3" t="str">
        <f>VLOOKUP(NoviaFunds[[#This Row],[ISIN]],'Novia Web Query'!$A:$E,5,FALSE)</f>
        <v>31/12/2020</v>
      </c>
      <c r="F4314" t="str">
        <f>VLOOKUP(NoviaFunds[[#This Row],[Sector]],Sectors[],2,FALSE)</f>
        <v>Other Bonds</v>
      </c>
    </row>
    <row r="4315" spans="1:6" x14ac:dyDescent="0.2">
      <c r="A4315" t="str">
        <f>'Novia Web Query'!A4311</f>
        <v>GB00B28CC613</v>
      </c>
      <c r="B4315" t="str">
        <f>VLOOKUP(NoviaFunds[[#This Row],[ISIN]],'Novia Web Query'!$A:$E,2,FALSE)</f>
        <v>VT Garraway Multi Asset Balanced A Acc GBP in GB</v>
      </c>
      <c r="C4315" t="str">
        <f>VLOOKUP(NoviaFunds[[#This Row],[ISIN]],'Novia Web Query'!$A:$E,3,FALSE)</f>
        <v>UT Mixed Investment 20-60% Shares</v>
      </c>
      <c r="D4315" s="139">
        <f>VLOOKUP(NoviaFunds[[#This Row],[ISIN]],'Novia Web Query'!$A:$E,4,FALSE)/100</f>
        <v>2.46E-2</v>
      </c>
      <c r="E4315" s="3" t="str">
        <f>VLOOKUP(NoviaFunds[[#This Row],[ISIN]],'Novia Web Query'!$A:$E,5,FALSE)</f>
        <v>31/12/2020</v>
      </c>
      <c r="F4315" t="str">
        <f>VLOOKUP(NoviaFunds[[#This Row],[Sector]],Sectors[],2,FALSE)</f>
        <v>Mixed 20%-60%</v>
      </c>
    </row>
    <row r="4316" spans="1:6" x14ac:dyDescent="0.2">
      <c r="A4316" t="str">
        <f>'Novia Web Query'!A4312</f>
        <v>GB00B84XK441</v>
      </c>
      <c r="B4316" t="str">
        <f>VLOOKUP(NoviaFunds[[#This Row],[ISIN]],'Novia Web Query'!$A:$E,2,FALSE)</f>
        <v>VT Garraway Multi Asset Balanced I Acc GBP in GB</v>
      </c>
      <c r="C4316" t="str">
        <f>VLOOKUP(NoviaFunds[[#This Row],[ISIN]],'Novia Web Query'!$A:$E,3,FALSE)</f>
        <v>UT Mixed Investment 20-60% Shares</v>
      </c>
      <c r="D4316" s="139">
        <f>VLOOKUP(NoviaFunds[[#This Row],[ISIN]],'Novia Web Query'!$A:$E,4,FALSE)/100</f>
        <v>1.7100000000000001E-2</v>
      </c>
      <c r="E4316" s="3" t="str">
        <f>VLOOKUP(NoviaFunds[[#This Row],[ISIN]],'Novia Web Query'!$A:$E,5,FALSE)</f>
        <v>31/12/2020</v>
      </c>
      <c r="F4316" t="str">
        <f>VLOOKUP(NoviaFunds[[#This Row],[Sector]],Sectors[],2,FALSE)</f>
        <v>Mixed 20%-60%</v>
      </c>
    </row>
    <row r="4317" spans="1:6" x14ac:dyDescent="0.2">
      <c r="A4317" t="str">
        <f>'Novia Web Query'!A4313</f>
        <v>GB00B89R1H14</v>
      </c>
      <c r="B4317" t="str">
        <f>VLOOKUP(NoviaFunds[[#This Row],[ISIN]],'Novia Web Query'!$A:$E,2,FALSE)</f>
        <v>VT Garraway Multi Asset Balanced I Inc GBP TR in GB</v>
      </c>
      <c r="C4317" t="str">
        <f>VLOOKUP(NoviaFunds[[#This Row],[ISIN]],'Novia Web Query'!$A:$E,3,FALSE)</f>
        <v>UT Mixed Investment 20-60% Shares</v>
      </c>
      <c r="D4317" s="139">
        <f>VLOOKUP(NoviaFunds[[#This Row],[ISIN]],'Novia Web Query'!$A:$E,4,FALSE)/100</f>
        <v>1.7100000000000001E-2</v>
      </c>
      <c r="E4317" s="3" t="str">
        <f>VLOOKUP(NoviaFunds[[#This Row],[ISIN]],'Novia Web Query'!$A:$E,5,FALSE)</f>
        <v>31/12/2020</v>
      </c>
      <c r="F4317" t="str">
        <f>VLOOKUP(NoviaFunds[[#This Row],[Sector]],Sectors[],2,FALSE)</f>
        <v>Mixed 20%-60%</v>
      </c>
    </row>
    <row r="4318" spans="1:6" x14ac:dyDescent="0.2">
      <c r="A4318" t="str">
        <f>'Novia Web Query'!A4314</f>
        <v>GB00BF2H6830</v>
      </c>
      <c r="B4318" t="str">
        <f>VLOOKUP(NoviaFunds[[#This Row],[ISIN]],'Novia Web Query'!$A:$E,2,FALSE)</f>
        <v>VT Garraway Multi Asset Balanced R Acc GBP in GB**</v>
      </c>
      <c r="C4318" t="str">
        <f>VLOOKUP(NoviaFunds[[#This Row],[ISIN]],'Novia Web Query'!$A:$E,3,FALSE)</f>
        <v>UT Mixed Investment 20-60% Shares</v>
      </c>
      <c r="D4318" s="139">
        <f>VLOOKUP(NoviaFunds[[#This Row],[ISIN]],'Novia Web Query'!$A:$E,4,FALSE)/100</f>
        <v>1.7100000000000001E-2</v>
      </c>
      <c r="E4318" s="3" t="str">
        <f>VLOOKUP(NoviaFunds[[#This Row],[ISIN]],'Novia Web Query'!$A:$E,5,FALSE)</f>
        <v>31/12/2020</v>
      </c>
      <c r="F4318" t="str">
        <f>VLOOKUP(NoviaFunds[[#This Row],[Sector]],Sectors[],2,FALSE)</f>
        <v>Mixed 20%-60%</v>
      </c>
    </row>
    <row r="4319" spans="1:6" x14ac:dyDescent="0.2">
      <c r="A4319" t="str">
        <f>'Novia Web Query'!A4315</f>
        <v>GB00BF2H6723</v>
      </c>
      <c r="B4319" t="str">
        <f>VLOOKUP(NoviaFunds[[#This Row],[ISIN]],'Novia Web Query'!$A:$E,2,FALSE)</f>
        <v>VT Garraway Multi Asset Balanced R Inc GBP TR in GB**</v>
      </c>
      <c r="C4319" t="str">
        <f>VLOOKUP(NoviaFunds[[#This Row],[ISIN]],'Novia Web Query'!$A:$E,3,FALSE)</f>
        <v>UT Mixed Investment 20-60% Shares</v>
      </c>
      <c r="D4319" s="139">
        <f>VLOOKUP(NoviaFunds[[#This Row],[ISIN]],'Novia Web Query'!$A:$E,4,FALSE)/100</f>
        <v>1.7100000000000001E-2</v>
      </c>
      <c r="E4319" s="3" t="str">
        <f>VLOOKUP(NoviaFunds[[#This Row],[ISIN]],'Novia Web Query'!$A:$E,5,FALSE)</f>
        <v>31/12/2020</v>
      </c>
      <c r="F4319" t="str">
        <f>VLOOKUP(NoviaFunds[[#This Row],[Sector]],Sectors[],2,FALSE)</f>
        <v>Mixed 20%-60%</v>
      </c>
    </row>
    <row r="4320" spans="1:6" x14ac:dyDescent="0.2">
      <c r="A4320" t="str">
        <f>'Novia Web Query'!A4316</f>
        <v>GB00BDZTGT30</v>
      </c>
      <c r="B4320" t="str">
        <f>VLOOKUP(NoviaFunds[[#This Row],[ISIN]],'Novia Web Query'!$A:$E,2,FALSE)</f>
        <v>VT Garraway Multi Asset Growth I Acc GBP in GB</v>
      </c>
      <c r="C4320" t="str">
        <f>VLOOKUP(NoviaFunds[[#This Row],[ISIN]],'Novia Web Query'!$A:$E,3,FALSE)</f>
        <v>UT Mixed Investment 40-85% Shares</v>
      </c>
      <c r="D4320" s="139">
        <f>VLOOKUP(NoviaFunds[[#This Row],[ISIN]],'Novia Web Query'!$A:$E,4,FALSE)/100</f>
        <v>1.67E-2</v>
      </c>
      <c r="E4320" s="3" t="str">
        <f>VLOOKUP(NoviaFunds[[#This Row],[ISIN]],'Novia Web Query'!$A:$E,5,FALSE)</f>
        <v>31/12/2020</v>
      </c>
      <c r="F4320" t="str">
        <f>VLOOKUP(NoviaFunds[[#This Row],[Sector]],Sectors[],2,FALSE)</f>
        <v>Mixed 40%-85%</v>
      </c>
    </row>
    <row r="4321" spans="1:6" x14ac:dyDescent="0.2">
      <c r="A4321" t="str">
        <f>'Novia Web Query'!A4317</f>
        <v>GB00BDZTGV51</v>
      </c>
      <c r="B4321" t="str">
        <f>VLOOKUP(NoviaFunds[[#This Row],[ISIN]],'Novia Web Query'!$A:$E,2,FALSE)</f>
        <v>VT Garraway Multi Asset Growth I Inc GBP TR in GB</v>
      </c>
      <c r="C4321" t="str">
        <f>VLOOKUP(NoviaFunds[[#This Row],[ISIN]],'Novia Web Query'!$A:$E,3,FALSE)</f>
        <v>UT Mixed Investment 40-85% Shares</v>
      </c>
      <c r="D4321" s="139">
        <f>VLOOKUP(NoviaFunds[[#This Row],[ISIN]],'Novia Web Query'!$A:$E,4,FALSE)/100</f>
        <v>1.67E-2</v>
      </c>
      <c r="E4321" s="3" t="str">
        <f>VLOOKUP(NoviaFunds[[#This Row],[ISIN]],'Novia Web Query'!$A:$E,5,FALSE)</f>
        <v>31/12/2020</v>
      </c>
      <c r="F4321" t="str">
        <f>VLOOKUP(NoviaFunds[[#This Row],[Sector]],Sectors[],2,FALSE)</f>
        <v>Mixed 40%-85%</v>
      </c>
    </row>
    <row r="4322" spans="1:6" x14ac:dyDescent="0.2">
      <c r="A4322" t="str">
        <f>'Novia Web Query'!A4318</f>
        <v>GB00BDZTGW68</v>
      </c>
      <c r="B4322" t="str">
        <f>VLOOKUP(NoviaFunds[[#This Row],[ISIN]],'Novia Web Query'!$A:$E,2,FALSE)</f>
        <v>VT Garraway Multi Asset Growth R Acc GBP in GB**</v>
      </c>
      <c r="C4322" t="str">
        <f>VLOOKUP(NoviaFunds[[#This Row],[ISIN]],'Novia Web Query'!$A:$E,3,FALSE)</f>
        <v>UT Mixed Investment 40-85% Shares</v>
      </c>
      <c r="D4322" s="139">
        <f>VLOOKUP(NoviaFunds[[#This Row],[ISIN]],'Novia Web Query'!$A:$E,4,FALSE)/100</f>
        <v>1.67E-2</v>
      </c>
      <c r="E4322" s="3" t="str">
        <f>VLOOKUP(NoviaFunds[[#This Row],[ISIN]],'Novia Web Query'!$A:$E,5,FALSE)</f>
        <v>31/12/2020</v>
      </c>
      <c r="F4322" t="str">
        <f>VLOOKUP(NoviaFunds[[#This Row],[Sector]],Sectors[],2,FALSE)</f>
        <v>Mixed 40%-85%</v>
      </c>
    </row>
    <row r="4323" spans="1:6" x14ac:dyDescent="0.2">
      <c r="A4323" t="str">
        <f>'Novia Web Query'!A4319</f>
        <v>GB00BDZTGX75</v>
      </c>
      <c r="B4323" t="str">
        <f>VLOOKUP(NoviaFunds[[#This Row],[ISIN]],'Novia Web Query'!$A:$E,2,FALSE)</f>
        <v>VT Garraway Multi Asset Growth R Inc GBP TR in GB**</v>
      </c>
      <c r="C4323" t="str">
        <f>VLOOKUP(NoviaFunds[[#This Row],[ISIN]],'Novia Web Query'!$A:$E,3,FALSE)</f>
        <v>UT Mixed Investment 40-85% Shares</v>
      </c>
      <c r="D4323" s="139">
        <f>VLOOKUP(NoviaFunds[[#This Row],[ISIN]],'Novia Web Query'!$A:$E,4,FALSE)/100</f>
        <v>1.67E-2</v>
      </c>
      <c r="E4323" s="3" t="str">
        <f>VLOOKUP(NoviaFunds[[#This Row],[ISIN]],'Novia Web Query'!$A:$E,5,FALSE)</f>
        <v>31/12/2020</v>
      </c>
      <c r="F4323" t="str">
        <f>VLOOKUP(NoviaFunds[[#This Row],[Sector]],Sectors[],2,FALSE)</f>
        <v>Mixed 40%-85%</v>
      </c>
    </row>
    <row r="4324" spans="1:6" x14ac:dyDescent="0.2">
      <c r="A4324" t="str">
        <f>'Novia Web Query'!A4320</f>
        <v>GB00BFN4H792</v>
      </c>
      <c r="B4324" t="str">
        <f>VLOOKUP(NoviaFunds[[#This Row],[ISIN]],'Novia Web Query'!$A:$E,2,FALSE)</f>
        <v>VT Gravis Clean Energy Income C Acc GBP in GB</v>
      </c>
      <c r="C4324" t="str">
        <f>VLOOKUP(NoviaFunds[[#This Row],[ISIN]],'Novia Web Query'!$A:$E,3,FALSE)</f>
        <v>UT Infrastructure</v>
      </c>
      <c r="D4324" s="139">
        <f>VLOOKUP(NoviaFunds[[#This Row],[ISIN]],'Novia Web Query'!$A:$E,4,FALSE)/100</f>
        <v>8.1000000000000013E-3</v>
      </c>
      <c r="E4324" s="3" t="str">
        <f>VLOOKUP(NoviaFunds[[#This Row],[ISIN]],'Novia Web Query'!$A:$E,5,FALSE)</f>
        <v>31/12/2020</v>
      </c>
      <c r="F4324" t="e">
        <f>VLOOKUP(NoviaFunds[[#This Row],[Sector]],Sectors[],2,FALSE)</f>
        <v>#N/A</v>
      </c>
    </row>
    <row r="4325" spans="1:6" x14ac:dyDescent="0.2">
      <c r="A4325" t="str">
        <f>'Novia Web Query'!A4321</f>
        <v>GB00BFN4H461</v>
      </c>
      <c r="B4325" t="str">
        <f>VLOOKUP(NoviaFunds[[#This Row],[ISIN]],'Novia Web Query'!$A:$E,2,FALSE)</f>
        <v>VT Gravis Clean Energy Income C Inc GBP TR in GB</v>
      </c>
      <c r="C4325" t="str">
        <f>VLOOKUP(NoviaFunds[[#This Row],[ISIN]],'Novia Web Query'!$A:$E,3,FALSE)</f>
        <v>UT Infrastructure</v>
      </c>
      <c r="D4325" s="139">
        <f>VLOOKUP(NoviaFunds[[#This Row],[ISIN]],'Novia Web Query'!$A:$E,4,FALSE)/100</f>
        <v>8.1000000000000013E-3</v>
      </c>
      <c r="E4325" s="3" t="str">
        <f>VLOOKUP(NoviaFunds[[#This Row],[ISIN]],'Novia Web Query'!$A:$E,5,FALSE)</f>
        <v>31/12/2020</v>
      </c>
      <c r="F4325" t="e">
        <f>VLOOKUP(NoviaFunds[[#This Row],[Sector]],Sectors[],2,FALSE)</f>
        <v>#N/A</v>
      </c>
    </row>
    <row r="4326" spans="1:6" x14ac:dyDescent="0.2">
      <c r="A4326" t="str">
        <f>'Novia Web Query'!A4322</f>
        <v>GB00BFN4HF75</v>
      </c>
      <c r="B4326" t="str">
        <f>VLOOKUP(NoviaFunds[[#This Row],[ISIN]],'Novia Web Query'!$A:$E,2,FALSE)</f>
        <v>VT Gravis Clean Energy Income I Acc GBP in GB</v>
      </c>
      <c r="C4326" t="str">
        <f>VLOOKUP(NoviaFunds[[#This Row],[ISIN]],'Novia Web Query'!$A:$E,3,FALSE)</f>
        <v>UT Infrastructure</v>
      </c>
      <c r="D4326" s="139">
        <f>VLOOKUP(NoviaFunds[[#This Row],[ISIN]],'Novia Web Query'!$A:$E,4,FALSE)/100</f>
        <v>7.0999999999999995E-3</v>
      </c>
      <c r="E4326" s="3" t="str">
        <f>VLOOKUP(NoviaFunds[[#This Row],[ISIN]],'Novia Web Query'!$A:$E,5,FALSE)</f>
        <v>31/12/2020</v>
      </c>
      <c r="F4326" t="e">
        <f>VLOOKUP(NoviaFunds[[#This Row],[Sector]],Sectors[],2,FALSE)</f>
        <v>#N/A</v>
      </c>
    </row>
    <row r="4327" spans="1:6" x14ac:dyDescent="0.2">
      <c r="A4327" t="str">
        <f>'Novia Web Query'!A4323</f>
        <v>GB00BFN4HB38</v>
      </c>
      <c r="B4327" t="str">
        <f>VLOOKUP(NoviaFunds[[#This Row],[ISIN]],'Novia Web Query'!$A:$E,2,FALSE)</f>
        <v>VT Gravis Clean Energy Income I Inc GBP TR in GB**</v>
      </c>
      <c r="C4327" t="str">
        <f>VLOOKUP(NoviaFunds[[#This Row],[ISIN]],'Novia Web Query'!$A:$E,3,FALSE)</f>
        <v>UT Infrastructure</v>
      </c>
      <c r="D4327" s="139">
        <f>VLOOKUP(NoviaFunds[[#This Row],[ISIN]],'Novia Web Query'!$A:$E,4,FALSE)/100</f>
        <v>7.0999999999999995E-3</v>
      </c>
      <c r="E4327" s="3" t="str">
        <f>VLOOKUP(NoviaFunds[[#This Row],[ISIN]],'Novia Web Query'!$A:$E,5,FALSE)</f>
        <v>31/12/2020</v>
      </c>
      <c r="F4327" t="e">
        <f>VLOOKUP(NoviaFunds[[#This Row],[Sector]],Sectors[],2,FALSE)</f>
        <v>#N/A</v>
      </c>
    </row>
    <row r="4328" spans="1:6" x14ac:dyDescent="0.2">
      <c r="A4328" t="str">
        <f>'Novia Web Query'!A4324</f>
        <v>GB00BYVB3M28</v>
      </c>
      <c r="B4328" t="str">
        <f>VLOOKUP(NoviaFunds[[#This Row],[ISIN]],'Novia Web Query'!$A:$E,2,FALSE)</f>
        <v>VT Gravis UK Infrastructure Income C Acc GBP in GB</v>
      </c>
      <c r="C4328" t="str">
        <f>VLOOKUP(NoviaFunds[[#This Row],[ISIN]],'Novia Web Query'!$A:$E,3,FALSE)</f>
        <v>UT Infrastructure</v>
      </c>
      <c r="D4328" s="139">
        <f>VLOOKUP(NoviaFunds[[#This Row],[ISIN]],'Novia Web Query'!$A:$E,4,FALSE)/100</f>
        <v>7.6E-3</v>
      </c>
      <c r="E4328" s="3" t="str">
        <f>VLOOKUP(NoviaFunds[[#This Row],[ISIN]],'Novia Web Query'!$A:$E,5,FALSE)</f>
        <v>31/12/2020</v>
      </c>
      <c r="F4328" t="e">
        <f>VLOOKUP(NoviaFunds[[#This Row],[Sector]],Sectors[],2,FALSE)</f>
        <v>#N/A</v>
      </c>
    </row>
    <row r="4329" spans="1:6" x14ac:dyDescent="0.2">
      <c r="A4329" t="str">
        <f>'Novia Web Query'!A4325</f>
        <v>GB00BYVB3J98</v>
      </c>
      <c r="B4329" t="str">
        <f>VLOOKUP(NoviaFunds[[#This Row],[ISIN]],'Novia Web Query'!$A:$E,2,FALSE)</f>
        <v>VT Gravis UK Infrastructure Income C Inc GBP TR in GB</v>
      </c>
      <c r="C4329" t="str">
        <f>VLOOKUP(NoviaFunds[[#This Row],[ISIN]],'Novia Web Query'!$A:$E,3,FALSE)</f>
        <v>UT Infrastructure</v>
      </c>
      <c r="D4329" s="139">
        <f>VLOOKUP(NoviaFunds[[#This Row],[ISIN]],'Novia Web Query'!$A:$E,4,FALSE)/100</f>
        <v>7.6E-3</v>
      </c>
      <c r="E4329" s="3" t="str">
        <f>VLOOKUP(NoviaFunds[[#This Row],[ISIN]],'Novia Web Query'!$A:$E,5,FALSE)</f>
        <v>31/12/2020</v>
      </c>
      <c r="F4329" t="e">
        <f>VLOOKUP(NoviaFunds[[#This Row],[Sector]],Sectors[],2,FALSE)</f>
        <v>#N/A</v>
      </c>
    </row>
    <row r="4330" spans="1:6" x14ac:dyDescent="0.2">
      <c r="A4330" t="str">
        <f>'Novia Web Query'!A4326</f>
        <v>GB00BYVB3T96</v>
      </c>
      <c r="B4330" t="str">
        <f>VLOOKUP(NoviaFunds[[#This Row],[ISIN]],'Novia Web Query'!$A:$E,2,FALSE)</f>
        <v>VT Gravis UK Infrastructure Income I Acc GBP in GB</v>
      </c>
      <c r="C4330" t="str">
        <f>VLOOKUP(NoviaFunds[[#This Row],[ISIN]],'Novia Web Query'!$A:$E,3,FALSE)</f>
        <v>UT Infrastructure</v>
      </c>
      <c r="D4330" s="139">
        <f>VLOOKUP(NoviaFunds[[#This Row],[ISIN]],'Novia Web Query'!$A:$E,4,FALSE)/100</f>
        <v>6.6E-3</v>
      </c>
      <c r="E4330" s="3" t="str">
        <f>VLOOKUP(NoviaFunds[[#This Row],[ISIN]],'Novia Web Query'!$A:$E,5,FALSE)</f>
        <v>31/12/2020</v>
      </c>
      <c r="F4330" t="e">
        <f>VLOOKUP(NoviaFunds[[#This Row],[Sector]],Sectors[],2,FALSE)</f>
        <v>#N/A</v>
      </c>
    </row>
    <row r="4331" spans="1:6" x14ac:dyDescent="0.2">
      <c r="A4331" t="str">
        <f>'Novia Web Query'!A4327</f>
        <v>GB00BYVB3Q65</v>
      </c>
      <c r="B4331" t="str">
        <f>VLOOKUP(NoviaFunds[[#This Row],[ISIN]],'Novia Web Query'!$A:$E,2,FALSE)</f>
        <v>VT Gravis UK Infrastructure Income I Inc GBP TR in GB</v>
      </c>
      <c r="C4331" t="str">
        <f>VLOOKUP(NoviaFunds[[#This Row],[ISIN]],'Novia Web Query'!$A:$E,3,FALSE)</f>
        <v>UT Infrastructure</v>
      </c>
      <c r="D4331" s="139">
        <f>VLOOKUP(NoviaFunds[[#This Row],[ISIN]],'Novia Web Query'!$A:$E,4,FALSE)/100</f>
        <v>6.6E-3</v>
      </c>
      <c r="E4331" s="3" t="str">
        <f>VLOOKUP(NoviaFunds[[#This Row],[ISIN]],'Novia Web Query'!$A:$E,5,FALSE)</f>
        <v>31/12/2020</v>
      </c>
      <c r="F4331" t="e">
        <f>VLOOKUP(NoviaFunds[[#This Row],[Sector]],Sectors[],2,FALSE)</f>
        <v>#N/A</v>
      </c>
    </row>
    <row r="4332" spans="1:6" x14ac:dyDescent="0.2">
      <c r="A4332" t="str">
        <f>'Novia Web Query'!A4328</f>
        <v>GB00BKDZ8Y17</v>
      </c>
      <c r="B4332" t="str">
        <f>VLOOKUP(NoviaFunds[[#This Row],[ISIN]],'Novia Web Query'!$A:$E,2,FALSE)</f>
        <v>VT Gravis UK Listed Property (Feeder) F Acc GBP in GB</v>
      </c>
      <c r="C4332" t="str">
        <f>VLOOKUP(NoviaFunds[[#This Row],[ISIN]],'Novia Web Query'!$A:$E,3,FALSE)</f>
        <v>UT Property Other</v>
      </c>
      <c r="D4332" s="139">
        <f>VLOOKUP(NoviaFunds[[#This Row],[ISIN]],'Novia Web Query'!$A:$E,4,FALSE)/100</f>
        <v>6.9999999999999993E-3</v>
      </c>
      <c r="E4332" s="3" t="str">
        <f>VLOOKUP(NoviaFunds[[#This Row],[ISIN]],'Novia Web Query'!$A:$E,5,FALSE)</f>
        <v>31/12/2020</v>
      </c>
      <c r="F4332" t="e">
        <f>VLOOKUP(NoviaFunds[[#This Row],[Sector]],Sectors[],2,FALSE)</f>
        <v>#N/A</v>
      </c>
    </row>
    <row r="4333" spans="1:6" x14ac:dyDescent="0.2">
      <c r="A4333" t="str">
        <f>'Novia Web Query'!A4329</f>
        <v>GB00BKDZ8V85</v>
      </c>
      <c r="B4333" t="str">
        <f>VLOOKUP(NoviaFunds[[#This Row],[ISIN]],'Novia Web Query'!$A:$E,2,FALSE)</f>
        <v>VT Gravis UK Listed Property (Feeder) F Inc GBP TR in GB</v>
      </c>
      <c r="C4333" t="str">
        <f>VLOOKUP(NoviaFunds[[#This Row],[ISIN]],'Novia Web Query'!$A:$E,3,FALSE)</f>
        <v>UT Property Other</v>
      </c>
      <c r="D4333" s="139">
        <f>VLOOKUP(NoviaFunds[[#This Row],[ISIN]],'Novia Web Query'!$A:$E,4,FALSE)/100</f>
        <v>6.9999999999999993E-3</v>
      </c>
      <c r="E4333" s="3" t="str">
        <f>VLOOKUP(NoviaFunds[[#This Row],[ISIN]],'Novia Web Query'!$A:$E,5,FALSE)</f>
        <v>31/12/2020</v>
      </c>
      <c r="F4333" t="e">
        <f>VLOOKUP(NoviaFunds[[#This Row],[Sector]],Sectors[],2,FALSE)</f>
        <v>#N/A</v>
      </c>
    </row>
    <row r="4334" spans="1:6" x14ac:dyDescent="0.2">
      <c r="A4334" t="str">
        <f>'Novia Web Query'!A4330</f>
        <v>GB00B82VQ206</v>
      </c>
      <c r="B4334" t="str">
        <f>VLOOKUP(NoviaFunds[[#This Row],[ISIN]],'Novia Web Query'!$A:$E,2,FALSE)</f>
        <v>VT Greystone Balanced Managed R Acc in GB</v>
      </c>
      <c r="C4334" t="str">
        <f>VLOOKUP(NoviaFunds[[#This Row],[ISIN]],'Novia Web Query'!$A:$E,3,FALSE)</f>
        <v>UT Mixed Investment 40-85% Shares</v>
      </c>
      <c r="D4334" s="139">
        <f>VLOOKUP(NoviaFunds[[#This Row],[ISIN]],'Novia Web Query'!$A:$E,4,FALSE)/100</f>
        <v>1.5600000000000001E-2</v>
      </c>
      <c r="E4334" s="3" t="str">
        <f>VLOOKUP(NoviaFunds[[#This Row],[ISIN]],'Novia Web Query'!$A:$E,5,FALSE)</f>
        <v>31/12/2020</v>
      </c>
      <c r="F4334" t="str">
        <f>VLOOKUP(NoviaFunds[[#This Row],[Sector]],Sectors[],2,FALSE)</f>
        <v>Mixed 40%-85%</v>
      </c>
    </row>
    <row r="4335" spans="1:6" x14ac:dyDescent="0.2">
      <c r="A4335" t="str">
        <f>'Novia Web Query'!A4331</f>
        <v>GB00B8HLJX73</v>
      </c>
      <c r="B4335" t="str">
        <f>VLOOKUP(NoviaFunds[[#This Row],[ISIN]],'Novia Web Query'!$A:$E,2,FALSE)</f>
        <v>VT Greystone Balanced Managed R Inc TR in GB</v>
      </c>
      <c r="C4335" t="str">
        <f>VLOOKUP(NoviaFunds[[#This Row],[ISIN]],'Novia Web Query'!$A:$E,3,FALSE)</f>
        <v>UT Mixed Investment 40-85% Shares</v>
      </c>
      <c r="D4335" s="139">
        <f>VLOOKUP(NoviaFunds[[#This Row],[ISIN]],'Novia Web Query'!$A:$E,4,FALSE)/100</f>
        <v>1.5600000000000001E-2</v>
      </c>
      <c r="E4335" s="3" t="str">
        <f>VLOOKUP(NoviaFunds[[#This Row],[ISIN]],'Novia Web Query'!$A:$E,5,FALSE)</f>
        <v>31/12/2020</v>
      </c>
      <c r="F4335" t="str">
        <f>VLOOKUP(NoviaFunds[[#This Row],[Sector]],Sectors[],2,FALSE)</f>
        <v>Mixed 40%-85%</v>
      </c>
    </row>
    <row r="4336" spans="1:6" x14ac:dyDescent="0.2">
      <c r="A4336" t="str">
        <f>'Novia Web Query'!A4332</f>
        <v>GB00B84ZNJ63</v>
      </c>
      <c r="B4336" t="str">
        <f>VLOOKUP(NoviaFunds[[#This Row],[ISIN]],'Novia Web Query'!$A:$E,2,FALSE)</f>
        <v>VT Greystone Cautious Managed R Acc in GB</v>
      </c>
      <c r="C4336" t="str">
        <f>VLOOKUP(NoviaFunds[[#This Row],[ISIN]],'Novia Web Query'!$A:$E,3,FALSE)</f>
        <v>UT Mixed Investment 20-60% Shares</v>
      </c>
      <c r="D4336" s="139">
        <f>VLOOKUP(NoviaFunds[[#This Row],[ISIN]],'Novia Web Query'!$A:$E,4,FALSE)/100</f>
        <v>1.4999999999999999E-2</v>
      </c>
      <c r="E4336" s="3" t="str">
        <f>VLOOKUP(NoviaFunds[[#This Row],[ISIN]],'Novia Web Query'!$A:$E,5,FALSE)</f>
        <v>31/12/2020</v>
      </c>
      <c r="F4336" t="str">
        <f>VLOOKUP(NoviaFunds[[#This Row],[Sector]],Sectors[],2,FALSE)</f>
        <v>Mixed 20%-60%</v>
      </c>
    </row>
    <row r="4337" spans="1:6" x14ac:dyDescent="0.2">
      <c r="A4337" t="str">
        <f>'Novia Web Query'!A4333</f>
        <v>GB00B8JTXR16</v>
      </c>
      <c r="B4337" t="str">
        <f>VLOOKUP(NoviaFunds[[#This Row],[ISIN]],'Novia Web Query'!$A:$E,2,FALSE)</f>
        <v>VT Greystone Cautious Managed R Inc TR in GB</v>
      </c>
      <c r="C4337" t="str">
        <f>VLOOKUP(NoviaFunds[[#This Row],[ISIN]],'Novia Web Query'!$A:$E,3,FALSE)</f>
        <v>UT Mixed Investment 20-60% Shares</v>
      </c>
      <c r="D4337" s="139">
        <f>VLOOKUP(NoviaFunds[[#This Row],[ISIN]],'Novia Web Query'!$A:$E,4,FALSE)/100</f>
        <v>1.4999999999999999E-2</v>
      </c>
      <c r="E4337" s="3" t="str">
        <f>VLOOKUP(NoviaFunds[[#This Row],[ISIN]],'Novia Web Query'!$A:$E,5,FALSE)</f>
        <v>31/12/2020</v>
      </c>
      <c r="F4337" t="str">
        <f>VLOOKUP(NoviaFunds[[#This Row],[Sector]],Sectors[],2,FALSE)</f>
        <v>Mixed 20%-60%</v>
      </c>
    </row>
    <row r="4338" spans="1:6" x14ac:dyDescent="0.2">
      <c r="A4338" t="str">
        <f>'Novia Web Query'!A4334</f>
        <v>GB00B8FBGX88</v>
      </c>
      <c r="B4338" t="str">
        <f>VLOOKUP(NoviaFunds[[#This Row],[ISIN]],'Novia Web Query'!$A:$E,2,FALSE)</f>
        <v>VT Greystone Conservative Managed R Acc in GB</v>
      </c>
      <c r="C4338" t="str">
        <f>VLOOKUP(NoviaFunds[[#This Row],[ISIN]],'Novia Web Query'!$A:$E,3,FALSE)</f>
        <v>UT Mixed Investment 0-35% Shares</v>
      </c>
      <c r="D4338" s="139">
        <f>VLOOKUP(NoviaFunds[[#This Row],[ISIN]],'Novia Web Query'!$A:$E,4,FALSE)/100</f>
        <v>1.5100000000000001E-2</v>
      </c>
      <c r="E4338" s="3" t="str">
        <f>VLOOKUP(NoviaFunds[[#This Row],[ISIN]],'Novia Web Query'!$A:$E,5,FALSE)</f>
        <v>31/12/2020</v>
      </c>
      <c r="F4338" t="str">
        <f>VLOOKUP(NoviaFunds[[#This Row],[Sector]],Sectors[],2,FALSE)</f>
        <v>Mixed 0%-35%</v>
      </c>
    </row>
    <row r="4339" spans="1:6" x14ac:dyDescent="0.2">
      <c r="A4339" t="str">
        <f>'Novia Web Query'!A4335</f>
        <v>GB00B79FLP68</v>
      </c>
      <c r="B4339" t="str">
        <f>VLOOKUP(NoviaFunds[[#This Row],[ISIN]],'Novia Web Query'!$A:$E,2,FALSE)</f>
        <v>VT Greystone Global Growth R Acc in GB</v>
      </c>
      <c r="C4339" t="str">
        <f>VLOOKUP(NoviaFunds[[#This Row],[ISIN]],'Novia Web Query'!$A:$E,3,FALSE)</f>
        <v>UT Global</v>
      </c>
      <c r="D4339" s="139">
        <f>VLOOKUP(NoviaFunds[[#This Row],[ISIN]],'Novia Web Query'!$A:$E,4,FALSE)/100</f>
        <v>1.6299999999999999E-2</v>
      </c>
      <c r="E4339" s="3" t="str">
        <f>VLOOKUP(NoviaFunds[[#This Row],[ISIN]],'Novia Web Query'!$A:$E,5,FALSE)</f>
        <v>31/12/2020</v>
      </c>
      <c r="F4339" t="str">
        <f>VLOOKUP(NoviaFunds[[#This Row],[Sector]],Sectors[],2,FALSE)</f>
        <v>Other Equities</v>
      </c>
    </row>
    <row r="4340" spans="1:6" x14ac:dyDescent="0.2">
      <c r="A4340" t="str">
        <f>'Novia Web Query'!A4336</f>
        <v>GB0031467631</v>
      </c>
      <c r="B4340" t="str">
        <f>VLOOKUP(NoviaFunds[[#This Row],[ISIN]],'Novia Web Query'!$A:$E,2,FALSE)</f>
        <v>VT Momentum Diversified Growth A Acc in GB</v>
      </c>
      <c r="C4340" t="str">
        <f>VLOOKUP(NoviaFunds[[#This Row],[ISIN]],'Novia Web Query'!$A:$E,3,FALSE)</f>
        <v>UT Mixed Investment 40-85% Shares</v>
      </c>
      <c r="D4340" s="139">
        <f>VLOOKUP(NoviaFunds[[#This Row],[ISIN]],'Novia Web Query'!$A:$E,4,FALSE)/100</f>
        <v>1.9E-2</v>
      </c>
      <c r="E4340" s="3" t="str">
        <f>VLOOKUP(NoviaFunds[[#This Row],[ISIN]],'Novia Web Query'!$A:$E,5,FALSE)</f>
        <v>06/04/2021</v>
      </c>
      <c r="F4340" t="str">
        <f>VLOOKUP(NoviaFunds[[#This Row],[Sector]],Sectors[],2,FALSE)</f>
        <v>Mixed 40%-85%</v>
      </c>
    </row>
    <row r="4341" spans="1:6" x14ac:dyDescent="0.2">
      <c r="A4341" t="str">
        <f>'Novia Web Query'!A4337</f>
        <v>GB00B7FPW579</v>
      </c>
      <c r="B4341" t="str">
        <f>VLOOKUP(NoviaFunds[[#This Row],[ISIN]],'Novia Web Query'!$A:$E,2,FALSE)</f>
        <v>VT Momentum Diversified Growth B Acc in GB</v>
      </c>
      <c r="C4341" t="str">
        <f>VLOOKUP(NoviaFunds[[#This Row],[ISIN]],'Novia Web Query'!$A:$E,3,FALSE)</f>
        <v>UT Mixed Investment 40-85% Shares</v>
      </c>
      <c r="D4341" s="139">
        <f>VLOOKUP(NoviaFunds[[#This Row],[ISIN]],'Novia Web Query'!$A:$E,4,FALSE)/100</f>
        <v>1.2500000000000001E-2</v>
      </c>
      <c r="E4341" s="3" t="str">
        <f>VLOOKUP(NoviaFunds[[#This Row],[ISIN]],'Novia Web Query'!$A:$E,5,FALSE)</f>
        <v>06/04/2021</v>
      </c>
      <c r="F4341" t="str">
        <f>VLOOKUP(NoviaFunds[[#This Row],[Sector]],Sectors[],2,FALSE)</f>
        <v>Mixed 40%-85%</v>
      </c>
    </row>
    <row r="4342" spans="1:6" x14ac:dyDescent="0.2">
      <c r="A4342" t="str">
        <f>'Novia Web Query'!A4338</f>
        <v>GB0031467961</v>
      </c>
      <c r="B4342" t="str">
        <f>VLOOKUP(NoviaFunds[[#This Row],[ISIN]],'Novia Web Query'!$A:$E,2,FALSE)</f>
        <v>VT Momentum Diversified Income A Inc TR in GB</v>
      </c>
      <c r="C4342" t="str">
        <f>VLOOKUP(NoviaFunds[[#This Row],[ISIN]],'Novia Web Query'!$A:$E,3,FALSE)</f>
        <v>UT Mixed Investment 20-60% Shares</v>
      </c>
      <c r="D4342" s="139">
        <f>VLOOKUP(NoviaFunds[[#This Row],[ISIN]],'Novia Web Query'!$A:$E,4,FALSE)/100</f>
        <v>1.8000000000000002E-2</v>
      </c>
      <c r="E4342" s="3" t="str">
        <f>VLOOKUP(NoviaFunds[[#This Row],[ISIN]],'Novia Web Query'!$A:$E,5,FALSE)</f>
        <v>06/04/2021</v>
      </c>
      <c r="F4342" t="str">
        <f>VLOOKUP(NoviaFunds[[#This Row],[Sector]],Sectors[],2,FALSE)</f>
        <v>Mixed 20%-60%</v>
      </c>
    </row>
    <row r="4343" spans="1:6" x14ac:dyDescent="0.2">
      <c r="A4343" t="str">
        <f>'Novia Web Query'!A4339</f>
        <v>GB00B7JTF560</v>
      </c>
      <c r="B4343" t="str">
        <f>VLOOKUP(NoviaFunds[[#This Row],[ISIN]],'Novia Web Query'!$A:$E,2,FALSE)</f>
        <v>VT Momentum Diversified Income B Inc TR in GB</v>
      </c>
      <c r="C4343" t="str">
        <f>VLOOKUP(NoviaFunds[[#This Row],[ISIN]],'Novia Web Query'!$A:$E,3,FALSE)</f>
        <v>UT Mixed Investment 20-60% Shares</v>
      </c>
      <c r="D4343" s="139">
        <f>VLOOKUP(NoviaFunds[[#This Row],[ISIN]],'Novia Web Query'!$A:$E,4,FALSE)/100</f>
        <v>1.15E-2</v>
      </c>
      <c r="E4343" s="3" t="str">
        <f>VLOOKUP(NoviaFunds[[#This Row],[ISIN]],'Novia Web Query'!$A:$E,5,FALSE)</f>
        <v>06/04/2021</v>
      </c>
      <c r="F4343" t="str">
        <f>VLOOKUP(NoviaFunds[[#This Row],[Sector]],Sectors[],2,FALSE)</f>
        <v>Mixed 20%-60%</v>
      </c>
    </row>
    <row r="4344" spans="1:6" x14ac:dyDescent="0.2">
      <c r="A4344" t="str">
        <f>'Novia Web Query'!A4340</f>
        <v>GB00B1Z8LM43</v>
      </c>
      <c r="B4344" t="str">
        <f>VLOOKUP(NoviaFunds[[#This Row],[ISIN]],'Novia Web Query'!$A:$E,2,FALSE)</f>
        <v>VT Munro Smart-Beta UK X Acc in GB</v>
      </c>
      <c r="C4344" t="str">
        <f>VLOOKUP(NoviaFunds[[#This Row],[ISIN]],'Novia Web Query'!$A:$E,3,FALSE)</f>
        <v>UT UK All Companies</v>
      </c>
      <c r="D4344" s="139">
        <f>VLOOKUP(NoviaFunds[[#This Row],[ISIN]],'Novia Web Query'!$A:$E,4,FALSE)/100</f>
        <v>9.5999999999999992E-3</v>
      </c>
      <c r="E4344" s="3" t="str">
        <f>VLOOKUP(NoviaFunds[[#This Row],[ISIN]],'Novia Web Query'!$A:$E,5,FALSE)</f>
        <v>31/12/2020</v>
      </c>
      <c r="F4344" t="str">
        <f>VLOOKUP(NoviaFunds[[#This Row],[Sector]],Sectors[],2,FALSE)</f>
        <v>UK Equities</v>
      </c>
    </row>
    <row r="4345" spans="1:6" x14ac:dyDescent="0.2">
      <c r="A4345" t="str">
        <f>'Novia Web Query'!A4341</f>
        <v>GB00B1Z8L916</v>
      </c>
      <c r="B4345" t="str">
        <f>VLOOKUP(NoviaFunds[[#This Row],[ISIN]],'Novia Web Query'!$A:$E,2,FALSE)</f>
        <v>VT Munro Smart-Beta UK X Inc TR in GB</v>
      </c>
      <c r="C4345" t="str">
        <f>VLOOKUP(NoviaFunds[[#This Row],[ISIN]],'Novia Web Query'!$A:$E,3,FALSE)</f>
        <v>UT UK All Companies</v>
      </c>
      <c r="D4345" s="139">
        <f>VLOOKUP(NoviaFunds[[#This Row],[ISIN]],'Novia Web Query'!$A:$E,4,FALSE)/100</f>
        <v>9.5999999999999992E-3</v>
      </c>
      <c r="E4345" s="3" t="str">
        <f>VLOOKUP(NoviaFunds[[#This Row],[ISIN]],'Novia Web Query'!$A:$E,5,FALSE)</f>
        <v>31/12/2020</v>
      </c>
      <c r="F4345" t="str">
        <f>VLOOKUP(NoviaFunds[[#This Row],[Sector]],Sectors[],2,FALSE)</f>
        <v>UK Equities</v>
      </c>
    </row>
    <row r="4346" spans="1:6" x14ac:dyDescent="0.2">
      <c r="A4346" t="str">
        <f>'Novia Web Query'!A4342</f>
        <v>GB00BDZZSM84</v>
      </c>
      <c r="B4346" t="str">
        <f>VLOOKUP(NoviaFunds[[#This Row],[ISIN]],'Novia Web Query'!$A:$E,2,FALSE)</f>
        <v>VT PEF Global Multi-Asset A Acc in GB</v>
      </c>
      <c r="C4346" t="str">
        <f>VLOOKUP(NoviaFunds[[#This Row],[ISIN]],'Novia Web Query'!$A:$E,3,FALSE)</f>
        <v>UT Flexible Investment</v>
      </c>
      <c r="D4346" s="139">
        <f>VLOOKUP(NoviaFunds[[#This Row],[ISIN]],'Novia Web Query'!$A:$E,4,FALSE)/100</f>
        <v>1.4800000000000001E-2</v>
      </c>
      <c r="E4346" s="3" t="str">
        <f>VLOOKUP(NoviaFunds[[#This Row],[ISIN]],'Novia Web Query'!$A:$E,5,FALSE)</f>
        <v>30/06/2021</v>
      </c>
      <c r="F4346" t="str">
        <f>VLOOKUP(NoviaFunds[[#This Row],[Sector]],Sectors[],2,FALSE)</f>
        <v>Flexible</v>
      </c>
    </row>
    <row r="4347" spans="1:6" x14ac:dyDescent="0.2">
      <c r="A4347" t="str">
        <f>'Novia Web Query'!A4343</f>
        <v>GB00BM9GNG93</v>
      </c>
      <c r="B4347" t="str">
        <f>VLOOKUP(NoviaFunds[[#This Row],[ISIN]],'Novia Web Query'!$A:$E,2,FALSE)</f>
        <v>VT PortfolioMetrix GBP Core Assertive in GB</v>
      </c>
      <c r="C4347" t="str">
        <f>VLOOKUP(NoviaFunds[[#This Row],[ISIN]],'Novia Web Query'!$A:$E,3,FALSE)</f>
        <v>UT Mixed Investment 40-85% Shares</v>
      </c>
      <c r="D4347" s="139">
        <f>VLOOKUP(NoviaFunds[[#This Row],[ISIN]],'Novia Web Query'!$A:$E,4,FALSE)/100</f>
        <v>1.03E-2</v>
      </c>
      <c r="E4347" s="3" t="str">
        <f>VLOOKUP(NoviaFunds[[#This Row],[ISIN]],'Novia Web Query'!$A:$E,5,FALSE)</f>
        <v>31/08/2021</v>
      </c>
      <c r="F4347" t="str">
        <f>VLOOKUP(NoviaFunds[[#This Row],[Sector]],Sectors[],2,FALSE)</f>
        <v>Mixed 40%-85%</v>
      </c>
    </row>
    <row r="4348" spans="1:6" x14ac:dyDescent="0.2">
      <c r="A4348" t="str">
        <f>'Novia Web Query'!A4344</f>
        <v>GB00BM9GNH01</v>
      </c>
      <c r="B4348" t="str">
        <f>VLOOKUP(NoviaFunds[[#This Row],[ISIN]],'Novia Web Query'!$A:$E,2,FALSE)</f>
        <v>VT PortfolioMetrix GBP Core Balanced in GB</v>
      </c>
      <c r="C4348" t="str">
        <f>VLOOKUP(NoviaFunds[[#This Row],[ISIN]],'Novia Web Query'!$A:$E,3,FALSE)</f>
        <v>UT Mixed Investment 20-60% Shares</v>
      </c>
      <c r="D4348" s="139">
        <f>VLOOKUP(NoviaFunds[[#This Row],[ISIN]],'Novia Web Query'!$A:$E,4,FALSE)/100</f>
        <v>9.7999999999999997E-3</v>
      </c>
      <c r="E4348" s="3" t="str">
        <f>VLOOKUP(NoviaFunds[[#This Row],[ISIN]],'Novia Web Query'!$A:$E,5,FALSE)</f>
        <v>31/08/2021</v>
      </c>
      <c r="F4348" t="str">
        <f>VLOOKUP(NoviaFunds[[#This Row],[Sector]],Sectors[],2,FALSE)</f>
        <v>Mixed 20%-60%</v>
      </c>
    </row>
    <row r="4349" spans="1:6" x14ac:dyDescent="0.2">
      <c r="A4349" t="str">
        <f>'Novia Web Query'!A4345</f>
        <v>GB00BM9GNJ25</v>
      </c>
      <c r="B4349" t="str">
        <f>VLOOKUP(NoviaFunds[[#This Row],[ISIN]],'Novia Web Query'!$A:$E,2,FALSE)</f>
        <v>VT PortfolioMetrix GBP Core Cautious in GB</v>
      </c>
      <c r="C4349" t="str">
        <f>VLOOKUP(NoviaFunds[[#This Row],[ISIN]],'Novia Web Query'!$A:$E,3,FALSE)</f>
        <v>UT Mixed Investment 0-35% Shares</v>
      </c>
      <c r="D4349" s="139">
        <f>VLOOKUP(NoviaFunds[[#This Row],[ISIN]],'Novia Web Query'!$A:$E,4,FALSE)/100</f>
        <v>7.4999999999999997E-3</v>
      </c>
      <c r="E4349" s="3" t="str">
        <f>VLOOKUP(NoviaFunds[[#This Row],[ISIN]],'Novia Web Query'!$A:$E,5,FALSE)</f>
        <v>31/08/2021</v>
      </c>
      <c r="F4349" t="str">
        <f>VLOOKUP(NoviaFunds[[#This Row],[Sector]],Sectors[],2,FALSE)</f>
        <v>Mixed 0%-35%</v>
      </c>
    </row>
    <row r="4350" spans="1:6" x14ac:dyDescent="0.2">
      <c r="A4350" t="str">
        <f>'Novia Web Query'!A4346</f>
        <v>GB00BWZMTX09</v>
      </c>
      <c r="B4350" t="str">
        <f>VLOOKUP(NoviaFunds[[#This Row],[ISIN]],'Novia Web Query'!$A:$E,2,FALSE)</f>
        <v>VT Price Value Portfolio A GBP in GB</v>
      </c>
      <c r="C4350" t="str">
        <f>VLOOKUP(NoviaFunds[[#This Row],[ISIN]],'Novia Web Query'!$A:$E,3,FALSE)</f>
        <v>UT Global</v>
      </c>
      <c r="D4350" s="139">
        <f>VLOOKUP(NoviaFunds[[#This Row],[ISIN]],'Novia Web Query'!$A:$E,4,FALSE)/100</f>
        <v>1.3600000000000001E-2</v>
      </c>
      <c r="E4350" s="3" t="str">
        <f>VLOOKUP(NoviaFunds[[#This Row],[ISIN]],'Novia Web Query'!$A:$E,5,FALSE)</f>
        <v>31/12/2020</v>
      </c>
      <c r="F4350" t="str">
        <f>VLOOKUP(NoviaFunds[[#This Row],[Sector]],Sectors[],2,FALSE)</f>
        <v>Other Equities</v>
      </c>
    </row>
    <row r="4351" spans="1:6" x14ac:dyDescent="0.2">
      <c r="A4351" t="str">
        <f>'Novia Web Query'!A4347</f>
        <v>GB00BD8PLW60</v>
      </c>
      <c r="B4351" t="str">
        <f>VLOOKUP(NoviaFunds[[#This Row],[ISIN]],'Novia Web Query'!$A:$E,2,FALSE)</f>
        <v>VT Price Value Portfolio A Inc GBP TR in GB**</v>
      </c>
      <c r="C4351" t="str">
        <f>VLOOKUP(NoviaFunds[[#This Row],[ISIN]],'Novia Web Query'!$A:$E,3,FALSE)</f>
        <v>UT Global</v>
      </c>
      <c r="D4351" s="139">
        <f>VLOOKUP(NoviaFunds[[#This Row],[ISIN]],'Novia Web Query'!$A:$E,4,FALSE)/100</f>
        <v>1.3600000000000001E-2</v>
      </c>
      <c r="E4351" s="3" t="str">
        <f>VLOOKUP(NoviaFunds[[#This Row],[ISIN]],'Novia Web Query'!$A:$E,5,FALSE)</f>
        <v>31/12/2020</v>
      </c>
      <c r="F4351" t="str">
        <f>VLOOKUP(NoviaFunds[[#This Row],[Sector]],Sectors[],2,FALSE)</f>
        <v>Other Equities</v>
      </c>
    </row>
    <row r="4352" spans="1:6" x14ac:dyDescent="0.2">
      <c r="A4352" t="str">
        <f>'Novia Web Query'!A4348</f>
        <v>GB00BWZMV016</v>
      </c>
      <c r="B4352" t="str">
        <f>VLOOKUP(NoviaFunds[[#This Row],[ISIN]],'Novia Web Query'!$A:$E,2,FALSE)</f>
        <v>VT Price Value Portfolio B GBP in GB</v>
      </c>
      <c r="C4352" t="str">
        <f>VLOOKUP(NoviaFunds[[#This Row],[ISIN]],'Novia Web Query'!$A:$E,3,FALSE)</f>
        <v>UT Global</v>
      </c>
      <c r="D4352" s="139">
        <f>VLOOKUP(NoviaFunds[[#This Row],[ISIN]],'Novia Web Query'!$A:$E,4,FALSE)/100</f>
        <v>1.11E-2</v>
      </c>
      <c r="E4352" s="3" t="str">
        <f>VLOOKUP(NoviaFunds[[#This Row],[ISIN]],'Novia Web Query'!$A:$E,5,FALSE)</f>
        <v>31/12/2020</v>
      </c>
      <c r="F4352" t="str">
        <f>VLOOKUP(NoviaFunds[[#This Row],[Sector]],Sectors[],2,FALSE)</f>
        <v>Other Equities</v>
      </c>
    </row>
    <row r="4353" spans="1:6" x14ac:dyDescent="0.2">
      <c r="A4353" t="str">
        <f>'Novia Web Query'!A4349</f>
        <v>GB00BD8PLY84</v>
      </c>
      <c r="B4353" t="str">
        <f>VLOOKUP(NoviaFunds[[#This Row],[ISIN]],'Novia Web Query'!$A:$E,2,FALSE)</f>
        <v>VT Price Value Portfolio B Inc GBP TR in GB**</v>
      </c>
      <c r="C4353" t="str">
        <f>VLOOKUP(NoviaFunds[[#This Row],[ISIN]],'Novia Web Query'!$A:$E,3,FALSE)</f>
        <v>UT Global</v>
      </c>
      <c r="D4353" s="139">
        <f>VLOOKUP(NoviaFunds[[#This Row],[ISIN]],'Novia Web Query'!$A:$E,4,FALSE)/100</f>
        <v>1.11E-2</v>
      </c>
      <c r="E4353" s="3" t="str">
        <f>VLOOKUP(NoviaFunds[[#This Row],[ISIN]],'Novia Web Query'!$A:$E,5,FALSE)</f>
        <v>31/12/2020</v>
      </c>
      <c r="F4353" t="str">
        <f>VLOOKUP(NoviaFunds[[#This Row],[Sector]],Sectors[],2,FALSE)</f>
        <v>Other Equities</v>
      </c>
    </row>
    <row r="4354" spans="1:6" x14ac:dyDescent="0.2">
      <c r="A4354" t="str">
        <f>'Novia Web Query'!A4350</f>
        <v>GB00BF4J8R02</v>
      </c>
      <c r="B4354" t="str">
        <f>VLOOKUP(NoviaFunds[[#This Row],[ISIN]],'Novia Web Query'!$A:$E,2,FALSE)</f>
        <v>VT Protean Capital PROCSI CoRE A Acc in GB</v>
      </c>
      <c r="C4354" t="str">
        <f>VLOOKUP(NoviaFunds[[#This Row],[ISIN]],'Novia Web Query'!$A:$E,3,FALSE)</f>
        <v>UT Specialist</v>
      </c>
      <c r="D4354" s="139">
        <f>VLOOKUP(NoviaFunds[[#This Row],[ISIN]],'Novia Web Query'!$A:$E,4,FALSE)/100</f>
        <v>6.1999999999999998E-3</v>
      </c>
      <c r="E4354" s="3" t="str">
        <f>VLOOKUP(NoviaFunds[[#This Row],[ISIN]],'Novia Web Query'!$A:$E,5,FALSE)</f>
        <v>31/12/2020</v>
      </c>
      <c r="F4354" t="str">
        <f>VLOOKUP(NoviaFunds[[#This Row],[Sector]],Sectors[],2,FALSE)</f>
        <v>Specialist</v>
      </c>
    </row>
    <row r="4355" spans="1:6" x14ac:dyDescent="0.2">
      <c r="A4355" t="str">
        <f>'Novia Web Query'!A4351</f>
        <v>GB00BDVK8722</v>
      </c>
      <c r="B4355" t="str">
        <f>VLOOKUP(NoviaFunds[[#This Row],[ISIN]],'Novia Web Query'!$A:$E,2,FALSE)</f>
        <v>VT Redlands Equity Portfolio A GBP in GB</v>
      </c>
      <c r="C4355" t="str">
        <f>VLOOKUP(NoviaFunds[[#This Row],[ISIN]],'Novia Web Query'!$A:$E,3,FALSE)</f>
        <v>UT Global</v>
      </c>
      <c r="D4355" s="139">
        <f>VLOOKUP(NoviaFunds[[#This Row],[ISIN]],'Novia Web Query'!$A:$E,4,FALSE)/100</f>
        <v>6.0000000000000001E-3</v>
      </c>
      <c r="E4355" s="3" t="str">
        <f>VLOOKUP(NoviaFunds[[#This Row],[ISIN]],'Novia Web Query'!$A:$E,5,FALSE)</f>
        <v>31/12/2020</v>
      </c>
      <c r="F4355" t="str">
        <f>VLOOKUP(NoviaFunds[[#This Row],[Sector]],Sectors[],2,FALSE)</f>
        <v>Other Equities</v>
      </c>
    </row>
    <row r="4356" spans="1:6" x14ac:dyDescent="0.2">
      <c r="A4356" t="str">
        <f>'Novia Web Query'!A4352</f>
        <v>GB00BDVK8615</v>
      </c>
      <c r="B4356" t="str">
        <f>VLOOKUP(NoviaFunds[[#This Row],[ISIN]],'Novia Web Query'!$A:$E,2,FALSE)</f>
        <v>VT Redlands Fixed Income Portfolio A GBP in GB</v>
      </c>
      <c r="C4356" t="str">
        <f>VLOOKUP(NoviaFunds[[#This Row],[ISIN]],'Novia Web Query'!$A:$E,3,FALSE)</f>
        <v>UT Global Bonds</v>
      </c>
      <c r="D4356" s="139">
        <f>VLOOKUP(NoviaFunds[[#This Row],[ISIN]],'Novia Web Query'!$A:$E,4,FALSE)/100</f>
        <v>6.0999999999999995E-3</v>
      </c>
      <c r="E4356" s="3" t="str">
        <f>VLOOKUP(NoviaFunds[[#This Row],[ISIN]],'Novia Web Query'!$A:$E,5,FALSE)</f>
        <v>31/12/2020</v>
      </c>
      <c r="F4356" t="str">
        <f>VLOOKUP(NoviaFunds[[#This Row],[Sector]],Sectors[],2,FALSE)</f>
        <v>Global Investment Grade</v>
      </c>
    </row>
    <row r="4357" spans="1:6" x14ac:dyDescent="0.2">
      <c r="A4357" t="str">
        <f>'Novia Web Query'!A4353</f>
        <v>GB00BDVK8839</v>
      </c>
      <c r="B4357" t="str">
        <f>VLOOKUP(NoviaFunds[[#This Row],[ISIN]],'Novia Web Query'!$A:$E,2,FALSE)</f>
        <v>VT Redlands Multi-Asset Portfolio A GBP in GB</v>
      </c>
      <c r="C4357" t="str">
        <f>VLOOKUP(NoviaFunds[[#This Row],[ISIN]],'Novia Web Query'!$A:$E,3,FALSE)</f>
        <v>UT Flexible Investment</v>
      </c>
      <c r="D4357" s="139">
        <f>VLOOKUP(NoviaFunds[[#This Row],[ISIN]],'Novia Web Query'!$A:$E,4,FALSE)/100</f>
        <v>8.1000000000000013E-3</v>
      </c>
      <c r="E4357" s="3" t="str">
        <f>VLOOKUP(NoviaFunds[[#This Row],[ISIN]],'Novia Web Query'!$A:$E,5,FALSE)</f>
        <v>31/12/2020</v>
      </c>
      <c r="F4357" t="str">
        <f>VLOOKUP(NoviaFunds[[#This Row],[Sector]],Sectors[],2,FALSE)</f>
        <v>Flexible</v>
      </c>
    </row>
    <row r="4358" spans="1:6" x14ac:dyDescent="0.2">
      <c r="A4358" t="str">
        <f>'Novia Web Query'!A4354</f>
        <v>GB00BZ3T9R81</v>
      </c>
      <c r="B4358" t="str">
        <f>VLOOKUP(NoviaFunds[[#This Row],[ISIN]],'Novia Web Query'!$A:$E,2,FALSE)</f>
        <v>VT Redlands Property Portfolio A GBP in GB</v>
      </c>
      <c r="C4358" t="str">
        <f>VLOOKUP(NoviaFunds[[#This Row],[ISIN]],'Novia Web Query'!$A:$E,3,FALSE)</f>
        <v>UT UK Direct Property</v>
      </c>
      <c r="D4358" s="139">
        <f>VLOOKUP(NoviaFunds[[#This Row],[ISIN]],'Novia Web Query'!$A:$E,4,FALSE)/100</f>
        <v>9.300000000000001E-3</v>
      </c>
      <c r="E4358" s="3" t="str">
        <f>VLOOKUP(NoviaFunds[[#This Row],[ISIN]],'Novia Web Query'!$A:$E,5,FALSE)</f>
        <v>31/12/2020</v>
      </c>
      <c r="F4358" t="e">
        <f>VLOOKUP(NoviaFunds[[#This Row],[Sector]],Sectors[],2,FALSE)</f>
        <v>#N/A</v>
      </c>
    </row>
    <row r="4359" spans="1:6" x14ac:dyDescent="0.2">
      <c r="A4359" t="str">
        <f>'Novia Web Query'!A4355</f>
        <v>GB00BGV7K905</v>
      </c>
      <c r="B4359" t="str">
        <f>VLOOKUP(NoviaFunds[[#This Row],[ISIN]],'Novia Web Query'!$A:$E,2,FALSE)</f>
        <v>VT RM Alternative Income F Acc GBP in GB**</v>
      </c>
      <c r="C4359" t="str">
        <f>VLOOKUP(NoviaFunds[[#This Row],[ISIN]],'Novia Web Query'!$A:$E,3,FALSE)</f>
        <v>UT Infrastructure</v>
      </c>
      <c r="D4359" s="139">
        <f>VLOOKUP(NoviaFunds[[#This Row],[ISIN]],'Novia Web Query'!$A:$E,4,FALSE)/100</f>
        <v>4.5000000000000005E-3</v>
      </c>
      <c r="E4359" s="3" t="str">
        <f>VLOOKUP(NoviaFunds[[#This Row],[ISIN]],'Novia Web Query'!$A:$E,5,FALSE)</f>
        <v>31/12/2020</v>
      </c>
      <c r="F4359" t="e">
        <f>VLOOKUP(NoviaFunds[[#This Row],[Sector]],Sectors[],2,FALSE)</f>
        <v>#N/A</v>
      </c>
    </row>
    <row r="4360" spans="1:6" x14ac:dyDescent="0.2">
      <c r="A4360" t="str">
        <f>'Novia Web Query'!A4356</f>
        <v>GB00BGV7KB23</v>
      </c>
      <c r="B4360" t="str">
        <f>VLOOKUP(NoviaFunds[[#This Row],[ISIN]],'Novia Web Query'!$A:$E,2,FALSE)</f>
        <v>VT RM Alternative Income F Inc GBP TR in GB**</v>
      </c>
      <c r="C4360" t="str">
        <f>VLOOKUP(NoviaFunds[[#This Row],[ISIN]],'Novia Web Query'!$A:$E,3,FALSE)</f>
        <v>UT Infrastructure</v>
      </c>
      <c r="D4360" s="139">
        <f>VLOOKUP(NoviaFunds[[#This Row],[ISIN]],'Novia Web Query'!$A:$E,4,FALSE)/100</f>
        <v>4.5000000000000005E-3</v>
      </c>
      <c r="E4360" s="3" t="str">
        <f>VLOOKUP(NoviaFunds[[#This Row],[ISIN]],'Novia Web Query'!$A:$E,5,FALSE)</f>
        <v>31/12/2020</v>
      </c>
      <c r="F4360" t="e">
        <f>VLOOKUP(NoviaFunds[[#This Row],[Sector]],Sectors[],2,FALSE)</f>
        <v>#N/A</v>
      </c>
    </row>
    <row r="4361" spans="1:6" x14ac:dyDescent="0.2">
      <c r="A4361" t="str">
        <f>'Novia Web Query'!A4357</f>
        <v>GB00BDZRYK47</v>
      </c>
      <c r="B4361" t="str">
        <f>VLOOKUP(NoviaFunds[[#This Row],[ISIN]],'Novia Web Query'!$A:$E,2,FALSE)</f>
        <v>VT SG UK Defined Return Assets A in GB</v>
      </c>
      <c r="C4361" t="str">
        <f>VLOOKUP(NoviaFunds[[#This Row],[ISIN]],'Novia Web Query'!$A:$E,3,FALSE)</f>
        <v>UT Specialist</v>
      </c>
      <c r="D4361" s="139">
        <f>VLOOKUP(NoviaFunds[[#This Row],[ISIN]],'Novia Web Query'!$A:$E,4,FALSE)/100</f>
        <v>5.4000000000000003E-3</v>
      </c>
      <c r="E4361" s="3" t="str">
        <f>VLOOKUP(NoviaFunds[[#This Row],[ISIN]],'Novia Web Query'!$A:$E,5,FALSE)</f>
        <v>31/12/2020</v>
      </c>
      <c r="F4361" t="str">
        <f>VLOOKUP(NoviaFunds[[#This Row],[Sector]],Sectors[],2,FALSE)</f>
        <v>Specialist</v>
      </c>
    </row>
    <row r="4362" spans="1:6" x14ac:dyDescent="0.2">
      <c r="A4362" t="str">
        <f>'Novia Web Query'!A4358</f>
        <v>GB00B2R2YS84</v>
      </c>
      <c r="B4362" t="str">
        <f>VLOOKUP(NoviaFunds[[#This Row],[ISIN]],'Novia Web Query'!$A:$E,2,FALSE)</f>
        <v>VT Sinfonia Adventurous Growth Portfolio A Acc in GB</v>
      </c>
      <c r="C4362" t="str">
        <f>VLOOKUP(NoviaFunds[[#This Row],[ISIN]],'Novia Web Query'!$A:$E,3,FALSE)</f>
        <v>UT Mixed Investment 40-85% Shares</v>
      </c>
      <c r="D4362" s="139">
        <f>VLOOKUP(NoviaFunds[[#This Row],[ISIN]],'Novia Web Query'!$A:$E,4,FALSE)/100</f>
        <v>1.0200000000000001E-2</v>
      </c>
      <c r="E4362" s="3" t="str">
        <f>VLOOKUP(NoviaFunds[[#This Row],[ISIN]],'Novia Web Query'!$A:$E,5,FALSE)</f>
        <v>20/05/2021</v>
      </c>
      <c r="F4362" t="str">
        <f>VLOOKUP(NoviaFunds[[#This Row],[Sector]],Sectors[],2,FALSE)</f>
        <v>Mixed 40%-85%</v>
      </c>
    </row>
    <row r="4363" spans="1:6" x14ac:dyDescent="0.2">
      <c r="A4363" t="str">
        <f>'Novia Web Query'!A4359</f>
        <v>GB00B2R2YJ93</v>
      </c>
      <c r="B4363" t="str">
        <f>VLOOKUP(NoviaFunds[[#This Row],[ISIN]],'Novia Web Query'!$A:$E,2,FALSE)</f>
        <v>VT Sinfonia Balanced Managed Portfolio A Acc in GB</v>
      </c>
      <c r="C4363" t="str">
        <f>VLOOKUP(NoviaFunds[[#This Row],[ISIN]],'Novia Web Query'!$A:$E,3,FALSE)</f>
        <v>UT Mixed Investment 40-85% Shares</v>
      </c>
      <c r="D4363" s="139">
        <f>VLOOKUP(NoviaFunds[[#This Row],[ISIN]],'Novia Web Query'!$A:$E,4,FALSE)/100</f>
        <v>9.8999999999999991E-3</v>
      </c>
      <c r="E4363" s="3" t="str">
        <f>VLOOKUP(NoviaFunds[[#This Row],[ISIN]],'Novia Web Query'!$A:$E,5,FALSE)</f>
        <v>20/05/2021</v>
      </c>
      <c r="F4363" t="str">
        <f>VLOOKUP(NoviaFunds[[#This Row],[Sector]],Sectors[],2,FALSE)</f>
        <v>Mixed 40%-85%</v>
      </c>
    </row>
    <row r="4364" spans="1:6" x14ac:dyDescent="0.2">
      <c r="A4364" t="str">
        <f>'Novia Web Query'!A4360</f>
        <v>GB00B2R2YL16</v>
      </c>
      <c r="B4364" t="str">
        <f>VLOOKUP(NoviaFunds[[#This Row],[ISIN]],'Novia Web Query'!$A:$E,2,FALSE)</f>
        <v>VT Sinfonia Balanced Managed Portfolio B Acc in GB</v>
      </c>
      <c r="C4364" t="str">
        <f>VLOOKUP(NoviaFunds[[#This Row],[ISIN]],'Novia Web Query'!$A:$E,3,FALSE)</f>
        <v>UT Mixed Investment 40-85% Shares</v>
      </c>
      <c r="D4364" s="139">
        <f>VLOOKUP(NoviaFunds[[#This Row],[ISIN]],'Novia Web Query'!$A:$E,4,FALSE)/100</f>
        <v>1.84E-2</v>
      </c>
      <c r="E4364" s="3" t="str">
        <f>VLOOKUP(NoviaFunds[[#This Row],[ISIN]],'Novia Web Query'!$A:$E,5,FALSE)</f>
        <v>20/05/2021</v>
      </c>
      <c r="F4364" t="str">
        <f>VLOOKUP(NoviaFunds[[#This Row],[Sector]],Sectors[],2,FALSE)</f>
        <v>Mixed 40%-85%</v>
      </c>
    </row>
    <row r="4365" spans="1:6" x14ac:dyDescent="0.2">
      <c r="A4365" t="str">
        <f>'Novia Web Query'!A4361</f>
        <v>GB00B2R2Y002</v>
      </c>
      <c r="B4365" t="str">
        <f>VLOOKUP(NoviaFunds[[#This Row],[ISIN]],'Novia Web Query'!$A:$E,2,FALSE)</f>
        <v>VT Sinfonia Cautious Managed Portfolio A Acc in GB</v>
      </c>
      <c r="C4365" t="str">
        <f>VLOOKUP(NoviaFunds[[#This Row],[ISIN]],'Novia Web Query'!$A:$E,3,FALSE)</f>
        <v>UT Mixed Investment 20-60% Shares</v>
      </c>
      <c r="D4365" s="139">
        <f>VLOOKUP(NoviaFunds[[#This Row],[ISIN]],'Novia Web Query'!$A:$E,4,FALSE)/100</f>
        <v>9.0000000000000011E-3</v>
      </c>
      <c r="E4365" s="3" t="str">
        <f>VLOOKUP(NoviaFunds[[#This Row],[ISIN]],'Novia Web Query'!$A:$E,5,FALSE)</f>
        <v>20/05/2021</v>
      </c>
      <c r="F4365" t="str">
        <f>VLOOKUP(NoviaFunds[[#This Row],[Sector]],Sectors[],2,FALSE)</f>
        <v>Mixed 20%-60%</v>
      </c>
    </row>
    <row r="4366" spans="1:6" x14ac:dyDescent="0.2">
      <c r="A4366" t="str">
        <f>'Novia Web Query'!A4362</f>
        <v>GB00B2R2Y226</v>
      </c>
      <c r="B4366" t="str">
        <f>VLOOKUP(NoviaFunds[[#This Row],[ISIN]],'Novia Web Query'!$A:$E,2,FALSE)</f>
        <v>VT Sinfonia Cautious Managed Portfolio B Acc in GB</v>
      </c>
      <c r="C4366" t="str">
        <f>VLOOKUP(NoviaFunds[[#This Row],[ISIN]],'Novia Web Query'!$A:$E,3,FALSE)</f>
        <v>UT Mixed Investment 20-60% Shares</v>
      </c>
      <c r="D4366" s="139">
        <f>VLOOKUP(NoviaFunds[[#This Row],[ISIN]],'Novia Web Query'!$A:$E,4,FALSE)/100</f>
        <v>1.7500000000000002E-2</v>
      </c>
      <c r="E4366" s="3" t="str">
        <f>VLOOKUP(NoviaFunds[[#This Row],[ISIN]],'Novia Web Query'!$A:$E,5,FALSE)</f>
        <v>20/05/2021</v>
      </c>
      <c r="F4366" t="str">
        <f>VLOOKUP(NoviaFunds[[#This Row],[Sector]],Sectors[],2,FALSE)</f>
        <v>Mixed 20%-60%</v>
      </c>
    </row>
    <row r="4367" spans="1:6" x14ac:dyDescent="0.2">
      <c r="A4367" t="str">
        <f>'Novia Web Query'!A4363</f>
        <v>GB00B2R2XR03</v>
      </c>
      <c r="B4367" t="str">
        <f>VLOOKUP(NoviaFunds[[#This Row],[ISIN]],'Novia Web Query'!$A:$E,2,FALSE)</f>
        <v>VT Sinfonia Income &amp; Growth Portfolio A Acc in GB</v>
      </c>
      <c r="C4367" t="str">
        <f>VLOOKUP(NoviaFunds[[#This Row],[ISIN]],'Novia Web Query'!$A:$E,3,FALSE)</f>
        <v>UT Mixed Investment 20-60% Shares</v>
      </c>
      <c r="D4367" s="139">
        <f>VLOOKUP(NoviaFunds[[#This Row],[ISIN]],'Novia Web Query'!$A:$E,4,FALSE)/100</f>
        <v>9.300000000000001E-3</v>
      </c>
      <c r="E4367" s="3" t="str">
        <f>VLOOKUP(NoviaFunds[[#This Row],[ISIN]],'Novia Web Query'!$A:$E,5,FALSE)</f>
        <v>31/08/2021</v>
      </c>
      <c r="F4367" t="str">
        <f>VLOOKUP(NoviaFunds[[#This Row],[Sector]],Sectors[],2,FALSE)</f>
        <v>Mixed 20%-60%</v>
      </c>
    </row>
    <row r="4368" spans="1:6" x14ac:dyDescent="0.2">
      <c r="A4368" t="str">
        <f>'Novia Web Query'!A4364</f>
        <v>GB00B2R2XS10</v>
      </c>
      <c r="B4368" t="str">
        <f>VLOOKUP(NoviaFunds[[#This Row],[ISIN]],'Novia Web Query'!$A:$E,2,FALSE)</f>
        <v>VT Sinfonia Income &amp; Growth Portfolio A Inc TR in GB</v>
      </c>
      <c r="C4368" t="str">
        <f>VLOOKUP(NoviaFunds[[#This Row],[ISIN]],'Novia Web Query'!$A:$E,3,FALSE)</f>
        <v>UT Mixed Investment 20-60% Shares</v>
      </c>
      <c r="D4368" s="139">
        <f>VLOOKUP(NoviaFunds[[#This Row],[ISIN]],'Novia Web Query'!$A:$E,4,FALSE)/100</f>
        <v>9.300000000000001E-3</v>
      </c>
      <c r="E4368" s="3" t="str">
        <f>VLOOKUP(NoviaFunds[[#This Row],[ISIN]],'Novia Web Query'!$A:$E,5,FALSE)</f>
        <v>31/08/2021</v>
      </c>
      <c r="F4368" t="str">
        <f>VLOOKUP(NoviaFunds[[#This Row],[Sector]],Sectors[],2,FALSE)</f>
        <v>Mixed 20%-60%</v>
      </c>
    </row>
    <row r="4369" spans="1:6" x14ac:dyDescent="0.2">
      <c r="A4369" t="str">
        <f>'Novia Web Query'!A4365</f>
        <v>GB00B2R2XV49</v>
      </c>
      <c r="B4369" t="str">
        <f>VLOOKUP(NoviaFunds[[#This Row],[ISIN]],'Novia Web Query'!$A:$E,2,FALSE)</f>
        <v>VT Sinfonia Income &amp; Growth Portfolio B Inc TR in GB</v>
      </c>
      <c r="C4369" t="str">
        <f>VLOOKUP(NoviaFunds[[#This Row],[ISIN]],'Novia Web Query'!$A:$E,3,FALSE)</f>
        <v>UT Mixed Investment 20-60% Shares</v>
      </c>
      <c r="D4369" s="139">
        <f>VLOOKUP(NoviaFunds[[#This Row],[ISIN]],'Novia Web Query'!$A:$E,4,FALSE)/100</f>
        <v>1.78E-2</v>
      </c>
      <c r="E4369" s="3" t="str">
        <f>VLOOKUP(NoviaFunds[[#This Row],[ISIN]],'Novia Web Query'!$A:$E,5,FALSE)</f>
        <v>31/08/2021</v>
      </c>
      <c r="F4369" t="str">
        <f>VLOOKUP(NoviaFunds[[#This Row],[Sector]],Sectors[],2,FALSE)</f>
        <v>Mixed 20%-60%</v>
      </c>
    </row>
    <row r="4370" spans="1:6" x14ac:dyDescent="0.2">
      <c r="A4370" t="str">
        <f>'Novia Web Query'!A4366</f>
        <v>GB00B2R2XH05</v>
      </c>
      <c r="B4370" t="str">
        <f>VLOOKUP(NoviaFunds[[#This Row],[ISIN]],'Novia Web Query'!$A:$E,2,FALSE)</f>
        <v>VT Sinfonia Income Portfolio A Acc in GB</v>
      </c>
      <c r="C4370" t="str">
        <f>VLOOKUP(NoviaFunds[[#This Row],[ISIN]],'Novia Web Query'!$A:$E,3,FALSE)</f>
        <v>UT Mixed Investment 0-35% Shares</v>
      </c>
      <c r="D4370" s="139">
        <f>VLOOKUP(NoviaFunds[[#This Row],[ISIN]],'Novia Web Query'!$A:$E,4,FALSE)/100</f>
        <v>9.1999999999999998E-3</v>
      </c>
      <c r="E4370" s="3" t="str">
        <f>VLOOKUP(NoviaFunds[[#This Row],[ISIN]],'Novia Web Query'!$A:$E,5,FALSE)</f>
        <v>20/05/2021</v>
      </c>
      <c r="F4370" t="str">
        <f>VLOOKUP(NoviaFunds[[#This Row],[Sector]],Sectors[],2,FALSE)</f>
        <v>Mixed 0%-35%</v>
      </c>
    </row>
    <row r="4371" spans="1:6" x14ac:dyDescent="0.2">
      <c r="A4371" t="str">
        <f>'Novia Web Query'!A4367</f>
        <v>GB00B2R2XJ29</v>
      </c>
      <c r="B4371" t="str">
        <f>VLOOKUP(NoviaFunds[[#This Row],[ISIN]],'Novia Web Query'!$A:$E,2,FALSE)</f>
        <v>VT Sinfonia Income Portfolio A Inc TR in GB</v>
      </c>
      <c r="C4371" t="str">
        <f>VLOOKUP(NoviaFunds[[#This Row],[ISIN]],'Novia Web Query'!$A:$E,3,FALSE)</f>
        <v>UT Mixed Investment 0-35% Shares</v>
      </c>
      <c r="D4371" s="139">
        <f>VLOOKUP(NoviaFunds[[#This Row],[ISIN]],'Novia Web Query'!$A:$E,4,FALSE)/100</f>
        <v>9.1999999999999998E-3</v>
      </c>
      <c r="E4371" s="3" t="str">
        <f>VLOOKUP(NoviaFunds[[#This Row],[ISIN]],'Novia Web Query'!$A:$E,5,FALSE)</f>
        <v>20/05/2021</v>
      </c>
      <c r="F4371" t="str">
        <f>VLOOKUP(NoviaFunds[[#This Row],[Sector]],Sectors[],2,FALSE)</f>
        <v>Mixed 0%-35%</v>
      </c>
    </row>
    <row r="4372" spans="1:6" x14ac:dyDescent="0.2">
      <c r="A4372" t="str">
        <f>'Novia Web Query'!A4368</f>
        <v>GB00B2R2XK34</v>
      </c>
      <c r="B4372" t="str">
        <f>VLOOKUP(NoviaFunds[[#This Row],[ISIN]],'Novia Web Query'!$A:$E,2,FALSE)</f>
        <v>VT Sinfonia Income Portfolio B Acc in GB</v>
      </c>
      <c r="C4372" t="str">
        <f>VLOOKUP(NoviaFunds[[#This Row],[ISIN]],'Novia Web Query'!$A:$E,3,FALSE)</f>
        <v>UT Mixed Investment 0-35% Shares</v>
      </c>
      <c r="D4372" s="139">
        <f>VLOOKUP(NoviaFunds[[#This Row],[ISIN]],'Novia Web Query'!$A:$E,4,FALSE)/100</f>
        <v>1.77E-2</v>
      </c>
      <c r="E4372" s="3" t="str">
        <f>VLOOKUP(NoviaFunds[[#This Row],[ISIN]],'Novia Web Query'!$A:$E,5,FALSE)</f>
        <v>20/05/2021</v>
      </c>
      <c r="F4372" t="str">
        <f>VLOOKUP(NoviaFunds[[#This Row],[Sector]],Sectors[],2,FALSE)</f>
        <v>Mixed 0%-35%</v>
      </c>
    </row>
    <row r="4373" spans="1:6" x14ac:dyDescent="0.2">
      <c r="A4373" t="str">
        <f>'Novia Web Query'!A4369</f>
        <v>GB00B2R2XL41</v>
      </c>
      <c r="B4373" t="str">
        <f>VLOOKUP(NoviaFunds[[#This Row],[ISIN]],'Novia Web Query'!$A:$E,2,FALSE)</f>
        <v>VT Sinfonia Income Portfolio B Inc TR in GB</v>
      </c>
      <c r="C4373" t="str">
        <f>VLOOKUP(NoviaFunds[[#This Row],[ISIN]],'Novia Web Query'!$A:$E,3,FALSE)</f>
        <v>UT Mixed Investment 0-35% Shares</v>
      </c>
      <c r="D4373" s="139">
        <f>VLOOKUP(NoviaFunds[[#This Row],[ISIN]],'Novia Web Query'!$A:$E,4,FALSE)/100</f>
        <v>1.77E-2</v>
      </c>
      <c r="E4373" s="3" t="str">
        <f>VLOOKUP(NoviaFunds[[#This Row],[ISIN]],'Novia Web Query'!$A:$E,5,FALSE)</f>
        <v>20/05/2021</v>
      </c>
      <c r="F4373" t="str">
        <f>VLOOKUP(NoviaFunds[[#This Row],[Sector]],Sectors[],2,FALSE)</f>
        <v>Mixed 0%-35%</v>
      </c>
    </row>
    <row r="4374" spans="1:6" x14ac:dyDescent="0.2">
      <c r="A4374" t="str">
        <f>'Novia Web Query'!A4370</f>
        <v>GB00BYXFB401</v>
      </c>
      <c r="B4374" t="str">
        <f>VLOOKUP(NoviaFunds[[#This Row],[ISIN]],'Novia Web Query'!$A:$E,2,FALSE)</f>
        <v>VT Sorbus Vector A TR in GB</v>
      </c>
      <c r="C4374" t="str">
        <f>VLOOKUP(NoviaFunds[[#This Row],[ISIN]],'Novia Web Query'!$A:$E,3,FALSE)</f>
        <v>UT UK All Companies</v>
      </c>
      <c r="D4374" s="139">
        <f>VLOOKUP(NoviaFunds[[#This Row],[ISIN]],'Novia Web Query'!$A:$E,4,FALSE)/100</f>
        <v>8.6E-3</v>
      </c>
      <c r="E4374" s="3" t="str">
        <f>VLOOKUP(NoviaFunds[[#This Row],[ISIN]],'Novia Web Query'!$A:$E,5,FALSE)</f>
        <v>20/08/2021</v>
      </c>
      <c r="F4374" t="str">
        <f>VLOOKUP(NoviaFunds[[#This Row],[Sector]],Sectors[],2,FALSE)</f>
        <v>UK Equities</v>
      </c>
    </row>
    <row r="4375" spans="1:6" x14ac:dyDescent="0.2">
      <c r="A4375" t="str">
        <f>'Novia Web Query'!A4371</f>
        <v>GB00BFFXRK73</v>
      </c>
      <c r="B4375" t="str">
        <f>VLOOKUP(NoviaFunds[[#This Row],[ISIN]],'Novia Web Query'!$A:$E,2,FALSE)</f>
        <v>VT Tatton Blended Active A Acc in GB</v>
      </c>
      <c r="C4375" t="str">
        <f>VLOOKUP(NoviaFunds[[#This Row],[ISIN]],'Novia Web Query'!$A:$E,3,FALSE)</f>
        <v>UT Mixed Investment 40-85% Shares</v>
      </c>
      <c r="D4375" s="139">
        <f>VLOOKUP(NoviaFunds[[#This Row],[ISIN]],'Novia Web Query'!$A:$E,4,FALSE)/100</f>
        <v>5.7999999999999996E-3</v>
      </c>
      <c r="E4375" s="3" t="str">
        <f>VLOOKUP(NoviaFunds[[#This Row],[ISIN]],'Novia Web Query'!$A:$E,5,FALSE)</f>
        <v>31/12/2020</v>
      </c>
      <c r="F4375" t="str">
        <f>VLOOKUP(NoviaFunds[[#This Row],[Sector]],Sectors[],2,FALSE)</f>
        <v>Mixed 40%-85%</v>
      </c>
    </row>
    <row r="4376" spans="1:6" x14ac:dyDescent="0.2">
      <c r="A4376" t="str">
        <f>'Novia Web Query'!A4372</f>
        <v>GB00BL3NDR00</v>
      </c>
      <c r="B4376" t="str">
        <f>VLOOKUP(NoviaFunds[[#This Row],[ISIN]],'Novia Web Query'!$A:$E,2,FALSE)</f>
        <v>VT Tatton Blended Aggressive Retail Acc in GB</v>
      </c>
      <c r="C4376" t="str">
        <f>VLOOKUP(NoviaFunds[[#This Row],[ISIN]],'Novia Web Query'!$A:$E,3,FALSE)</f>
        <v>UT Flexible Investment</v>
      </c>
      <c r="D4376" s="139">
        <f>VLOOKUP(NoviaFunds[[#This Row],[ISIN]],'Novia Web Query'!$A:$E,4,FALSE)/100</f>
        <v>6.0999999999999995E-3</v>
      </c>
      <c r="E4376" s="3" t="str">
        <f>VLOOKUP(NoviaFunds[[#This Row],[ISIN]],'Novia Web Query'!$A:$E,5,FALSE)</f>
        <v>31/12/2020</v>
      </c>
      <c r="F4376" t="str">
        <f>VLOOKUP(NoviaFunds[[#This Row],[Sector]],Sectors[],2,FALSE)</f>
        <v>Flexible</v>
      </c>
    </row>
    <row r="4377" spans="1:6" x14ac:dyDescent="0.2">
      <c r="A4377" t="str">
        <f>'Novia Web Query'!A4373</f>
        <v>GB00BFFXRF21</v>
      </c>
      <c r="B4377" t="str">
        <f>VLOOKUP(NoviaFunds[[#This Row],[ISIN]],'Novia Web Query'!$A:$E,2,FALSE)</f>
        <v>VT Tatton Blended Balanced A Acc in GB</v>
      </c>
      <c r="C4377" t="str">
        <f>VLOOKUP(NoviaFunds[[#This Row],[ISIN]],'Novia Web Query'!$A:$E,3,FALSE)</f>
        <v>UT Mixed Investment 40-85% Shares</v>
      </c>
      <c r="D4377" s="139">
        <f>VLOOKUP(NoviaFunds[[#This Row],[ISIN]],'Novia Web Query'!$A:$E,4,FALSE)/100</f>
        <v>5.7999999999999996E-3</v>
      </c>
      <c r="E4377" s="3" t="str">
        <f>VLOOKUP(NoviaFunds[[#This Row],[ISIN]],'Novia Web Query'!$A:$E,5,FALSE)</f>
        <v>31/12/2020</v>
      </c>
      <c r="F4377" t="str">
        <f>VLOOKUP(NoviaFunds[[#This Row],[Sector]],Sectors[],2,FALSE)</f>
        <v>Mixed 40%-85%</v>
      </c>
    </row>
    <row r="4378" spans="1:6" x14ac:dyDescent="0.2">
      <c r="A4378" t="str">
        <f>'Novia Web Query'!A4374</f>
        <v>GB00BFFXR968</v>
      </c>
      <c r="B4378" t="str">
        <f>VLOOKUP(NoviaFunds[[#This Row],[ISIN]],'Novia Web Query'!$A:$E,2,FALSE)</f>
        <v>VT Tatton Blended Cautious A Acc in GB</v>
      </c>
      <c r="C4378" t="str">
        <f>VLOOKUP(NoviaFunds[[#This Row],[ISIN]],'Novia Web Query'!$A:$E,3,FALSE)</f>
        <v>UT Mixed Investment 20-60% Shares</v>
      </c>
      <c r="D4378" s="139">
        <f>VLOOKUP(NoviaFunds[[#This Row],[ISIN]],'Novia Web Query'!$A:$E,4,FALSE)/100</f>
        <v>5.6000000000000008E-3</v>
      </c>
      <c r="E4378" s="3" t="str">
        <f>VLOOKUP(NoviaFunds[[#This Row],[ISIN]],'Novia Web Query'!$A:$E,5,FALSE)</f>
        <v>31/12/2020</v>
      </c>
      <c r="F4378" t="str">
        <f>VLOOKUP(NoviaFunds[[#This Row],[Sector]],Sectors[],2,FALSE)</f>
        <v>Mixed 20%-60%</v>
      </c>
    </row>
    <row r="4379" spans="1:6" x14ac:dyDescent="0.2">
      <c r="A4379" t="str">
        <f>'Novia Web Query'!A4375</f>
        <v>GB00BL3NDV46</v>
      </c>
      <c r="B4379" t="str">
        <f>VLOOKUP(NoviaFunds[[#This Row],[ISIN]],'Novia Web Query'!$A:$E,2,FALSE)</f>
        <v>VT Tatton Blended Defensive Retail Acc in GB</v>
      </c>
      <c r="C4379" t="str">
        <f>VLOOKUP(NoviaFunds[[#This Row],[ISIN]],'Novia Web Query'!$A:$E,3,FALSE)</f>
        <v>UT Mixed Investment 20-60% Shares</v>
      </c>
      <c r="D4379" s="139">
        <f>VLOOKUP(NoviaFunds[[#This Row],[ISIN]],'Novia Web Query'!$A:$E,4,FALSE)/100</f>
        <v>7.0999999999999995E-3</v>
      </c>
      <c r="E4379" s="3" t="str">
        <f>VLOOKUP(NoviaFunds[[#This Row],[ISIN]],'Novia Web Query'!$A:$E,5,FALSE)</f>
        <v>31/12/2020</v>
      </c>
      <c r="F4379" t="str">
        <f>VLOOKUP(NoviaFunds[[#This Row],[Sector]],Sectors[],2,FALSE)</f>
        <v>Mixed 20%-60%</v>
      </c>
    </row>
    <row r="4380" spans="1:6" x14ac:dyDescent="0.2">
      <c r="A4380" t="str">
        <f>'Novia Web Query'!A4376</f>
        <v>GB00BL3NDW52</v>
      </c>
      <c r="B4380" t="str">
        <f>VLOOKUP(NoviaFunds[[#This Row],[ISIN]],'Novia Web Query'!$A:$E,2,FALSE)</f>
        <v>VT Tatton Blended Defensive Retail Inc TR in GB</v>
      </c>
      <c r="C4380" t="str">
        <f>VLOOKUP(NoviaFunds[[#This Row],[ISIN]],'Novia Web Query'!$A:$E,3,FALSE)</f>
        <v>UT Mixed Investment 20-60% Shares</v>
      </c>
      <c r="D4380" s="139">
        <f>VLOOKUP(NoviaFunds[[#This Row],[ISIN]],'Novia Web Query'!$A:$E,4,FALSE)/100</f>
        <v>7.0999999999999995E-3</v>
      </c>
      <c r="E4380" s="3" t="str">
        <f>VLOOKUP(NoviaFunds[[#This Row],[ISIN]],'Novia Web Query'!$A:$E,5,FALSE)</f>
        <v>31/12/2020</v>
      </c>
      <c r="F4380" t="str">
        <f>VLOOKUP(NoviaFunds[[#This Row],[Sector]],Sectors[],2,FALSE)</f>
        <v>Mixed 20%-60%</v>
      </c>
    </row>
    <row r="4381" spans="1:6" x14ac:dyDescent="0.2">
      <c r="A4381" t="str">
        <f>'Novia Web Query'!A4377</f>
        <v>GB00B63B9J39</v>
      </c>
      <c r="B4381" t="str">
        <f>VLOOKUP(NoviaFunds[[#This Row],[ISIN]],'Novia Web Query'!$A:$E,2,FALSE)</f>
        <v>VT Tatton Oak Capital Growth A in GB</v>
      </c>
      <c r="C4381" t="str">
        <f>VLOOKUP(NoviaFunds[[#This Row],[ISIN]],'Novia Web Query'!$A:$E,3,FALSE)</f>
        <v>UT Mixed Investment 40-85% Shares</v>
      </c>
      <c r="D4381" s="139">
        <f>VLOOKUP(NoviaFunds[[#This Row],[ISIN]],'Novia Web Query'!$A:$E,4,FALSE)/100</f>
        <v>1.6399999999999998E-2</v>
      </c>
      <c r="E4381" s="3" t="str">
        <f>VLOOKUP(NoviaFunds[[#This Row],[ISIN]],'Novia Web Query'!$A:$E,5,FALSE)</f>
        <v>31/12/2020</v>
      </c>
      <c r="F4381" t="str">
        <f>VLOOKUP(NoviaFunds[[#This Row],[Sector]],Sectors[],2,FALSE)</f>
        <v>Mixed 40%-85%</v>
      </c>
    </row>
    <row r="4382" spans="1:6" x14ac:dyDescent="0.2">
      <c r="A4382" t="str">
        <f>'Novia Web Query'!A4378</f>
        <v>GB00B63B9K44</v>
      </c>
      <c r="B4382" t="str">
        <f>VLOOKUP(NoviaFunds[[#This Row],[ISIN]],'Novia Web Query'!$A:$E,2,FALSE)</f>
        <v>VT Tatton Oak Capital Growth B in GB</v>
      </c>
      <c r="C4382" t="str">
        <f>VLOOKUP(NoviaFunds[[#This Row],[ISIN]],'Novia Web Query'!$A:$E,3,FALSE)</f>
        <v>UT Mixed Investment 40-85% Shares</v>
      </c>
      <c r="D4382" s="139">
        <f>VLOOKUP(NoviaFunds[[#This Row],[ISIN]],'Novia Web Query'!$A:$E,4,FALSE)/100</f>
        <v>8.8999999999999999E-3</v>
      </c>
      <c r="E4382" s="3" t="str">
        <f>VLOOKUP(NoviaFunds[[#This Row],[ISIN]],'Novia Web Query'!$A:$E,5,FALSE)</f>
        <v>31/12/2020</v>
      </c>
      <c r="F4382" t="str">
        <f>VLOOKUP(NoviaFunds[[#This Row],[Sector]],Sectors[],2,FALSE)</f>
        <v>Mixed 40%-85%</v>
      </c>
    </row>
    <row r="4383" spans="1:6" x14ac:dyDescent="0.2">
      <c r="A4383" t="str">
        <f>'Novia Web Query'!A4379</f>
        <v>GB00B63B9L50</v>
      </c>
      <c r="B4383" t="str">
        <f>VLOOKUP(NoviaFunds[[#This Row],[ISIN]],'Novia Web Query'!$A:$E,2,FALSE)</f>
        <v>VT Tatton Oak Cautious Growth A in GB</v>
      </c>
      <c r="C4383" t="str">
        <f>VLOOKUP(NoviaFunds[[#This Row],[ISIN]],'Novia Web Query'!$A:$E,3,FALSE)</f>
        <v>UT Mixed Investment 20-60% Shares</v>
      </c>
      <c r="D4383" s="139">
        <f>VLOOKUP(NoviaFunds[[#This Row],[ISIN]],'Novia Web Query'!$A:$E,4,FALSE)/100</f>
        <v>1.6399999999999998E-2</v>
      </c>
      <c r="E4383" s="3" t="str">
        <f>VLOOKUP(NoviaFunds[[#This Row],[ISIN]],'Novia Web Query'!$A:$E,5,FALSE)</f>
        <v>31/12/2020</v>
      </c>
      <c r="F4383" t="str">
        <f>VLOOKUP(NoviaFunds[[#This Row],[Sector]],Sectors[],2,FALSE)</f>
        <v>Mixed 20%-60%</v>
      </c>
    </row>
    <row r="4384" spans="1:6" x14ac:dyDescent="0.2">
      <c r="A4384" t="str">
        <f>'Novia Web Query'!A4380</f>
        <v>GB00B63B9M67</v>
      </c>
      <c r="B4384" t="str">
        <f>VLOOKUP(NoviaFunds[[#This Row],[ISIN]],'Novia Web Query'!$A:$E,2,FALSE)</f>
        <v>VT Tatton Oak Cautious Growth B in GB</v>
      </c>
      <c r="C4384" t="str">
        <f>VLOOKUP(NoviaFunds[[#This Row],[ISIN]],'Novia Web Query'!$A:$E,3,FALSE)</f>
        <v>UT Mixed Investment 20-60% Shares</v>
      </c>
      <c r="D4384" s="139">
        <f>VLOOKUP(NoviaFunds[[#This Row],[ISIN]],'Novia Web Query'!$A:$E,4,FALSE)/100</f>
        <v>8.8999999999999999E-3</v>
      </c>
      <c r="E4384" s="3" t="str">
        <f>VLOOKUP(NoviaFunds[[#This Row],[ISIN]],'Novia Web Query'!$A:$E,5,FALSE)</f>
        <v>31/12/2020</v>
      </c>
      <c r="F4384" t="str">
        <f>VLOOKUP(NoviaFunds[[#This Row],[Sector]],Sectors[],2,FALSE)</f>
        <v>Mixed 20%-60%</v>
      </c>
    </row>
    <row r="4385" spans="1:6" x14ac:dyDescent="0.2">
      <c r="A4385" t="str">
        <f>'Novia Web Query'!A4381</f>
        <v>GB00BF6X2124</v>
      </c>
      <c r="B4385" t="str">
        <f>VLOOKUP(NoviaFunds[[#This Row],[ISIN]],'Novia Web Query'!$A:$E,2,FALSE)</f>
        <v>VT Teviot UK Smaller Companies Acc in GB</v>
      </c>
      <c r="C4385" t="str">
        <f>VLOOKUP(NoviaFunds[[#This Row],[ISIN]],'Novia Web Query'!$A:$E,3,FALSE)</f>
        <v>UT UK Smaller Companies</v>
      </c>
      <c r="D4385" s="139">
        <f>VLOOKUP(NoviaFunds[[#This Row],[ISIN]],'Novia Web Query'!$A:$E,4,FALSE)/100</f>
        <v>8.3999999999999995E-3</v>
      </c>
      <c r="E4385" s="3" t="str">
        <f>VLOOKUP(NoviaFunds[[#This Row],[ISIN]],'Novia Web Query'!$A:$E,5,FALSE)</f>
        <v>31/07/2021</v>
      </c>
      <c r="F4385" t="str">
        <f>VLOOKUP(NoviaFunds[[#This Row],[Sector]],Sectors[],2,FALSE)</f>
        <v>UK Equities</v>
      </c>
    </row>
    <row r="4386" spans="1:6" x14ac:dyDescent="0.2">
      <c r="A4386" t="str">
        <f>'Novia Web Query'!A4382</f>
        <v>GB00BF6X2231</v>
      </c>
      <c r="B4386" t="str">
        <f>VLOOKUP(NoviaFunds[[#This Row],[ISIN]],'Novia Web Query'!$A:$E,2,FALSE)</f>
        <v>VT Teviot UK Smaller Companies Inc TR in GB</v>
      </c>
      <c r="C4386" t="str">
        <f>VLOOKUP(NoviaFunds[[#This Row],[ISIN]],'Novia Web Query'!$A:$E,3,FALSE)</f>
        <v>UT UK Smaller Companies</v>
      </c>
      <c r="D4386" s="139">
        <f>VLOOKUP(NoviaFunds[[#This Row],[ISIN]],'Novia Web Query'!$A:$E,4,FALSE)/100</f>
        <v>8.3999999999999995E-3</v>
      </c>
      <c r="E4386" s="3" t="str">
        <f>VLOOKUP(NoviaFunds[[#This Row],[ISIN]],'Novia Web Query'!$A:$E,5,FALSE)</f>
        <v>31/07/2021</v>
      </c>
      <c r="F4386" t="str">
        <f>VLOOKUP(NoviaFunds[[#This Row],[Sector]],Sectors[],2,FALSE)</f>
        <v>UK Equities</v>
      </c>
    </row>
    <row r="4387" spans="1:6" x14ac:dyDescent="0.2">
      <c r="A4387" t="str">
        <f>'Novia Web Query'!A4383</f>
        <v>GB00BGRCF499</v>
      </c>
      <c r="B4387" t="str">
        <f>VLOOKUP(NoviaFunds[[#This Row],[ISIN]],'Novia Web Query'!$A:$E,2,FALSE)</f>
        <v>VT Tyndall Global Select B Inc GBP TR in GB</v>
      </c>
      <c r="C4387" t="str">
        <f>VLOOKUP(NoviaFunds[[#This Row],[ISIN]],'Novia Web Query'!$A:$E,3,FALSE)</f>
        <v>UT Global</v>
      </c>
      <c r="D4387" s="139">
        <f>VLOOKUP(NoviaFunds[[#This Row],[ISIN]],'Novia Web Query'!$A:$E,4,FALSE)/100</f>
        <v>9.300000000000001E-3</v>
      </c>
      <c r="E4387" s="3" t="str">
        <f>VLOOKUP(NoviaFunds[[#This Row],[ISIN]],'Novia Web Query'!$A:$E,5,FALSE)</f>
        <v>30/09/2021</v>
      </c>
      <c r="F4387" t="str">
        <f>VLOOKUP(NoviaFunds[[#This Row],[Sector]],Sectors[],2,FALSE)</f>
        <v>Other Equities</v>
      </c>
    </row>
    <row r="4388" spans="1:6" x14ac:dyDescent="0.2">
      <c r="A4388" t="str">
        <f>'Novia Web Query'!A4384</f>
        <v>GB00BYPZY050</v>
      </c>
      <c r="B4388" t="str">
        <f>VLOOKUP(NoviaFunds[[#This Row],[ISIN]],'Novia Web Query'!$A:$E,2,FALSE)</f>
        <v>VT Tyndall North American F Acc GBP in GB</v>
      </c>
      <c r="C4388" t="str">
        <f>VLOOKUP(NoviaFunds[[#This Row],[ISIN]],'Novia Web Query'!$A:$E,3,FALSE)</f>
        <v>UT North America</v>
      </c>
      <c r="D4388" s="139">
        <f>VLOOKUP(NoviaFunds[[#This Row],[ISIN]],'Novia Web Query'!$A:$E,4,FALSE)/100</f>
        <v>9.0000000000000011E-3</v>
      </c>
      <c r="E4388" s="3" t="str">
        <f>VLOOKUP(NoviaFunds[[#This Row],[ISIN]],'Novia Web Query'!$A:$E,5,FALSE)</f>
        <v>30/09/2021</v>
      </c>
      <c r="F4388" t="str">
        <f>VLOOKUP(NoviaFunds[[#This Row],[Sector]],Sectors[],2,FALSE)</f>
        <v>USA Equities</v>
      </c>
    </row>
    <row r="4389" spans="1:6" x14ac:dyDescent="0.2">
      <c r="A4389" t="str">
        <f>'Novia Web Query'!A4385</f>
        <v>GB00BDG28F12</v>
      </c>
      <c r="B4389" t="str">
        <f>VLOOKUP(NoviaFunds[[#This Row],[ISIN]],'Novia Web Query'!$A:$E,2,FALSE)</f>
        <v>VT Tyndall North American F Hedged Acc GBP in GB</v>
      </c>
      <c r="C4389" t="str">
        <f>VLOOKUP(NoviaFunds[[#This Row],[ISIN]],'Novia Web Query'!$A:$E,3,FALSE)</f>
        <v>UT North America</v>
      </c>
      <c r="D4389" s="139">
        <f>VLOOKUP(NoviaFunds[[#This Row],[ISIN]],'Novia Web Query'!$A:$E,4,FALSE)/100</f>
        <v>9.0000000000000011E-3</v>
      </c>
      <c r="E4389" s="3" t="str">
        <f>VLOOKUP(NoviaFunds[[#This Row],[ISIN]],'Novia Web Query'!$A:$E,5,FALSE)</f>
        <v>30/09/2021</v>
      </c>
      <c r="F4389" t="str">
        <f>VLOOKUP(NoviaFunds[[#This Row],[Sector]],Sectors[],2,FALSE)</f>
        <v>USA Equities</v>
      </c>
    </row>
    <row r="4390" spans="1:6" x14ac:dyDescent="0.2">
      <c r="A4390" t="str">
        <f>'Novia Web Query'!A4386</f>
        <v>GB00BDG28G29</v>
      </c>
      <c r="B4390" t="str">
        <f>VLOOKUP(NoviaFunds[[#This Row],[ISIN]],'Novia Web Query'!$A:$E,2,FALSE)</f>
        <v>VT Tyndall North American F Hedged Inc GBP in GB</v>
      </c>
      <c r="C4390" t="str">
        <f>VLOOKUP(NoviaFunds[[#This Row],[ISIN]],'Novia Web Query'!$A:$E,3,FALSE)</f>
        <v>UT North America</v>
      </c>
      <c r="D4390" s="139">
        <f>VLOOKUP(NoviaFunds[[#This Row],[ISIN]],'Novia Web Query'!$A:$E,4,FALSE)/100</f>
        <v>9.0000000000000011E-3</v>
      </c>
      <c r="E4390" s="3" t="str">
        <f>VLOOKUP(NoviaFunds[[#This Row],[ISIN]],'Novia Web Query'!$A:$E,5,FALSE)</f>
        <v>30/09/2021</v>
      </c>
      <c r="F4390" t="str">
        <f>VLOOKUP(NoviaFunds[[#This Row],[Sector]],Sectors[],2,FALSE)</f>
        <v>USA Equities</v>
      </c>
    </row>
    <row r="4391" spans="1:6" x14ac:dyDescent="0.2">
      <c r="A4391" t="str">
        <f>'Novia Web Query'!A4387</f>
        <v>GB00BDH3R348</v>
      </c>
      <c r="B4391" t="str">
        <f>VLOOKUP(NoviaFunds[[#This Row],[ISIN]],'Novia Web Query'!$A:$E,2,FALSE)</f>
        <v>VT Tyndall North American F Inc GBP in GB**</v>
      </c>
      <c r="C4391" t="str">
        <f>VLOOKUP(NoviaFunds[[#This Row],[ISIN]],'Novia Web Query'!$A:$E,3,FALSE)</f>
        <v>UT North America</v>
      </c>
      <c r="D4391" s="139">
        <f>VLOOKUP(NoviaFunds[[#This Row],[ISIN]],'Novia Web Query'!$A:$E,4,FALSE)/100</f>
        <v>9.0000000000000011E-3</v>
      </c>
      <c r="E4391" s="3" t="str">
        <f>VLOOKUP(NoviaFunds[[#This Row],[ISIN]],'Novia Web Query'!$A:$E,5,FALSE)</f>
        <v>30/09/2021</v>
      </c>
      <c r="F4391" t="str">
        <f>VLOOKUP(NoviaFunds[[#This Row],[Sector]],Sectors[],2,FALSE)</f>
        <v>USA Equities</v>
      </c>
    </row>
    <row r="4392" spans="1:6" x14ac:dyDescent="0.2">
      <c r="A4392" t="str">
        <f>'Novia Web Query'!A4388</f>
        <v>GB00BYX0D612</v>
      </c>
      <c r="B4392" t="str">
        <f>VLOOKUP(NoviaFunds[[#This Row],[ISIN]],'Novia Web Query'!$A:$E,2,FALSE)</f>
        <v>VT Tyndall Real Income Acc in GB</v>
      </c>
      <c r="C4392" t="str">
        <f>VLOOKUP(NoviaFunds[[#This Row],[ISIN]],'Novia Web Query'!$A:$E,3,FALSE)</f>
        <v>UT UK Equity Income</v>
      </c>
      <c r="D4392" s="139">
        <f>VLOOKUP(NoviaFunds[[#This Row],[ISIN]],'Novia Web Query'!$A:$E,4,FALSE)/100</f>
        <v>7.8000000000000005E-3</v>
      </c>
      <c r="E4392" s="3" t="str">
        <f>VLOOKUP(NoviaFunds[[#This Row],[ISIN]],'Novia Web Query'!$A:$E,5,FALSE)</f>
        <v>30/09/2021</v>
      </c>
      <c r="F4392" t="str">
        <f>VLOOKUP(NoviaFunds[[#This Row],[Sector]],Sectors[],2,FALSE)</f>
        <v>UK Equities</v>
      </c>
    </row>
    <row r="4393" spans="1:6" x14ac:dyDescent="0.2">
      <c r="A4393" t="str">
        <f>'Novia Web Query'!A4389</f>
        <v>GB00BYX0D836</v>
      </c>
      <c r="B4393" t="str">
        <f>VLOOKUP(NoviaFunds[[#This Row],[ISIN]],'Novia Web Query'!$A:$E,2,FALSE)</f>
        <v>VT Tyndall Real Income Inc TR in GB</v>
      </c>
      <c r="C4393" t="str">
        <f>VLOOKUP(NoviaFunds[[#This Row],[ISIN]],'Novia Web Query'!$A:$E,3,FALSE)</f>
        <v>UT UK Equity Income</v>
      </c>
      <c r="D4393" s="139">
        <f>VLOOKUP(NoviaFunds[[#This Row],[ISIN]],'Novia Web Query'!$A:$E,4,FALSE)/100</f>
        <v>7.8000000000000005E-3</v>
      </c>
      <c r="E4393" s="3" t="str">
        <f>VLOOKUP(NoviaFunds[[#This Row],[ISIN]],'Novia Web Query'!$A:$E,5,FALSE)</f>
        <v>30/09/2021</v>
      </c>
      <c r="F4393" t="str">
        <f>VLOOKUP(NoviaFunds[[#This Row],[Sector]],Sectors[],2,FALSE)</f>
        <v>UK Equities</v>
      </c>
    </row>
    <row r="4394" spans="1:6" x14ac:dyDescent="0.2">
      <c r="A4394" t="str">
        <f>'Novia Web Query'!A4390</f>
        <v>GB00BJ4G2B16</v>
      </c>
      <c r="B4394" t="str">
        <f>VLOOKUP(NoviaFunds[[#This Row],[ISIN]],'Novia Web Query'!$A:$E,2,FALSE)</f>
        <v>VT Vanneck Equity B Acc GBP in GB**</v>
      </c>
      <c r="C4394" t="str">
        <f>VLOOKUP(NoviaFunds[[#This Row],[ISIN]],'Novia Web Query'!$A:$E,3,FALSE)</f>
        <v>UT UK All Companies</v>
      </c>
      <c r="D4394" s="139">
        <f>VLOOKUP(NoviaFunds[[#This Row],[ISIN]],'Novia Web Query'!$A:$E,4,FALSE)/100</f>
        <v>9.1999999999999998E-3</v>
      </c>
      <c r="E4394" s="3" t="str">
        <f>VLOOKUP(NoviaFunds[[#This Row],[ISIN]],'Novia Web Query'!$A:$E,5,FALSE)</f>
        <v>31/12/2020</v>
      </c>
      <c r="F4394" t="str">
        <f>VLOOKUP(NoviaFunds[[#This Row],[Sector]],Sectors[],2,FALSE)</f>
        <v>UK Equities</v>
      </c>
    </row>
    <row r="4395" spans="1:6" x14ac:dyDescent="0.2">
      <c r="A4395" t="str">
        <f>'Novia Web Query'!A4391</f>
        <v>GB00BJ4G2C23</v>
      </c>
      <c r="B4395" t="str">
        <f>VLOOKUP(NoviaFunds[[#This Row],[ISIN]],'Novia Web Query'!$A:$E,2,FALSE)</f>
        <v>VT Vanneck Equity B Inc GBP TR in GB**</v>
      </c>
      <c r="C4395" t="str">
        <f>VLOOKUP(NoviaFunds[[#This Row],[ISIN]],'Novia Web Query'!$A:$E,3,FALSE)</f>
        <v>UT UK All Companies</v>
      </c>
      <c r="D4395" s="139">
        <f>VLOOKUP(NoviaFunds[[#This Row],[ISIN]],'Novia Web Query'!$A:$E,4,FALSE)/100</f>
        <v>9.1999999999999998E-3</v>
      </c>
      <c r="E4395" s="3" t="str">
        <f>VLOOKUP(NoviaFunds[[#This Row],[ISIN]],'Novia Web Query'!$A:$E,5,FALSE)</f>
        <v>31/12/2020</v>
      </c>
      <c r="F4395" t="str">
        <f>VLOOKUP(NoviaFunds[[#This Row],[Sector]],Sectors[],2,FALSE)</f>
        <v>UK Equities</v>
      </c>
    </row>
    <row r="4396" spans="1:6" x14ac:dyDescent="0.2">
      <c r="A4396" t="str">
        <f>'Novia Web Query'!A4392</f>
        <v>GB00B7W1TW44</v>
      </c>
      <c r="B4396" t="str">
        <f>VLOOKUP(NoviaFunds[[#This Row],[ISIN]],'Novia Web Query'!$A:$E,2,FALSE)</f>
        <v>VT Momentum Diversified Balanced A Acc in GB</v>
      </c>
      <c r="C4396" t="str">
        <f>VLOOKUP(NoviaFunds[[#This Row],[ISIN]],'Novia Web Query'!$A:$E,3,FALSE)</f>
        <v>UT Mixed Investment 20-60% Shares</v>
      </c>
      <c r="D4396" s="139">
        <f>VLOOKUP(NoviaFunds[[#This Row],[ISIN]],'Novia Web Query'!$A:$E,4,FALSE)/100</f>
        <v>1.2500000000000001E-2</v>
      </c>
      <c r="E4396" s="3" t="str">
        <f>VLOOKUP(NoviaFunds[[#This Row],[ISIN]],'Novia Web Query'!$A:$E,5,FALSE)</f>
        <v>28/05/2021</v>
      </c>
      <c r="F4396" t="str">
        <f>VLOOKUP(NoviaFunds[[#This Row],[Sector]],Sectors[],2,FALSE)</f>
        <v>Mixed 20%-60%</v>
      </c>
    </row>
    <row r="4397" spans="1:6" x14ac:dyDescent="0.2">
      <c r="A4397" t="str">
        <f>'Novia Web Query'!A4393</f>
        <v>GB00B40M9847</v>
      </c>
      <c r="B4397" t="str">
        <f>VLOOKUP(NoviaFunds[[#This Row],[ISIN]],'Novia Web Query'!$A:$E,2,FALSE)</f>
        <v>VT Momentum Diversified Cautious A Acc in GB</v>
      </c>
      <c r="C4397" t="str">
        <f>VLOOKUP(NoviaFunds[[#This Row],[ISIN]],'Novia Web Query'!$A:$E,3,FALSE)</f>
        <v>UT Mixed Investment 0-35% Shares</v>
      </c>
      <c r="D4397" s="139">
        <f>VLOOKUP(NoviaFunds[[#This Row],[ISIN]],'Novia Web Query'!$A:$E,4,FALSE)/100</f>
        <v>1.21E-2</v>
      </c>
      <c r="E4397" s="3" t="str">
        <f>VLOOKUP(NoviaFunds[[#This Row],[ISIN]],'Novia Web Query'!$A:$E,5,FALSE)</f>
        <v>28/05/2021</v>
      </c>
      <c r="F4397" t="str">
        <f>VLOOKUP(NoviaFunds[[#This Row],[Sector]],Sectors[],2,FALSE)</f>
        <v>Mixed 0%-35%</v>
      </c>
    </row>
    <row r="4398" spans="1:6" x14ac:dyDescent="0.2">
      <c r="A4398" t="str">
        <f>'Novia Web Query'!A4394</f>
        <v>GB00B7GSHR29</v>
      </c>
      <c r="B4398" t="str">
        <f>VLOOKUP(NoviaFunds[[#This Row],[ISIN]],'Novia Web Query'!$A:$E,2,FALSE)</f>
        <v>VT Momentum Diversified Moderate A Acc in GB</v>
      </c>
      <c r="C4398" t="str">
        <f>VLOOKUP(NoviaFunds[[#This Row],[ISIN]],'Novia Web Query'!$A:$E,3,FALSE)</f>
        <v>UT Mixed Investment 40-85% Shares</v>
      </c>
      <c r="D4398" s="139">
        <f>VLOOKUP(NoviaFunds[[#This Row],[ISIN]],'Novia Web Query'!$A:$E,4,FALSE)/100</f>
        <v>1.23E-2</v>
      </c>
      <c r="E4398" s="3" t="str">
        <f>VLOOKUP(NoviaFunds[[#This Row],[ISIN]],'Novia Web Query'!$A:$E,5,FALSE)</f>
        <v>08/12/2021</v>
      </c>
      <c r="F4398" t="str">
        <f>VLOOKUP(NoviaFunds[[#This Row],[Sector]],Sectors[],2,FALSE)</f>
        <v>Mixed 40%-85%</v>
      </c>
    </row>
    <row r="4399" spans="1:6" x14ac:dyDescent="0.2">
      <c r="A4399" t="str">
        <f>'Novia Web Query'!A4395</f>
        <v>GB0006989007</v>
      </c>
      <c r="B4399" t="str">
        <f>VLOOKUP(NoviaFunds[[#This Row],[ISIN]],'Novia Web Query'!$A:$E,2,FALSE)</f>
        <v>WAY Flexible Global Growth Portfolio A Acc in GB</v>
      </c>
      <c r="C4399" t="str">
        <f>VLOOKUP(NoviaFunds[[#This Row],[ISIN]],'Novia Web Query'!$A:$E,3,FALSE)</f>
        <v>UT Flexible Investment</v>
      </c>
      <c r="D4399" s="139">
        <f>VLOOKUP(NoviaFunds[[#This Row],[ISIN]],'Novia Web Query'!$A:$E,4,FALSE)/100</f>
        <v>2.8799999999999999E-2</v>
      </c>
      <c r="E4399" s="3" t="str">
        <f>VLOOKUP(NoviaFunds[[#This Row],[ISIN]],'Novia Web Query'!$A:$E,5,FALSE)</f>
        <v>30/09/2021</v>
      </c>
      <c r="F4399" t="str">
        <f>VLOOKUP(NoviaFunds[[#This Row],[Sector]],Sectors[],2,FALSE)</f>
        <v>Flexible</v>
      </c>
    </row>
    <row r="4400" spans="1:6" x14ac:dyDescent="0.2">
      <c r="A4400" t="str">
        <f>'Novia Web Query'!A4396</f>
        <v>GB00B96VT465</v>
      </c>
      <c r="B4400" t="str">
        <f>VLOOKUP(NoviaFunds[[#This Row],[ISIN]],'Novia Web Query'!$A:$E,2,FALSE)</f>
        <v>WAY Flexible Global Growth Portfolio E Acc in GB</v>
      </c>
      <c r="C4400" t="str">
        <f>VLOOKUP(NoviaFunds[[#This Row],[ISIN]],'Novia Web Query'!$A:$E,3,FALSE)</f>
        <v>UT Flexible Investment</v>
      </c>
      <c r="D4400" s="139">
        <f>VLOOKUP(NoviaFunds[[#This Row],[ISIN]],'Novia Web Query'!$A:$E,4,FALSE)/100</f>
        <v>1.8799999999999997E-2</v>
      </c>
      <c r="E4400" s="3" t="str">
        <f>VLOOKUP(NoviaFunds[[#This Row],[ISIN]],'Novia Web Query'!$A:$E,5,FALSE)</f>
        <v>30/09/2021</v>
      </c>
      <c r="F4400" t="str">
        <f>VLOOKUP(NoviaFunds[[#This Row],[Sector]],Sectors[],2,FALSE)</f>
        <v>Flexible</v>
      </c>
    </row>
    <row r="4401" spans="1:6" x14ac:dyDescent="0.2">
      <c r="A4401" t="str">
        <f>'Novia Web Query'!A4397</f>
        <v>GB00B970YR05</v>
      </c>
      <c r="B4401" t="str">
        <f>VLOOKUP(NoviaFunds[[#This Row],[ISIN]],'Novia Web Query'!$A:$E,2,FALSE)</f>
        <v>WAY Flexible Global Growth Portfolio E Inc TR in GB</v>
      </c>
      <c r="C4401" t="str">
        <f>VLOOKUP(NoviaFunds[[#This Row],[ISIN]],'Novia Web Query'!$A:$E,3,FALSE)</f>
        <v>UT Flexible Investment</v>
      </c>
      <c r="D4401" s="139">
        <f>VLOOKUP(NoviaFunds[[#This Row],[ISIN]],'Novia Web Query'!$A:$E,4,FALSE)/100</f>
        <v>1.8799999999999997E-2</v>
      </c>
      <c r="E4401" s="3" t="str">
        <f>VLOOKUP(NoviaFunds[[#This Row],[ISIN]],'Novia Web Query'!$A:$E,5,FALSE)</f>
        <v>30/09/2021</v>
      </c>
      <c r="F4401" t="str">
        <f>VLOOKUP(NoviaFunds[[#This Row],[Sector]],Sectors[],2,FALSE)</f>
        <v>Flexible</v>
      </c>
    </row>
    <row r="4402" spans="1:6" x14ac:dyDescent="0.2">
      <c r="A4402" t="str">
        <f>'Novia Web Query'!A4398</f>
        <v>GB0006989221</v>
      </c>
      <c r="B4402" t="str">
        <f>VLOOKUP(NoviaFunds[[#This Row],[ISIN]],'Novia Web Query'!$A:$E,2,FALSE)</f>
        <v>WAY Global Balanced Portfolio A Acc in GB</v>
      </c>
      <c r="C4402" t="str">
        <f>VLOOKUP(NoviaFunds[[#This Row],[ISIN]],'Novia Web Query'!$A:$E,3,FALSE)</f>
        <v>UT Mixed Investment 20-60% Shares</v>
      </c>
      <c r="D4402" s="139">
        <f>VLOOKUP(NoviaFunds[[#This Row],[ISIN]],'Novia Web Query'!$A:$E,4,FALSE)/100</f>
        <v>2.86E-2</v>
      </c>
      <c r="E4402" s="3" t="str">
        <f>VLOOKUP(NoviaFunds[[#This Row],[ISIN]],'Novia Web Query'!$A:$E,5,FALSE)</f>
        <v>30/09/2021</v>
      </c>
      <c r="F4402" t="str">
        <f>VLOOKUP(NoviaFunds[[#This Row],[Sector]],Sectors[],2,FALSE)</f>
        <v>Mixed 20%-60%</v>
      </c>
    </row>
    <row r="4403" spans="1:6" x14ac:dyDescent="0.2">
      <c r="A4403" t="str">
        <f>'Novia Web Query'!A4399</f>
        <v>GB00B96WY448</v>
      </c>
      <c r="B4403" t="str">
        <f>VLOOKUP(NoviaFunds[[#This Row],[ISIN]],'Novia Web Query'!$A:$E,2,FALSE)</f>
        <v>WAY Global Balanced Portfolio E Acc in GB</v>
      </c>
      <c r="C4403" t="str">
        <f>VLOOKUP(NoviaFunds[[#This Row],[ISIN]],'Novia Web Query'!$A:$E,3,FALSE)</f>
        <v>UT Mixed Investment 20-60% Shares</v>
      </c>
      <c r="D4403" s="139">
        <f>VLOOKUP(NoviaFunds[[#This Row],[ISIN]],'Novia Web Query'!$A:$E,4,FALSE)/100</f>
        <v>1.8600000000000002E-2</v>
      </c>
      <c r="E4403" s="3" t="str">
        <f>VLOOKUP(NoviaFunds[[#This Row],[ISIN]],'Novia Web Query'!$A:$E,5,FALSE)</f>
        <v>30/09/2021</v>
      </c>
      <c r="F4403" t="str">
        <f>VLOOKUP(NoviaFunds[[#This Row],[Sector]],Sectors[],2,FALSE)</f>
        <v>Mixed 20%-60%</v>
      </c>
    </row>
    <row r="4404" spans="1:6" x14ac:dyDescent="0.2">
      <c r="A4404" t="str">
        <f>'Novia Web Query'!A4400</f>
        <v>GB00B9720012</v>
      </c>
      <c r="B4404" t="str">
        <f>VLOOKUP(NoviaFunds[[#This Row],[ISIN]],'Novia Web Query'!$A:$E,2,FALSE)</f>
        <v>WAY Global Balanced Portfolio E Inc in GB</v>
      </c>
      <c r="C4404" t="str">
        <f>VLOOKUP(NoviaFunds[[#This Row],[ISIN]],'Novia Web Query'!$A:$E,3,FALSE)</f>
        <v>UT Mixed Investment 20-60% Shares</v>
      </c>
      <c r="D4404" s="139">
        <f>VLOOKUP(NoviaFunds[[#This Row],[ISIN]],'Novia Web Query'!$A:$E,4,FALSE)/100</f>
        <v>1.8600000000000002E-2</v>
      </c>
      <c r="E4404" s="3" t="str">
        <f>VLOOKUP(NoviaFunds[[#This Row],[ISIN]],'Novia Web Query'!$A:$E,5,FALSE)</f>
        <v>30/09/2021</v>
      </c>
      <c r="F4404" t="str">
        <f>VLOOKUP(NoviaFunds[[#This Row],[Sector]],Sectors[],2,FALSE)</f>
        <v>Mixed 20%-60%</v>
      </c>
    </row>
    <row r="4405" spans="1:6" x14ac:dyDescent="0.2">
      <c r="A4405" t="str">
        <f>'Novia Web Query'!A4401</f>
        <v>GB00B06G2Q19</v>
      </c>
      <c r="B4405" t="str">
        <f>VLOOKUP(NoviaFunds[[#This Row],[ISIN]],'Novia Web Query'!$A:$E,2,FALSE)</f>
        <v>WAY Global Cautious Portfolio B Acc in GB</v>
      </c>
      <c r="C4405" t="str">
        <f>VLOOKUP(NoviaFunds[[#This Row],[ISIN]],'Novia Web Query'!$A:$E,3,FALSE)</f>
        <v>UT Mixed Investment 0-35% Shares</v>
      </c>
      <c r="D4405" s="139">
        <f>VLOOKUP(NoviaFunds[[#This Row],[ISIN]],'Novia Web Query'!$A:$E,4,FALSE)/100</f>
        <v>2.3799999999999998E-2</v>
      </c>
      <c r="E4405" s="3" t="str">
        <f>VLOOKUP(NoviaFunds[[#This Row],[ISIN]],'Novia Web Query'!$A:$E,5,FALSE)</f>
        <v>30/09/2021</v>
      </c>
      <c r="F4405" t="str">
        <f>VLOOKUP(NoviaFunds[[#This Row],[Sector]],Sectors[],2,FALSE)</f>
        <v>Mixed 0%-35%</v>
      </c>
    </row>
    <row r="4406" spans="1:6" x14ac:dyDescent="0.2">
      <c r="A4406" t="str">
        <f>'Novia Web Query'!A4402</f>
        <v>GB00B971ZJ29</v>
      </c>
      <c r="B4406" t="str">
        <f>VLOOKUP(NoviaFunds[[#This Row],[ISIN]],'Novia Web Query'!$A:$E,2,FALSE)</f>
        <v>WAY Global Cautious Portfolio E Acc in GB</v>
      </c>
      <c r="C4406" t="str">
        <f>VLOOKUP(NoviaFunds[[#This Row],[ISIN]],'Novia Web Query'!$A:$E,3,FALSE)</f>
        <v>UT Mixed Investment 0-35% Shares</v>
      </c>
      <c r="D4406" s="139">
        <f>VLOOKUP(NoviaFunds[[#This Row],[ISIN]],'Novia Web Query'!$A:$E,4,FALSE)/100</f>
        <v>1.8799999999999997E-2</v>
      </c>
      <c r="E4406" s="3" t="str">
        <f>VLOOKUP(NoviaFunds[[#This Row],[ISIN]],'Novia Web Query'!$A:$E,5,FALSE)</f>
        <v>30/09/2021</v>
      </c>
      <c r="F4406" t="str">
        <f>VLOOKUP(NoviaFunds[[#This Row],[Sector]],Sectors[],2,FALSE)</f>
        <v>Mixed 0%-35%</v>
      </c>
    </row>
    <row r="4407" spans="1:6" x14ac:dyDescent="0.2">
      <c r="A4407" t="str">
        <f>'Novia Web Query'!A4403</f>
        <v>GB00B8T10T87</v>
      </c>
      <c r="B4407" t="str">
        <f>VLOOKUP(NoviaFunds[[#This Row],[ISIN]],'Novia Web Query'!$A:$E,2,FALSE)</f>
        <v>WAY Global Growth Portfolio E Acc in GB</v>
      </c>
      <c r="C4407" t="str">
        <f>VLOOKUP(NoviaFunds[[#This Row],[ISIN]],'Novia Web Query'!$A:$E,3,FALSE)</f>
        <v>UT Mixed Investment 40-85% Shares</v>
      </c>
      <c r="D4407" s="139">
        <f>VLOOKUP(NoviaFunds[[#This Row],[ISIN]],'Novia Web Query'!$A:$E,4,FALSE)/100</f>
        <v>1.9900000000000001E-2</v>
      </c>
      <c r="E4407" s="3" t="str">
        <f>VLOOKUP(NoviaFunds[[#This Row],[ISIN]],'Novia Web Query'!$A:$E,5,FALSE)</f>
        <v>30/09/2021</v>
      </c>
      <c r="F4407" t="str">
        <f>VLOOKUP(NoviaFunds[[#This Row],[Sector]],Sectors[],2,FALSE)</f>
        <v>Mixed 40%-85%</v>
      </c>
    </row>
    <row r="4408" spans="1:6" x14ac:dyDescent="0.2">
      <c r="A4408" t="str">
        <f>'Novia Web Query'!A4404</f>
        <v>GB00B6065718</v>
      </c>
      <c r="B4408" t="str">
        <f>VLOOKUP(NoviaFunds[[#This Row],[ISIN]],'Novia Web Query'!$A:$E,2,FALSE)</f>
        <v>WAY Global Momentum A Acc in GB</v>
      </c>
      <c r="C4408" t="str">
        <f>VLOOKUP(NoviaFunds[[#This Row],[ISIN]],'Novia Web Query'!$A:$E,3,FALSE)</f>
        <v>UT Specialist</v>
      </c>
      <c r="D4408" s="139">
        <f>VLOOKUP(NoviaFunds[[#This Row],[ISIN]],'Novia Web Query'!$A:$E,4,FALSE)/100</f>
        <v>2.2099999999999998E-2</v>
      </c>
      <c r="E4408" s="3" t="str">
        <f>VLOOKUP(NoviaFunds[[#This Row],[ISIN]],'Novia Web Query'!$A:$E,5,FALSE)</f>
        <v>31/08/2021</v>
      </c>
      <c r="F4408" t="str">
        <f>VLOOKUP(NoviaFunds[[#This Row],[Sector]],Sectors[],2,FALSE)</f>
        <v>Specialist</v>
      </c>
    </row>
    <row r="4409" spans="1:6" x14ac:dyDescent="0.2">
      <c r="A4409" t="str">
        <f>'Novia Web Query'!A4405</f>
        <v>GB00B62SHJ17</v>
      </c>
      <c r="B4409" t="str">
        <f>VLOOKUP(NoviaFunds[[#This Row],[ISIN]],'Novia Web Query'!$A:$E,2,FALSE)</f>
        <v>WAY Global Momentum A Inc TR in GB</v>
      </c>
      <c r="C4409" t="str">
        <f>VLOOKUP(NoviaFunds[[#This Row],[ISIN]],'Novia Web Query'!$A:$E,3,FALSE)</f>
        <v>UT Specialist</v>
      </c>
      <c r="D4409" s="139">
        <f>VLOOKUP(NoviaFunds[[#This Row],[ISIN]],'Novia Web Query'!$A:$E,4,FALSE)/100</f>
        <v>2.2099999999999998E-2</v>
      </c>
      <c r="E4409" s="3" t="str">
        <f>VLOOKUP(NoviaFunds[[#This Row],[ISIN]],'Novia Web Query'!$A:$E,5,FALSE)</f>
        <v>31/08/2021</v>
      </c>
      <c r="F4409" t="str">
        <f>VLOOKUP(NoviaFunds[[#This Row],[Sector]],Sectors[],2,FALSE)</f>
        <v>Specialist</v>
      </c>
    </row>
    <row r="4410" spans="1:6" x14ac:dyDescent="0.2">
      <c r="A4410" t="str">
        <f>'Novia Web Query'!A4406</f>
        <v>GB00B64Q7V56</v>
      </c>
      <c r="B4410" t="str">
        <f>VLOOKUP(NoviaFunds[[#This Row],[ISIN]],'Novia Web Query'!$A:$E,2,FALSE)</f>
        <v>WAY Global Momentum D Way Inst Net Inc TR in GB</v>
      </c>
      <c r="C4410" t="str">
        <f>VLOOKUP(NoviaFunds[[#This Row],[ISIN]],'Novia Web Query'!$A:$E,3,FALSE)</f>
        <v>UT Specialist</v>
      </c>
      <c r="D4410" s="139">
        <f>VLOOKUP(NoviaFunds[[#This Row],[ISIN]],'Novia Web Query'!$A:$E,4,FALSE)/100</f>
        <v>1.46E-2</v>
      </c>
      <c r="E4410" s="3" t="str">
        <f>VLOOKUP(NoviaFunds[[#This Row],[ISIN]],'Novia Web Query'!$A:$E,5,FALSE)</f>
        <v>31/08/2021</v>
      </c>
      <c r="F4410" t="str">
        <f>VLOOKUP(NoviaFunds[[#This Row],[Sector]],Sectors[],2,FALSE)</f>
        <v>Specialist</v>
      </c>
    </row>
    <row r="4411" spans="1:6" x14ac:dyDescent="0.2">
      <c r="A4411" t="str">
        <f>'Novia Web Query'!A4407</f>
        <v>GB00B57W7682</v>
      </c>
      <c r="B4411" t="str">
        <f>VLOOKUP(NoviaFunds[[#This Row],[ISIN]],'Novia Web Query'!$A:$E,2,FALSE)</f>
        <v>WAY Global Momentum E Acc in GB</v>
      </c>
      <c r="C4411" t="str">
        <f>VLOOKUP(NoviaFunds[[#This Row],[ISIN]],'Novia Web Query'!$A:$E,3,FALSE)</f>
        <v>UT Specialist</v>
      </c>
      <c r="D4411" s="139">
        <f>VLOOKUP(NoviaFunds[[#This Row],[ISIN]],'Novia Web Query'!$A:$E,4,FALSE)/100</f>
        <v>1.61E-2</v>
      </c>
      <c r="E4411" s="3" t="str">
        <f>VLOOKUP(NoviaFunds[[#This Row],[ISIN]],'Novia Web Query'!$A:$E,5,FALSE)</f>
        <v>31/08/2021</v>
      </c>
      <c r="F4411" t="str">
        <f>VLOOKUP(NoviaFunds[[#This Row],[Sector]],Sectors[],2,FALSE)</f>
        <v>Specialist</v>
      </c>
    </row>
    <row r="4412" spans="1:6" x14ac:dyDescent="0.2">
      <c r="A4412" t="str">
        <f>'Novia Web Query'!A4408</f>
        <v>GB00B8XD0909</v>
      </c>
      <c r="B4412" t="str">
        <f>VLOOKUP(NoviaFunds[[#This Row],[ISIN]],'Novia Web Query'!$A:$E,2,FALSE)</f>
        <v>WAY Global Momentum E Inc TR in GB</v>
      </c>
      <c r="C4412" t="str">
        <f>VLOOKUP(NoviaFunds[[#This Row],[ISIN]],'Novia Web Query'!$A:$E,3,FALSE)</f>
        <v>UT Specialist</v>
      </c>
      <c r="D4412" s="139">
        <f>VLOOKUP(NoviaFunds[[#This Row],[ISIN]],'Novia Web Query'!$A:$E,4,FALSE)/100</f>
        <v>1.61E-2</v>
      </c>
      <c r="E4412" s="3" t="str">
        <f>VLOOKUP(NoviaFunds[[#This Row],[ISIN]],'Novia Web Query'!$A:$E,5,FALSE)</f>
        <v>31/08/2021</v>
      </c>
      <c r="F4412" t="str">
        <f>VLOOKUP(NoviaFunds[[#This Row],[Sector]],Sectors[],2,FALSE)</f>
        <v>Specialist</v>
      </c>
    </row>
    <row r="4413" spans="1:6" x14ac:dyDescent="0.2">
      <c r="A4413" t="str">
        <f>'Novia Web Query'!A4409</f>
        <v>GB00B87X8G93</v>
      </c>
      <c r="B4413" t="str">
        <f>VLOOKUP(NoviaFunds[[#This Row],[ISIN]],'Novia Web Query'!$A:$E,2,FALSE)</f>
        <v>WAY MA Cautious Portfolio E Acc in GB</v>
      </c>
      <c r="C4413" t="str">
        <f>VLOOKUP(NoviaFunds[[#This Row],[ISIN]],'Novia Web Query'!$A:$E,3,FALSE)</f>
        <v>UT Mixed Investment 20-60% Shares</v>
      </c>
      <c r="D4413" s="139">
        <f>VLOOKUP(NoviaFunds[[#This Row],[ISIN]],'Novia Web Query'!$A:$E,4,FALSE)/100</f>
        <v>1.89E-2</v>
      </c>
      <c r="E4413" s="3" t="str">
        <f>VLOOKUP(NoviaFunds[[#This Row],[ISIN]],'Novia Web Query'!$A:$E,5,FALSE)</f>
        <v>30/09/2021</v>
      </c>
      <c r="F4413" t="str">
        <f>VLOOKUP(NoviaFunds[[#This Row],[Sector]],Sectors[],2,FALSE)</f>
        <v>Mixed 20%-60%</v>
      </c>
    </row>
    <row r="4414" spans="1:6" x14ac:dyDescent="0.2">
      <c r="A4414" t="str">
        <f>'Novia Web Query'!A4410</f>
        <v>GB00B8JGQM80</v>
      </c>
      <c r="B4414" t="str">
        <f>VLOOKUP(NoviaFunds[[#This Row],[ISIN]],'Novia Web Query'!$A:$E,2,FALSE)</f>
        <v>WAY MA Cautious Portfolio E Inc TR in GB</v>
      </c>
      <c r="C4414" t="str">
        <f>VLOOKUP(NoviaFunds[[#This Row],[ISIN]],'Novia Web Query'!$A:$E,3,FALSE)</f>
        <v>UT Mixed Investment 20-60% Shares</v>
      </c>
      <c r="D4414" s="139">
        <f>VLOOKUP(NoviaFunds[[#This Row],[ISIN]],'Novia Web Query'!$A:$E,4,FALSE)/100</f>
        <v>1.89E-2</v>
      </c>
      <c r="E4414" s="3" t="str">
        <f>VLOOKUP(NoviaFunds[[#This Row],[ISIN]],'Novia Web Query'!$A:$E,5,FALSE)</f>
        <v>30/09/2021</v>
      </c>
      <c r="F4414" t="str">
        <f>VLOOKUP(NoviaFunds[[#This Row],[Sector]],Sectors[],2,FALSE)</f>
        <v>Mixed 20%-60%</v>
      </c>
    </row>
    <row r="4415" spans="1:6" x14ac:dyDescent="0.2">
      <c r="A4415" t="str">
        <f>'Novia Web Query'!A4411</f>
        <v>GB0034272533</v>
      </c>
      <c r="B4415" t="str">
        <f>VLOOKUP(NoviaFunds[[#This Row],[ISIN]],'Novia Web Query'!$A:$E,2,FALSE)</f>
        <v>Wise Funds Limited TB Wise Multi-Asset Growth B Acc TR in GB</v>
      </c>
      <c r="C4415" t="str">
        <f>VLOOKUP(NoviaFunds[[#This Row],[ISIN]],'Novia Web Query'!$A:$E,3,FALSE)</f>
        <v>UT Flexible Investment</v>
      </c>
      <c r="D4415" s="139">
        <f>VLOOKUP(NoviaFunds[[#This Row],[ISIN]],'Novia Web Query'!$A:$E,4,FALSE)/100</f>
        <v>1.15E-2</v>
      </c>
      <c r="E4415" s="3" t="str">
        <f>VLOOKUP(NoviaFunds[[#This Row],[ISIN]],'Novia Web Query'!$A:$E,5,FALSE)</f>
        <v>31/08/2021</v>
      </c>
      <c r="F4415" t="str">
        <f>VLOOKUP(NoviaFunds[[#This Row],[Sector]],Sectors[],2,FALSE)</f>
        <v>Flexible</v>
      </c>
    </row>
    <row r="4416" spans="1:6" x14ac:dyDescent="0.2">
      <c r="A4416" t="str">
        <f>'Novia Web Query'!A4412</f>
        <v>GB00B0LJ1M47</v>
      </c>
      <c r="B4416" t="str">
        <f>VLOOKUP(NoviaFunds[[#This Row],[ISIN]],'Novia Web Query'!$A:$E,2,FALSE)</f>
        <v>Wise Funds Limited TB Wise Multi-Asset Income B Acc in GB</v>
      </c>
      <c r="C4416" t="str">
        <f>VLOOKUP(NoviaFunds[[#This Row],[ISIN]],'Novia Web Query'!$A:$E,3,FALSE)</f>
        <v>UT Flexible Investment</v>
      </c>
      <c r="D4416" s="139">
        <f>VLOOKUP(NoviaFunds[[#This Row],[ISIN]],'Novia Web Query'!$A:$E,4,FALSE)/100</f>
        <v>9.3999999999999986E-3</v>
      </c>
      <c r="E4416" s="3" t="str">
        <f>VLOOKUP(NoviaFunds[[#This Row],[ISIN]],'Novia Web Query'!$A:$E,5,FALSE)</f>
        <v>31/08/2021</v>
      </c>
      <c r="F4416" t="str">
        <f>VLOOKUP(NoviaFunds[[#This Row],[Sector]],Sectors[],2,FALSE)</f>
        <v>Flexible</v>
      </c>
    </row>
    <row r="4417" spans="1:6" x14ac:dyDescent="0.2">
      <c r="A4417" t="str">
        <f>'Novia Web Query'!A4413</f>
        <v>GB00B0LJ0160</v>
      </c>
      <c r="B4417" t="str">
        <f>VLOOKUP(NoviaFunds[[#This Row],[ISIN]],'Novia Web Query'!$A:$E,2,FALSE)</f>
        <v>Wise Funds Limited TB Wise Multi-Asset Income B Inc TR in GB</v>
      </c>
      <c r="C4417" t="str">
        <f>VLOOKUP(NoviaFunds[[#This Row],[ISIN]],'Novia Web Query'!$A:$E,3,FALSE)</f>
        <v>UT Flexible Investment</v>
      </c>
      <c r="D4417" s="139">
        <f>VLOOKUP(NoviaFunds[[#This Row],[ISIN]],'Novia Web Query'!$A:$E,4,FALSE)/100</f>
        <v>9.3999999999999986E-3</v>
      </c>
      <c r="E4417" s="3" t="str">
        <f>VLOOKUP(NoviaFunds[[#This Row],[ISIN]],'Novia Web Query'!$A:$E,5,FALSE)</f>
        <v>31/08/2021</v>
      </c>
      <c r="F4417" t="str">
        <f>VLOOKUP(NoviaFunds[[#This Row],[Sector]],Sectors[],2,FALSE)</f>
        <v>Flexible</v>
      </c>
    </row>
    <row r="4418" spans="1:6" x14ac:dyDescent="0.2">
      <c r="A4418" t="str">
        <f>'Novia Web Query'!A4414</f>
        <v>GB00BV8VPH36</v>
      </c>
      <c r="B4418" t="str">
        <f>VLOOKUP(NoviaFunds[[#This Row],[ISIN]],'Novia Web Query'!$A:$E,2,FALSE)</f>
        <v>WS Charteris Global Macro A Acc in GB</v>
      </c>
      <c r="C4418" t="str">
        <f>VLOOKUP(NoviaFunds[[#This Row],[ISIN]],'Novia Web Query'!$A:$E,3,FALSE)</f>
        <v>UT Global</v>
      </c>
      <c r="D4418" s="139">
        <f>VLOOKUP(NoviaFunds[[#This Row],[ISIN]],'Novia Web Query'!$A:$E,4,FALSE)/100</f>
        <v>1.9199999999999998E-2</v>
      </c>
      <c r="E4418" s="3" t="str">
        <f>VLOOKUP(NoviaFunds[[#This Row],[ISIN]],'Novia Web Query'!$A:$E,5,FALSE)</f>
        <v>19/02/2021</v>
      </c>
      <c r="F4418" t="str">
        <f>VLOOKUP(NoviaFunds[[#This Row],[Sector]],Sectors[],2,FALSE)</f>
        <v>Other Equities</v>
      </c>
    </row>
    <row r="4419" spans="1:6" x14ac:dyDescent="0.2">
      <c r="A4419" t="str">
        <f>'Novia Web Query'!A4415</f>
        <v>GB00BYQ2JS82</v>
      </c>
      <c r="B4419" t="str">
        <f>VLOOKUP(NoviaFunds[[#This Row],[ISIN]],'Novia Web Query'!$A:$E,2,FALSE)</f>
        <v>WS Charteris Gold &amp; Precious Metals A Acc in GB**</v>
      </c>
      <c r="C4419" t="str">
        <f>VLOOKUP(NoviaFunds[[#This Row],[ISIN]],'Novia Web Query'!$A:$E,3,FALSE)</f>
        <v>UT Commodity/Natural Resources</v>
      </c>
      <c r="D4419" s="139">
        <f>VLOOKUP(NoviaFunds[[#This Row],[ISIN]],'Novia Web Query'!$A:$E,4,FALSE)/100</f>
        <v>1.6E-2</v>
      </c>
      <c r="E4419" s="3" t="str">
        <f>VLOOKUP(NoviaFunds[[#This Row],[ISIN]],'Novia Web Query'!$A:$E,5,FALSE)</f>
        <v>19/02/2021</v>
      </c>
      <c r="F4419" t="e">
        <f>VLOOKUP(NoviaFunds[[#This Row],[Sector]],Sectors[],2,FALSE)</f>
        <v>#N/A</v>
      </c>
    </row>
    <row r="4420" spans="1:6" x14ac:dyDescent="0.2">
      <c r="A4420" t="str">
        <f>'Novia Web Query'!A4416</f>
        <v>GB00BYQ2JT99</v>
      </c>
      <c r="B4420" t="str">
        <f>VLOOKUP(NoviaFunds[[#This Row],[ISIN]],'Novia Web Query'!$A:$E,2,FALSE)</f>
        <v>WS Charteris Gold &amp; Precious Metals A Inc TR in GB**</v>
      </c>
      <c r="C4420" t="str">
        <f>VLOOKUP(NoviaFunds[[#This Row],[ISIN]],'Novia Web Query'!$A:$E,3,FALSE)</f>
        <v>UT Commodity/Natural Resources</v>
      </c>
      <c r="D4420" s="139">
        <f>VLOOKUP(NoviaFunds[[#This Row],[ISIN]],'Novia Web Query'!$A:$E,4,FALSE)/100</f>
        <v>1.61E-2</v>
      </c>
      <c r="E4420" s="3" t="str">
        <f>VLOOKUP(NoviaFunds[[#This Row],[ISIN]],'Novia Web Query'!$A:$E,5,FALSE)</f>
        <v>19/02/2021</v>
      </c>
      <c r="F4420" t="e">
        <f>VLOOKUP(NoviaFunds[[#This Row],[Sector]],Sectors[],2,FALSE)</f>
        <v>#N/A</v>
      </c>
    </row>
    <row r="4421" spans="1:6" x14ac:dyDescent="0.2">
      <c r="A4421" t="str">
        <f>'Novia Web Query'!A4417</f>
        <v>GB00BYQ2JY43</v>
      </c>
      <c r="B4421" t="str">
        <f>VLOOKUP(NoviaFunds[[#This Row],[ISIN]],'Novia Web Query'!$A:$E,2,FALSE)</f>
        <v>WS Charteris Gold &amp; Precious Metals I Acc in GB</v>
      </c>
      <c r="C4421" t="str">
        <f>VLOOKUP(NoviaFunds[[#This Row],[ISIN]],'Novia Web Query'!$A:$E,3,FALSE)</f>
        <v>UT Commodity/Natural Resources</v>
      </c>
      <c r="D4421" s="139">
        <f>VLOOKUP(NoviaFunds[[#This Row],[ISIN]],'Novia Web Query'!$A:$E,4,FALSE)/100</f>
        <v>1.34E-2</v>
      </c>
      <c r="E4421" s="3" t="str">
        <f>VLOOKUP(NoviaFunds[[#This Row],[ISIN]],'Novia Web Query'!$A:$E,5,FALSE)</f>
        <v>19/02/2021</v>
      </c>
      <c r="F4421" t="e">
        <f>VLOOKUP(NoviaFunds[[#This Row],[Sector]],Sectors[],2,FALSE)</f>
        <v>#N/A</v>
      </c>
    </row>
    <row r="4422" spans="1:6" x14ac:dyDescent="0.2">
      <c r="A4422" t="str">
        <f>'Novia Web Query'!A4418</f>
        <v>GB00BD9GLM88</v>
      </c>
      <c r="B4422" t="str">
        <f>VLOOKUP(NoviaFunds[[#This Row],[ISIN]],'Novia Web Query'!$A:$E,2,FALSE)</f>
        <v>WS Charteris Strategic Bond I Acc in GB</v>
      </c>
      <c r="C4422" t="str">
        <f>VLOOKUP(NoviaFunds[[#This Row],[ISIN]],'Novia Web Query'!$A:$E,3,FALSE)</f>
        <v>UT Sterling Strategic Bond</v>
      </c>
      <c r="D4422" s="139">
        <f>VLOOKUP(NoviaFunds[[#This Row],[ISIN]],'Novia Web Query'!$A:$E,4,FALSE)/100</f>
        <v>1.8700000000000001E-2</v>
      </c>
      <c r="E4422" s="3" t="str">
        <f>VLOOKUP(NoviaFunds[[#This Row],[ISIN]],'Novia Web Query'!$A:$E,5,FALSE)</f>
        <v>19/02/2021</v>
      </c>
      <c r="F4422" t="str">
        <f>VLOOKUP(NoviaFunds[[#This Row],[Sector]],Sectors[],2,FALSE)</f>
        <v>Other Bonds</v>
      </c>
    </row>
    <row r="4423" spans="1:6" x14ac:dyDescent="0.2">
      <c r="A4423" t="str">
        <f>'Novia Web Query'!A4419</f>
        <v>GB00BD9GLN95</v>
      </c>
      <c r="B4423" t="str">
        <f>VLOOKUP(NoviaFunds[[#This Row],[ISIN]],'Novia Web Query'!$A:$E,2,FALSE)</f>
        <v>WS Charteris Strategic Bond I Inc TR in GB</v>
      </c>
      <c r="C4423" t="str">
        <f>VLOOKUP(NoviaFunds[[#This Row],[ISIN]],'Novia Web Query'!$A:$E,3,FALSE)</f>
        <v>UT Sterling Strategic Bond</v>
      </c>
      <c r="D4423" s="139">
        <f>VLOOKUP(NoviaFunds[[#This Row],[ISIN]],'Novia Web Query'!$A:$E,4,FALSE)/100</f>
        <v>1.8700000000000001E-2</v>
      </c>
      <c r="E4423" s="3" t="str">
        <f>VLOOKUP(NoviaFunds[[#This Row],[ISIN]],'Novia Web Query'!$A:$E,5,FALSE)</f>
        <v>19/02/2021</v>
      </c>
      <c r="F4423" t="str">
        <f>VLOOKUP(NoviaFunds[[#This Row],[Sector]],Sectors[],2,FALSE)</f>
        <v>Other Bonds</v>
      </c>
    </row>
    <row r="4424" spans="1:6" x14ac:dyDescent="0.2">
      <c r="A4424" t="str">
        <f>'Novia Web Query'!A4420</f>
        <v>GB00B4W2H776</v>
      </c>
      <c r="B4424" t="str">
        <f>VLOOKUP(NoviaFunds[[#This Row],[ISIN]],'Novia Web Query'!$A:$E,2,FALSE)</f>
        <v>WS Verbatim Multi-Index Portfolio 3 in GB</v>
      </c>
      <c r="C4424" t="str">
        <f>VLOOKUP(NoviaFunds[[#This Row],[ISIN]],'Novia Web Query'!$A:$E,3,FALSE)</f>
        <v>UT Mixed Investment 20-60% Shares</v>
      </c>
      <c r="D4424" s="139">
        <f>VLOOKUP(NoviaFunds[[#This Row],[ISIN]],'Novia Web Query'!$A:$E,4,FALSE)/100</f>
        <v>7.6E-3</v>
      </c>
      <c r="E4424" s="3" t="str">
        <f>VLOOKUP(NoviaFunds[[#This Row],[ISIN]],'Novia Web Query'!$A:$E,5,FALSE)</f>
        <v>19/02/2021</v>
      </c>
      <c r="F4424" t="str">
        <f>VLOOKUP(NoviaFunds[[#This Row],[Sector]],Sectors[],2,FALSE)</f>
        <v>Mixed 20%-60%</v>
      </c>
    </row>
    <row r="4425" spans="1:6" x14ac:dyDescent="0.2">
      <c r="A4425" t="str">
        <f>'Novia Web Query'!A4421</f>
        <v>GB00B4N5YW98</v>
      </c>
      <c r="B4425" t="str">
        <f>VLOOKUP(NoviaFunds[[#This Row],[ISIN]],'Novia Web Query'!$A:$E,2,FALSE)</f>
        <v>WS Verbatim Multi-Index Portfolio 4 in GB</v>
      </c>
      <c r="C4425" t="str">
        <f>VLOOKUP(NoviaFunds[[#This Row],[ISIN]],'Novia Web Query'!$A:$E,3,FALSE)</f>
        <v>UT Mixed Investment 20-60% Shares</v>
      </c>
      <c r="D4425" s="139">
        <f>VLOOKUP(NoviaFunds[[#This Row],[ISIN]],'Novia Web Query'!$A:$E,4,FALSE)/100</f>
        <v>7.4000000000000003E-3</v>
      </c>
      <c r="E4425" s="3" t="str">
        <f>VLOOKUP(NoviaFunds[[#This Row],[ISIN]],'Novia Web Query'!$A:$E,5,FALSE)</f>
        <v>19/02/2021</v>
      </c>
      <c r="F4425" t="str">
        <f>VLOOKUP(NoviaFunds[[#This Row],[Sector]],Sectors[],2,FALSE)</f>
        <v>Mixed 20%-60%</v>
      </c>
    </row>
    <row r="4426" spans="1:6" x14ac:dyDescent="0.2">
      <c r="A4426" t="str">
        <f>'Novia Web Query'!A4422</f>
        <v>GB00B4WHDG30</v>
      </c>
      <c r="B4426" t="str">
        <f>VLOOKUP(NoviaFunds[[#This Row],[ISIN]],'Novia Web Query'!$A:$E,2,FALSE)</f>
        <v>WS Verbatim Multi-Index Portfolio 5 in GB</v>
      </c>
      <c r="C4426" t="str">
        <f>VLOOKUP(NoviaFunds[[#This Row],[ISIN]],'Novia Web Query'!$A:$E,3,FALSE)</f>
        <v>UT Mixed Investment 40-85% Shares</v>
      </c>
      <c r="D4426" s="139">
        <f>VLOOKUP(NoviaFunds[[#This Row],[ISIN]],'Novia Web Query'!$A:$E,4,FALSE)/100</f>
        <v>7.6E-3</v>
      </c>
      <c r="E4426" s="3" t="str">
        <f>VLOOKUP(NoviaFunds[[#This Row],[ISIN]],'Novia Web Query'!$A:$E,5,FALSE)</f>
        <v>19/02/2021</v>
      </c>
      <c r="F4426" t="str">
        <f>VLOOKUP(NoviaFunds[[#This Row],[Sector]],Sectors[],2,FALSE)</f>
        <v>Mixed 40%-85%</v>
      </c>
    </row>
    <row r="4427" spans="1:6" x14ac:dyDescent="0.2">
      <c r="A4427" t="str">
        <f>'Novia Web Query'!A4423</f>
        <v>GB00B4W0ZG69</v>
      </c>
      <c r="B4427" t="str">
        <f>VLOOKUP(NoviaFunds[[#This Row],[ISIN]],'Novia Web Query'!$A:$E,2,FALSE)</f>
        <v>WS Verbatim Multi-Index Portfolio 6 in GB</v>
      </c>
      <c r="C4427" t="str">
        <f>VLOOKUP(NoviaFunds[[#This Row],[ISIN]],'Novia Web Query'!$A:$E,3,FALSE)</f>
        <v>UT Flexible Investment</v>
      </c>
      <c r="D4427" s="139">
        <f>VLOOKUP(NoviaFunds[[#This Row],[ISIN]],'Novia Web Query'!$A:$E,4,FALSE)/100</f>
        <v>6.8999999999999999E-3</v>
      </c>
      <c r="E4427" s="3" t="str">
        <f>VLOOKUP(NoviaFunds[[#This Row],[ISIN]],'Novia Web Query'!$A:$E,5,FALSE)</f>
        <v>19/02/2021</v>
      </c>
      <c r="F4427" t="str">
        <f>VLOOKUP(NoviaFunds[[#This Row],[Sector]],Sectors[],2,FALSE)</f>
        <v>Flexible</v>
      </c>
    </row>
    <row r="4428" spans="1:6" x14ac:dyDescent="0.2">
      <c r="A4428" t="str">
        <f>'Novia Web Query'!A4424</f>
        <v>GB00B3PSD118</v>
      </c>
      <c r="B4428" t="str">
        <f>VLOOKUP(NoviaFunds[[#This Row],[ISIN]],'Novia Web Query'!$A:$E,2,FALSE)</f>
        <v>WS Verbatim Portfolio 3 B Acc in GB</v>
      </c>
      <c r="C4428" t="str">
        <f>VLOOKUP(NoviaFunds[[#This Row],[ISIN]],'Novia Web Query'!$A:$E,3,FALSE)</f>
        <v>UT Unclassified</v>
      </c>
      <c r="D4428" s="139">
        <f>VLOOKUP(NoviaFunds[[#This Row],[ISIN]],'Novia Web Query'!$A:$E,4,FALSE)/100</f>
        <v>1.3100000000000001E-2</v>
      </c>
      <c r="E4428" s="3" t="str">
        <f>VLOOKUP(NoviaFunds[[#This Row],[ISIN]],'Novia Web Query'!$A:$E,5,FALSE)</f>
        <v>19/02/2021</v>
      </c>
      <c r="F4428" t="str">
        <f>VLOOKUP(NoviaFunds[[#This Row],[Sector]],Sectors[],2,FALSE)</f>
        <v>Unclassified</v>
      </c>
    </row>
    <row r="4429" spans="1:6" x14ac:dyDescent="0.2">
      <c r="A4429" t="str">
        <f>'Novia Web Query'!A4425</f>
        <v>GB00B3P42N43</v>
      </c>
      <c r="B4429" t="str">
        <f>VLOOKUP(NoviaFunds[[#This Row],[ISIN]],'Novia Web Query'!$A:$E,2,FALSE)</f>
        <v>WS Verbatim Portfolio 4 B Acc in GB</v>
      </c>
      <c r="C4429" t="str">
        <f>VLOOKUP(NoviaFunds[[#This Row],[ISIN]],'Novia Web Query'!$A:$E,3,FALSE)</f>
        <v>UT Unclassified</v>
      </c>
      <c r="D4429" s="139">
        <f>VLOOKUP(NoviaFunds[[#This Row],[ISIN]],'Novia Web Query'!$A:$E,4,FALSE)/100</f>
        <v>1.38E-2</v>
      </c>
      <c r="E4429" s="3" t="str">
        <f>VLOOKUP(NoviaFunds[[#This Row],[ISIN]],'Novia Web Query'!$A:$E,5,FALSE)</f>
        <v>19/02/2021</v>
      </c>
      <c r="F4429" t="str">
        <f>VLOOKUP(NoviaFunds[[#This Row],[Sector]],Sectors[],2,FALSE)</f>
        <v>Unclassified</v>
      </c>
    </row>
    <row r="4430" spans="1:6" x14ac:dyDescent="0.2">
      <c r="A4430" t="str">
        <f>'Novia Web Query'!A4426</f>
        <v>GB00B3P2HB11</v>
      </c>
      <c r="B4430" t="str">
        <f>VLOOKUP(NoviaFunds[[#This Row],[ISIN]],'Novia Web Query'!$A:$E,2,FALSE)</f>
        <v>WS Verbatim Portfolio 5 Growth B Acc in GB</v>
      </c>
      <c r="C4430" t="str">
        <f>VLOOKUP(NoviaFunds[[#This Row],[ISIN]],'Novia Web Query'!$A:$E,3,FALSE)</f>
        <v>UT Unclassified</v>
      </c>
      <c r="D4430" s="139">
        <f>VLOOKUP(NoviaFunds[[#This Row],[ISIN]],'Novia Web Query'!$A:$E,4,FALSE)/100</f>
        <v>1.44E-2</v>
      </c>
      <c r="E4430" s="3" t="str">
        <f>VLOOKUP(NoviaFunds[[#This Row],[ISIN]],'Novia Web Query'!$A:$E,5,FALSE)</f>
        <v>19/02/2021</v>
      </c>
      <c r="F4430" t="str">
        <f>VLOOKUP(NoviaFunds[[#This Row],[Sector]],Sectors[],2,FALSE)</f>
        <v>Unclassified</v>
      </c>
    </row>
    <row r="4431" spans="1:6" x14ac:dyDescent="0.2">
      <c r="A4431" t="str">
        <f>'Novia Web Query'!A4427</f>
        <v>GB00B3P1DM13</v>
      </c>
      <c r="B4431" t="str">
        <f>VLOOKUP(NoviaFunds[[#This Row],[ISIN]],'Novia Web Query'!$A:$E,2,FALSE)</f>
        <v>WS Verbatim Portfolio 5 Income B Inc TR in GB</v>
      </c>
      <c r="C4431" t="str">
        <f>VLOOKUP(NoviaFunds[[#This Row],[ISIN]],'Novia Web Query'!$A:$E,3,FALSE)</f>
        <v>UT Unclassified</v>
      </c>
      <c r="D4431" s="139">
        <f>VLOOKUP(NoviaFunds[[#This Row],[ISIN]],'Novia Web Query'!$A:$E,4,FALSE)/100</f>
        <v>1.3000000000000001E-2</v>
      </c>
      <c r="E4431" s="3" t="str">
        <f>VLOOKUP(NoviaFunds[[#This Row],[ISIN]],'Novia Web Query'!$A:$E,5,FALSE)</f>
        <v>19/02/2021</v>
      </c>
      <c r="F4431" t="str">
        <f>VLOOKUP(NoviaFunds[[#This Row],[Sector]],Sectors[],2,FALSE)</f>
        <v>Unclassified</v>
      </c>
    </row>
    <row r="4432" spans="1:6" x14ac:dyDescent="0.2">
      <c r="A4432" t="str">
        <f>'Novia Web Query'!A4428</f>
        <v>GB00B3MPJG29</v>
      </c>
      <c r="B4432" t="str">
        <f>VLOOKUP(NoviaFunds[[#This Row],[ISIN]],'Novia Web Query'!$A:$E,2,FALSE)</f>
        <v>WS Verbatim Portfolio 6 B Acc in GB</v>
      </c>
      <c r="C4432" t="str">
        <f>VLOOKUP(NoviaFunds[[#This Row],[ISIN]],'Novia Web Query'!$A:$E,3,FALSE)</f>
        <v>UT Unclassified</v>
      </c>
      <c r="D4432" s="139">
        <f>VLOOKUP(NoviaFunds[[#This Row],[ISIN]],'Novia Web Query'!$A:$E,4,FALSE)/100</f>
        <v>1.4999999999999999E-2</v>
      </c>
      <c r="E4432" s="3" t="str">
        <f>VLOOKUP(NoviaFunds[[#This Row],[ISIN]],'Novia Web Query'!$A:$E,5,FALSE)</f>
        <v>19/02/2021</v>
      </c>
      <c r="F4432" t="str">
        <f>VLOOKUP(NoviaFunds[[#This Row],[Sector]],Sectors[],2,FALSE)</f>
        <v>Unclassified</v>
      </c>
    </row>
    <row r="4433" spans="1:6" x14ac:dyDescent="0.2">
      <c r="A4433" t="str">
        <f>'Novia Web Query'!A4429</f>
        <v>GB00B3PVM139</v>
      </c>
      <c r="B4433" t="str">
        <f>VLOOKUP(NoviaFunds[[#This Row],[ISIN]],'Novia Web Query'!$A:$E,2,FALSE)</f>
        <v>WS Verbatim Portfolio 7 B Acc in GB</v>
      </c>
      <c r="C4433" t="str">
        <f>VLOOKUP(NoviaFunds[[#This Row],[ISIN]],'Novia Web Query'!$A:$E,3,FALSE)</f>
        <v>UT Unclassified</v>
      </c>
      <c r="D4433" s="139">
        <f>VLOOKUP(NoviaFunds[[#This Row],[ISIN]],'Novia Web Query'!$A:$E,4,FALSE)/100</f>
        <v>1.5700000000000002E-2</v>
      </c>
      <c r="E4433" s="3" t="str">
        <f>VLOOKUP(NoviaFunds[[#This Row],[ISIN]],'Novia Web Query'!$A:$E,5,FALSE)</f>
        <v>19/02/2021</v>
      </c>
      <c r="F4433" t="str">
        <f>VLOOKUP(NoviaFunds[[#This Row],[Sector]],Sectors[],2,FALSE)</f>
        <v>Unclassified</v>
      </c>
    </row>
    <row r="4434" spans="1:6" x14ac:dyDescent="0.2">
      <c r="A4434" t="str">
        <f>'Novia Web Query'!A4431</f>
        <v>IE00B9M1BB17</v>
      </c>
      <c r="B4434" t="str">
        <f>VLOOKUP(NoviaFunds[[#This Row],[ISIN]],'Novia Web Query'!$A:$E,2,FALSE)</f>
        <v>Vanguard UK Short-Term Investment Grade Bond Index Acc</v>
      </c>
      <c r="C4434" t="str">
        <f>VLOOKUP(NoviaFunds[[#This Row],[ISIN]],'Novia Web Query'!$A:$E,3,FALSE)</f>
        <v>IA Sterling Corporate Bond</v>
      </c>
      <c r="D4434" s="139">
        <f>VLOOKUP(NoviaFunds[[#This Row],[ISIN]],'Novia Web Query'!$A:$E,4,FALSE)/100</f>
        <v>1.1999999999999999E-3</v>
      </c>
      <c r="E4434" s="3">
        <f>VLOOKUP(NoviaFunds[[#This Row],[ISIN]],'Novia Web Query'!$A:$E,5,FALSE)</f>
        <v>44012</v>
      </c>
      <c r="F4434" t="str">
        <f>VLOOKUP(NoviaFunds[[#This Row],[Sector]],Sectors[],2,FALSE)</f>
        <v>Sterling Corporate Bonds</v>
      </c>
    </row>
    <row r="4435" spans="1:6" x14ac:dyDescent="0.2">
      <c r="A4435" t="str">
        <f>'Novia Web Query'!A4430</f>
        <v>IE00B3DJ5K90</v>
      </c>
      <c r="B4435" t="str">
        <f>VLOOKUP(NoviaFunds[[#This Row],[ISIN]],'Novia Web Query'!$A:$E,2,FALSE)</f>
        <v>Federated Hermes Global Emerging Markets F Acc</v>
      </c>
      <c r="C4435" t="str">
        <f>VLOOKUP(NoviaFunds[[#This Row],[ISIN]],'Novia Web Query'!$A:$E,3,FALSE)</f>
        <v>IA Global Emerging Markets</v>
      </c>
      <c r="D4435" s="139">
        <f>VLOOKUP(NoviaFunds[[#This Row],[ISIN]],'Novia Web Query'!$A:$E,4,FALSE)/100</f>
        <v>1.1000000000000001E-2</v>
      </c>
      <c r="E4435" s="244">
        <f>VLOOKUP(NoviaFunds[[#This Row],[ISIN]],'Novia Web Query'!$A:$E,5,FALSE)</f>
        <v>44196</v>
      </c>
      <c r="F4435" t="str">
        <f>VLOOKUP(NoviaFunds[[#This Row],[Sector]],Sectors[],2,FALSE)</f>
        <v>Emerging Markets</v>
      </c>
    </row>
    <row r="4436" spans="1:6" x14ac:dyDescent="0.2">
      <c r="A4436" t="str">
        <f>'Novia Web Query'!A4431</f>
        <v>IE00B9M1BB17</v>
      </c>
      <c r="B4436" t="str">
        <f>VLOOKUP(NoviaFunds[[#This Row],[ISIN]],'Novia Web Query'!$A:$E,2,FALSE)</f>
        <v>Vanguard UK Short-Term Investment Grade Bond Index Acc</v>
      </c>
      <c r="C4436" t="str">
        <f>VLOOKUP(NoviaFunds[[#This Row],[ISIN]],'Novia Web Query'!$A:$E,3,FALSE)</f>
        <v>IA Sterling Corporate Bond</v>
      </c>
      <c r="D4436" s="139">
        <f>VLOOKUP(NoviaFunds[[#This Row],[ISIN]],'Novia Web Query'!$A:$E,4,FALSE)/100</f>
        <v>1.1999999999999999E-3</v>
      </c>
      <c r="E4436" s="244">
        <f>VLOOKUP(NoviaFunds[[#This Row],[ISIN]],'Novia Web Query'!$A:$E,5,FALSE)</f>
        <v>44012</v>
      </c>
      <c r="F4436" t="str">
        <f>VLOOKUP(NoviaFunds[[#This Row],[Sector]],Sectors[],2,FALSE)</f>
        <v>Sterling Corporate Bonds</v>
      </c>
    </row>
    <row r="4437" spans="1:6" x14ac:dyDescent="0.2">
      <c r="A4437" t="str">
        <f>'Novia Web Query'!A4432</f>
        <v>IE00BYVJRH94</v>
      </c>
      <c r="B4437" t="str">
        <f>VLOOKUP(NoviaFunds[[#This Row],[ISIN]],'Novia Web Query'!$A:$E,2,FALSE)</f>
        <v>Jupiter Gold &amp; Silver I Acc</v>
      </c>
      <c r="C4437" t="str">
        <f>VLOOKUP(NoviaFunds[[#This Row],[ISIN]],'Novia Web Query'!$A:$E,3,FALSE)</f>
        <v>IA Specialist</v>
      </c>
      <c r="D4437" s="139">
        <f>VLOOKUP(NoviaFunds[[#This Row],[ISIN]],'Novia Web Query'!$A:$E,4,FALSE)/100</f>
        <v>8.8000000000000005E-3</v>
      </c>
      <c r="E4437" s="244">
        <f>VLOOKUP(NoviaFunds[[#This Row],[ISIN]],'Novia Web Query'!$A:$E,5,FALSE)</f>
        <v>44104</v>
      </c>
      <c r="F4437" t="str">
        <f>VLOOKUP(NoviaFunds[[#This Row],[Sector]],Sectors[],2,FALSE)</f>
        <v>Asia Pacific</v>
      </c>
    </row>
    <row r="4438" spans="1:6" x14ac:dyDescent="0.2">
      <c r="A4438" t="str">
        <f>'Novia Web Query'!A4433</f>
        <v>IE00B59G6L68</v>
      </c>
      <c r="B4438" t="str">
        <f>VLOOKUP(NoviaFunds[[#This Row],[ISIN]],'Novia Web Query'!$A:$E,2,FALSE)</f>
        <v>Federated Hermes Europe ex UK Equity F Acc</v>
      </c>
      <c r="C4438" t="str">
        <f>VLOOKUP(NoviaFunds[[#This Row],[ISIN]],'Novia Web Query'!$A:$E,3,FALSE)</f>
        <v>IA Europe Excluding UK</v>
      </c>
      <c r="D4438" s="139">
        <f>VLOOKUP(NoviaFunds[[#This Row],[ISIN]],'Novia Web Query'!$A:$E,4,FALSE)/100</f>
        <v>9.4999999999999998E-3</v>
      </c>
      <c r="E4438" s="244">
        <f>VLOOKUP(NoviaFunds[[#This Row],[ISIN]],'Novia Web Query'!$A:$E,5,FALSE)</f>
        <v>44196</v>
      </c>
      <c r="F4438" t="str">
        <f>VLOOKUP(NoviaFunds[[#This Row],[Sector]],Sectors[],2,FALSE)</f>
        <v>European Equities</v>
      </c>
    </row>
    <row r="4439" spans="1:6" x14ac:dyDescent="0.2">
      <c r="A4439" t="str">
        <f>'Novia Web Query'!A4434</f>
        <v>GB00BJ04K711</v>
      </c>
      <c r="B4439" t="str">
        <f>VLOOKUP(NoviaFunds[[#This Row],[ISIN]],'Novia Web Query'!$A:$E,2,FALSE)</f>
        <v>Invesco Tactical Bond (UK) X Acc in GB</v>
      </c>
      <c r="C4439" t="str">
        <f>VLOOKUP(NoviaFunds[[#This Row],[ISIN]],'Novia Web Query'!$A:$E,3,FALSE)</f>
        <v>UT Sterling Strategic Bond</v>
      </c>
      <c r="D4439" s="139">
        <f>VLOOKUP(NoviaFunds[[#This Row],[ISIN]],'Novia Web Query'!$A:$E,4,FALSE)/100</f>
        <v>6.3E-3</v>
      </c>
      <c r="E4439" s="244">
        <f>VLOOKUP(NoviaFunds[[#This Row],[ISIN]],'Novia Web Query'!$A:$E,5,FALSE)</f>
        <v>44518</v>
      </c>
      <c r="F4439" t="str">
        <f>VLOOKUP(NoviaFunds[[#This Row],[Sector]],Sectors[],2,FALSE)</f>
        <v>Other Bonds</v>
      </c>
    </row>
    <row r="4440" spans="1:6" x14ac:dyDescent="0.2">
      <c r="A4440" t="str">
        <f>'Novia Web Query'!A4435</f>
        <v>IE00BFLR2202</v>
      </c>
      <c r="B4440" t="str">
        <f>VLOOKUP(NoviaFunds[[#This Row],[ISIN]],'Novia Web Query'!$A:$E,2,FALSE)</f>
        <v>Atlantic House Defined Returns B Acc in GB</v>
      </c>
      <c r="C4440" t="s">
        <v>345</v>
      </c>
      <c r="D4440" s="139">
        <f>VLOOKUP(NoviaFunds[[#This Row],[ISIN]],'Novia Web Query'!$A:$E,4,FALSE)/100</f>
        <v>6.7000000000000002E-3</v>
      </c>
      <c r="E4440" s="3">
        <f>VLOOKUP(NoviaFunds[[#This Row],[ISIN]],'Novia Web Query'!$A:$E,5,FALSE)</f>
        <v>44196</v>
      </c>
      <c r="F4440" t="str">
        <f>VLOOKUP(NoviaFunds[[#This Row],[Sector]],Sectors[],2,FALSE)</f>
        <v>Gilts</v>
      </c>
    </row>
    <row r="4441" spans="1:6" x14ac:dyDescent="0.2">
      <c r="A4441" t="str">
        <f>'Novia Web Query'!A4436</f>
        <v>GB00BJXPPK95</v>
      </c>
      <c r="B4441" t="str">
        <f>VLOOKUP(NoviaFunds[[#This Row],[ISIN]],'Novia Web Query'!$A:$E,2,FALSE)</f>
        <v>Artemis Target Return Bond Fund F Acc</v>
      </c>
      <c r="C4441" t="str">
        <f>VLOOKUP(NoviaFunds[[#This Row],[ISIN]],'Novia Web Query'!$A:$E,3,FALSE)</f>
        <v>UT Targeted Absolute Return</v>
      </c>
      <c r="D4441" s="139">
        <f>VLOOKUP(NoviaFunds[[#This Row],[ISIN]],'Novia Web Query'!$A:$E,4,FALSE)/100</f>
        <v>3.0000000000000001E-3</v>
      </c>
      <c r="E4441" s="3">
        <f>VLOOKUP(NoviaFunds[[#This Row],[ISIN]],'Novia Web Query'!$A:$E,5,FALSE)</f>
        <v>44043</v>
      </c>
      <c r="F4441" t="str">
        <f>VLOOKUP(NoviaFunds[[#This Row],[Sector]],Sectors[],2,FALSE)</f>
        <v>Absolute Return</v>
      </c>
    </row>
    <row r="4442" spans="1:6" x14ac:dyDescent="0.2">
      <c r="A4442" t="str">
        <f>'Novia Web Query'!A4437</f>
        <v>GB00BHBX7Y96</v>
      </c>
      <c r="B4442">
        <f>VLOOKUP(NoviaFunds[[#This Row],[ISIN]],'Novia Web Query'!$A:$E,2,FALSE)</f>
        <v>0</v>
      </c>
      <c r="C4442">
        <f>VLOOKUP(NoviaFunds[[#This Row],[ISIN]],'Novia Web Query'!$A:$E,3,FALSE)</f>
        <v>0</v>
      </c>
      <c r="D4442" s="139">
        <f>VLOOKUP(NoviaFunds[[#This Row],[ISIN]],'Novia Web Query'!$A:$E,4,FALSE)/100</f>
        <v>0</v>
      </c>
      <c r="E4442" s="3">
        <f>VLOOKUP(NoviaFunds[[#This Row],[ISIN]],'Novia Web Query'!$A:$E,5,FALSE)</f>
        <v>0</v>
      </c>
      <c r="F4442" t="e">
        <f>VLOOKUP(NoviaFunds[[#This Row],[Sector]],Sectors[],2,FALSE)</f>
        <v>#N/A</v>
      </c>
    </row>
    <row r="4443" spans="1:6" x14ac:dyDescent="0.2">
      <c r="A4443" t="s">
        <v>9538</v>
      </c>
      <c r="B4443" t="s">
        <v>9541</v>
      </c>
      <c r="C4443" t="s">
        <v>345</v>
      </c>
      <c r="D4443" s="139">
        <v>2E-3</v>
      </c>
      <c r="E4443" s="3">
        <v>44681</v>
      </c>
      <c r="F4443" t="str">
        <f>VLOOKUP(NoviaFunds[[#This Row],[Sector]],Sectors[],2,FALSE)</f>
        <v>Gilts</v>
      </c>
    </row>
    <row r="4444" spans="1:6" x14ac:dyDescent="0.2">
      <c r="A4444" t="s">
        <v>9539</v>
      </c>
      <c r="B4444" t="s">
        <v>9542</v>
      </c>
      <c r="C4444" t="s">
        <v>399</v>
      </c>
      <c r="D4444" s="139">
        <v>2.5000000000000001E-3</v>
      </c>
      <c r="E4444" s="3">
        <v>44681</v>
      </c>
      <c r="F4444" t="str">
        <f>VLOOKUP(NoviaFunds[[#This Row],[Sector]],Sectors[],2,FALSE)</f>
        <v>USA Equities</v>
      </c>
    </row>
    <row r="4445" spans="1:6" x14ac:dyDescent="0.2">
      <c r="A4445" t="s">
        <v>9540</v>
      </c>
      <c r="B4445" t="s">
        <v>9543</v>
      </c>
      <c r="C4445" t="s">
        <v>8867</v>
      </c>
      <c r="D4445" s="139">
        <v>4.0000000000000001E-3</v>
      </c>
      <c r="E4445" s="3">
        <v>44681</v>
      </c>
      <c r="F4445" t="str">
        <f>VLOOKUP(NoviaFunds[[#This Row],[Sector]],Sectors[],2,FALSE)</f>
        <v>Property</v>
      </c>
    </row>
    <row r="4446" spans="1:6" x14ac:dyDescent="0.2">
      <c r="A4446" t="s">
        <v>9544</v>
      </c>
      <c r="B4446" t="s">
        <v>9545</v>
      </c>
      <c r="C4446" t="s">
        <v>349</v>
      </c>
      <c r="D4446" s="139">
        <v>1E-3</v>
      </c>
      <c r="E4446" s="3">
        <v>44681</v>
      </c>
      <c r="F4446" t="str">
        <f>VLOOKUP(NoviaFunds[[#This Row],[Sector]],Sectors[],2,FALSE)</f>
        <v>UK Index Linked Gilts</v>
      </c>
    </row>
    <row r="4447" spans="1:6" x14ac:dyDescent="0.2">
      <c r="A4447" s="243" t="s">
        <v>9551</v>
      </c>
      <c r="B4447" t="s">
        <v>9552</v>
      </c>
      <c r="C4447" t="s">
        <v>9531</v>
      </c>
      <c r="D4447" s="139">
        <v>5.4999999999999997E-3</v>
      </c>
      <c r="E4447" s="3">
        <v>44681</v>
      </c>
      <c r="F4447" t="str">
        <f>VLOOKUP(NoviaFunds[[#This Row],[Sector]],Sectors[],2,FALSE)</f>
        <v>Global High Yield</v>
      </c>
    </row>
    <row r="4448" spans="1:6" x14ac:dyDescent="0.2">
      <c r="A4448" t="s">
        <v>9558</v>
      </c>
      <c r="B4448" t="s">
        <v>9559</v>
      </c>
      <c r="C4448" t="s">
        <v>345</v>
      </c>
      <c r="D4448" s="139">
        <v>6.9999999999999999E-4</v>
      </c>
      <c r="E4448" s="3">
        <v>44681</v>
      </c>
      <c r="F4448" t="str">
        <f>VLOOKUP(NoviaFunds[[#This Row],[Sector]],Sectors[],2,FALSE)</f>
        <v>Gilts</v>
      </c>
    </row>
    <row r="4449" spans="1:6" x14ac:dyDescent="0.2">
      <c r="A4449" t="s">
        <v>9557</v>
      </c>
      <c r="B4449" t="s">
        <v>9560</v>
      </c>
      <c r="C4449" t="s">
        <v>705</v>
      </c>
      <c r="D4449" s="139">
        <v>1.2999999999999999E-3</v>
      </c>
      <c r="E4449" s="3">
        <v>44681</v>
      </c>
      <c r="F4449" t="str">
        <f>VLOOKUP(NoviaFunds[[#This Row],[Sector]],Sectors[],2,FALSE)</f>
        <v>Global Investment Grade</v>
      </c>
    </row>
    <row r="4450" spans="1:6" x14ac:dyDescent="0.2">
      <c r="A4450">
        <f>'Novia Web Query'!A4445</f>
        <v>0</v>
      </c>
      <c r="B4450" t="e">
        <f>VLOOKUP(NoviaFunds[[#This Row],[ISIN]],'Novia Web Query'!$A:$E,2,FALSE)</f>
        <v>#N/A</v>
      </c>
      <c r="C4450" t="e">
        <f>VLOOKUP(NoviaFunds[[#This Row],[ISIN]],'Novia Web Query'!$A:$E,3,FALSE)</f>
        <v>#N/A</v>
      </c>
      <c r="D4450" s="139" t="e">
        <f>VLOOKUP(NoviaFunds[[#This Row],[ISIN]],'Novia Web Query'!$A:$E,4,FALSE)/100</f>
        <v>#N/A</v>
      </c>
      <c r="E4450" s="3" t="e">
        <f>VLOOKUP(NoviaFunds[[#This Row],[ISIN]],'Novia Web Query'!$A:$E,5,FALSE)</f>
        <v>#N/A</v>
      </c>
      <c r="F4450" t="e">
        <f>VLOOKUP(NoviaFunds[[#This Row],[Sector]],Sectors[],2,FALSE)</f>
        <v>#N/A</v>
      </c>
    </row>
    <row r="4451" spans="1:6" x14ac:dyDescent="0.2">
      <c r="A4451">
        <f>'Novia Web Query'!A4446</f>
        <v>0</v>
      </c>
      <c r="B4451" t="e">
        <f>VLOOKUP(NoviaFunds[[#This Row],[ISIN]],'Novia Web Query'!$A:$E,2,FALSE)</f>
        <v>#N/A</v>
      </c>
      <c r="C4451" t="e">
        <f>VLOOKUP(NoviaFunds[[#This Row],[ISIN]],'Novia Web Query'!$A:$E,3,FALSE)</f>
        <v>#N/A</v>
      </c>
      <c r="D4451" s="139" t="e">
        <f>VLOOKUP(NoviaFunds[[#This Row],[ISIN]],'Novia Web Query'!$A:$E,4,FALSE)/100</f>
        <v>#N/A</v>
      </c>
      <c r="E4451" s="3" t="e">
        <f>VLOOKUP(NoviaFunds[[#This Row],[ISIN]],'Novia Web Query'!$A:$E,5,FALSE)</f>
        <v>#N/A</v>
      </c>
      <c r="F4451" t="e">
        <f>VLOOKUP(NoviaFunds[[#This Row],[Sector]],Sectors[],2,FALSE)</f>
        <v>#N/A</v>
      </c>
    </row>
    <row r="4452" spans="1:6" x14ac:dyDescent="0.2">
      <c r="D4452" s="139"/>
      <c r="F4452"/>
    </row>
    <row r="4453" spans="1:6" x14ac:dyDescent="0.2">
      <c r="D4453" s="139"/>
      <c r="F4453"/>
    </row>
    <row r="4454" spans="1:6" x14ac:dyDescent="0.2">
      <c r="D4454" s="139"/>
      <c r="F4454"/>
    </row>
    <row r="4455" spans="1:6" x14ac:dyDescent="0.2">
      <c r="D4455" s="139"/>
      <c r="F4455"/>
    </row>
    <row r="4456" spans="1:6" x14ac:dyDescent="0.2">
      <c r="D4456" s="139"/>
      <c r="F4456"/>
    </row>
    <row r="4457" spans="1:6" x14ac:dyDescent="0.2">
      <c r="D4457" s="139"/>
      <c r="F4457"/>
    </row>
    <row r="4458" spans="1:6" x14ac:dyDescent="0.2">
      <c r="D4458" s="139"/>
      <c r="F4458"/>
    </row>
    <row r="4459" spans="1:6" x14ac:dyDescent="0.2">
      <c r="D4459" s="139"/>
      <c r="F4459"/>
    </row>
    <row r="4460" spans="1:6" x14ac:dyDescent="0.2">
      <c r="D4460" s="139"/>
      <c r="F4460"/>
    </row>
    <row r="4461" spans="1:6" x14ac:dyDescent="0.2">
      <c r="D4461" s="139"/>
      <c r="F4461"/>
    </row>
    <row r="4462" spans="1:6" x14ac:dyDescent="0.2">
      <c r="D4462" s="139"/>
      <c r="F4462"/>
    </row>
    <row r="4463" spans="1:6" x14ac:dyDescent="0.2">
      <c r="D4463" s="139"/>
      <c r="F4463"/>
    </row>
    <row r="4464" spans="1:6" x14ac:dyDescent="0.2">
      <c r="D4464" s="139"/>
      <c r="F4464"/>
    </row>
    <row r="4465" spans="4:6" x14ac:dyDescent="0.2">
      <c r="D4465" s="139"/>
      <c r="F4465"/>
    </row>
    <row r="4466" spans="4:6" x14ac:dyDescent="0.2">
      <c r="D4466" s="139"/>
      <c r="F4466"/>
    </row>
    <row r="4467" spans="4:6" x14ac:dyDescent="0.2">
      <c r="D4467" s="139"/>
      <c r="F4467"/>
    </row>
    <row r="4468" spans="4:6" x14ac:dyDescent="0.2">
      <c r="D4468" s="139"/>
      <c r="F4468"/>
    </row>
    <row r="4469" spans="4:6" x14ac:dyDescent="0.2">
      <c r="D4469" s="139"/>
      <c r="F4469"/>
    </row>
    <row r="4470" spans="4:6" x14ac:dyDescent="0.2">
      <c r="D4470" s="139"/>
      <c r="F4470"/>
    </row>
    <row r="4471" spans="4:6" x14ac:dyDescent="0.2">
      <c r="D4471" s="139"/>
      <c r="F4471"/>
    </row>
    <row r="4472" spans="4:6" x14ac:dyDescent="0.2">
      <c r="D4472" s="139"/>
      <c r="F4472"/>
    </row>
    <row r="4473" spans="4:6" x14ac:dyDescent="0.2">
      <c r="D4473" s="139"/>
      <c r="F4473"/>
    </row>
    <row r="4474" spans="4:6" x14ac:dyDescent="0.2">
      <c r="D4474" s="139"/>
      <c r="F4474"/>
    </row>
    <row r="4475" spans="4:6" x14ac:dyDescent="0.2">
      <c r="D4475" s="139"/>
      <c r="F4475"/>
    </row>
    <row r="4476" spans="4:6" x14ac:dyDescent="0.2">
      <c r="D4476" s="139"/>
      <c r="F4476"/>
    </row>
    <row r="4477" spans="4:6" x14ac:dyDescent="0.2">
      <c r="D4477" s="139"/>
      <c r="F4477"/>
    </row>
    <row r="4478" spans="4:6" x14ac:dyDescent="0.2">
      <c r="D4478" s="139"/>
      <c r="F4478"/>
    </row>
    <row r="4479" spans="4:6" x14ac:dyDescent="0.2">
      <c r="D4479" s="139"/>
      <c r="F4479"/>
    </row>
    <row r="4480" spans="4:6" x14ac:dyDescent="0.2">
      <c r="D4480" s="139"/>
      <c r="F4480"/>
    </row>
    <row r="4481" spans="4:6" x14ac:dyDescent="0.2">
      <c r="D4481" s="139"/>
      <c r="F4481"/>
    </row>
    <row r="4482" spans="4:6" x14ac:dyDescent="0.2">
      <c r="D4482" s="139"/>
      <c r="F4482"/>
    </row>
    <row r="4483" spans="4:6" x14ac:dyDescent="0.2">
      <c r="D4483" s="139"/>
      <c r="F4483"/>
    </row>
    <row r="4484" spans="4:6" x14ac:dyDescent="0.2">
      <c r="D4484" s="139"/>
      <c r="F4484"/>
    </row>
    <row r="4485" spans="4:6" x14ac:dyDescent="0.2">
      <c r="D4485" s="139"/>
      <c r="F4485"/>
    </row>
    <row r="4486" spans="4:6" x14ac:dyDescent="0.2">
      <c r="D4486" s="139"/>
      <c r="F4486"/>
    </row>
    <row r="4487" spans="4:6" x14ac:dyDescent="0.2">
      <c r="D4487" s="139"/>
      <c r="F4487"/>
    </row>
    <row r="4488" spans="4:6" x14ac:dyDescent="0.2">
      <c r="D4488" s="139"/>
      <c r="F4488"/>
    </row>
    <row r="4489" spans="4:6" x14ac:dyDescent="0.2">
      <c r="D4489" s="139"/>
      <c r="F4489"/>
    </row>
    <row r="4490" spans="4:6" x14ac:dyDescent="0.2">
      <c r="D4490" s="139"/>
      <c r="F4490"/>
    </row>
    <row r="4491" spans="4:6" x14ac:dyDescent="0.2">
      <c r="D4491" s="139"/>
      <c r="F4491"/>
    </row>
    <row r="4492" spans="4:6" x14ac:dyDescent="0.2">
      <c r="D4492" s="139"/>
      <c r="F4492"/>
    </row>
    <row r="4493" spans="4:6" x14ac:dyDescent="0.2">
      <c r="D4493" s="139"/>
      <c r="F4493"/>
    </row>
    <row r="4494" spans="4:6" x14ac:dyDescent="0.2">
      <c r="D4494" s="139"/>
      <c r="F4494"/>
    </row>
    <row r="4495" spans="4:6" x14ac:dyDescent="0.2">
      <c r="D4495" s="139"/>
      <c r="F4495"/>
    </row>
    <row r="4496" spans="4:6" x14ac:dyDescent="0.2">
      <c r="D4496" s="139"/>
      <c r="F4496"/>
    </row>
    <row r="4497" spans="4:6" x14ac:dyDescent="0.2">
      <c r="D4497" s="139"/>
      <c r="F4497"/>
    </row>
    <row r="4498" spans="4:6" x14ac:dyDescent="0.2">
      <c r="D4498" s="139"/>
      <c r="F4498"/>
    </row>
    <row r="4499" spans="4:6" x14ac:dyDescent="0.2">
      <c r="D4499" s="139"/>
      <c r="F4499"/>
    </row>
    <row r="4500" spans="4:6" x14ac:dyDescent="0.2">
      <c r="D4500" s="139"/>
      <c r="F4500"/>
    </row>
    <row r="4501" spans="4:6" x14ac:dyDescent="0.2">
      <c r="D4501" s="139"/>
      <c r="F4501"/>
    </row>
    <row r="4502" spans="4:6" x14ac:dyDescent="0.2">
      <c r="D4502" s="139"/>
      <c r="F4502"/>
    </row>
    <row r="4503" spans="4:6" x14ac:dyDescent="0.2">
      <c r="D4503" s="139"/>
      <c r="F4503"/>
    </row>
    <row r="4504" spans="4:6" x14ac:dyDescent="0.2">
      <c r="D4504" s="139"/>
      <c r="F4504"/>
    </row>
    <row r="4505" spans="4:6" x14ac:dyDescent="0.2">
      <c r="D4505" s="139"/>
      <c r="F4505"/>
    </row>
    <row r="4506" spans="4:6" x14ac:dyDescent="0.2">
      <c r="D4506" s="139"/>
      <c r="F4506"/>
    </row>
    <row r="4507" spans="4:6" x14ac:dyDescent="0.2">
      <c r="D4507" s="139"/>
      <c r="F4507"/>
    </row>
    <row r="4508" spans="4:6" x14ac:dyDescent="0.2">
      <c r="D4508" s="139"/>
      <c r="F4508"/>
    </row>
    <row r="4509" spans="4:6" x14ac:dyDescent="0.2">
      <c r="D4509" s="139"/>
      <c r="F4509"/>
    </row>
    <row r="4510" spans="4:6" x14ac:dyDescent="0.2">
      <c r="D4510" s="139"/>
      <c r="F4510"/>
    </row>
    <row r="4511" spans="4:6" x14ac:dyDescent="0.2">
      <c r="D4511" s="139"/>
      <c r="F4511"/>
    </row>
    <row r="4512" spans="4:6" x14ac:dyDescent="0.2">
      <c r="D4512" s="139"/>
      <c r="F4512"/>
    </row>
    <row r="4513" spans="4:6" x14ac:dyDescent="0.2">
      <c r="D4513" s="139"/>
      <c r="F4513"/>
    </row>
    <row r="4514" spans="4:6" x14ac:dyDescent="0.2">
      <c r="D4514" s="139"/>
      <c r="F4514"/>
    </row>
    <row r="4515" spans="4:6" x14ac:dyDescent="0.2">
      <c r="D4515" s="139"/>
      <c r="F4515"/>
    </row>
    <row r="4516" spans="4:6" x14ac:dyDescent="0.2">
      <c r="D4516" s="139"/>
      <c r="F4516"/>
    </row>
    <row r="4517" spans="4:6" x14ac:dyDescent="0.2">
      <c r="D4517" s="139"/>
      <c r="F4517"/>
    </row>
    <row r="4518" spans="4:6" x14ac:dyDescent="0.2">
      <c r="D4518" s="139"/>
      <c r="F4518"/>
    </row>
    <row r="4519" spans="4:6" x14ac:dyDescent="0.2">
      <c r="D4519" s="139"/>
      <c r="F4519"/>
    </row>
    <row r="4520" spans="4:6" x14ac:dyDescent="0.2">
      <c r="D4520" s="139"/>
      <c r="F4520"/>
    </row>
    <row r="4521" spans="4:6" x14ac:dyDescent="0.2">
      <c r="D4521" s="139"/>
      <c r="F4521"/>
    </row>
    <row r="4522" spans="4:6" x14ac:dyDescent="0.2">
      <c r="D4522" s="139"/>
      <c r="F4522"/>
    </row>
    <row r="4523" spans="4:6" x14ac:dyDescent="0.2">
      <c r="D4523" s="139"/>
      <c r="F4523"/>
    </row>
    <row r="4524" spans="4:6" x14ac:dyDescent="0.2">
      <c r="D4524" s="139"/>
      <c r="F4524"/>
    </row>
    <row r="4525" spans="4:6" x14ac:dyDescent="0.2">
      <c r="D4525" s="139"/>
      <c r="F4525"/>
    </row>
    <row r="4526" spans="4:6" x14ac:dyDescent="0.2">
      <c r="D4526" s="139"/>
      <c r="F4526"/>
    </row>
    <row r="4527" spans="4:6" x14ac:dyDescent="0.2">
      <c r="D4527" s="139"/>
      <c r="F4527"/>
    </row>
    <row r="4528" spans="4:6" x14ac:dyDescent="0.2">
      <c r="D4528" s="139"/>
      <c r="F4528"/>
    </row>
    <row r="4529" spans="4:6" x14ac:dyDescent="0.2">
      <c r="D4529" s="139"/>
      <c r="F4529"/>
    </row>
    <row r="4530" spans="4:6" x14ac:dyDescent="0.2">
      <c r="D4530" s="139"/>
      <c r="F4530"/>
    </row>
    <row r="4531" spans="4:6" x14ac:dyDescent="0.2">
      <c r="D4531" s="139"/>
      <c r="F4531"/>
    </row>
    <row r="4532" spans="4:6" x14ac:dyDescent="0.2">
      <c r="D4532" s="139"/>
      <c r="F4532"/>
    </row>
    <row r="4533" spans="4:6" x14ac:dyDescent="0.2">
      <c r="D4533" s="139"/>
      <c r="F4533"/>
    </row>
    <row r="4534" spans="4:6" x14ac:dyDescent="0.2">
      <c r="D4534" s="139"/>
      <c r="F4534"/>
    </row>
    <row r="4535" spans="4:6" x14ac:dyDescent="0.2">
      <c r="D4535" s="139"/>
      <c r="F4535"/>
    </row>
    <row r="4536" spans="4:6" x14ac:dyDescent="0.2">
      <c r="D4536" s="139"/>
      <c r="F4536"/>
    </row>
    <row r="4537" spans="4:6" x14ac:dyDescent="0.2">
      <c r="D4537" s="139"/>
      <c r="F4537"/>
    </row>
    <row r="4538" spans="4:6" x14ac:dyDescent="0.2">
      <c r="D4538" s="139"/>
      <c r="F4538"/>
    </row>
    <row r="4539" spans="4:6" x14ac:dyDescent="0.2">
      <c r="D4539" s="139"/>
      <c r="F4539"/>
    </row>
    <row r="4540" spans="4:6" x14ac:dyDescent="0.2">
      <c r="D4540" s="139"/>
      <c r="F4540"/>
    </row>
    <row r="4541" spans="4:6" x14ac:dyDescent="0.2">
      <c r="D4541" s="139"/>
      <c r="F4541"/>
    </row>
    <row r="4542" spans="4:6" x14ac:dyDescent="0.2">
      <c r="D4542" s="139"/>
      <c r="F4542"/>
    </row>
    <row r="4543" spans="4:6" x14ac:dyDescent="0.2">
      <c r="D4543" s="139"/>
      <c r="F4543"/>
    </row>
    <row r="4544" spans="4:6" x14ac:dyDescent="0.2">
      <c r="D4544" s="139"/>
      <c r="F4544"/>
    </row>
    <row r="4545" spans="1:6" x14ac:dyDescent="0.2">
      <c r="D4545" s="139"/>
      <c r="F4545"/>
    </row>
    <row r="4546" spans="1:6" x14ac:dyDescent="0.2">
      <c r="D4546" s="139"/>
      <c r="F4546"/>
    </row>
    <row r="4547" spans="1:6" x14ac:dyDescent="0.2">
      <c r="D4547" s="139"/>
      <c r="F4547"/>
    </row>
    <row r="4548" spans="1:6" x14ac:dyDescent="0.2">
      <c r="D4548" s="139"/>
      <c r="F4548"/>
    </row>
    <row r="4549" spans="1:6" x14ac:dyDescent="0.2">
      <c r="D4549" s="139"/>
      <c r="F4549"/>
    </row>
    <row r="4550" spans="1:6" x14ac:dyDescent="0.2">
      <c r="D4550" s="139"/>
      <c r="F4550"/>
    </row>
    <row r="4551" spans="1:6" x14ac:dyDescent="0.2">
      <c r="D4551" s="139"/>
      <c r="F4551"/>
    </row>
    <row r="4552" spans="1:6" x14ac:dyDescent="0.2">
      <c r="D4552" s="139"/>
      <c r="F4552"/>
    </row>
    <row r="4553" spans="1:6" x14ac:dyDescent="0.2">
      <c r="D4553" s="139"/>
      <c r="F4553"/>
    </row>
    <row r="4554" spans="1:6" x14ac:dyDescent="0.2">
      <c r="D4554" s="139"/>
      <c r="F4554"/>
    </row>
    <row r="4555" spans="1:6" x14ac:dyDescent="0.2">
      <c r="A4555">
        <f>'Novia Web Query'!A4555</f>
        <v>0</v>
      </c>
      <c r="B4555" t="e">
        <f>VLOOKUP(NoviaFunds[[#This Row],[ISIN]],'Novia Web Query'!$A:$E,2,FALSE)</f>
        <v>#VALUE!</v>
      </c>
      <c r="C4555" t="e">
        <f>VLOOKUP(NoviaFunds[[#This Row],[ISIN]],'Novia Web Query'!$A:$E,3,FALSE)</f>
        <v>#VALUE!</v>
      </c>
      <c r="D4555" s="139" t="e">
        <f>VLOOKUP(NoviaFunds[[#This Row],[ISIN]],'Novia Web Query'!$A:$E,4,FALSE)/100</f>
        <v>#VALUE!</v>
      </c>
      <c r="E4555" t="e">
        <f>VLOOKUP(NoviaFunds[[#This Row],[ISIN]],'Novia Web Query'!$A:$E,5,FALSE)</f>
        <v>#VALUE!</v>
      </c>
      <c r="F4555" t="e">
        <f>VLOOKUP(C4555,Sectors[],2,FALSE)</f>
        <v>#VALUE!</v>
      </c>
    </row>
    <row r="4556" spans="1:6" x14ac:dyDescent="0.2">
      <c r="A4556">
        <f>'Novia Web Query'!A4556</f>
        <v>0</v>
      </c>
      <c r="B4556" t="e">
        <f>VLOOKUP(NoviaFunds[[#This Row],[ISIN]],'Novia Web Query'!$A:$E,2,FALSE)</f>
        <v>#VALUE!</v>
      </c>
      <c r="C4556" t="e">
        <f>VLOOKUP(NoviaFunds[[#This Row],[ISIN]],'Novia Web Query'!$A:$E,3,FALSE)</f>
        <v>#VALUE!</v>
      </c>
      <c r="D4556" s="139" t="e">
        <f>VLOOKUP(NoviaFunds[[#This Row],[ISIN]],'Novia Web Query'!$A:$E,4,FALSE)/100</f>
        <v>#VALUE!</v>
      </c>
      <c r="E4556" t="e">
        <f>VLOOKUP(NoviaFunds[[#This Row],[ISIN]],'Novia Web Query'!$A:$E,5,FALSE)</f>
        <v>#VALUE!</v>
      </c>
      <c r="F4556" t="e">
        <f>VLOOKUP(C4556,Sectors[],2,FALSE)</f>
        <v>#VALUE!</v>
      </c>
    </row>
    <row r="4557" spans="1:6" x14ac:dyDescent="0.2">
      <c r="A4557">
        <f>'Novia Web Query'!A4557</f>
        <v>0</v>
      </c>
      <c r="B4557" t="e">
        <f>VLOOKUP(NoviaFunds[[#This Row],[ISIN]],'Novia Web Query'!$A:$E,2,FALSE)</f>
        <v>#VALUE!</v>
      </c>
      <c r="C4557" t="e">
        <f>VLOOKUP(NoviaFunds[[#This Row],[ISIN]],'Novia Web Query'!$A:$E,3,FALSE)</f>
        <v>#VALUE!</v>
      </c>
      <c r="D4557" s="139" t="e">
        <f>VLOOKUP(NoviaFunds[[#This Row],[ISIN]],'Novia Web Query'!$A:$E,4,FALSE)/100</f>
        <v>#VALUE!</v>
      </c>
      <c r="E4557" t="e">
        <f>VLOOKUP(NoviaFunds[[#This Row],[ISIN]],'Novia Web Query'!$A:$E,5,FALSE)</f>
        <v>#VALUE!</v>
      </c>
      <c r="F4557" t="e">
        <f>VLOOKUP(C4557,Sectors[],2,FALSE)</f>
        <v>#VALUE!</v>
      </c>
    </row>
    <row r="4558" spans="1:6" x14ac:dyDescent="0.2">
      <c r="D4558" s="139"/>
      <c r="F4558"/>
    </row>
    <row r="4559" spans="1:6" x14ac:dyDescent="0.2">
      <c r="D4559" s="139"/>
      <c r="F4559"/>
    </row>
    <row r="4560" spans="1:6" x14ac:dyDescent="0.2">
      <c r="D4560" s="139"/>
      <c r="F4560"/>
    </row>
    <row r="4561" spans="4:6" x14ac:dyDescent="0.2">
      <c r="D4561" s="139"/>
      <c r="F4561"/>
    </row>
    <row r="4562" spans="4:6" x14ac:dyDescent="0.2">
      <c r="D4562" s="139"/>
      <c r="F4562"/>
    </row>
    <row r="4563" spans="4:6" x14ac:dyDescent="0.2">
      <c r="D4563" s="139"/>
      <c r="F4563"/>
    </row>
    <row r="4564" spans="4:6" x14ac:dyDescent="0.2">
      <c r="D4564" s="139"/>
      <c r="F4564"/>
    </row>
    <row r="4565" spans="4:6" x14ac:dyDescent="0.2">
      <c r="D4565" s="139"/>
      <c r="F4565"/>
    </row>
    <row r="4566" spans="4:6" x14ac:dyDescent="0.2">
      <c r="D4566" s="139"/>
      <c r="F4566"/>
    </row>
    <row r="4567" spans="4:6" x14ac:dyDescent="0.2">
      <c r="D4567" s="139"/>
      <c r="F4567"/>
    </row>
    <row r="4568" spans="4:6" x14ac:dyDescent="0.2">
      <c r="D4568" s="139"/>
      <c r="F4568"/>
    </row>
    <row r="4569" spans="4:6" x14ac:dyDescent="0.2">
      <c r="D4569" s="139"/>
      <c r="F4569"/>
    </row>
    <row r="4570" spans="4:6" x14ac:dyDescent="0.2">
      <c r="D4570" s="139"/>
      <c r="F4570"/>
    </row>
    <row r="4571" spans="4:6" x14ac:dyDescent="0.2">
      <c r="D4571" s="139"/>
      <c r="F4571"/>
    </row>
    <row r="4572" spans="4:6" x14ac:dyDescent="0.2">
      <c r="D4572" s="139"/>
      <c r="F4572"/>
    </row>
    <row r="4573" spans="4:6" x14ac:dyDescent="0.2">
      <c r="D4573" s="139"/>
      <c r="F4573"/>
    </row>
    <row r="4574" spans="4:6" x14ac:dyDescent="0.2">
      <c r="D4574" s="139"/>
      <c r="F4574"/>
    </row>
    <row r="4575" spans="4:6" x14ac:dyDescent="0.2">
      <c r="D4575" s="139"/>
      <c r="F4575"/>
    </row>
    <row r="4576" spans="4:6" x14ac:dyDescent="0.2">
      <c r="D4576" s="139"/>
      <c r="F4576"/>
    </row>
    <row r="4577" spans="4:6" x14ac:dyDescent="0.2">
      <c r="D4577" s="139"/>
      <c r="F4577"/>
    </row>
    <row r="4578" spans="4:6" x14ac:dyDescent="0.2">
      <c r="D4578" s="139"/>
      <c r="F4578"/>
    </row>
    <row r="4579" spans="4:6" x14ac:dyDescent="0.2">
      <c r="D4579" s="139"/>
      <c r="F4579"/>
    </row>
    <row r="4580" spans="4:6" x14ac:dyDescent="0.2">
      <c r="D4580" s="139"/>
      <c r="F4580"/>
    </row>
    <row r="4581" spans="4:6" x14ac:dyDescent="0.2">
      <c r="D4581" s="139"/>
      <c r="F4581"/>
    </row>
    <row r="4582" spans="4:6" x14ac:dyDescent="0.2">
      <c r="D4582" s="139"/>
      <c r="F4582"/>
    </row>
    <row r="4583" spans="4:6" x14ac:dyDescent="0.2">
      <c r="D4583" s="139"/>
      <c r="F4583"/>
    </row>
    <row r="4584" spans="4:6" x14ac:dyDescent="0.2">
      <c r="D4584" s="139"/>
      <c r="F4584"/>
    </row>
    <row r="4585" spans="4:6" x14ac:dyDescent="0.2">
      <c r="D4585" s="139"/>
      <c r="F4585"/>
    </row>
    <row r="4586" spans="4:6" x14ac:dyDescent="0.2">
      <c r="D4586" s="139"/>
      <c r="F4586"/>
    </row>
    <row r="4587" spans="4:6" x14ac:dyDescent="0.2">
      <c r="D4587" s="139"/>
      <c r="F4587"/>
    </row>
    <row r="4588" spans="4:6" x14ac:dyDescent="0.2">
      <c r="D4588" s="139"/>
      <c r="F4588"/>
    </row>
    <row r="4589" spans="4:6" x14ac:dyDescent="0.2">
      <c r="D4589" s="139"/>
      <c r="F4589"/>
    </row>
    <row r="4590" spans="4:6" x14ac:dyDescent="0.2">
      <c r="D4590" s="139"/>
      <c r="F4590"/>
    </row>
    <row r="4591" spans="4:6" x14ac:dyDescent="0.2">
      <c r="D4591" s="139"/>
      <c r="F4591"/>
    </row>
    <row r="4592" spans="4:6" x14ac:dyDescent="0.2">
      <c r="D4592" s="139"/>
      <c r="F4592"/>
    </row>
    <row r="4593" spans="4:6" x14ac:dyDescent="0.2">
      <c r="D4593" s="139"/>
      <c r="F4593"/>
    </row>
    <row r="4594" spans="4:6" x14ac:dyDescent="0.2">
      <c r="D4594" s="139"/>
      <c r="F4594"/>
    </row>
    <row r="4595" spans="4:6" x14ac:dyDescent="0.2">
      <c r="D4595" s="139"/>
      <c r="F4595"/>
    </row>
    <row r="4596" spans="4:6" x14ac:dyDescent="0.2">
      <c r="D4596" s="139"/>
      <c r="F4596"/>
    </row>
    <row r="4597" spans="4:6" x14ac:dyDescent="0.2">
      <c r="D4597" s="139"/>
      <c r="F4597"/>
    </row>
    <row r="4598" spans="4:6" x14ac:dyDescent="0.2">
      <c r="D4598" s="139"/>
      <c r="F4598"/>
    </row>
    <row r="4599" spans="4:6" x14ac:dyDescent="0.2">
      <c r="D4599" s="139"/>
      <c r="F4599"/>
    </row>
    <row r="4600" spans="4:6" x14ac:dyDescent="0.2">
      <c r="D4600" s="139"/>
      <c r="F4600"/>
    </row>
    <row r="4601" spans="4:6" x14ac:dyDescent="0.2">
      <c r="D4601" s="139"/>
      <c r="F4601"/>
    </row>
    <row r="4602" spans="4:6" x14ac:dyDescent="0.2">
      <c r="D4602" s="139"/>
      <c r="F4602"/>
    </row>
    <row r="4603" spans="4:6" x14ac:dyDescent="0.2">
      <c r="D4603" s="139"/>
      <c r="F4603"/>
    </row>
    <row r="4604" spans="4:6" x14ac:dyDescent="0.2">
      <c r="D4604" s="139"/>
      <c r="F4604"/>
    </row>
    <row r="4605" spans="4:6" x14ac:dyDescent="0.2">
      <c r="D4605" s="139"/>
      <c r="F4605"/>
    </row>
    <row r="4606" spans="4:6" x14ac:dyDescent="0.2">
      <c r="D4606" s="139"/>
      <c r="F4606"/>
    </row>
    <row r="4607" spans="4:6" x14ac:dyDescent="0.2">
      <c r="D4607" s="139"/>
      <c r="F4607"/>
    </row>
    <row r="4608" spans="4:6" x14ac:dyDescent="0.2">
      <c r="D4608" s="139"/>
      <c r="F4608"/>
    </row>
    <row r="4609" spans="4:6" x14ac:dyDescent="0.2">
      <c r="D4609" s="139"/>
      <c r="F4609"/>
    </row>
    <row r="4610" spans="4:6" x14ac:dyDescent="0.2">
      <c r="D4610" s="139"/>
      <c r="F4610"/>
    </row>
    <row r="4611" spans="4:6" x14ac:dyDescent="0.2">
      <c r="D4611" s="139"/>
      <c r="F4611"/>
    </row>
    <row r="4612" spans="4:6" x14ac:dyDescent="0.2">
      <c r="D4612" s="139"/>
      <c r="F4612"/>
    </row>
    <row r="4613" spans="4:6" x14ac:dyDescent="0.2">
      <c r="D4613" s="139"/>
      <c r="F4613"/>
    </row>
    <row r="4614" spans="4:6" x14ac:dyDescent="0.2">
      <c r="D4614" s="139"/>
      <c r="F4614"/>
    </row>
    <row r="4615" spans="4:6" x14ac:dyDescent="0.2">
      <c r="D4615" s="139"/>
      <c r="F4615"/>
    </row>
    <row r="4616" spans="4:6" x14ac:dyDescent="0.2">
      <c r="D4616" s="139"/>
      <c r="F4616"/>
    </row>
    <row r="4617" spans="4:6" x14ac:dyDescent="0.2">
      <c r="D4617" s="139"/>
      <c r="F4617"/>
    </row>
    <row r="4618" spans="4:6" x14ac:dyDescent="0.2">
      <c r="D4618" s="139"/>
      <c r="F4618"/>
    </row>
    <row r="4619" spans="4:6" x14ac:dyDescent="0.2">
      <c r="D4619" s="139"/>
      <c r="F4619"/>
    </row>
    <row r="4620" spans="4:6" x14ac:dyDescent="0.2">
      <c r="D4620" s="139"/>
      <c r="F4620"/>
    </row>
    <row r="4621" spans="4:6" x14ac:dyDescent="0.2">
      <c r="D4621" s="139"/>
      <c r="F4621"/>
    </row>
    <row r="4622" spans="4:6" x14ac:dyDescent="0.2">
      <c r="D4622" s="139"/>
      <c r="F4622"/>
    </row>
    <row r="4623" spans="4:6" x14ac:dyDescent="0.2">
      <c r="D4623" s="139"/>
      <c r="F4623"/>
    </row>
    <row r="4624" spans="4:6" x14ac:dyDescent="0.2">
      <c r="D4624" s="139"/>
      <c r="F4624"/>
    </row>
    <row r="4625" spans="4:6" x14ac:dyDescent="0.2">
      <c r="D4625" s="139"/>
      <c r="F4625"/>
    </row>
    <row r="4626" spans="4:6" x14ac:dyDescent="0.2">
      <c r="D4626" s="139"/>
      <c r="F4626"/>
    </row>
    <row r="4627" spans="4:6" x14ac:dyDescent="0.2">
      <c r="D4627" s="139"/>
      <c r="F4627"/>
    </row>
    <row r="4628" spans="4:6" x14ac:dyDescent="0.2">
      <c r="D4628" s="139"/>
      <c r="F4628"/>
    </row>
    <row r="4629" spans="4:6" x14ac:dyDescent="0.2">
      <c r="D4629" s="139"/>
      <c r="F4629"/>
    </row>
    <row r="4630" spans="4:6" x14ac:dyDescent="0.2">
      <c r="D4630" s="139"/>
      <c r="F4630"/>
    </row>
    <row r="4631" spans="4:6" x14ac:dyDescent="0.2">
      <c r="D4631" s="139"/>
      <c r="F4631"/>
    </row>
    <row r="4632" spans="4:6" x14ac:dyDescent="0.2">
      <c r="D4632" s="139"/>
      <c r="F4632"/>
    </row>
    <row r="4633" spans="4:6" x14ac:dyDescent="0.2">
      <c r="D4633" s="139"/>
      <c r="F4633"/>
    </row>
    <row r="4634" spans="4:6" x14ac:dyDescent="0.2">
      <c r="D4634" s="139"/>
      <c r="F4634"/>
    </row>
    <row r="4635" spans="4:6" x14ac:dyDescent="0.2">
      <c r="D4635" s="139"/>
      <c r="F4635"/>
    </row>
    <row r="4636" spans="4:6" x14ac:dyDescent="0.2">
      <c r="D4636" s="139"/>
      <c r="F4636"/>
    </row>
    <row r="4637" spans="4:6" x14ac:dyDescent="0.2">
      <c r="D4637" s="139"/>
      <c r="F4637"/>
    </row>
    <row r="4638" spans="4:6" x14ac:dyDescent="0.2">
      <c r="D4638" s="139"/>
      <c r="F4638"/>
    </row>
    <row r="4639" spans="4:6" x14ac:dyDescent="0.2">
      <c r="D4639" s="139"/>
      <c r="F4639"/>
    </row>
    <row r="4640" spans="4:6" x14ac:dyDescent="0.2">
      <c r="D4640" s="139"/>
      <c r="F4640"/>
    </row>
    <row r="4641" spans="4:6" x14ac:dyDescent="0.2">
      <c r="D4641" s="139"/>
      <c r="F4641"/>
    </row>
    <row r="4642" spans="4:6" x14ac:dyDescent="0.2">
      <c r="D4642" s="139"/>
      <c r="F4642"/>
    </row>
    <row r="4643" spans="4:6" x14ac:dyDescent="0.2">
      <c r="D4643" s="139"/>
      <c r="F4643"/>
    </row>
    <row r="4644" spans="4:6" x14ac:dyDescent="0.2">
      <c r="D4644" s="139"/>
      <c r="F4644"/>
    </row>
    <row r="4645" spans="4:6" x14ac:dyDescent="0.2">
      <c r="D4645" s="139"/>
      <c r="F4645"/>
    </row>
    <row r="4646" spans="4:6" x14ac:dyDescent="0.2">
      <c r="D4646" s="139"/>
      <c r="F4646"/>
    </row>
    <row r="4647" spans="4:6" x14ac:dyDescent="0.2">
      <c r="D4647" s="139"/>
      <c r="F4647"/>
    </row>
    <row r="4648" spans="4:6" x14ac:dyDescent="0.2">
      <c r="D4648" s="139"/>
      <c r="F4648"/>
    </row>
    <row r="4649" spans="4:6" x14ac:dyDescent="0.2">
      <c r="D4649" s="139"/>
      <c r="F4649"/>
    </row>
    <row r="4650" spans="4:6" x14ac:dyDescent="0.2">
      <c r="D4650" s="139"/>
      <c r="F4650"/>
    </row>
    <row r="4651" spans="4:6" x14ac:dyDescent="0.2">
      <c r="D4651" s="139"/>
      <c r="F4651"/>
    </row>
    <row r="4652" spans="4:6" x14ac:dyDescent="0.2">
      <c r="D4652" s="139"/>
      <c r="F4652"/>
    </row>
    <row r="4653" spans="4:6" x14ac:dyDescent="0.2">
      <c r="D4653" s="139"/>
      <c r="F4653"/>
    </row>
    <row r="4654" spans="4:6" x14ac:dyDescent="0.2">
      <c r="D4654" s="139"/>
      <c r="F4654"/>
    </row>
    <row r="4655" spans="4:6" x14ac:dyDescent="0.2">
      <c r="D4655" s="139"/>
      <c r="F4655"/>
    </row>
    <row r="4656" spans="4:6" x14ac:dyDescent="0.2">
      <c r="D4656" s="139"/>
      <c r="F4656"/>
    </row>
    <row r="4657" spans="4:6" x14ac:dyDescent="0.2">
      <c r="D4657" s="139"/>
      <c r="F4657"/>
    </row>
    <row r="4658" spans="4:6" x14ac:dyDescent="0.2">
      <c r="D4658" s="139"/>
      <c r="F4658"/>
    </row>
    <row r="4659" spans="4:6" x14ac:dyDescent="0.2">
      <c r="D4659" s="139"/>
      <c r="F4659"/>
    </row>
    <row r="4660" spans="4:6" x14ac:dyDescent="0.2">
      <c r="D4660" s="139"/>
      <c r="F4660"/>
    </row>
    <row r="4661" spans="4:6" x14ac:dyDescent="0.2">
      <c r="D4661" s="139"/>
      <c r="F4661"/>
    </row>
    <row r="4662" spans="4:6" x14ac:dyDescent="0.2">
      <c r="D4662" s="139"/>
      <c r="F4662"/>
    </row>
    <row r="4663" spans="4:6" x14ac:dyDescent="0.2">
      <c r="D4663" s="139"/>
      <c r="F4663"/>
    </row>
    <row r="4664" spans="4:6" x14ac:dyDescent="0.2">
      <c r="D4664" s="139"/>
      <c r="F4664"/>
    </row>
    <row r="4665" spans="4:6" x14ac:dyDescent="0.2">
      <c r="D4665" s="139"/>
      <c r="F4665"/>
    </row>
    <row r="4666" spans="4:6" x14ac:dyDescent="0.2">
      <c r="D4666" s="139"/>
      <c r="F4666"/>
    </row>
    <row r="4667" spans="4:6" x14ac:dyDescent="0.2">
      <c r="D4667" s="139"/>
      <c r="F4667"/>
    </row>
    <row r="4668" spans="4:6" x14ac:dyDescent="0.2">
      <c r="D4668" s="139"/>
      <c r="F4668"/>
    </row>
    <row r="4669" spans="4:6" x14ac:dyDescent="0.2">
      <c r="D4669" s="139"/>
      <c r="F4669"/>
    </row>
    <row r="4670" spans="4:6" x14ac:dyDescent="0.2">
      <c r="D4670" s="139"/>
      <c r="F4670"/>
    </row>
    <row r="4671" spans="4:6" x14ac:dyDescent="0.2">
      <c r="D4671" s="139"/>
      <c r="F4671"/>
    </row>
    <row r="4672" spans="4:6" x14ac:dyDescent="0.2">
      <c r="D4672" s="139"/>
      <c r="F4672"/>
    </row>
    <row r="4673" spans="4:6" x14ac:dyDescent="0.2">
      <c r="D4673" s="139"/>
      <c r="F4673"/>
    </row>
    <row r="4674" spans="4:6" x14ac:dyDescent="0.2">
      <c r="D4674" s="139"/>
      <c r="F4674"/>
    </row>
    <row r="4675" spans="4:6" x14ac:dyDescent="0.2">
      <c r="D4675" s="139"/>
      <c r="F4675"/>
    </row>
    <row r="4676" spans="4:6" x14ac:dyDescent="0.2">
      <c r="D4676" s="139"/>
      <c r="F4676"/>
    </row>
    <row r="4677" spans="4:6" x14ac:dyDescent="0.2">
      <c r="D4677" s="139"/>
      <c r="F4677"/>
    </row>
    <row r="4678" spans="4:6" x14ac:dyDescent="0.2">
      <c r="D4678" s="139"/>
      <c r="F4678"/>
    </row>
    <row r="4679" spans="4:6" x14ac:dyDescent="0.2">
      <c r="D4679" s="139"/>
      <c r="F4679"/>
    </row>
    <row r="4680" spans="4:6" x14ac:dyDescent="0.2">
      <c r="D4680" s="139"/>
      <c r="F4680"/>
    </row>
    <row r="4681" spans="4:6" x14ac:dyDescent="0.2">
      <c r="D4681" s="139"/>
      <c r="F4681"/>
    </row>
    <row r="4682" spans="4:6" x14ac:dyDescent="0.2">
      <c r="D4682" s="139"/>
      <c r="F4682"/>
    </row>
    <row r="4683" spans="4:6" x14ac:dyDescent="0.2">
      <c r="D4683" s="139"/>
      <c r="F4683"/>
    </row>
    <row r="4684" spans="4:6" x14ac:dyDescent="0.2">
      <c r="D4684" s="139"/>
      <c r="F4684"/>
    </row>
    <row r="4685" spans="4:6" x14ac:dyDescent="0.2">
      <c r="D4685" s="139"/>
      <c r="F4685"/>
    </row>
    <row r="4686" spans="4:6" x14ac:dyDescent="0.2">
      <c r="D4686" s="139"/>
      <c r="F4686"/>
    </row>
    <row r="4687" spans="4:6" x14ac:dyDescent="0.2">
      <c r="D4687" s="139"/>
      <c r="F4687"/>
    </row>
    <row r="4688" spans="4:6" x14ac:dyDescent="0.2">
      <c r="D4688" s="139"/>
      <c r="F4688"/>
    </row>
    <row r="4689" spans="4:6" x14ac:dyDescent="0.2">
      <c r="D4689" s="139"/>
      <c r="F4689"/>
    </row>
    <row r="4690" spans="4:6" x14ac:dyDescent="0.2">
      <c r="D4690" s="139"/>
      <c r="F4690"/>
    </row>
    <row r="4691" spans="4:6" x14ac:dyDescent="0.2">
      <c r="D4691" s="139"/>
      <c r="F4691"/>
    </row>
    <row r="4692" spans="4:6" x14ac:dyDescent="0.2">
      <c r="D4692" s="139"/>
      <c r="F4692"/>
    </row>
    <row r="4693" spans="4:6" x14ac:dyDescent="0.2">
      <c r="D4693" s="139"/>
      <c r="F4693"/>
    </row>
    <row r="4694" spans="4:6" x14ac:dyDescent="0.2">
      <c r="D4694" s="139"/>
      <c r="F4694"/>
    </row>
    <row r="4695" spans="4:6" x14ac:dyDescent="0.2">
      <c r="D4695" s="139"/>
      <c r="F4695"/>
    </row>
    <row r="4696" spans="4:6" x14ac:dyDescent="0.2">
      <c r="D4696" s="139"/>
      <c r="F4696"/>
    </row>
    <row r="4697" spans="4:6" x14ac:dyDescent="0.2">
      <c r="D4697" s="139"/>
      <c r="F4697"/>
    </row>
    <row r="4698" spans="4:6" x14ac:dyDescent="0.2">
      <c r="D4698" s="139"/>
      <c r="F4698"/>
    </row>
    <row r="4699" spans="4:6" x14ac:dyDescent="0.2">
      <c r="D4699" s="139"/>
      <c r="F4699"/>
    </row>
    <row r="4700" spans="4:6" x14ac:dyDescent="0.2">
      <c r="D4700" s="139"/>
      <c r="F4700"/>
    </row>
    <row r="4701" spans="4:6" x14ac:dyDescent="0.2">
      <c r="D4701" s="139"/>
      <c r="F4701"/>
    </row>
    <row r="4702" spans="4:6" x14ac:dyDescent="0.2">
      <c r="D4702" s="139"/>
      <c r="F4702"/>
    </row>
    <row r="4703" spans="4:6" x14ac:dyDescent="0.2">
      <c r="D4703" s="139"/>
      <c r="F4703"/>
    </row>
    <row r="4704" spans="4:6" x14ac:dyDescent="0.2">
      <c r="D4704" s="139"/>
      <c r="F4704"/>
    </row>
    <row r="4705" spans="4:6" x14ac:dyDescent="0.2">
      <c r="D4705" s="139"/>
      <c r="F4705"/>
    </row>
    <row r="4706" spans="4:6" x14ac:dyDescent="0.2">
      <c r="D4706" s="139"/>
      <c r="F4706"/>
    </row>
    <row r="4707" spans="4:6" x14ac:dyDescent="0.2">
      <c r="D4707" s="139"/>
      <c r="F4707"/>
    </row>
    <row r="4708" spans="4:6" x14ac:dyDescent="0.2">
      <c r="D4708" s="139"/>
      <c r="F4708"/>
    </row>
    <row r="4709" spans="4:6" x14ac:dyDescent="0.2">
      <c r="D4709" s="139"/>
      <c r="F4709"/>
    </row>
    <row r="4710" spans="4:6" x14ac:dyDescent="0.2">
      <c r="D4710" s="139"/>
      <c r="F4710"/>
    </row>
    <row r="4711" spans="4:6" x14ac:dyDescent="0.2">
      <c r="D4711" s="139"/>
      <c r="F4711"/>
    </row>
    <row r="4712" spans="4:6" x14ac:dyDescent="0.2">
      <c r="D4712" s="139"/>
      <c r="F4712"/>
    </row>
    <row r="4713" spans="4:6" x14ac:dyDescent="0.2">
      <c r="D4713" s="139"/>
      <c r="F4713"/>
    </row>
    <row r="4714" spans="4:6" x14ac:dyDescent="0.2">
      <c r="D4714" s="139"/>
      <c r="F4714"/>
    </row>
    <row r="4715" spans="4:6" x14ac:dyDescent="0.2">
      <c r="D4715" s="139"/>
      <c r="F4715"/>
    </row>
    <row r="4716" spans="4:6" x14ac:dyDescent="0.2">
      <c r="D4716" s="139"/>
      <c r="F4716"/>
    </row>
    <row r="4717" spans="4:6" x14ac:dyDescent="0.2">
      <c r="D4717" s="139"/>
      <c r="F4717"/>
    </row>
    <row r="4718" spans="4:6" x14ac:dyDescent="0.2">
      <c r="D4718" s="139"/>
      <c r="F4718"/>
    </row>
    <row r="4719" spans="4:6" x14ac:dyDescent="0.2">
      <c r="D4719" s="139"/>
      <c r="F4719"/>
    </row>
    <row r="4720" spans="4:6" x14ac:dyDescent="0.2">
      <c r="D4720" s="139"/>
      <c r="F4720"/>
    </row>
    <row r="4721" spans="4:6" x14ac:dyDescent="0.2">
      <c r="D4721" s="139"/>
      <c r="F4721"/>
    </row>
    <row r="4722" spans="4:6" x14ac:dyDescent="0.2">
      <c r="D4722" s="139"/>
      <c r="F4722"/>
    </row>
    <row r="4723" spans="4:6" x14ac:dyDescent="0.2">
      <c r="D4723" s="139"/>
      <c r="F4723"/>
    </row>
    <row r="4724" spans="4:6" x14ac:dyDescent="0.2">
      <c r="D4724" s="139"/>
      <c r="F4724"/>
    </row>
    <row r="4725" spans="4:6" x14ac:dyDescent="0.2">
      <c r="D4725" s="139"/>
      <c r="F4725"/>
    </row>
    <row r="4726" spans="4:6" x14ac:dyDescent="0.2">
      <c r="D4726" s="139"/>
      <c r="F4726"/>
    </row>
    <row r="4727" spans="4:6" x14ac:dyDescent="0.2">
      <c r="D4727" s="139"/>
      <c r="F4727"/>
    </row>
    <row r="4728" spans="4:6" x14ac:dyDescent="0.2">
      <c r="D4728" s="139"/>
      <c r="F4728"/>
    </row>
    <row r="4729" spans="4:6" x14ac:dyDescent="0.2">
      <c r="D4729" s="139"/>
      <c r="F4729"/>
    </row>
    <row r="4730" spans="4:6" x14ac:dyDescent="0.2">
      <c r="D4730" s="139"/>
      <c r="F4730"/>
    </row>
    <row r="4731" spans="4:6" x14ac:dyDescent="0.2">
      <c r="D4731" s="139"/>
      <c r="F4731"/>
    </row>
    <row r="4732" spans="4:6" x14ac:dyDescent="0.2">
      <c r="D4732" s="139"/>
      <c r="F4732"/>
    </row>
    <row r="4733" spans="4:6" x14ac:dyDescent="0.2">
      <c r="D4733" s="139"/>
      <c r="F4733"/>
    </row>
    <row r="4734" spans="4:6" x14ac:dyDescent="0.2">
      <c r="D4734" s="139"/>
      <c r="F4734"/>
    </row>
    <row r="4735" spans="4:6" x14ac:dyDescent="0.2">
      <c r="D4735" s="139"/>
      <c r="F4735"/>
    </row>
    <row r="4736" spans="4:6" x14ac:dyDescent="0.2">
      <c r="D4736" s="139"/>
      <c r="F4736"/>
    </row>
    <row r="4737" spans="4:6" x14ac:dyDescent="0.2">
      <c r="D4737" s="139"/>
      <c r="F4737"/>
    </row>
    <row r="4738" spans="4:6" x14ac:dyDescent="0.2">
      <c r="D4738" s="139"/>
      <c r="F4738"/>
    </row>
    <row r="4739" spans="4:6" x14ac:dyDescent="0.2">
      <c r="D4739" s="139"/>
      <c r="F4739"/>
    </row>
    <row r="4740" spans="4:6" x14ac:dyDescent="0.2">
      <c r="D4740" s="139"/>
      <c r="F4740"/>
    </row>
    <row r="4741" spans="4:6" x14ac:dyDescent="0.2">
      <c r="D4741" s="139"/>
      <c r="F4741"/>
    </row>
    <row r="4742" spans="4:6" x14ac:dyDescent="0.2">
      <c r="D4742" s="139"/>
      <c r="F4742"/>
    </row>
    <row r="4743" spans="4:6" x14ac:dyDescent="0.2">
      <c r="D4743" s="139"/>
      <c r="F4743"/>
    </row>
    <row r="4744" spans="4:6" x14ac:dyDescent="0.2">
      <c r="D4744" s="139"/>
      <c r="F4744"/>
    </row>
    <row r="4745" spans="4:6" x14ac:dyDescent="0.2">
      <c r="D4745" s="139"/>
      <c r="F4745"/>
    </row>
    <row r="4746" spans="4:6" x14ac:dyDescent="0.2">
      <c r="D4746" s="139"/>
      <c r="F4746"/>
    </row>
    <row r="4747" spans="4:6" x14ac:dyDescent="0.2">
      <c r="D4747" s="139"/>
      <c r="F4747"/>
    </row>
    <row r="4748" spans="4:6" x14ac:dyDescent="0.2">
      <c r="D4748" s="139"/>
      <c r="F4748"/>
    </row>
    <row r="4749" spans="4:6" x14ac:dyDescent="0.2">
      <c r="D4749" s="139"/>
      <c r="F4749"/>
    </row>
    <row r="4750" spans="4:6" x14ac:dyDescent="0.2">
      <c r="D4750" s="139"/>
      <c r="F4750"/>
    </row>
    <row r="4751" spans="4:6" x14ac:dyDescent="0.2">
      <c r="D4751" s="139"/>
      <c r="F4751"/>
    </row>
    <row r="4752" spans="4:6" x14ac:dyDescent="0.2">
      <c r="D4752" s="139"/>
      <c r="F4752"/>
    </row>
    <row r="4753" spans="4:6" x14ac:dyDescent="0.2">
      <c r="D4753" s="139"/>
      <c r="F4753"/>
    </row>
    <row r="4754" spans="4:6" x14ac:dyDescent="0.2">
      <c r="D4754" s="139"/>
      <c r="F4754"/>
    </row>
    <row r="4755" spans="4:6" x14ac:dyDescent="0.2">
      <c r="D4755" s="139"/>
      <c r="F4755"/>
    </row>
    <row r="4756" spans="4:6" x14ac:dyDescent="0.2">
      <c r="D4756" s="139"/>
      <c r="F4756"/>
    </row>
    <row r="4757" spans="4:6" x14ac:dyDescent="0.2">
      <c r="D4757" s="139"/>
      <c r="F4757"/>
    </row>
    <row r="4758" spans="4:6" x14ac:dyDescent="0.2">
      <c r="D4758" s="139"/>
      <c r="F4758"/>
    </row>
    <row r="4759" spans="4:6" x14ac:dyDescent="0.2">
      <c r="D4759" s="139"/>
      <c r="F4759"/>
    </row>
    <row r="4760" spans="4:6" x14ac:dyDescent="0.2">
      <c r="D4760" s="139"/>
      <c r="F4760"/>
    </row>
    <row r="4761" spans="4:6" x14ac:dyDescent="0.2">
      <c r="D4761" s="139"/>
      <c r="F4761"/>
    </row>
    <row r="4762" spans="4:6" x14ac:dyDescent="0.2">
      <c r="D4762" s="139"/>
      <c r="F4762"/>
    </row>
    <row r="4763" spans="4:6" x14ac:dyDescent="0.2">
      <c r="D4763" s="139"/>
      <c r="F4763"/>
    </row>
    <row r="4764" spans="4:6" x14ac:dyDescent="0.2">
      <c r="D4764" s="139"/>
      <c r="F4764"/>
    </row>
    <row r="4765" spans="4:6" x14ac:dyDescent="0.2">
      <c r="D4765" s="139"/>
      <c r="F4765"/>
    </row>
    <row r="4766" spans="4:6" x14ac:dyDescent="0.2">
      <c r="D4766" s="139"/>
      <c r="F4766"/>
    </row>
    <row r="4767" spans="4:6" x14ac:dyDescent="0.2">
      <c r="D4767" s="139"/>
      <c r="F4767"/>
    </row>
    <row r="4768" spans="4:6" x14ac:dyDescent="0.2">
      <c r="D4768" s="139"/>
      <c r="F4768"/>
    </row>
    <row r="4769" spans="4:6" x14ac:dyDescent="0.2">
      <c r="D4769" s="139"/>
      <c r="F4769"/>
    </row>
    <row r="4770" spans="4:6" x14ac:dyDescent="0.2">
      <c r="D4770" s="139"/>
      <c r="F4770"/>
    </row>
    <row r="4771" spans="4:6" x14ac:dyDescent="0.2">
      <c r="D4771" s="139"/>
      <c r="F4771"/>
    </row>
    <row r="4772" spans="4:6" x14ac:dyDescent="0.2">
      <c r="D4772" s="139"/>
      <c r="F4772"/>
    </row>
    <row r="4773" spans="4:6" x14ac:dyDescent="0.2">
      <c r="D4773" s="139"/>
      <c r="F4773"/>
    </row>
    <row r="4774" spans="4:6" x14ac:dyDescent="0.2">
      <c r="D4774" s="139"/>
      <c r="F4774"/>
    </row>
    <row r="4775" spans="4:6" x14ac:dyDescent="0.2">
      <c r="D4775" s="139"/>
      <c r="F4775"/>
    </row>
    <row r="4776" spans="4:6" x14ac:dyDescent="0.2">
      <c r="D4776" s="139"/>
      <c r="F4776"/>
    </row>
    <row r="4777" spans="4:6" x14ac:dyDescent="0.2">
      <c r="D4777" s="139"/>
      <c r="F4777"/>
    </row>
    <row r="4778" spans="4:6" x14ac:dyDescent="0.2">
      <c r="D4778" s="139"/>
      <c r="F4778"/>
    </row>
    <row r="4779" spans="4:6" x14ac:dyDescent="0.2">
      <c r="D4779" s="139"/>
      <c r="F4779"/>
    </row>
    <row r="4780" spans="4:6" x14ac:dyDescent="0.2">
      <c r="D4780" s="139"/>
      <c r="F4780"/>
    </row>
    <row r="4781" spans="4:6" x14ac:dyDescent="0.2">
      <c r="D4781" s="139"/>
      <c r="F4781"/>
    </row>
    <row r="4782" spans="4:6" x14ac:dyDescent="0.2">
      <c r="D4782" s="139"/>
      <c r="F4782"/>
    </row>
    <row r="4783" spans="4:6" x14ac:dyDescent="0.2">
      <c r="D4783" s="139"/>
      <c r="F4783"/>
    </row>
    <row r="4784" spans="4:6" x14ac:dyDescent="0.2">
      <c r="D4784" s="139"/>
      <c r="F4784"/>
    </row>
    <row r="4785" spans="4:6" x14ac:dyDescent="0.2">
      <c r="D4785" s="139"/>
      <c r="F4785"/>
    </row>
    <row r="4786" spans="4:6" x14ac:dyDescent="0.2">
      <c r="D4786" s="139"/>
      <c r="F4786"/>
    </row>
    <row r="4787" spans="4:6" x14ac:dyDescent="0.2">
      <c r="D4787" s="139"/>
      <c r="F4787"/>
    </row>
    <row r="4788" spans="4:6" x14ac:dyDescent="0.2">
      <c r="D4788" s="139"/>
      <c r="F4788"/>
    </row>
    <row r="4789" spans="4:6" x14ac:dyDescent="0.2">
      <c r="D4789" s="139"/>
      <c r="F4789"/>
    </row>
    <row r="4790" spans="4:6" x14ac:dyDescent="0.2">
      <c r="D4790" s="139"/>
      <c r="F4790"/>
    </row>
    <row r="4791" spans="4:6" x14ac:dyDescent="0.2">
      <c r="D4791" s="139"/>
      <c r="F4791"/>
    </row>
    <row r="4792" spans="4:6" x14ac:dyDescent="0.2">
      <c r="D4792" s="139"/>
      <c r="F4792"/>
    </row>
    <row r="4793" spans="4:6" x14ac:dyDescent="0.2">
      <c r="D4793" s="139"/>
      <c r="F4793"/>
    </row>
    <row r="4794" spans="4:6" x14ac:dyDescent="0.2">
      <c r="D4794" s="139"/>
      <c r="F4794"/>
    </row>
    <row r="4795" spans="4:6" x14ac:dyDescent="0.2">
      <c r="D4795" s="139"/>
      <c r="F4795"/>
    </row>
    <row r="4796" spans="4:6" x14ac:dyDescent="0.2">
      <c r="D4796" s="139"/>
      <c r="F4796"/>
    </row>
    <row r="4797" spans="4:6" x14ac:dyDescent="0.2">
      <c r="D4797" s="139"/>
      <c r="F4797"/>
    </row>
    <row r="4798" spans="4:6" x14ac:dyDescent="0.2">
      <c r="D4798" s="139"/>
      <c r="F4798"/>
    </row>
    <row r="4799" spans="4:6" x14ac:dyDescent="0.2">
      <c r="D4799" s="139"/>
      <c r="F4799"/>
    </row>
    <row r="4800" spans="4:6" x14ac:dyDescent="0.2">
      <c r="D4800" s="139"/>
      <c r="F4800"/>
    </row>
    <row r="4801" spans="4:6" x14ac:dyDescent="0.2">
      <c r="D4801" s="139"/>
      <c r="F4801"/>
    </row>
    <row r="4802" spans="4:6" x14ac:dyDescent="0.2">
      <c r="D4802" s="139"/>
      <c r="F4802"/>
    </row>
    <row r="4803" spans="4:6" x14ac:dyDescent="0.2">
      <c r="D4803" s="139"/>
      <c r="F4803"/>
    </row>
    <row r="4804" spans="4:6" x14ac:dyDescent="0.2">
      <c r="D4804" s="139"/>
      <c r="F4804"/>
    </row>
    <row r="4805" spans="4:6" x14ac:dyDescent="0.2">
      <c r="D4805" s="139"/>
      <c r="F4805"/>
    </row>
    <row r="4806" spans="4:6" x14ac:dyDescent="0.2">
      <c r="D4806" s="139"/>
      <c r="F4806"/>
    </row>
    <row r="4807" spans="4:6" x14ac:dyDescent="0.2">
      <c r="D4807" s="139"/>
      <c r="F4807"/>
    </row>
    <row r="4808" spans="4:6" x14ac:dyDescent="0.2">
      <c r="D4808" s="139"/>
      <c r="F4808"/>
    </row>
    <row r="4809" spans="4:6" x14ac:dyDescent="0.2">
      <c r="D4809" s="139"/>
      <c r="F4809"/>
    </row>
    <row r="4810" spans="4:6" x14ac:dyDescent="0.2">
      <c r="D4810" s="139"/>
      <c r="F4810"/>
    </row>
    <row r="4811" spans="4:6" x14ac:dyDescent="0.2">
      <c r="D4811" s="139"/>
      <c r="F4811"/>
    </row>
    <row r="4812" spans="4:6" x14ac:dyDescent="0.2">
      <c r="D4812" s="139"/>
      <c r="F4812"/>
    </row>
    <row r="4813" spans="4:6" x14ac:dyDescent="0.2">
      <c r="D4813" s="139"/>
      <c r="F4813"/>
    </row>
    <row r="4814" spans="4:6" x14ac:dyDescent="0.2">
      <c r="D4814" s="139"/>
      <c r="F4814"/>
    </row>
    <row r="4815" spans="4:6" x14ac:dyDescent="0.2">
      <c r="D4815" s="139"/>
      <c r="F4815"/>
    </row>
    <row r="4816" spans="4:6" x14ac:dyDescent="0.2">
      <c r="D4816" s="139"/>
      <c r="F4816"/>
    </row>
    <row r="4817" spans="4:6" x14ac:dyDescent="0.2">
      <c r="D4817" s="139"/>
      <c r="F4817"/>
    </row>
    <row r="4818" spans="4:6" x14ac:dyDescent="0.2">
      <c r="D4818" s="139"/>
      <c r="F4818"/>
    </row>
    <row r="4819" spans="4:6" x14ac:dyDescent="0.2">
      <c r="D4819" s="139"/>
      <c r="F4819"/>
    </row>
    <row r="4820" spans="4:6" x14ac:dyDescent="0.2">
      <c r="D4820" s="139"/>
      <c r="F4820"/>
    </row>
    <row r="4821" spans="4:6" x14ac:dyDescent="0.2">
      <c r="D4821" s="139"/>
      <c r="F4821"/>
    </row>
    <row r="4822" spans="4:6" x14ac:dyDescent="0.2">
      <c r="D4822" s="139"/>
      <c r="F4822"/>
    </row>
    <row r="4823" spans="4:6" x14ac:dyDescent="0.2">
      <c r="D4823" s="139"/>
      <c r="F4823"/>
    </row>
    <row r="4824" spans="4:6" x14ac:dyDescent="0.2">
      <c r="D4824" s="139"/>
      <c r="F4824"/>
    </row>
    <row r="4825" spans="4:6" x14ac:dyDescent="0.2">
      <c r="D4825" s="139"/>
      <c r="F4825"/>
    </row>
    <row r="4826" spans="4:6" x14ac:dyDescent="0.2">
      <c r="D4826" s="139"/>
      <c r="F4826"/>
    </row>
    <row r="4827" spans="4:6" x14ac:dyDescent="0.2">
      <c r="D4827" s="139"/>
      <c r="F4827"/>
    </row>
    <row r="4828" spans="4:6" x14ac:dyDescent="0.2">
      <c r="D4828" s="139"/>
      <c r="F4828"/>
    </row>
    <row r="4829" spans="4:6" x14ac:dyDescent="0.2">
      <c r="D4829" s="139"/>
      <c r="F4829"/>
    </row>
    <row r="4830" spans="4:6" x14ac:dyDescent="0.2">
      <c r="D4830" s="139"/>
      <c r="F4830"/>
    </row>
    <row r="4831" spans="4:6" x14ac:dyDescent="0.2">
      <c r="D4831" s="139"/>
      <c r="F4831"/>
    </row>
    <row r="4832" spans="4:6" x14ac:dyDescent="0.2">
      <c r="D4832" s="139"/>
      <c r="F4832"/>
    </row>
    <row r="4833" spans="4:6" x14ac:dyDescent="0.2">
      <c r="D4833" s="139"/>
      <c r="F4833"/>
    </row>
    <row r="4834" spans="4:6" x14ac:dyDescent="0.2">
      <c r="D4834" s="139"/>
      <c r="F4834"/>
    </row>
    <row r="4835" spans="4:6" x14ac:dyDescent="0.2">
      <c r="D4835" s="139"/>
      <c r="F4835"/>
    </row>
    <row r="4836" spans="4:6" x14ac:dyDescent="0.2">
      <c r="D4836" s="139"/>
      <c r="F4836"/>
    </row>
    <row r="4837" spans="4:6" x14ac:dyDescent="0.2">
      <c r="D4837" s="139"/>
      <c r="F4837"/>
    </row>
    <row r="4838" spans="4:6" x14ac:dyDescent="0.2">
      <c r="D4838" s="139"/>
      <c r="F4838"/>
    </row>
    <row r="4839" spans="4:6" x14ac:dyDescent="0.2">
      <c r="D4839" s="139"/>
      <c r="F4839"/>
    </row>
    <row r="4840" spans="4:6" x14ac:dyDescent="0.2">
      <c r="D4840" s="139"/>
      <c r="F4840"/>
    </row>
    <row r="4841" spans="4:6" x14ac:dyDescent="0.2">
      <c r="D4841" s="139"/>
      <c r="F4841"/>
    </row>
    <row r="4842" spans="4:6" x14ac:dyDescent="0.2">
      <c r="D4842" s="139"/>
      <c r="F4842"/>
    </row>
    <row r="4843" spans="4:6" x14ac:dyDescent="0.2">
      <c r="D4843" s="139"/>
      <c r="F4843"/>
    </row>
    <row r="4844" spans="4:6" x14ac:dyDescent="0.2">
      <c r="D4844" s="139"/>
      <c r="F4844"/>
    </row>
    <row r="4845" spans="4:6" x14ac:dyDescent="0.2">
      <c r="D4845" s="139"/>
      <c r="F4845"/>
    </row>
    <row r="4846" spans="4:6" x14ac:dyDescent="0.2">
      <c r="D4846" s="139"/>
      <c r="F4846"/>
    </row>
    <row r="4847" spans="4:6" x14ac:dyDescent="0.2">
      <c r="D4847" s="139"/>
      <c r="F4847"/>
    </row>
    <row r="4848" spans="4:6" x14ac:dyDescent="0.2">
      <c r="D4848" s="139"/>
      <c r="F4848"/>
    </row>
    <row r="4849" spans="4:6" x14ac:dyDescent="0.2">
      <c r="D4849" s="139"/>
      <c r="F4849"/>
    </row>
    <row r="4850" spans="4:6" x14ac:dyDescent="0.2">
      <c r="D4850" s="139"/>
      <c r="F4850"/>
    </row>
    <row r="4851" spans="4:6" x14ac:dyDescent="0.2">
      <c r="D4851" s="139"/>
      <c r="F4851"/>
    </row>
    <row r="4852" spans="4:6" x14ac:dyDescent="0.2">
      <c r="D4852" s="139"/>
      <c r="F4852"/>
    </row>
    <row r="4853" spans="4:6" x14ac:dyDescent="0.2">
      <c r="D4853" s="139"/>
      <c r="F4853"/>
    </row>
    <row r="4854" spans="4:6" x14ac:dyDescent="0.2">
      <c r="D4854" s="139"/>
      <c r="F4854"/>
    </row>
    <row r="4855" spans="4:6" x14ac:dyDescent="0.2">
      <c r="D4855" s="139"/>
      <c r="F4855"/>
    </row>
    <row r="4856" spans="4:6" x14ac:dyDescent="0.2">
      <c r="D4856" s="139"/>
      <c r="F4856"/>
    </row>
    <row r="4857" spans="4:6" x14ac:dyDescent="0.2">
      <c r="D4857" s="139"/>
      <c r="F4857"/>
    </row>
    <row r="4858" spans="4:6" x14ac:dyDescent="0.2">
      <c r="D4858" s="139"/>
      <c r="F4858"/>
    </row>
    <row r="4859" spans="4:6" x14ac:dyDescent="0.2">
      <c r="D4859" s="139"/>
      <c r="F4859"/>
    </row>
    <row r="4860" spans="4:6" x14ac:dyDescent="0.2">
      <c r="D4860" s="139"/>
      <c r="F4860"/>
    </row>
    <row r="4861" spans="4:6" x14ac:dyDescent="0.2">
      <c r="D4861" s="139"/>
      <c r="F4861"/>
    </row>
    <row r="4862" spans="4:6" x14ac:dyDescent="0.2">
      <c r="D4862" s="139"/>
      <c r="F4862"/>
    </row>
    <row r="4863" spans="4:6" x14ac:dyDescent="0.2">
      <c r="D4863" s="139"/>
      <c r="F4863"/>
    </row>
    <row r="4864" spans="4:6" x14ac:dyDescent="0.2">
      <c r="D4864" s="139"/>
      <c r="F4864"/>
    </row>
    <row r="4865" spans="4:6" x14ac:dyDescent="0.2">
      <c r="D4865" s="139"/>
      <c r="F4865"/>
    </row>
    <row r="4866" spans="4:6" x14ac:dyDescent="0.2">
      <c r="D4866" s="139"/>
      <c r="F4866"/>
    </row>
    <row r="4867" spans="4:6" x14ac:dyDescent="0.2">
      <c r="D4867" s="139"/>
      <c r="F4867"/>
    </row>
    <row r="4868" spans="4:6" x14ac:dyDescent="0.2">
      <c r="D4868" s="139"/>
      <c r="F4868"/>
    </row>
    <row r="4869" spans="4:6" x14ac:dyDescent="0.2">
      <c r="D4869" s="139"/>
      <c r="F4869"/>
    </row>
    <row r="4870" spans="4:6" x14ac:dyDescent="0.2">
      <c r="D4870" s="139"/>
      <c r="F4870"/>
    </row>
    <row r="4871" spans="4:6" x14ac:dyDescent="0.2">
      <c r="D4871" s="139"/>
      <c r="F4871"/>
    </row>
    <row r="4872" spans="4:6" x14ac:dyDescent="0.2">
      <c r="D4872" s="139"/>
      <c r="F4872"/>
    </row>
    <row r="4873" spans="4:6" x14ac:dyDescent="0.2">
      <c r="D4873" s="139"/>
      <c r="F4873"/>
    </row>
    <row r="4874" spans="4:6" x14ac:dyDescent="0.2">
      <c r="D4874" s="139"/>
      <c r="F4874"/>
    </row>
    <row r="4875" spans="4:6" x14ac:dyDescent="0.2">
      <c r="D4875" s="139"/>
      <c r="F4875"/>
    </row>
    <row r="4876" spans="4:6" x14ac:dyDescent="0.2">
      <c r="D4876" s="139"/>
      <c r="F4876"/>
    </row>
    <row r="4877" spans="4:6" x14ac:dyDescent="0.2">
      <c r="D4877" s="139"/>
      <c r="F4877"/>
    </row>
    <row r="4878" spans="4:6" x14ac:dyDescent="0.2">
      <c r="D4878" s="139"/>
      <c r="F4878"/>
    </row>
    <row r="4879" spans="4:6" x14ac:dyDescent="0.2">
      <c r="D4879" s="139"/>
      <c r="F4879"/>
    </row>
    <row r="4880" spans="4:6" x14ac:dyDescent="0.2">
      <c r="D4880" s="139"/>
      <c r="F4880"/>
    </row>
    <row r="4881" spans="4:6" x14ac:dyDescent="0.2">
      <c r="D4881" s="139"/>
      <c r="F4881"/>
    </row>
    <row r="4882" spans="4:6" x14ac:dyDescent="0.2">
      <c r="D4882" s="139"/>
      <c r="F4882"/>
    </row>
    <row r="4883" spans="4:6" x14ac:dyDescent="0.2">
      <c r="D4883" s="139"/>
      <c r="F4883"/>
    </row>
    <row r="4884" spans="4:6" x14ac:dyDescent="0.2">
      <c r="D4884" s="139"/>
      <c r="F4884"/>
    </row>
    <row r="4885" spans="4:6" x14ac:dyDescent="0.2">
      <c r="D4885" s="139"/>
      <c r="F4885"/>
    </row>
    <row r="4886" spans="4:6" x14ac:dyDescent="0.2">
      <c r="D4886" s="139"/>
      <c r="F4886"/>
    </row>
    <row r="4887" spans="4:6" x14ac:dyDescent="0.2">
      <c r="D4887" s="139"/>
      <c r="F4887"/>
    </row>
    <row r="4888" spans="4:6" x14ac:dyDescent="0.2">
      <c r="D4888" s="139"/>
      <c r="F4888"/>
    </row>
    <row r="4889" spans="4:6" x14ac:dyDescent="0.2">
      <c r="D4889" s="139"/>
      <c r="F4889"/>
    </row>
    <row r="4890" spans="4:6" x14ac:dyDescent="0.2">
      <c r="D4890" s="139"/>
      <c r="F4890"/>
    </row>
    <row r="4891" spans="4:6" x14ac:dyDescent="0.2">
      <c r="D4891" s="139"/>
      <c r="F4891"/>
    </row>
    <row r="4892" spans="4:6" x14ac:dyDescent="0.2">
      <c r="D4892" s="139"/>
      <c r="F4892"/>
    </row>
    <row r="4893" spans="4:6" x14ac:dyDescent="0.2">
      <c r="D4893" s="139"/>
      <c r="F4893"/>
    </row>
    <row r="4894" spans="4:6" x14ac:dyDescent="0.2">
      <c r="D4894" s="139"/>
      <c r="F4894"/>
    </row>
    <row r="4895" spans="4:6" x14ac:dyDescent="0.2">
      <c r="D4895" s="139"/>
      <c r="F4895"/>
    </row>
    <row r="4896" spans="4:6" x14ac:dyDescent="0.2">
      <c r="D4896" s="139"/>
      <c r="F4896"/>
    </row>
    <row r="4897" spans="4:6" x14ac:dyDescent="0.2">
      <c r="D4897" s="139"/>
      <c r="F4897"/>
    </row>
    <row r="4898" spans="4:6" x14ac:dyDescent="0.2">
      <c r="D4898" s="139"/>
      <c r="F4898"/>
    </row>
    <row r="4899" spans="4:6" x14ac:dyDescent="0.2">
      <c r="D4899" s="139"/>
      <c r="F4899"/>
    </row>
    <row r="4900" spans="4:6" x14ac:dyDescent="0.2">
      <c r="D4900" s="139"/>
      <c r="F4900"/>
    </row>
    <row r="4901" spans="4:6" x14ac:dyDescent="0.2">
      <c r="D4901" s="139"/>
      <c r="F4901"/>
    </row>
    <row r="4902" spans="4:6" x14ac:dyDescent="0.2">
      <c r="D4902" s="139"/>
      <c r="F4902"/>
    </row>
    <row r="4903" spans="4:6" x14ac:dyDescent="0.2">
      <c r="D4903" s="139"/>
      <c r="F4903"/>
    </row>
    <row r="4904" spans="4:6" x14ac:dyDescent="0.2">
      <c r="D4904" s="139"/>
      <c r="F4904"/>
    </row>
    <row r="4905" spans="4:6" x14ac:dyDescent="0.2">
      <c r="D4905" s="139"/>
      <c r="F4905"/>
    </row>
    <row r="4906" spans="4:6" x14ac:dyDescent="0.2">
      <c r="D4906" s="139"/>
      <c r="F4906"/>
    </row>
    <row r="4907" spans="4:6" x14ac:dyDescent="0.2">
      <c r="D4907" s="139"/>
      <c r="F4907"/>
    </row>
    <row r="4908" spans="4:6" x14ac:dyDescent="0.2">
      <c r="D4908" s="139"/>
      <c r="F4908"/>
    </row>
    <row r="4909" spans="4:6" x14ac:dyDescent="0.2">
      <c r="D4909" s="139"/>
      <c r="F4909"/>
    </row>
    <row r="4910" spans="4:6" x14ac:dyDescent="0.2">
      <c r="D4910" s="139"/>
      <c r="F4910"/>
    </row>
    <row r="4911" spans="4:6" x14ac:dyDescent="0.2">
      <c r="D4911" s="139"/>
      <c r="F4911"/>
    </row>
    <row r="4912" spans="4:6" x14ac:dyDescent="0.2">
      <c r="D4912" s="139"/>
      <c r="F4912"/>
    </row>
    <row r="4913" spans="4:6" x14ac:dyDescent="0.2">
      <c r="D4913" s="139"/>
      <c r="F4913"/>
    </row>
    <row r="4914" spans="4:6" x14ac:dyDescent="0.2">
      <c r="D4914" s="139"/>
      <c r="F4914"/>
    </row>
    <row r="4915" spans="4:6" x14ac:dyDescent="0.2">
      <c r="D4915" s="139"/>
      <c r="F4915"/>
    </row>
    <row r="4916" spans="4:6" x14ac:dyDescent="0.2">
      <c r="D4916" s="139"/>
      <c r="F4916"/>
    </row>
    <row r="4917" spans="4:6" x14ac:dyDescent="0.2">
      <c r="D4917" s="139"/>
      <c r="F4917"/>
    </row>
    <row r="4918" spans="4:6" x14ac:dyDescent="0.2">
      <c r="D4918" s="139"/>
      <c r="F4918"/>
    </row>
    <row r="4919" spans="4:6" x14ac:dyDescent="0.2">
      <c r="D4919" s="139"/>
      <c r="F4919"/>
    </row>
    <row r="4920" spans="4:6" x14ac:dyDescent="0.2">
      <c r="D4920" s="139"/>
      <c r="F4920"/>
    </row>
    <row r="4921" spans="4:6" x14ac:dyDescent="0.2">
      <c r="D4921" s="139"/>
      <c r="F4921"/>
    </row>
    <row r="4922" spans="4:6" x14ac:dyDescent="0.2">
      <c r="D4922" s="139"/>
      <c r="F4922"/>
    </row>
    <row r="4923" spans="4:6" x14ac:dyDescent="0.2">
      <c r="D4923" s="139"/>
      <c r="F4923"/>
    </row>
    <row r="4924" spans="4:6" x14ac:dyDescent="0.2">
      <c r="D4924" s="139"/>
      <c r="F4924"/>
    </row>
    <row r="4925" spans="4:6" x14ac:dyDescent="0.2">
      <c r="D4925" s="139"/>
      <c r="F4925"/>
    </row>
    <row r="4926" spans="4:6" x14ac:dyDescent="0.2">
      <c r="D4926" s="139"/>
      <c r="F4926"/>
    </row>
    <row r="4927" spans="4:6" x14ac:dyDescent="0.2">
      <c r="D4927" s="139"/>
      <c r="F4927"/>
    </row>
    <row r="4928" spans="4:6" x14ac:dyDescent="0.2">
      <c r="D4928" s="139"/>
      <c r="F4928"/>
    </row>
    <row r="4929" spans="4:6" x14ac:dyDescent="0.2">
      <c r="D4929" s="139"/>
      <c r="F4929"/>
    </row>
    <row r="4930" spans="4:6" x14ac:dyDescent="0.2">
      <c r="D4930" s="139"/>
      <c r="F4930"/>
    </row>
    <row r="4931" spans="4:6" x14ac:dyDescent="0.2">
      <c r="D4931" s="139"/>
      <c r="F4931"/>
    </row>
    <row r="4932" spans="4:6" x14ac:dyDescent="0.2">
      <c r="D4932" s="139"/>
      <c r="F4932"/>
    </row>
    <row r="4933" spans="4:6" x14ac:dyDescent="0.2">
      <c r="D4933" s="139"/>
      <c r="F4933"/>
    </row>
    <row r="4934" spans="4:6" x14ac:dyDescent="0.2">
      <c r="D4934" s="139"/>
      <c r="F4934"/>
    </row>
    <row r="4935" spans="4:6" x14ac:dyDescent="0.2">
      <c r="D4935" s="139"/>
      <c r="F4935"/>
    </row>
    <row r="4936" spans="4:6" x14ac:dyDescent="0.2">
      <c r="D4936" s="139"/>
      <c r="F4936"/>
    </row>
    <row r="4937" spans="4:6" x14ac:dyDescent="0.2">
      <c r="D4937" s="139"/>
      <c r="F4937"/>
    </row>
    <row r="4938" spans="4:6" x14ac:dyDescent="0.2">
      <c r="D4938" s="139"/>
      <c r="F4938"/>
    </row>
    <row r="4939" spans="4:6" x14ac:dyDescent="0.2">
      <c r="D4939" s="139"/>
      <c r="F4939"/>
    </row>
    <row r="4940" spans="4:6" x14ac:dyDescent="0.2">
      <c r="D4940" s="139"/>
      <c r="F4940"/>
    </row>
    <row r="4941" spans="4:6" x14ac:dyDescent="0.2">
      <c r="D4941" s="139"/>
      <c r="F4941"/>
    </row>
    <row r="4942" spans="4:6" x14ac:dyDescent="0.2">
      <c r="D4942" s="139"/>
      <c r="F4942"/>
    </row>
    <row r="4943" spans="4:6" x14ac:dyDescent="0.2">
      <c r="D4943" s="139"/>
      <c r="F4943"/>
    </row>
    <row r="4944" spans="4:6" x14ac:dyDescent="0.2">
      <c r="D4944" s="139"/>
      <c r="F4944"/>
    </row>
    <row r="4945" spans="4:6" x14ac:dyDescent="0.2">
      <c r="D4945" s="139"/>
      <c r="F4945"/>
    </row>
    <row r="4946" spans="4:6" x14ac:dyDescent="0.2">
      <c r="D4946" s="139"/>
      <c r="F4946"/>
    </row>
    <row r="4947" spans="4:6" x14ac:dyDescent="0.2">
      <c r="D4947" s="139"/>
      <c r="F4947"/>
    </row>
    <row r="4948" spans="4:6" x14ac:dyDescent="0.2">
      <c r="D4948" s="139"/>
      <c r="F4948"/>
    </row>
    <row r="4949" spans="4:6" x14ac:dyDescent="0.2">
      <c r="D4949" s="139"/>
      <c r="F4949"/>
    </row>
    <row r="4950" spans="4:6" x14ac:dyDescent="0.2">
      <c r="D4950" s="139"/>
      <c r="F4950"/>
    </row>
    <row r="4951" spans="4:6" x14ac:dyDescent="0.2">
      <c r="D4951" s="139"/>
      <c r="F4951"/>
    </row>
    <row r="4952" spans="4:6" x14ac:dyDescent="0.2">
      <c r="D4952" s="139"/>
      <c r="F4952"/>
    </row>
    <row r="4953" spans="4:6" x14ac:dyDescent="0.2">
      <c r="D4953" s="139"/>
      <c r="F4953"/>
    </row>
    <row r="4954" spans="4:6" x14ac:dyDescent="0.2">
      <c r="D4954" s="139"/>
      <c r="F4954"/>
    </row>
    <row r="4955" spans="4:6" x14ac:dyDescent="0.2">
      <c r="D4955" s="139"/>
      <c r="F4955"/>
    </row>
    <row r="4956" spans="4:6" x14ac:dyDescent="0.2">
      <c r="D4956" s="139"/>
      <c r="F4956"/>
    </row>
    <row r="4957" spans="4:6" x14ac:dyDescent="0.2">
      <c r="D4957" s="139"/>
      <c r="F4957"/>
    </row>
    <row r="4958" spans="4:6" x14ac:dyDescent="0.2">
      <c r="D4958" s="139"/>
      <c r="F4958"/>
    </row>
    <row r="4959" spans="4:6" x14ac:dyDescent="0.2">
      <c r="D4959" s="139"/>
      <c r="F4959"/>
    </row>
    <row r="4960" spans="4:6" x14ac:dyDescent="0.2">
      <c r="D4960" s="139"/>
      <c r="F4960"/>
    </row>
    <row r="4961" spans="4:6" x14ac:dyDescent="0.2">
      <c r="D4961" s="139"/>
      <c r="F4961"/>
    </row>
    <row r="4962" spans="4:6" x14ac:dyDescent="0.2">
      <c r="D4962" s="139"/>
      <c r="F4962"/>
    </row>
    <row r="4963" spans="4:6" x14ac:dyDescent="0.2">
      <c r="D4963" s="139"/>
      <c r="F4963"/>
    </row>
    <row r="4964" spans="4:6" x14ac:dyDescent="0.2">
      <c r="D4964" s="139"/>
      <c r="F4964"/>
    </row>
    <row r="4965" spans="4:6" x14ac:dyDescent="0.2">
      <c r="D4965" s="139"/>
      <c r="F4965"/>
    </row>
    <row r="4966" spans="4:6" x14ac:dyDescent="0.2">
      <c r="D4966" s="139"/>
      <c r="F4966"/>
    </row>
    <row r="4967" spans="4:6" x14ac:dyDescent="0.2">
      <c r="D4967" s="139"/>
      <c r="F4967"/>
    </row>
    <row r="4968" spans="4:6" x14ac:dyDescent="0.2">
      <c r="D4968" s="139"/>
      <c r="F4968"/>
    </row>
    <row r="4969" spans="4:6" x14ac:dyDescent="0.2">
      <c r="D4969" s="139"/>
      <c r="F4969"/>
    </row>
    <row r="4970" spans="4:6" x14ac:dyDescent="0.2">
      <c r="D4970" s="139"/>
      <c r="F4970"/>
    </row>
    <row r="4971" spans="4:6" x14ac:dyDescent="0.2">
      <c r="D4971" s="139"/>
      <c r="F4971"/>
    </row>
    <row r="4972" spans="4:6" x14ac:dyDescent="0.2">
      <c r="D4972" s="139"/>
      <c r="F4972"/>
    </row>
    <row r="4973" spans="4:6" x14ac:dyDescent="0.2">
      <c r="D4973" s="139"/>
      <c r="F4973"/>
    </row>
    <row r="4974" spans="4:6" x14ac:dyDescent="0.2">
      <c r="D4974" s="139"/>
      <c r="F4974"/>
    </row>
    <row r="4975" spans="4:6" x14ac:dyDescent="0.2">
      <c r="D4975" s="139"/>
      <c r="F4975"/>
    </row>
    <row r="4976" spans="4:6" x14ac:dyDescent="0.2">
      <c r="D4976" s="139"/>
      <c r="F4976"/>
    </row>
    <row r="4977" spans="4:6" x14ac:dyDescent="0.2">
      <c r="D4977" s="139"/>
      <c r="F4977"/>
    </row>
    <row r="4978" spans="4:6" x14ac:dyDescent="0.2">
      <c r="D4978" s="139"/>
      <c r="F4978"/>
    </row>
    <row r="4979" spans="4:6" x14ac:dyDescent="0.2">
      <c r="D4979" s="139"/>
      <c r="F4979"/>
    </row>
    <row r="4980" spans="4:6" x14ac:dyDescent="0.2">
      <c r="D4980" s="139"/>
      <c r="F4980"/>
    </row>
    <row r="4981" spans="4:6" x14ac:dyDescent="0.2">
      <c r="D4981" s="139"/>
      <c r="F4981"/>
    </row>
    <row r="4982" spans="4:6" x14ac:dyDescent="0.2">
      <c r="D4982" s="139"/>
      <c r="F4982"/>
    </row>
    <row r="4983" spans="4:6" x14ac:dyDescent="0.2">
      <c r="D4983" s="139"/>
      <c r="F4983"/>
    </row>
    <row r="4984" spans="4:6" x14ac:dyDescent="0.2">
      <c r="D4984" s="139"/>
      <c r="F4984"/>
    </row>
    <row r="4985" spans="4:6" x14ac:dyDescent="0.2">
      <c r="D4985" s="139"/>
      <c r="F4985"/>
    </row>
    <row r="4986" spans="4:6" x14ac:dyDescent="0.2">
      <c r="D4986" s="139"/>
      <c r="F4986"/>
    </row>
    <row r="4987" spans="4:6" x14ac:dyDescent="0.2">
      <c r="D4987" s="139"/>
      <c r="F4987"/>
    </row>
    <row r="4988" spans="4:6" x14ac:dyDescent="0.2">
      <c r="D4988" s="139"/>
      <c r="F4988"/>
    </row>
    <row r="4989" spans="4:6" x14ac:dyDescent="0.2">
      <c r="D4989" s="139"/>
      <c r="F4989"/>
    </row>
    <row r="4990" spans="4:6" x14ac:dyDescent="0.2">
      <c r="D4990" s="139"/>
      <c r="F4990"/>
    </row>
    <row r="4991" spans="4:6" x14ac:dyDescent="0.2">
      <c r="D4991" s="139"/>
      <c r="F4991"/>
    </row>
    <row r="4992" spans="4:6" x14ac:dyDescent="0.2">
      <c r="D4992" s="139"/>
      <c r="F4992"/>
    </row>
    <row r="4993" spans="4:6" x14ac:dyDescent="0.2">
      <c r="D4993" s="139"/>
      <c r="F4993"/>
    </row>
    <row r="4994" spans="4:6" x14ac:dyDescent="0.2">
      <c r="D4994" s="139"/>
      <c r="F4994"/>
    </row>
    <row r="4995" spans="4:6" x14ac:dyDescent="0.2">
      <c r="D4995" s="139"/>
      <c r="F4995"/>
    </row>
    <row r="4996" spans="4:6" x14ac:dyDescent="0.2">
      <c r="D4996" s="139"/>
      <c r="F4996"/>
    </row>
    <row r="4997" spans="4:6" x14ac:dyDescent="0.2">
      <c r="D4997" s="139"/>
      <c r="F4997"/>
    </row>
    <row r="4998" spans="4:6" x14ac:dyDescent="0.2">
      <c r="D4998" s="139"/>
      <c r="F4998"/>
    </row>
    <row r="4999" spans="4:6" x14ac:dyDescent="0.2">
      <c r="D4999" s="139"/>
      <c r="F4999"/>
    </row>
    <row r="5000" spans="4:6" x14ac:dyDescent="0.2">
      <c r="D5000" s="139"/>
      <c r="F5000"/>
    </row>
    <row r="5001" spans="4:6" x14ac:dyDescent="0.2">
      <c r="D5001" s="139"/>
      <c r="F5001"/>
    </row>
    <row r="5002" spans="4:6" x14ac:dyDescent="0.2">
      <c r="D5002" s="139"/>
      <c r="F5002"/>
    </row>
    <row r="5003" spans="4:6" x14ac:dyDescent="0.2">
      <c r="D5003" s="139"/>
      <c r="F5003"/>
    </row>
    <row r="5004" spans="4:6" x14ac:dyDescent="0.2">
      <c r="D5004" s="139"/>
      <c r="F5004"/>
    </row>
    <row r="5005" spans="4:6" x14ac:dyDescent="0.2">
      <c r="D5005" s="139"/>
      <c r="F5005"/>
    </row>
    <row r="5006" spans="4:6" x14ac:dyDescent="0.2">
      <c r="D5006" s="139"/>
      <c r="F5006"/>
    </row>
    <row r="5007" spans="4:6" x14ac:dyDescent="0.2">
      <c r="D5007" s="139"/>
      <c r="F5007"/>
    </row>
    <row r="5008" spans="4:6" x14ac:dyDescent="0.2">
      <c r="D5008" s="139"/>
      <c r="F5008"/>
    </row>
    <row r="5009" spans="4:6" x14ac:dyDescent="0.2">
      <c r="D5009" s="139"/>
      <c r="F5009"/>
    </row>
    <row r="5010" spans="4:6" x14ac:dyDescent="0.2">
      <c r="D5010" s="139"/>
      <c r="F5010"/>
    </row>
    <row r="5011" spans="4:6" x14ac:dyDescent="0.2">
      <c r="D5011" s="139"/>
      <c r="F5011"/>
    </row>
    <row r="5012" spans="4:6" x14ac:dyDescent="0.2">
      <c r="D5012" s="139"/>
      <c r="F5012"/>
    </row>
    <row r="5013" spans="4:6" x14ac:dyDescent="0.2">
      <c r="D5013" s="139"/>
      <c r="F5013"/>
    </row>
    <row r="5014" spans="4:6" x14ac:dyDescent="0.2">
      <c r="D5014" s="139"/>
      <c r="F5014"/>
    </row>
    <row r="5015" spans="4:6" x14ac:dyDescent="0.2">
      <c r="D5015" s="139"/>
      <c r="F5015"/>
    </row>
    <row r="5016" spans="4:6" x14ac:dyDescent="0.2">
      <c r="D5016" s="139"/>
      <c r="F5016"/>
    </row>
    <row r="5017" spans="4:6" x14ac:dyDescent="0.2">
      <c r="D5017" s="139"/>
      <c r="F5017"/>
    </row>
    <row r="5018" spans="4:6" x14ac:dyDescent="0.2">
      <c r="D5018" s="139"/>
      <c r="F5018"/>
    </row>
    <row r="5019" spans="4:6" x14ac:dyDescent="0.2">
      <c r="D5019" s="139"/>
      <c r="F5019"/>
    </row>
    <row r="5020" spans="4:6" x14ac:dyDescent="0.2">
      <c r="D5020" s="139"/>
      <c r="F5020"/>
    </row>
    <row r="5021" spans="4:6" x14ac:dyDescent="0.2">
      <c r="D5021" s="139"/>
      <c r="F5021"/>
    </row>
    <row r="5022" spans="4:6" x14ac:dyDescent="0.2">
      <c r="D5022" s="139"/>
      <c r="F5022"/>
    </row>
    <row r="5023" spans="4:6" x14ac:dyDescent="0.2">
      <c r="D5023" s="139"/>
      <c r="F5023"/>
    </row>
    <row r="5024" spans="4:6" x14ac:dyDescent="0.2">
      <c r="D5024" s="139"/>
      <c r="F5024"/>
    </row>
    <row r="5025" spans="4:6" x14ac:dyDescent="0.2">
      <c r="D5025" s="139"/>
      <c r="F5025"/>
    </row>
    <row r="5026" spans="4:6" x14ac:dyDescent="0.2">
      <c r="D5026" s="139"/>
      <c r="F5026"/>
    </row>
    <row r="5027" spans="4:6" x14ac:dyDescent="0.2">
      <c r="D5027" s="139"/>
      <c r="F5027"/>
    </row>
    <row r="5028" spans="4:6" x14ac:dyDescent="0.2">
      <c r="D5028" s="139"/>
      <c r="F5028"/>
    </row>
    <row r="5029" spans="4:6" x14ac:dyDescent="0.2">
      <c r="D5029" s="139"/>
      <c r="F5029"/>
    </row>
    <row r="5030" spans="4:6" x14ac:dyDescent="0.2">
      <c r="D5030" s="139"/>
      <c r="F5030"/>
    </row>
    <row r="5031" spans="4:6" x14ac:dyDescent="0.2">
      <c r="D5031" s="139"/>
      <c r="F5031"/>
    </row>
    <row r="5032" spans="4:6" x14ac:dyDescent="0.2">
      <c r="D5032" s="139"/>
      <c r="F5032"/>
    </row>
    <row r="5033" spans="4:6" x14ac:dyDescent="0.2">
      <c r="D5033" s="139"/>
      <c r="F5033"/>
    </row>
    <row r="5034" spans="4:6" x14ac:dyDescent="0.2">
      <c r="D5034" s="139"/>
      <c r="F5034"/>
    </row>
    <row r="5035" spans="4:6" x14ac:dyDescent="0.2">
      <c r="D5035" s="139"/>
      <c r="F5035"/>
    </row>
    <row r="5036" spans="4:6" x14ac:dyDescent="0.2">
      <c r="D5036" s="139"/>
      <c r="F5036"/>
    </row>
    <row r="5037" spans="4:6" x14ac:dyDescent="0.2">
      <c r="D5037" s="139"/>
      <c r="F5037"/>
    </row>
    <row r="5038" spans="4:6" x14ac:dyDescent="0.2">
      <c r="D5038" s="139"/>
      <c r="F5038"/>
    </row>
    <row r="5039" spans="4:6" x14ac:dyDescent="0.2">
      <c r="D5039" s="139"/>
      <c r="F5039"/>
    </row>
    <row r="5040" spans="4:6" x14ac:dyDescent="0.2">
      <c r="D5040" s="139"/>
      <c r="F5040"/>
    </row>
    <row r="5041" spans="4:6" x14ac:dyDescent="0.2">
      <c r="D5041" s="139"/>
      <c r="F5041"/>
    </row>
    <row r="5042" spans="4:6" x14ac:dyDescent="0.2">
      <c r="D5042" s="139"/>
      <c r="F5042"/>
    </row>
    <row r="5043" spans="4:6" x14ac:dyDescent="0.2">
      <c r="D5043" s="139"/>
      <c r="F5043"/>
    </row>
    <row r="5044" spans="4:6" x14ac:dyDescent="0.2">
      <c r="D5044" s="139"/>
      <c r="F5044"/>
    </row>
    <row r="5045" spans="4:6" x14ac:dyDescent="0.2">
      <c r="D5045" s="139"/>
      <c r="F5045"/>
    </row>
    <row r="5046" spans="4:6" x14ac:dyDescent="0.2">
      <c r="D5046" s="139"/>
      <c r="F5046"/>
    </row>
    <row r="5047" spans="4:6" x14ac:dyDescent="0.2">
      <c r="D5047" s="139"/>
      <c r="F5047"/>
    </row>
    <row r="5048" spans="4:6" x14ac:dyDescent="0.2">
      <c r="D5048" s="139"/>
      <c r="F5048"/>
    </row>
    <row r="5049" spans="4:6" x14ac:dyDescent="0.2">
      <c r="D5049" s="139"/>
      <c r="F5049"/>
    </row>
    <row r="5050" spans="4:6" x14ac:dyDescent="0.2">
      <c r="D5050" s="139"/>
      <c r="F5050"/>
    </row>
    <row r="5051" spans="4:6" x14ac:dyDescent="0.2">
      <c r="D5051" s="139"/>
      <c r="F5051"/>
    </row>
    <row r="5052" spans="4:6" x14ac:dyDescent="0.2">
      <c r="D5052" s="139"/>
      <c r="F5052"/>
    </row>
    <row r="5053" spans="4:6" x14ac:dyDescent="0.2">
      <c r="D5053" s="139"/>
      <c r="F5053"/>
    </row>
    <row r="5054" spans="4:6" x14ac:dyDescent="0.2">
      <c r="D5054" s="139"/>
      <c r="F5054"/>
    </row>
    <row r="5055" spans="4:6" x14ac:dyDescent="0.2">
      <c r="D5055" s="139"/>
      <c r="F5055"/>
    </row>
    <row r="5056" spans="4:6" x14ac:dyDescent="0.2">
      <c r="D5056" s="139"/>
      <c r="F5056"/>
    </row>
    <row r="5057" spans="4:6" x14ac:dyDescent="0.2">
      <c r="D5057" s="139"/>
      <c r="F5057"/>
    </row>
    <row r="5058" spans="4:6" x14ac:dyDescent="0.2">
      <c r="D5058" s="139"/>
      <c r="F5058"/>
    </row>
    <row r="5059" spans="4:6" x14ac:dyDescent="0.2">
      <c r="D5059" s="139"/>
      <c r="F5059"/>
    </row>
    <row r="5060" spans="4:6" x14ac:dyDescent="0.2">
      <c r="D5060" s="139"/>
      <c r="F5060"/>
    </row>
    <row r="5061" spans="4:6" x14ac:dyDescent="0.2">
      <c r="D5061" s="139"/>
      <c r="F5061"/>
    </row>
    <row r="5062" spans="4:6" x14ac:dyDescent="0.2">
      <c r="D5062" s="139"/>
      <c r="F5062"/>
    </row>
    <row r="5063" spans="4:6" x14ac:dyDescent="0.2">
      <c r="D5063" s="139"/>
      <c r="F5063"/>
    </row>
    <row r="5064" spans="4:6" x14ac:dyDescent="0.2">
      <c r="D5064" s="139"/>
      <c r="F5064"/>
    </row>
    <row r="5065" spans="4:6" x14ac:dyDescent="0.2">
      <c r="D5065" s="139"/>
      <c r="F5065"/>
    </row>
    <row r="5066" spans="4:6" x14ac:dyDescent="0.2">
      <c r="D5066" s="139"/>
      <c r="F5066"/>
    </row>
    <row r="5067" spans="4:6" x14ac:dyDescent="0.2">
      <c r="D5067" s="139"/>
      <c r="F5067"/>
    </row>
    <row r="5068" spans="4:6" x14ac:dyDescent="0.2">
      <c r="D5068" s="139"/>
      <c r="F5068"/>
    </row>
    <row r="5069" spans="4:6" x14ac:dyDescent="0.2">
      <c r="D5069" s="139"/>
      <c r="F5069"/>
    </row>
    <row r="5070" spans="4:6" x14ac:dyDescent="0.2">
      <c r="D5070" s="139"/>
      <c r="F5070"/>
    </row>
    <row r="5071" spans="4:6" x14ac:dyDescent="0.2">
      <c r="D5071" s="139"/>
      <c r="F5071"/>
    </row>
    <row r="5072" spans="4:6" x14ac:dyDescent="0.2">
      <c r="D5072" s="139"/>
      <c r="F5072"/>
    </row>
    <row r="5073" spans="4:6" x14ac:dyDescent="0.2">
      <c r="D5073" s="139"/>
      <c r="F5073"/>
    </row>
    <row r="5074" spans="4:6" x14ac:dyDescent="0.2">
      <c r="D5074" s="139"/>
      <c r="F5074"/>
    </row>
    <row r="5075" spans="4:6" x14ac:dyDescent="0.2">
      <c r="D5075" s="139"/>
      <c r="F5075"/>
    </row>
    <row r="5076" spans="4:6" x14ac:dyDescent="0.2">
      <c r="D5076" s="139"/>
      <c r="F5076"/>
    </row>
    <row r="5077" spans="4:6" x14ac:dyDescent="0.2">
      <c r="D5077" s="139"/>
      <c r="F5077"/>
    </row>
    <row r="5078" spans="4:6" x14ac:dyDescent="0.2">
      <c r="D5078" s="139"/>
      <c r="F5078"/>
    </row>
    <row r="5079" spans="4:6" x14ac:dyDescent="0.2">
      <c r="D5079" s="139"/>
      <c r="F5079"/>
    </row>
    <row r="5080" spans="4:6" x14ac:dyDescent="0.2">
      <c r="D5080" s="139"/>
      <c r="F5080"/>
    </row>
    <row r="5081" spans="4:6" x14ac:dyDescent="0.2">
      <c r="D5081" s="139"/>
      <c r="F5081"/>
    </row>
    <row r="5082" spans="4:6" x14ac:dyDescent="0.2">
      <c r="D5082" s="139"/>
      <c r="F5082"/>
    </row>
    <row r="5083" spans="4:6" x14ac:dyDescent="0.2">
      <c r="D5083" s="139"/>
      <c r="F5083"/>
    </row>
    <row r="5084" spans="4:6" x14ac:dyDescent="0.2">
      <c r="D5084" s="139"/>
      <c r="F5084"/>
    </row>
    <row r="5085" spans="4:6" x14ac:dyDescent="0.2">
      <c r="D5085" s="139"/>
      <c r="F5085"/>
    </row>
    <row r="5086" spans="4:6" x14ac:dyDescent="0.2">
      <c r="D5086" s="139"/>
      <c r="F5086"/>
    </row>
    <row r="5087" spans="4:6" x14ac:dyDescent="0.2">
      <c r="D5087" s="139"/>
      <c r="F5087"/>
    </row>
    <row r="5088" spans="4:6" x14ac:dyDescent="0.2">
      <c r="D5088" s="139"/>
      <c r="F5088"/>
    </row>
    <row r="5089" spans="4:6" x14ac:dyDescent="0.2">
      <c r="D5089" s="139"/>
      <c r="F5089"/>
    </row>
    <row r="5090" spans="4:6" x14ac:dyDescent="0.2">
      <c r="D5090" s="139"/>
      <c r="F5090"/>
    </row>
    <row r="5091" spans="4:6" x14ac:dyDescent="0.2">
      <c r="D5091" s="139"/>
      <c r="F5091"/>
    </row>
    <row r="5092" spans="4:6" x14ac:dyDescent="0.2">
      <c r="D5092" s="139"/>
      <c r="F5092"/>
    </row>
    <row r="5093" spans="4:6" x14ac:dyDescent="0.2">
      <c r="D5093" s="139"/>
      <c r="F5093"/>
    </row>
    <row r="5094" spans="4:6" x14ac:dyDescent="0.2">
      <c r="D5094" s="139"/>
      <c r="F5094"/>
    </row>
    <row r="5095" spans="4:6" x14ac:dyDescent="0.2">
      <c r="D5095" s="139"/>
      <c r="F5095"/>
    </row>
    <row r="5096" spans="4:6" x14ac:dyDescent="0.2">
      <c r="D5096" s="139"/>
      <c r="F5096"/>
    </row>
    <row r="5097" spans="4:6" x14ac:dyDescent="0.2">
      <c r="D5097" s="139"/>
      <c r="F5097"/>
    </row>
    <row r="5098" spans="4:6" x14ac:dyDescent="0.2">
      <c r="D5098" s="139"/>
      <c r="F5098"/>
    </row>
    <row r="5099" spans="4:6" x14ac:dyDescent="0.2">
      <c r="D5099" s="139"/>
      <c r="F5099"/>
    </row>
    <row r="5100" spans="4:6" x14ac:dyDescent="0.2">
      <c r="D5100" s="139"/>
      <c r="F5100"/>
    </row>
    <row r="5101" spans="4:6" x14ac:dyDescent="0.2">
      <c r="D5101" s="139"/>
      <c r="F5101"/>
    </row>
    <row r="5102" spans="4:6" x14ac:dyDescent="0.2">
      <c r="D5102" s="139"/>
      <c r="F5102"/>
    </row>
    <row r="5103" spans="4:6" x14ac:dyDescent="0.2">
      <c r="D5103" s="139"/>
      <c r="F5103"/>
    </row>
    <row r="5104" spans="4:6" x14ac:dyDescent="0.2">
      <c r="D5104" s="139"/>
      <c r="F5104"/>
    </row>
    <row r="5105" spans="4:6" x14ac:dyDescent="0.2">
      <c r="D5105" s="139"/>
      <c r="F5105"/>
    </row>
    <row r="5106" spans="4:6" x14ac:dyDescent="0.2">
      <c r="D5106" s="139"/>
      <c r="F5106"/>
    </row>
    <row r="5107" spans="4:6" x14ac:dyDescent="0.2">
      <c r="D5107" s="139"/>
      <c r="F5107"/>
    </row>
    <row r="5108" spans="4:6" x14ac:dyDescent="0.2">
      <c r="D5108" s="139"/>
      <c r="F5108"/>
    </row>
    <row r="5109" spans="4:6" x14ac:dyDescent="0.2">
      <c r="D5109" s="139"/>
      <c r="F5109"/>
    </row>
    <row r="5110" spans="4:6" x14ac:dyDescent="0.2">
      <c r="D5110" s="139"/>
      <c r="F5110"/>
    </row>
    <row r="5111" spans="4:6" x14ac:dyDescent="0.2">
      <c r="D5111" s="139"/>
      <c r="F5111"/>
    </row>
    <row r="5112" spans="4:6" x14ac:dyDescent="0.2">
      <c r="D5112" s="139"/>
      <c r="F5112"/>
    </row>
    <row r="5113" spans="4:6" x14ac:dyDescent="0.2">
      <c r="D5113" s="139"/>
      <c r="F5113"/>
    </row>
    <row r="5114" spans="4:6" x14ac:dyDescent="0.2">
      <c r="D5114" s="139"/>
      <c r="F5114"/>
    </row>
    <row r="5115" spans="4:6" x14ac:dyDescent="0.2">
      <c r="D5115" s="139"/>
      <c r="F5115"/>
    </row>
    <row r="5116" spans="4:6" x14ac:dyDescent="0.2">
      <c r="D5116" s="139"/>
      <c r="F5116"/>
    </row>
    <row r="5117" spans="4:6" x14ac:dyDescent="0.2">
      <c r="D5117" s="139"/>
      <c r="F5117"/>
    </row>
    <row r="5118" spans="4:6" x14ac:dyDescent="0.2">
      <c r="D5118" s="139"/>
      <c r="F5118"/>
    </row>
    <row r="5119" spans="4:6" x14ac:dyDescent="0.2">
      <c r="D5119" s="139"/>
      <c r="F5119"/>
    </row>
    <row r="5120" spans="4:6" x14ac:dyDescent="0.2">
      <c r="D5120" s="139"/>
      <c r="F5120"/>
    </row>
    <row r="5121" spans="4:6" x14ac:dyDescent="0.2">
      <c r="D5121" s="139"/>
      <c r="F5121"/>
    </row>
    <row r="5122" spans="4:6" x14ac:dyDescent="0.2">
      <c r="D5122" s="139"/>
      <c r="F5122"/>
    </row>
    <row r="5123" spans="4:6" x14ac:dyDescent="0.2">
      <c r="D5123" s="139"/>
      <c r="F5123"/>
    </row>
    <row r="5124" spans="4:6" x14ac:dyDescent="0.2">
      <c r="D5124" s="139"/>
      <c r="F5124"/>
    </row>
    <row r="5125" spans="4:6" x14ac:dyDescent="0.2">
      <c r="D5125" s="139"/>
      <c r="F5125"/>
    </row>
    <row r="5126" spans="4:6" x14ac:dyDescent="0.2">
      <c r="D5126" s="139"/>
      <c r="F5126"/>
    </row>
    <row r="5127" spans="4:6" x14ac:dyDescent="0.2">
      <c r="D5127" s="139"/>
      <c r="F5127"/>
    </row>
    <row r="5128" spans="4:6" x14ac:dyDescent="0.2">
      <c r="D5128" s="139"/>
      <c r="F5128"/>
    </row>
    <row r="5129" spans="4:6" x14ac:dyDescent="0.2">
      <c r="D5129" s="139"/>
      <c r="F5129"/>
    </row>
    <row r="5130" spans="4:6" x14ac:dyDescent="0.2">
      <c r="D5130" s="139"/>
      <c r="F5130"/>
    </row>
    <row r="5131" spans="4:6" x14ac:dyDescent="0.2">
      <c r="D5131" s="139"/>
      <c r="F5131"/>
    </row>
    <row r="5132" spans="4:6" x14ac:dyDescent="0.2">
      <c r="D5132" s="139"/>
      <c r="F5132"/>
    </row>
    <row r="5133" spans="4:6" x14ac:dyDescent="0.2">
      <c r="D5133" s="139"/>
      <c r="F5133"/>
    </row>
    <row r="5134" spans="4:6" x14ac:dyDescent="0.2">
      <c r="D5134" s="139"/>
      <c r="F5134"/>
    </row>
    <row r="5135" spans="4:6" x14ac:dyDescent="0.2">
      <c r="D5135" s="139"/>
      <c r="F5135"/>
    </row>
    <row r="5136" spans="4:6" x14ac:dyDescent="0.2">
      <c r="D5136" s="139"/>
      <c r="F5136"/>
    </row>
    <row r="5137" spans="4:6" x14ac:dyDescent="0.2">
      <c r="D5137" s="139"/>
      <c r="F5137"/>
    </row>
    <row r="5138" spans="4:6" x14ac:dyDescent="0.2">
      <c r="D5138" s="139"/>
      <c r="F5138"/>
    </row>
    <row r="5139" spans="4:6" x14ac:dyDescent="0.2">
      <c r="D5139" s="139"/>
      <c r="F5139"/>
    </row>
    <row r="5140" spans="4:6" x14ac:dyDescent="0.2">
      <c r="D5140" s="139"/>
      <c r="F5140"/>
    </row>
    <row r="5141" spans="4:6" x14ac:dyDescent="0.2">
      <c r="D5141" s="139"/>
      <c r="F5141"/>
    </row>
    <row r="5142" spans="4:6" x14ac:dyDescent="0.2">
      <c r="D5142" s="139"/>
      <c r="F5142"/>
    </row>
    <row r="5143" spans="4:6" x14ac:dyDescent="0.2">
      <c r="D5143" s="139"/>
      <c r="F5143"/>
    </row>
    <row r="5144" spans="4:6" x14ac:dyDescent="0.2">
      <c r="D5144" s="139"/>
      <c r="F5144"/>
    </row>
    <row r="5145" spans="4:6" x14ac:dyDescent="0.2">
      <c r="D5145" s="139"/>
      <c r="F5145"/>
    </row>
    <row r="5146" spans="4:6" x14ac:dyDescent="0.2">
      <c r="D5146" s="139"/>
      <c r="F5146"/>
    </row>
    <row r="5147" spans="4:6" x14ac:dyDescent="0.2">
      <c r="D5147" s="139"/>
      <c r="F5147"/>
    </row>
    <row r="5148" spans="4:6" x14ac:dyDescent="0.2">
      <c r="D5148" s="139"/>
      <c r="F5148"/>
    </row>
    <row r="5149" spans="4:6" x14ac:dyDescent="0.2">
      <c r="D5149" s="139"/>
      <c r="F5149"/>
    </row>
    <row r="5150" spans="4:6" x14ac:dyDescent="0.2">
      <c r="D5150" s="139"/>
      <c r="F5150"/>
    </row>
    <row r="5151" spans="4:6" x14ac:dyDescent="0.2">
      <c r="D5151" s="139"/>
      <c r="F5151"/>
    </row>
    <row r="5152" spans="4:6" x14ac:dyDescent="0.2">
      <c r="D5152" s="139"/>
      <c r="F5152"/>
    </row>
    <row r="5153" spans="4:6" x14ac:dyDescent="0.2">
      <c r="D5153" s="139"/>
      <c r="F5153"/>
    </row>
    <row r="5154" spans="4:6" x14ac:dyDescent="0.2">
      <c r="D5154" s="139"/>
      <c r="F5154"/>
    </row>
    <row r="5155" spans="4:6" x14ac:dyDescent="0.2">
      <c r="D5155" s="139"/>
      <c r="F5155"/>
    </row>
    <row r="5156" spans="4:6" x14ac:dyDescent="0.2">
      <c r="D5156" s="139"/>
      <c r="F5156"/>
    </row>
    <row r="5157" spans="4:6" x14ac:dyDescent="0.2">
      <c r="D5157" s="139"/>
      <c r="F5157"/>
    </row>
    <row r="5158" spans="4:6" x14ac:dyDescent="0.2">
      <c r="D5158" s="139"/>
      <c r="F5158"/>
    </row>
    <row r="5159" spans="4:6" x14ac:dyDescent="0.2">
      <c r="D5159" s="139"/>
      <c r="F5159"/>
    </row>
    <row r="5160" spans="4:6" x14ac:dyDescent="0.2">
      <c r="D5160" s="139"/>
      <c r="F5160"/>
    </row>
    <row r="5161" spans="4:6" x14ac:dyDescent="0.2">
      <c r="D5161" s="139"/>
      <c r="F5161"/>
    </row>
    <row r="5162" spans="4:6" x14ac:dyDescent="0.2">
      <c r="D5162" s="139"/>
      <c r="F5162"/>
    </row>
    <row r="5163" spans="4:6" x14ac:dyDescent="0.2">
      <c r="D5163" s="139"/>
      <c r="F5163"/>
    </row>
    <row r="5164" spans="4:6" x14ac:dyDescent="0.2">
      <c r="D5164" s="139"/>
      <c r="F5164"/>
    </row>
    <row r="5165" spans="4:6" x14ac:dyDescent="0.2">
      <c r="D5165" s="139"/>
      <c r="F5165"/>
    </row>
    <row r="5166" spans="4:6" x14ac:dyDescent="0.2">
      <c r="D5166" s="139"/>
      <c r="F5166"/>
    </row>
    <row r="5167" spans="4:6" x14ac:dyDescent="0.2">
      <c r="D5167" s="139"/>
      <c r="F5167"/>
    </row>
    <row r="5168" spans="4:6" x14ac:dyDescent="0.2">
      <c r="D5168" s="139"/>
      <c r="F5168"/>
    </row>
    <row r="5169" spans="4:6" x14ac:dyDescent="0.2">
      <c r="D5169" s="139"/>
      <c r="F5169"/>
    </row>
    <row r="5170" spans="4:6" x14ac:dyDescent="0.2">
      <c r="D5170" s="139"/>
      <c r="F5170"/>
    </row>
    <row r="5171" spans="4:6" x14ac:dyDescent="0.2">
      <c r="D5171" s="139"/>
      <c r="F5171"/>
    </row>
    <row r="5172" spans="4:6" x14ac:dyDescent="0.2">
      <c r="D5172" s="139"/>
      <c r="F5172"/>
    </row>
    <row r="5173" spans="4:6" x14ac:dyDescent="0.2">
      <c r="D5173" s="139"/>
      <c r="F5173"/>
    </row>
    <row r="5174" spans="4:6" x14ac:dyDescent="0.2">
      <c r="D5174" s="139"/>
      <c r="F5174"/>
    </row>
    <row r="5175" spans="4:6" x14ac:dyDescent="0.2">
      <c r="D5175" s="139"/>
      <c r="F5175"/>
    </row>
    <row r="5176" spans="4:6" x14ac:dyDescent="0.2">
      <c r="D5176" s="139"/>
      <c r="F5176"/>
    </row>
    <row r="5177" spans="4:6" x14ac:dyDescent="0.2">
      <c r="D5177" s="139"/>
      <c r="F5177"/>
    </row>
    <row r="5178" spans="4:6" x14ac:dyDescent="0.2">
      <c r="D5178" s="139"/>
      <c r="F5178"/>
    </row>
    <row r="5179" spans="4:6" x14ac:dyDescent="0.2">
      <c r="D5179" s="139"/>
      <c r="F5179"/>
    </row>
    <row r="5180" spans="4:6" x14ac:dyDescent="0.2">
      <c r="D5180" s="139"/>
      <c r="F5180"/>
    </row>
    <row r="5181" spans="4:6" x14ac:dyDescent="0.2">
      <c r="D5181" s="139"/>
      <c r="F5181"/>
    </row>
    <row r="5182" spans="4:6" x14ac:dyDescent="0.2">
      <c r="D5182" s="139"/>
      <c r="F5182"/>
    </row>
    <row r="5183" spans="4:6" x14ac:dyDescent="0.2">
      <c r="D5183" s="139"/>
      <c r="F5183"/>
    </row>
    <row r="5184" spans="4:6" x14ac:dyDescent="0.2">
      <c r="D5184" s="139"/>
      <c r="F5184"/>
    </row>
    <row r="5185" spans="4:6" x14ac:dyDescent="0.2">
      <c r="D5185" s="139"/>
      <c r="F5185"/>
    </row>
    <row r="5186" spans="4:6" x14ac:dyDescent="0.2">
      <c r="D5186" s="139"/>
      <c r="F5186"/>
    </row>
    <row r="5187" spans="4:6" x14ac:dyDescent="0.2">
      <c r="D5187" s="139"/>
      <c r="F5187"/>
    </row>
    <row r="5188" spans="4:6" x14ac:dyDescent="0.2">
      <c r="D5188" s="139"/>
      <c r="F5188"/>
    </row>
    <row r="5189" spans="4:6" x14ac:dyDescent="0.2">
      <c r="D5189" s="139"/>
      <c r="F5189"/>
    </row>
    <row r="5190" spans="4:6" x14ac:dyDescent="0.2">
      <c r="D5190" s="139"/>
      <c r="F5190"/>
    </row>
    <row r="5191" spans="4:6" x14ac:dyDescent="0.2">
      <c r="D5191" s="139"/>
      <c r="F5191"/>
    </row>
    <row r="5192" spans="4:6" x14ac:dyDescent="0.2">
      <c r="D5192" s="139"/>
      <c r="F5192"/>
    </row>
    <row r="5193" spans="4:6" x14ac:dyDescent="0.2">
      <c r="D5193" s="139"/>
      <c r="F5193"/>
    </row>
    <row r="5194" spans="4:6" x14ac:dyDescent="0.2">
      <c r="D5194" s="139"/>
      <c r="F5194"/>
    </row>
    <row r="5195" spans="4:6" x14ac:dyDescent="0.2">
      <c r="D5195" s="139"/>
      <c r="F5195"/>
    </row>
    <row r="5196" spans="4:6" x14ac:dyDescent="0.2">
      <c r="D5196" s="139"/>
      <c r="F5196"/>
    </row>
    <row r="5197" spans="4:6" x14ac:dyDescent="0.2">
      <c r="D5197" s="139"/>
      <c r="F5197"/>
    </row>
    <row r="5198" spans="4:6" x14ac:dyDescent="0.2">
      <c r="D5198" s="139"/>
      <c r="F5198"/>
    </row>
    <row r="5199" spans="4:6" x14ac:dyDescent="0.2">
      <c r="D5199" s="139"/>
      <c r="F5199"/>
    </row>
    <row r="5200" spans="4:6" x14ac:dyDescent="0.2">
      <c r="D5200" s="139"/>
      <c r="F5200"/>
    </row>
    <row r="5201" spans="4:6" x14ac:dyDescent="0.2">
      <c r="D5201" s="139"/>
      <c r="F5201"/>
    </row>
    <row r="5202" spans="4:6" x14ac:dyDescent="0.2">
      <c r="D5202" s="139"/>
      <c r="F5202"/>
    </row>
    <row r="5203" spans="4:6" x14ac:dyDescent="0.2">
      <c r="D5203" s="139"/>
      <c r="F5203"/>
    </row>
    <row r="5204" spans="4:6" x14ac:dyDescent="0.2">
      <c r="D5204" s="139"/>
      <c r="F5204"/>
    </row>
    <row r="5205" spans="4:6" x14ac:dyDescent="0.2">
      <c r="D5205" s="139"/>
      <c r="F5205"/>
    </row>
    <row r="5206" spans="4:6" x14ac:dyDescent="0.2">
      <c r="D5206" s="139"/>
      <c r="F5206"/>
    </row>
    <row r="5207" spans="4:6" x14ac:dyDescent="0.2">
      <c r="D5207" s="139"/>
      <c r="F5207"/>
    </row>
    <row r="5208" spans="4:6" x14ac:dyDescent="0.2">
      <c r="D5208" s="139"/>
      <c r="F5208"/>
    </row>
    <row r="5209" spans="4:6" x14ac:dyDescent="0.2">
      <c r="D5209" s="139"/>
      <c r="F5209"/>
    </row>
    <row r="5210" spans="4:6" x14ac:dyDescent="0.2">
      <c r="D5210" s="139"/>
      <c r="F5210"/>
    </row>
    <row r="5211" spans="4:6" x14ac:dyDescent="0.2">
      <c r="D5211" s="139"/>
      <c r="F5211"/>
    </row>
    <row r="5212" spans="4:6" x14ac:dyDescent="0.2">
      <c r="D5212" s="139"/>
      <c r="F5212"/>
    </row>
    <row r="5213" spans="4:6" x14ac:dyDescent="0.2">
      <c r="D5213" s="139"/>
      <c r="F5213"/>
    </row>
    <row r="5214" spans="4:6" x14ac:dyDescent="0.2">
      <c r="D5214" s="139"/>
      <c r="F5214"/>
    </row>
    <row r="5215" spans="4:6" x14ac:dyDescent="0.2">
      <c r="D5215" s="139"/>
      <c r="F5215"/>
    </row>
    <row r="5216" spans="4:6" x14ac:dyDescent="0.2">
      <c r="D5216" s="139"/>
      <c r="F5216"/>
    </row>
    <row r="5217" spans="4:6" x14ac:dyDescent="0.2">
      <c r="D5217" s="139"/>
      <c r="F5217"/>
    </row>
    <row r="5218" spans="4:6" x14ac:dyDescent="0.2">
      <c r="D5218" s="139"/>
      <c r="F5218"/>
    </row>
    <row r="5219" spans="4:6" x14ac:dyDescent="0.2">
      <c r="D5219" s="139"/>
      <c r="F5219"/>
    </row>
    <row r="5220" spans="4:6" x14ac:dyDescent="0.2">
      <c r="D5220" s="139"/>
      <c r="F5220"/>
    </row>
    <row r="5221" spans="4:6" x14ac:dyDescent="0.2">
      <c r="D5221" s="139"/>
      <c r="F5221"/>
    </row>
    <row r="5222" spans="4:6" x14ac:dyDescent="0.2">
      <c r="D5222" s="139"/>
      <c r="F5222"/>
    </row>
    <row r="5223" spans="4:6" x14ac:dyDescent="0.2">
      <c r="D5223" s="139"/>
      <c r="F5223"/>
    </row>
    <row r="5224" spans="4:6" x14ac:dyDescent="0.2">
      <c r="D5224" s="139"/>
      <c r="F5224"/>
    </row>
    <row r="5225" spans="4:6" x14ac:dyDescent="0.2">
      <c r="D5225" s="139"/>
      <c r="F5225"/>
    </row>
    <row r="5226" spans="4:6" x14ac:dyDescent="0.2">
      <c r="D5226" s="139"/>
      <c r="F5226"/>
    </row>
    <row r="5227" spans="4:6" x14ac:dyDescent="0.2">
      <c r="D5227" s="139"/>
      <c r="F5227"/>
    </row>
    <row r="5228" spans="4:6" x14ac:dyDescent="0.2">
      <c r="D5228" s="139"/>
      <c r="F5228"/>
    </row>
    <row r="5229" spans="4:6" x14ac:dyDescent="0.2">
      <c r="D5229" s="139"/>
      <c r="F5229"/>
    </row>
    <row r="5230" spans="4:6" x14ac:dyDescent="0.2">
      <c r="D5230" s="139"/>
      <c r="F5230"/>
    </row>
    <row r="5231" spans="4:6" x14ac:dyDescent="0.2">
      <c r="D5231" s="139"/>
      <c r="F5231"/>
    </row>
    <row r="5232" spans="4:6" x14ac:dyDescent="0.2">
      <c r="D5232" s="139"/>
      <c r="F5232"/>
    </row>
    <row r="5233" spans="4:6" x14ac:dyDescent="0.2">
      <c r="D5233" s="139"/>
      <c r="F5233"/>
    </row>
    <row r="5234" spans="4:6" x14ac:dyDescent="0.2">
      <c r="D5234" s="139"/>
      <c r="F5234"/>
    </row>
    <row r="5235" spans="4:6" x14ac:dyDescent="0.2">
      <c r="D5235" s="139"/>
      <c r="F5235"/>
    </row>
    <row r="5236" spans="4:6" x14ac:dyDescent="0.2">
      <c r="D5236" s="139"/>
      <c r="F5236"/>
    </row>
    <row r="5237" spans="4:6" x14ac:dyDescent="0.2">
      <c r="D5237" s="139"/>
      <c r="F5237"/>
    </row>
    <row r="5238" spans="4:6" x14ac:dyDescent="0.2">
      <c r="D5238" s="139"/>
      <c r="F5238"/>
    </row>
    <row r="5239" spans="4:6" x14ac:dyDescent="0.2">
      <c r="D5239" s="139"/>
      <c r="F5239"/>
    </row>
    <row r="5240" spans="4:6" x14ac:dyDescent="0.2">
      <c r="D5240" s="139"/>
      <c r="F5240"/>
    </row>
    <row r="5241" spans="4:6" x14ac:dyDescent="0.2">
      <c r="D5241" s="139"/>
      <c r="F5241"/>
    </row>
    <row r="5242" spans="4:6" x14ac:dyDescent="0.2">
      <c r="D5242" s="139"/>
      <c r="F5242"/>
    </row>
    <row r="5243" spans="4:6" x14ac:dyDescent="0.2">
      <c r="D5243" s="139"/>
      <c r="F5243"/>
    </row>
    <row r="5244" spans="4:6" x14ac:dyDescent="0.2">
      <c r="D5244" s="139"/>
      <c r="F5244"/>
    </row>
    <row r="5245" spans="4:6" x14ac:dyDescent="0.2">
      <c r="D5245" s="139"/>
      <c r="F5245"/>
    </row>
    <row r="5246" spans="4:6" x14ac:dyDescent="0.2">
      <c r="D5246" s="139"/>
      <c r="F5246"/>
    </row>
    <row r="5247" spans="4:6" x14ac:dyDescent="0.2">
      <c r="D5247" s="139"/>
      <c r="F5247"/>
    </row>
    <row r="5248" spans="4:6" x14ac:dyDescent="0.2">
      <c r="D5248" s="139"/>
      <c r="F5248"/>
    </row>
    <row r="5249" spans="4:6" x14ac:dyDescent="0.2">
      <c r="D5249" s="139"/>
      <c r="F5249"/>
    </row>
    <row r="5250" spans="4:6" x14ac:dyDescent="0.2">
      <c r="D5250" s="139"/>
      <c r="F5250"/>
    </row>
    <row r="5251" spans="4:6" x14ac:dyDescent="0.2">
      <c r="D5251" s="139"/>
      <c r="F5251"/>
    </row>
    <row r="5252" spans="4:6" x14ac:dyDescent="0.2">
      <c r="D5252" s="139"/>
      <c r="F5252"/>
    </row>
    <row r="5253" spans="4:6" x14ac:dyDescent="0.2">
      <c r="D5253" s="139"/>
      <c r="F5253"/>
    </row>
    <row r="5254" spans="4:6" x14ac:dyDescent="0.2">
      <c r="D5254" s="139"/>
      <c r="F5254"/>
    </row>
    <row r="5255" spans="4:6" x14ac:dyDescent="0.2">
      <c r="D5255" s="139"/>
      <c r="F5255"/>
    </row>
    <row r="5256" spans="4:6" x14ac:dyDescent="0.2">
      <c r="D5256" s="139"/>
      <c r="F5256"/>
    </row>
    <row r="5257" spans="4:6" x14ac:dyDescent="0.2">
      <c r="D5257" s="139"/>
      <c r="F5257"/>
    </row>
    <row r="5258" spans="4:6" x14ac:dyDescent="0.2">
      <c r="D5258" s="139"/>
      <c r="F5258"/>
    </row>
    <row r="5259" spans="4:6" x14ac:dyDescent="0.2">
      <c r="D5259" s="139"/>
      <c r="F5259"/>
    </row>
    <row r="5260" spans="4:6" x14ac:dyDescent="0.2">
      <c r="D5260" s="139"/>
      <c r="F5260"/>
    </row>
    <row r="5261" spans="4:6" x14ac:dyDescent="0.2">
      <c r="D5261" s="139"/>
      <c r="F5261"/>
    </row>
    <row r="5262" spans="4:6" x14ac:dyDescent="0.2">
      <c r="D5262" s="139"/>
      <c r="F5262"/>
    </row>
    <row r="5263" spans="4:6" x14ac:dyDescent="0.2">
      <c r="D5263" s="139"/>
      <c r="F5263"/>
    </row>
    <row r="5264" spans="4:6" x14ac:dyDescent="0.2">
      <c r="D5264" s="139"/>
      <c r="F5264"/>
    </row>
    <row r="5265" spans="4:6" x14ac:dyDescent="0.2">
      <c r="D5265" s="139"/>
      <c r="F5265"/>
    </row>
    <row r="5266" spans="4:6" x14ac:dyDescent="0.2">
      <c r="D5266" s="139"/>
      <c r="F5266"/>
    </row>
    <row r="5267" spans="4:6" x14ac:dyDescent="0.2">
      <c r="D5267" s="139"/>
      <c r="F5267"/>
    </row>
    <row r="5268" spans="4:6" x14ac:dyDescent="0.2">
      <c r="D5268" s="139"/>
      <c r="F5268"/>
    </row>
    <row r="5269" spans="4:6" x14ac:dyDescent="0.2">
      <c r="D5269" s="139"/>
      <c r="F5269"/>
    </row>
    <row r="5270" spans="4:6" x14ac:dyDescent="0.2">
      <c r="D5270" s="139"/>
      <c r="F5270"/>
    </row>
    <row r="5271" spans="4:6" x14ac:dyDescent="0.2">
      <c r="D5271" s="139"/>
      <c r="F5271"/>
    </row>
    <row r="5272" spans="4:6" x14ac:dyDescent="0.2">
      <c r="D5272" s="139"/>
      <c r="F5272"/>
    </row>
    <row r="5273" spans="4:6" x14ac:dyDescent="0.2">
      <c r="D5273" s="139"/>
      <c r="F5273"/>
    </row>
    <row r="5274" spans="4:6" x14ac:dyDescent="0.2">
      <c r="D5274" s="139"/>
      <c r="F5274"/>
    </row>
    <row r="5275" spans="4:6" x14ac:dyDescent="0.2">
      <c r="D5275" s="139"/>
      <c r="F5275"/>
    </row>
    <row r="5276" spans="4:6" x14ac:dyDescent="0.2">
      <c r="D5276" s="139"/>
      <c r="F5276"/>
    </row>
    <row r="5277" spans="4:6" x14ac:dyDescent="0.2">
      <c r="D5277" s="139"/>
      <c r="F5277"/>
    </row>
    <row r="5278" spans="4:6" x14ac:dyDescent="0.2">
      <c r="D5278" s="139"/>
      <c r="F5278"/>
    </row>
    <row r="5279" spans="4:6" x14ac:dyDescent="0.2">
      <c r="D5279" s="139"/>
      <c r="F5279"/>
    </row>
    <row r="5280" spans="4:6" x14ac:dyDescent="0.2">
      <c r="D5280" s="139"/>
      <c r="F5280"/>
    </row>
    <row r="5281" spans="4:6" x14ac:dyDescent="0.2">
      <c r="D5281" s="139"/>
      <c r="F5281"/>
    </row>
    <row r="5282" spans="4:6" x14ac:dyDescent="0.2">
      <c r="D5282" s="139"/>
      <c r="F5282"/>
    </row>
    <row r="5283" spans="4:6" x14ac:dyDescent="0.2">
      <c r="D5283" s="139"/>
      <c r="F5283"/>
    </row>
    <row r="5284" spans="4:6" x14ac:dyDescent="0.2">
      <c r="D5284" s="139"/>
      <c r="F5284"/>
    </row>
    <row r="5285" spans="4:6" x14ac:dyDescent="0.2">
      <c r="D5285" s="139"/>
      <c r="F5285"/>
    </row>
    <row r="5286" spans="4:6" x14ac:dyDescent="0.2">
      <c r="D5286" s="139"/>
      <c r="F5286"/>
    </row>
    <row r="5287" spans="4:6" x14ac:dyDescent="0.2">
      <c r="D5287" s="139"/>
      <c r="F5287"/>
    </row>
    <row r="5288" spans="4:6" x14ac:dyDescent="0.2">
      <c r="D5288" s="139"/>
      <c r="F5288"/>
    </row>
    <row r="5289" spans="4:6" x14ac:dyDescent="0.2">
      <c r="D5289" s="139"/>
      <c r="F5289"/>
    </row>
    <row r="5290" spans="4:6" x14ac:dyDescent="0.2">
      <c r="D5290" s="139"/>
      <c r="F5290"/>
    </row>
    <row r="5291" spans="4:6" x14ac:dyDescent="0.2">
      <c r="D5291" s="139"/>
      <c r="F5291"/>
    </row>
    <row r="5292" spans="4:6" x14ac:dyDescent="0.2">
      <c r="D5292" s="139"/>
      <c r="F5292"/>
    </row>
    <row r="5293" spans="4:6" x14ac:dyDescent="0.2">
      <c r="D5293" s="139"/>
      <c r="F5293"/>
    </row>
    <row r="5294" spans="4:6" x14ac:dyDescent="0.2">
      <c r="D5294" s="139"/>
      <c r="F5294"/>
    </row>
    <row r="5295" spans="4:6" x14ac:dyDescent="0.2">
      <c r="D5295" s="139"/>
      <c r="F5295"/>
    </row>
    <row r="5296" spans="4:6" x14ac:dyDescent="0.2">
      <c r="D5296" s="139"/>
      <c r="F5296"/>
    </row>
    <row r="5297" spans="4:6" x14ac:dyDescent="0.2">
      <c r="D5297" s="139"/>
      <c r="F5297"/>
    </row>
    <row r="5298" spans="4:6" x14ac:dyDescent="0.2">
      <c r="D5298" s="139"/>
      <c r="F5298"/>
    </row>
    <row r="5299" spans="4:6" x14ac:dyDescent="0.2">
      <c r="D5299" s="139"/>
      <c r="F5299"/>
    </row>
    <row r="5300" spans="4:6" x14ac:dyDescent="0.2">
      <c r="D5300" s="139"/>
      <c r="F5300"/>
    </row>
    <row r="5301" spans="4:6" x14ac:dyDescent="0.2">
      <c r="D5301" s="139"/>
      <c r="F5301"/>
    </row>
    <row r="5302" spans="4:6" x14ac:dyDescent="0.2">
      <c r="D5302" s="139"/>
      <c r="F5302"/>
    </row>
    <row r="5303" spans="4:6" x14ac:dyDescent="0.2">
      <c r="D5303" s="139"/>
      <c r="F5303"/>
    </row>
    <row r="5304" spans="4:6" x14ac:dyDescent="0.2">
      <c r="D5304" s="139"/>
      <c r="F5304"/>
    </row>
    <row r="5305" spans="4:6" x14ac:dyDescent="0.2">
      <c r="D5305" s="139"/>
      <c r="F5305"/>
    </row>
    <row r="5306" spans="4:6" x14ac:dyDescent="0.2">
      <c r="D5306" s="139"/>
      <c r="F5306"/>
    </row>
    <row r="5307" spans="4:6" x14ac:dyDescent="0.2">
      <c r="D5307" s="139"/>
      <c r="F5307"/>
    </row>
    <row r="5308" spans="4:6" x14ac:dyDescent="0.2">
      <c r="D5308" s="139"/>
      <c r="F5308"/>
    </row>
    <row r="5309" spans="4:6" x14ac:dyDescent="0.2">
      <c r="D5309" s="139"/>
      <c r="F5309"/>
    </row>
    <row r="5310" spans="4:6" x14ac:dyDescent="0.2">
      <c r="D5310" s="139"/>
      <c r="F5310"/>
    </row>
    <row r="5311" spans="4:6" x14ac:dyDescent="0.2">
      <c r="D5311" s="139"/>
      <c r="F5311"/>
    </row>
    <row r="5312" spans="4:6" x14ac:dyDescent="0.2">
      <c r="D5312" s="139"/>
      <c r="F5312"/>
    </row>
    <row r="5313" spans="4:6" x14ac:dyDescent="0.2">
      <c r="D5313" s="139"/>
      <c r="F5313"/>
    </row>
    <row r="5314" spans="4:6" x14ac:dyDescent="0.2">
      <c r="D5314" s="139"/>
      <c r="F5314"/>
    </row>
    <row r="5315" spans="4:6" x14ac:dyDescent="0.2">
      <c r="D5315" s="139"/>
      <c r="F5315"/>
    </row>
    <row r="5316" spans="4:6" x14ac:dyDescent="0.2">
      <c r="D5316" s="139"/>
      <c r="F5316"/>
    </row>
    <row r="5317" spans="4:6" x14ac:dyDescent="0.2">
      <c r="D5317" s="139"/>
      <c r="F5317"/>
    </row>
    <row r="5318" spans="4:6" x14ac:dyDescent="0.2">
      <c r="D5318" s="139"/>
      <c r="F5318"/>
    </row>
    <row r="5319" spans="4:6" x14ac:dyDescent="0.2">
      <c r="D5319" s="139"/>
      <c r="F5319"/>
    </row>
    <row r="5320" spans="4:6" x14ac:dyDescent="0.2">
      <c r="D5320" s="139"/>
      <c r="F5320"/>
    </row>
    <row r="5321" spans="4:6" x14ac:dyDescent="0.2">
      <c r="D5321" s="139"/>
      <c r="F5321"/>
    </row>
    <row r="5322" spans="4:6" x14ac:dyDescent="0.2">
      <c r="D5322" s="139"/>
      <c r="F5322"/>
    </row>
    <row r="5323" spans="4:6" x14ac:dyDescent="0.2">
      <c r="D5323" s="139"/>
      <c r="F5323"/>
    </row>
    <row r="5324" spans="4:6" x14ac:dyDescent="0.2">
      <c r="D5324" s="139"/>
      <c r="F5324"/>
    </row>
    <row r="5325" spans="4:6" x14ac:dyDescent="0.2">
      <c r="D5325" s="139"/>
      <c r="F5325"/>
    </row>
    <row r="5326" spans="4:6" x14ac:dyDescent="0.2">
      <c r="D5326" s="139"/>
      <c r="F5326"/>
    </row>
    <row r="5327" spans="4:6" x14ac:dyDescent="0.2">
      <c r="D5327" s="139"/>
      <c r="F5327"/>
    </row>
    <row r="5328" spans="4:6" x14ac:dyDescent="0.2">
      <c r="D5328" s="139"/>
      <c r="F5328"/>
    </row>
    <row r="5329" spans="4:6" x14ac:dyDescent="0.2">
      <c r="D5329" s="139"/>
      <c r="F5329"/>
    </row>
    <row r="5330" spans="4:6" x14ac:dyDescent="0.2">
      <c r="D5330" s="139"/>
      <c r="F5330"/>
    </row>
    <row r="5331" spans="4:6" x14ac:dyDescent="0.2">
      <c r="D5331" s="139"/>
      <c r="F5331"/>
    </row>
    <row r="5332" spans="4:6" x14ac:dyDescent="0.2">
      <c r="D5332" s="139"/>
      <c r="F5332"/>
    </row>
    <row r="5333" spans="4:6" x14ac:dyDescent="0.2">
      <c r="D5333" s="139"/>
      <c r="F5333"/>
    </row>
    <row r="5334" spans="4:6" x14ac:dyDescent="0.2">
      <c r="D5334" s="139"/>
      <c r="F5334"/>
    </row>
    <row r="5335" spans="4:6" x14ac:dyDescent="0.2">
      <c r="D5335" s="139"/>
      <c r="F5335"/>
    </row>
    <row r="5336" spans="4:6" x14ac:dyDescent="0.2">
      <c r="D5336" s="139"/>
      <c r="F5336"/>
    </row>
    <row r="5337" spans="4:6" x14ac:dyDescent="0.2">
      <c r="D5337" s="139"/>
      <c r="F5337"/>
    </row>
    <row r="5338" spans="4:6" x14ac:dyDescent="0.2">
      <c r="D5338" s="139"/>
      <c r="F5338"/>
    </row>
    <row r="5339" spans="4:6" x14ac:dyDescent="0.2">
      <c r="D5339" s="139"/>
      <c r="F5339"/>
    </row>
    <row r="5340" spans="4:6" x14ac:dyDescent="0.2">
      <c r="D5340" s="139"/>
      <c r="F5340"/>
    </row>
    <row r="5341" spans="4:6" x14ac:dyDescent="0.2">
      <c r="D5341" s="139"/>
      <c r="F5341"/>
    </row>
    <row r="5342" spans="4:6" x14ac:dyDescent="0.2">
      <c r="D5342" s="139"/>
      <c r="F5342"/>
    </row>
    <row r="5343" spans="4:6" x14ac:dyDescent="0.2">
      <c r="D5343" s="139"/>
      <c r="F5343"/>
    </row>
    <row r="5344" spans="4:6" x14ac:dyDescent="0.2">
      <c r="D5344" s="139"/>
      <c r="F5344"/>
    </row>
    <row r="5345" spans="4:6" x14ac:dyDescent="0.2">
      <c r="D5345" s="139"/>
      <c r="F5345"/>
    </row>
    <row r="5346" spans="4:6" x14ac:dyDescent="0.2">
      <c r="D5346" s="139"/>
      <c r="F5346"/>
    </row>
    <row r="5347" spans="4:6" x14ac:dyDescent="0.2">
      <c r="D5347" s="139"/>
      <c r="F5347"/>
    </row>
    <row r="5348" spans="4:6" x14ac:dyDescent="0.2">
      <c r="D5348" s="139"/>
      <c r="F5348"/>
    </row>
    <row r="5349" spans="4:6" x14ac:dyDescent="0.2">
      <c r="D5349" s="139"/>
      <c r="F5349"/>
    </row>
    <row r="5350" spans="4:6" x14ac:dyDescent="0.2">
      <c r="D5350" s="139"/>
      <c r="F5350"/>
    </row>
    <row r="5351" spans="4:6" x14ac:dyDescent="0.2">
      <c r="D5351" s="139"/>
      <c r="F5351"/>
    </row>
    <row r="5352" spans="4:6" x14ac:dyDescent="0.2">
      <c r="D5352" s="139"/>
      <c r="F5352"/>
    </row>
    <row r="5353" spans="4:6" x14ac:dyDescent="0.2">
      <c r="D5353" s="139"/>
      <c r="F5353"/>
    </row>
    <row r="5354" spans="4:6" x14ac:dyDescent="0.2">
      <c r="D5354" s="139"/>
      <c r="F5354"/>
    </row>
    <row r="5355" spans="4:6" x14ac:dyDescent="0.2">
      <c r="D5355" s="139"/>
      <c r="F5355"/>
    </row>
    <row r="5356" spans="4:6" x14ac:dyDescent="0.2">
      <c r="D5356" s="139"/>
      <c r="F5356"/>
    </row>
    <row r="5357" spans="4:6" x14ac:dyDescent="0.2">
      <c r="D5357" s="139"/>
      <c r="F5357"/>
    </row>
    <row r="5358" spans="4:6" x14ac:dyDescent="0.2">
      <c r="D5358" s="139"/>
      <c r="F5358"/>
    </row>
    <row r="5359" spans="4:6" x14ac:dyDescent="0.2">
      <c r="D5359" s="139"/>
      <c r="F5359"/>
    </row>
    <row r="5360" spans="4:6" x14ac:dyDescent="0.2">
      <c r="D5360" s="139"/>
      <c r="F5360"/>
    </row>
    <row r="5361" spans="4:6" x14ac:dyDescent="0.2">
      <c r="D5361" s="139"/>
      <c r="F5361"/>
    </row>
    <row r="5362" spans="4:6" x14ac:dyDescent="0.2">
      <c r="D5362" s="139"/>
      <c r="F5362"/>
    </row>
    <row r="5363" spans="4:6" x14ac:dyDescent="0.2">
      <c r="D5363" s="139"/>
      <c r="F5363"/>
    </row>
    <row r="5364" spans="4:6" x14ac:dyDescent="0.2">
      <c r="D5364" s="139"/>
      <c r="F5364"/>
    </row>
    <row r="5365" spans="4:6" x14ac:dyDescent="0.2">
      <c r="D5365" s="139"/>
      <c r="F5365"/>
    </row>
    <row r="5366" spans="4:6" x14ac:dyDescent="0.2">
      <c r="D5366" s="139"/>
      <c r="F5366"/>
    </row>
    <row r="5367" spans="4:6" x14ac:dyDescent="0.2">
      <c r="D5367" s="139"/>
      <c r="F5367"/>
    </row>
    <row r="5368" spans="4:6" x14ac:dyDescent="0.2">
      <c r="D5368" s="139"/>
      <c r="F5368"/>
    </row>
    <row r="5369" spans="4:6" x14ac:dyDescent="0.2">
      <c r="D5369" s="139"/>
      <c r="F5369"/>
    </row>
    <row r="5370" spans="4:6" x14ac:dyDescent="0.2">
      <c r="D5370" s="139"/>
      <c r="F5370"/>
    </row>
    <row r="5371" spans="4:6" x14ac:dyDescent="0.2">
      <c r="D5371" s="139"/>
      <c r="F5371"/>
    </row>
    <row r="5372" spans="4:6" x14ac:dyDescent="0.2">
      <c r="D5372" s="139"/>
      <c r="F5372"/>
    </row>
    <row r="5373" spans="4:6" x14ac:dyDescent="0.2">
      <c r="D5373" s="139"/>
      <c r="F5373"/>
    </row>
    <row r="5374" spans="4:6" x14ac:dyDescent="0.2">
      <c r="D5374" s="139"/>
      <c r="F5374"/>
    </row>
    <row r="5375" spans="4:6" x14ac:dyDescent="0.2">
      <c r="D5375" s="139"/>
      <c r="F5375"/>
    </row>
    <row r="5376" spans="4:6" x14ac:dyDescent="0.2">
      <c r="D5376" s="139"/>
      <c r="F5376"/>
    </row>
    <row r="5377" spans="4:6" x14ac:dyDescent="0.2">
      <c r="D5377" s="139"/>
      <c r="F5377"/>
    </row>
    <row r="5378" spans="4:6" x14ac:dyDescent="0.2">
      <c r="D5378" s="139"/>
      <c r="F5378"/>
    </row>
    <row r="5379" spans="4:6" x14ac:dyDescent="0.2">
      <c r="D5379" s="139"/>
      <c r="F5379"/>
    </row>
    <row r="5380" spans="4:6" x14ac:dyDescent="0.2">
      <c r="D5380" s="139"/>
      <c r="F5380"/>
    </row>
    <row r="5381" spans="4:6" x14ac:dyDescent="0.2">
      <c r="D5381" s="139"/>
      <c r="F5381"/>
    </row>
    <row r="5382" spans="4:6" x14ac:dyDescent="0.2">
      <c r="D5382" s="139"/>
      <c r="F5382"/>
    </row>
    <row r="5383" spans="4:6" x14ac:dyDescent="0.2">
      <c r="D5383" s="139"/>
      <c r="F5383"/>
    </row>
    <row r="5384" spans="4:6" x14ac:dyDescent="0.2">
      <c r="D5384" s="139"/>
      <c r="F5384"/>
    </row>
    <row r="5385" spans="4:6" x14ac:dyDescent="0.2">
      <c r="D5385" s="139"/>
      <c r="F5385"/>
    </row>
    <row r="5386" spans="4:6" x14ac:dyDescent="0.2">
      <c r="D5386" s="139"/>
      <c r="F5386"/>
    </row>
    <row r="5387" spans="4:6" x14ac:dyDescent="0.2">
      <c r="D5387" s="139"/>
      <c r="F5387"/>
    </row>
    <row r="5388" spans="4:6" x14ac:dyDescent="0.2">
      <c r="D5388" s="139"/>
      <c r="F5388"/>
    </row>
    <row r="5389" spans="4:6" x14ac:dyDescent="0.2">
      <c r="D5389" s="139"/>
      <c r="F5389"/>
    </row>
    <row r="5390" spans="4:6" x14ac:dyDescent="0.2">
      <c r="D5390" s="139"/>
      <c r="F5390"/>
    </row>
    <row r="5391" spans="4:6" x14ac:dyDescent="0.2">
      <c r="D5391" s="139"/>
      <c r="F5391"/>
    </row>
    <row r="5392" spans="4:6" x14ac:dyDescent="0.2">
      <c r="D5392" s="139"/>
      <c r="F5392"/>
    </row>
    <row r="5393" spans="4:6" x14ac:dyDescent="0.2">
      <c r="D5393" s="139"/>
      <c r="F5393"/>
    </row>
    <row r="5394" spans="4:6" x14ac:dyDescent="0.2">
      <c r="D5394" s="139"/>
      <c r="F5394"/>
    </row>
    <row r="5395" spans="4:6" x14ac:dyDescent="0.2">
      <c r="D5395" s="139"/>
      <c r="F5395"/>
    </row>
    <row r="5396" spans="4:6" x14ac:dyDescent="0.2">
      <c r="D5396" s="139"/>
      <c r="F5396"/>
    </row>
    <row r="5397" spans="4:6" x14ac:dyDescent="0.2">
      <c r="D5397" s="139"/>
      <c r="F5397"/>
    </row>
    <row r="5398" spans="4:6" x14ac:dyDescent="0.2">
      <c r="D5398" s="139"/>
      <c r="F5398"/>
    </row>
    <row r="5399" spans="4:6" x14ac:dyDescent="0.2">
      <c r="D5399" s="139"/>
      <c r="F5399"/>
    </row>
    <row r="5400" spans="4:6" x14ac:dyDescent="0.2">
      <c r="D5400" s="139"/>
      <c r="F5400"/>
    </row>
    <row r="5401" spans="4:6" x14ac:dyDescent="0.2">
      <c r="D5401" s="139"/>
      <c r="F5401"/>
    </row>
    <row r="5402" spans="4:6" x14ac:dyDescent="0.2">
      <c r="D5402" s="139"/>
      <c r="F5402"/>
    </row>
    <row r="5403" spans="4:6" x14ac:dyDescent="0.2">
      <c r="D5403" s="139"/>
      <c r="F5403"/>
    </row>
    <row r="5404" spans="4:6" x14ac:dyDescent="0.2">
      <c r="D5404" s="139"/>
      <c r="F5404"/>
    </row>
    <row r="5405" spans="4:6" x14ac:dyDescent="0.2">
      <c r="D5405" s="139"/>
      <c r="F5405"/>
    </row>
    <row r="5406" spans="4:6" x14ac:dyDescent="0.2">
      <c r="D5406" s="139"/>
      <c r="F5406"/>
    </row>
    <row r="5407" spans="4:6" x14ac:dyDescent="0.2">
      <c r="D5407" s="139"/>
      <c r="F5407"/>
    </row>
    <row r="5408" spans="4:6" x14ac:dyDescent="0.2">
      <c r="D5408" s="139"/>
      <c r="F5408"/>
    </row>
    <row r="5409" spans="4:6" x14ac:dyDescent="0.2">
      <c r="D5409" s="139"/>
      <c r="F5409"/>
    </row>
    <row r="5410" spans="4:6" x14ac:dyDescent="0.2">
      <c r="D5410" s="139"/>
      <c r="F5410"/>
    </row>
    <row r="5411" spans="4:6" x14ac:dyDescent="0.2">
      <c r="D5411" s="139"/>
      <c r="F5411"/>
    </row>
    <row r="5412" spans="4:6" x14ac:dyDescent="0.2">
      <c r="D5412" s="139"/>
      <c r="F5412"/>
    </row>
    <row r="5413" spans="4:6" x14ac:dyDescent="0.2">
      <c r="D5413" s="139"/>
      <c r="F5413"/>
    </row>
    <row r="5414" spans="4:6" x14ac:dyDescent="0.2">
      <c r="D5414" s="139"/>
      <c r="F5414"/>
    </row>
    <row r="5415" spans="4:6" x14ac:dyDescent="0.2">
      <c r="D5415" s="139"/>
      <c r="F5415"/>
    </row>
    <row r="5416" spans="4:6" x14ac:dyDescent="0.2">
      <c r="D5416" s="139"/>
      <c r="F5416"/>
    </row>
    <row r="5417" spans="4:6" x14ac:dyDescent="0.2">
      <c r="D5417" s="139"/>
      <c r="F5417"/>
    </row>
    <row r="5418" spans="4:6" x14ac:dyDescent="0.2">
      <c r="D5418" s="139"/>
      <c r="F5418"/>
    </row>
    <row r="5419" spans="4:6" x14ac:dyDescent="0.2">
      <c r="D5419" s="139"/>
      <c r="F5419"/>
    </row>
    <row r="5420" spans="4:6" x14ac:dyDescent="0.2">
      <c r="D5420" s="139"/>
      <c r="F5420"/>
    </row>
    <row r="5421" spans="4:6" x14ac:dyDescent="0.2">
      <c r="D5421" s="139"/>
      <c r="F5421"/>
    </row>
    <row r="5422" spans="4:6" x14ac:dyDescent="0.2">
      <c r="D5422" s="139"/>
      <c r="F5422"/>
    </row>
    <row r="5423" spans="4:6" x14ac:dyDescent="0.2">
      <c r="D5423" s="139"/>
      <c r="F5423"/>
    </row>
    <row r="5424" spans="4:6" x14ac:dyDescent="0.2">
      <c r="D5424" s="139"/>
      <c r="F5424"/>
    </row>
    <row r="5425" spans="4:6" x14ac:dyDescent="0.2">
      <c r="D5425" s="139"/>
      <c r="F5425"/>
    </row>
    <row r="5426" spans="4:6" x14ac:dyDescent="0.2">
      <c r="D5426" s="139"/>
      <c r="F5426"/>
    </row>
    <row r="5427" spans="4:6" x14ac:dyDescent="0.2">
      <c r="D5427" s="139"/>
      <c r="F5427"/>
    </row>
    <row r="5428" spans="4:6" x14ac:dyDescent="0.2">
      <c r="D5428" s="139"/>
      <c r="F5428"/>
    </row>
    <row r="5429" spans="4:6" x14ac:dyDescent="0.2">
      <c r="D5429" s="139"/>
      <c r="F5429"/>
    </row>
    <row r="5430" spans="4:6" x14ac:dyDescent="0.2">
      <c r="D5430" s="139"/>
      <c r="F5430"/>
    </row>
    <row r="5431" spans="4:6" x14ac:dyDescent="0.2">
      <c r="D5431" s="139"/>
      <c r="F5431"/>
    </row>
    <row r="5432" spans="4:6" x14ac:dyDescent="0.2">
      <c r="D5432" s="139"/>
      <c r="F5432"/>
    </row>
    <row r="5433" spans="4:6" x14ac:dyDescent="0.2">
      <c r="D5433" s="139"/>
      <c r="F5433"/>
    </row>
    <row r="5434" spans="4:6" x14ac:dyDescent="0.2">
      <c r="D5434" s="139"/>
      <c r="F5434"/>
    </row>
    <row r="5435" spans="4:6" x14ac:dyDescent="0.2">
      <c r="D5435" s="139"/>
      <c r="F5435"/>
    </row>
    <row r="5436" spans="4:6" x14ac:dyDescent="0.2">
      <c r="D5436" s="139"/>
      <c r="F5436"/>
    </row>
    <row r="5437" spans="4:6" x14ac:dyDescent="0.2">
      <c r="D5437" s="139"/>
      <c r="F5437"/>
    </row>
    <row r="5438" spans="4:6" x14ac:dyDescent="0.2">
      <c r="D5438" s="139"/>
      <c r="F5438"/>
    </row>
    <row r="5439" spans="4:6" x14ac:dyDescent="0.2">
      <c r="D5439" s="139"/>
      <c r="F5439"/>
    </row>
    <row r="5440" spans="4:6" x14ac:dyDescent="0.2">
      <c r="D5440" s="139"/>
      <c r="F5440"/>
    </row>
    <row r="5441" spans="4:6" x14ac:dyDescent="0.2">
      <c r="D5441" s="139"/>
      <c r="F5441"/>
    </row>
    <row r="5442" spans="4:6" x14ac:dyDescent="0.2">
      <c r="D5442" s="139"/>
      <c r="F5442"/>
    </row>
    <row r="5443" spans="4:6" x14ac:dyDescent="0.2">
      <c r="D5443" s="139"/>
      <c r="F5443"/>
    </row>
    <row r="5444" spans="4:6" x14ac:dyDescent="0.2">
      <c r="D5444" s="139"/>
      <c r="F5444"/>
    </row>
    <row r="5445" spans="4:6" x14ac:dyDescent="0.2">
      <c r="D5445" s="139"/>
      <c r="F5445"/>
    </row>
    <row r="5446" spans="4:6" x14ac:dyDescent="0.2">
      <c r="D5446" s="139"/>
      <c r="F5446"/>
    </row>
    <row r="5447" spans="4:6" x14ac:dyDescent="0.2">
      <c r="D5447" s="139"/>
      <c r="F5447"/>
    </row>
    <row r="5448" spans="4:6" x14ac:dyDescent="0.2">
      <c r="D5448" s="139"/>
      <c r="F5448"/>
    </row>
    <row r="5449" spans="4:6" x14ac:dyDescent="0.2">
      <c r="D5449" s="139"/>
      <c r="F5449"/>
    </row>
    <row r="5450" spans="4:6" x14ac:dyDescent="0.2">
      <c r="D5450" s="139"/>
      <c r="F5450"/>
    </row>
    <row r="5451" spans="4:6" x14ac:dyDescent="0.2">
      <c r="D5451" s="139"/>
      <c r="F5451"/>
    </row>
    <row r="5452" spans="4:6" x14ac:dyDescent="0.2">
      <c r="D5452" s="139"/>
      <c r="F5452"/>
    </row>
    <row r="5453" spans="4:6" x14ac:dyDescent="0.2">
      <c r="D5453" s="139"/>
      <c r="F5453"/>
    </row>
    <row r="5454" spans="4:6" x14ac:dyDescent="0.2">
      <c r="D5454" s="139"/>
      <c r="F5454"/>
    </row>
    <row r="5455" spans="4:6" x14ac:dyDescent="0.2">
      <c r="D5455" s="139"/>
      <c r="F5455"/>
    </row>
    <row r="5456" spans="4:6" x14ac:dyDescent="0.2">
      <c r="D5456" s="139"/>
      <c r="F5456"/>
    </row>
    <row r="5457" spans="4:6" x14ac:dyDescent="0.2">
      <c r="D5457" s="139"/>
      <c r="F5457"/>
    </row>
    <row r="5458" spans="4:6" x14ac:dyDescent="0.2">
      <c r="D5458" s="139"/>
      <c r="F5458"/>
    </row>
    <row r="5459" spans="4:6" x14ac:dyDescent="0.2">
      <c r="D5459" s="139"/>
      <c r="F5459"/>
    </row>
    <row r="5460" spans="4:6" x14ac:dyDescent="0.2">
      <c r="D5460" s="139"/>
      <c r="F5460"/>
    </row>
    <row r="5461" spans="4:6" x14ac:dyDescent="0.2">
      <c r="D5461" s="139"/>
      <c r="F5461"/>
    </row>
    <row r="5462" spans="4:6" x14ac:dyDescent="0.2">
      <c r="D5462" s="139"/>
      <c r="F5462"/>
    </row>
    <row r="5463" spans="4:6" x14ac:dyDescent="0.2">
      <c r="D5463" s="139"/>
      <c r="F5463"/>
    </row>
    <row r="5464" spans="4:6" x14ac:dyDescent="0.2">
      <c r="D5464" s="139"/>
      <c r="F5464"/>
    </row>
    <row r="5465" spans="4:6" x14ac:dyDescent="0.2">
      <c r="D5465" s="139"/>
      <c r="F5465"/>
    </row>
    <row r="5466" spans="4:6" x14ac:dyDescent="0.2">
      <c r="D5466" s="139"/>
      <c r="F5466"/>
    </row>
    <row r="5467" spans="4:6" x14ac:dyDescent="0.2">
      <c r="D5467" s="139"/>
      <c r="F5467"/>
    </row>
    <row r="5468" spans="4:6" x14ac:dyDescent="0.2">
      <c r="D5468" s="139"/>
      <c r="F5468"/>
    </row>
    <row r="5469" spans="4:6" x14ac:dyDescent="0.2">
      <c r="D5469" s="139"/>
      <c r="F5469"/>
    </row>
    <row r="5470" spans="4:6" x14ac:dyDescent="0.2">
      <c r="D5470" s="139"/>
      <c r="F5470"/>
    </row>
    <row r="5471" spans="4:6" x14ac:dyDescent="0.2">
      <c r="D5471" s="139"/>
      <c r="F5471"/>
    </row>
    <row r="5472" spans="4:6" x14ac:dyDescent="0.2">
      <c r="D5472" s="139"/>
      <c r="F5472"/>
    </row>
    <row r="5473" spans="4:6" x14ac:dyDescent="0.2">
      <c r="D5473" s="139"/>
      <c r="F5473"/>
    </row>
    <row r="5474" spans="4:6" x14ac:dyDescent="0.2">
      <c r="D5474" s="139"/>
      <c r="F5474"/>
    </row>
    <row r="5475" spans="4:6" x14ac:dyDescent="0.2">
      <c r="D5475" s="139"/>
      <c r="F5475"/>
    </row>
    <row r="5476" spans="4:6" x14ac:dyDescent="0.2">
      <c r="D5476" s="139"/>
      <c r="F5476"/>
    </row>
    <row r="5477" spans="4:6" x14ac:dyDescent="0.2">
      <c r="D5477" s="139"/>
      <c r="F5477"/>
    </row>
    <row r="5478" spans="4:6" x14ac:dyDescent="0.2">
      <c r="D5478" s="139"/>
      <c r="F5478"/>
    </row>
    <row r="5479" spans="4:6" x14ac:dyDescent="0.2">
      <c r="D5479" s="139"/>
      <c r="F5479"/>
    </row>
    <row r="5480" spans="4:6" x14ac:dyDescent="0.2">
      <c r="D5480" s="139"/>
      <c r="F5480"/>
    </row>
    <row r="5481" spans="4:6" x14ac:dyDescent="0.2">
      <c r="D5481" s="139"/>
      <c r="F5481"/>
    </row>
    <row r="5482" spans="4:6" x14ac:dyDescent="0.2">
      <c r="D5482" s="139"/>
      <c r="F5482"/>
    </row>
    <row r="5483" spans="4:6" x14ac:dyDescent="0.2">
      <c r="D5483" s="139"/>
      <c r="F5483"/>
    </row>
    <row r="5484" spans="4:6" x14ac:dyDescent="0.2">
      <c r="D5484" s="139"/>
      <c r="F5484"/>
    </row>
    <row r="5485" spans="4:6" x14ac:dyDescent="0.2">
      <c r="D5485" s="139"/>
      <c r="F5485"/>
    </row>
    <row r="5486" spans="4:6" x14ac:dyDescent="0.2">
      <c r="D5486" s="139"/>
      <c r="F5486"/>
    </row>
    <row r="5487" spans="4:6" x14ac:dyDescent="0.2">
      <c r="D5487" s="139"/>
      <c r="F5487"/>
    </row>
    <row r="5488" spans="4:6" x14ac:dyDescent="0.2">
      <c r="D5488" s="139"/>
      <c r="F5488"/>
    </row>
    <row r="5489" spans="4:6" x14ac:dyDescent="0.2">
      <c r="D5489" s="139"/>
      <c r="F5489"/>
    </row>
    <row r="5490" spans="4:6" x14ac:dyDescent="0.2">
      <c r="D5490" s="139"/>
      <c r="F5490"/>
    </row>
    <row r="5491" spans="4:6" x14ac:dyDescent="0.2">
      <c r="D5491" s="139"/>
      <c r="F5491"/>
    </row>
    <row r="5492" spans="4:6" x14ac:dyDescent="0.2">
      <c r="D5492" s="139"/>
      <c r="F5492"/>
    </row>
    <row r="5493" spans="4:6" x14ac:dyDescent="0.2">
      <c r="D5493" s="139"/>
      <c r="F5493"/>
    </row>
    <row r="5494" spans="4:6" x14ac:dyDescent="0.2">
      <c r="D5494" s="139"/>
      <c r="F5494"/>
    </row>
    <row r="5495" spans="4:6" x14ac:dyDescent="0.2">
      <c r="D5495" s="139"/>
      <c r="F5495"/>
    </row>
    <row r="5496" spans="4:6" x14ac:dyDescent="0.2">
      <c r="D5496" s="139"/>
      <c r="F5496"/>
    </row>
    <row r="5497" spans="4:6" x14ac:dyDescent="0.2">
      <c r="D5497" s="139"/>
      <c r="F5497"/>
    </row>
    <row r="5498" spans="4:6" x14ac:dyDescent="0.2">
      <c r="D5498" s="139"/>
      <c r="F5498"/>
    </row>
    <row r="5499" spans="4:6" x14ac:dyDescent="0.2">
      <c r="D5499" s="139"/>
      <c r="F5499"/>
    </row>
    <row r="5500" spans="4:6" x14ac:dyDescent="0.2">
      <c r="D5500" s="139"/>
      <c r="F5500"/>
    </row>
    <row r="5501" spans="4:6" x14ac:dyDescent="0.2">
      <c r="D5501" s="139"/>
      <c r="F5501"/>
    </row>
    <row r="5502" spans="4:6" x14ac:dyDescent="0.2">
      <c r="D5502" s="139"/>
      <c r="F5502"/>
    </row>
    <row r="5503" spans="4:6" x14ac:dyDescent="0.2">
      <c r="D5503" s="139"/>
      <c r="F5503"/>
    </row>
    <row r="5504" spans="4:6" x14ac:dyDescent="0.2">
      <c r="D5504" s="139"/>
      <c r="F5504"/>
    </row>
    <row r="5505" spans="4:6" x14ac:dyDescent="0.2">
      <c r="D5505" s="139"/>
      <c r="F5505"/>
    </row>
    <row r="5506" spans="4:6" x14ac:dyDescent="0.2">
      <c r="D5506" s="139"/>
      <c r="F5506"/>
    </row>
    <row r="5507" spans="4:6" x14ac:dyDescent="0.2">
      <c r="D5507" s="139"/>
      <c r="F5507"/>
    </row>
    <row r="5508" spans="4:6" x14ac:dyDescent="0.2">
      <c r="D5508" s="139"/>
      <c r="F5508"/>
    </row>
    <row r="5509" spans="4:6" x14ac:dyDescent="0.2">
      <c r="D5509" s="139"/>
      <c r="F5509"/>
    </row>
    <row r="5510" spans="4:6" x14ac:dyDescent="0.2">
      <c r="D5510" s="139"/>
      <c r="F5510"/>
    </row>
    <row r="5511" spans="4:6" x14ac:dyDescent="0.2">
      <c r="D5511" s="139"/>
      <c r="F5511"/>
    </row>
    <row r="5512" spans="4:6" x14ac:dyDescent="0.2">
      <c r="D5512" s="139"/>
      <c r="F5512"/>
    </row>
    <row r="5513" spans="4:6" x14ac:dyDescent="0.2">
      <c r="D5513" s="139"/>
      <c r="F5513"/>
    </row>
    <row r="5514" spans="4:6" x14ac:dyDescent="0.2">
      <c r="D5514" s="139"/>
      <c r="F5514"/>
    </row>
    <row r="5515" spans="4:6" x14ac:dyDescent="0.2">
      <c r="D5515" s="139"/>
      <c r="F5515"/>
    </row>
    <row r="5516" spans="4:6" x14ac:dyDescent="0.2">
      <c r="D5516" s="139"/>
      <c r="F5516"/>
    </row>
    <row r="5517" spans="4:6" x14ac:dyDescent="0.2">
      <c r="D5517" s="139"/>
      <c r="F5517"/>
    </row>
    <row r="5518" spans="4:6" x14ac:dyDescent="0.2">
      <c r="D5518" s="139"/>
      <c r="F5518"/>
    </row>
    <row r="5519" spans="4:6" x14ac:dyDescent="0.2">
      <c r="D5519" s="139"/>
      <c r="F5519"/>
    </row>
    <row r="5520" spans="4:6" x14ac:dyDescent="0.2">
      <c r="D5520" s="139"/>
      <c r="F5520"/>
    </row>
    <row r="5521" spans="4:6" x14ac:dyDescent="0.2">
      <c r="D5521" s="139"/>
      <c r="F5521"/>
    </row>
    <row r="5522" spans="4:6" x14ac:dyDescent="0.2">
      <c r="D5522" s="139"/>
      <c r="F5522"/>
    </row>
    <row r="5523" spans="4:6" x14ac:dyDescent="0.2">
      <c r="D5523" s="139"/>
      <c r="F5523"/>
    </row>
    <row r="5524" spans="4:6" x14ac:dyDescent="0.2">
      <c r="D5524" s="139"/>
      <c r="F5524"/>
    </row>
    <row r="5525" spans="4:6" x14ac:dyDescent="0.2">
      <c r="D5525" s="139"/>
      <c r="F5525"/>
    </row>
    <row r="5526" spans="4:6" x14ac:dyDescent="0.2">
      <c r="D5526" s="139"/>
      <c r="F5526"/>
    </row>
    <row r="5527" spans="4:6" x14ac:dyDescent="0.2">
      <c r="D5527" s="139"/>
      <c r="F5527"/>
    </row>
    <row r="5528" spans="4:6" x14ac:dyDescent="0.2">
      <c r="D5528" s="139"/>
      <c r="F5528"/>
    </row>
    <row r="5529" spans="4:6" x14ac:dyDescent="0.2">
      <c r="D5529" s="139"/>
      <c r="F5529"/>
    </row>
    <row r="5530" spans="4:6" x14ac:dyDescent="0.2">
      <c r="D5530" s="139"/>
      <c r="F5530"/>
    </row>
    <row r="5531" spans="4:6" x14ac:dyDescent="0.2">
      <c r="D5531" s="139"/>
      <c r="F5531"/>
    </row>
    <row r="5532" spans="4:6" x14ac:dyDescent="0.2">
      <c r="D5532" s="139"/>
      <c r="F5532"/>
    </row>
    <row r="5533" spans="4:6" x14ac:dyDescent="0.2">
      <c r="D5533" s="139"/>
      <c r="F5533"/>
    </row>
    <row r="5534" spans="4:6" x14ac:dyDescent="0.2">
      <c r="D5534" s="139"/>
      <c r="F5534"/>
    </row>
    <row r="5535" spans="4:6" x14ac:dyDescent="0.2">
      <c r="D5535" s="139"/>
      <c r="F5535"/>
    </row>
    <row r="5536" spans="4:6" x14ac:dyDescent="0.2">
      <c r="D5536" s="139"/>
      <c r="F5536"/>
    </row>
    <row r="5537" spans="4:6" x14ac:dyDescent="0.2">
      <c r="D5537" s="139"/>
      <c r="F5537"/>
    </row>
    <row r="5538" spans="4:6" x14ac:dyDescent="0.2">
      <c r="D5538" s="139"/>
      <c r="F5538"/>
    </row>
    <row r="5539" spans="4:6" x14ac:dyDescent="0.2">
      <c r="D5539" s="139"/>
      <c r="F5539"/>
    </row>
    <row r="5540" spans="4:6" x14ac:dyDescent="0.2">
      <c r="D5540" s="139"/>
      <c r="F5540"/>
    </row>
    <row r="5541" spans="4:6" x14ac:dyDescent="0.2">
      <c r="D5541" s="139"/>
      <c r="F5541"/>
    </row>
    <row r="5542" spans="4:6" x14ac:dyDescent="0.2">
      <c r="D5542" s="139"/>
      <c r="F5542"/>
    </row>
    <row r="5543" spans="4:6" x14ac:dyDescent="0.2">
      <c r="D5543" s="139"/>
      <c r="F5543"/>
    </row>
    <row r="5544" spans="4:6" x14ac:dyDescent="0.2">
      <c r="D5544" s="139"/>
      <c r="F5544"/>
    </row>
    <row r="5545" spans="4:6" x14ac:dyDescent="0.2">
      <c r="D5545" s="139"/>
      <c r="F5545"/>
    </row>
    <row r="5546" spans="4:6" x14ac:dyDescent="0.2">
      <c r="D5546" s="139"/>
      <c r="F5546"/>
    </row>
    <row r="5547" spans="4:6" x14ac:dyDescent="0.2">
      <c r="D5547" s="139"/>
      <c r="F5547"/>
    </row>
    <row r="5548" spans="4:6" x14ac:dyDescent="0.2">
      <c r="D5548" s="139"/>
      <c r="F5548"/>
    </row>
    <row r="5549" spans="4:6" x14ac:dyDescent="0.2">
      <c r="D5549" s="139"/>
      <c r="F5549"/>
    </row>
    <row r="5550" spans="4:6" x14ac:dyDescent="0.2">
      <c r="D5550" s="139"/>
      <c r="F5550"/>
    </row>
    <row r="5551" spans="4:6" x14ac:dyDescent="0.2">
      <c r="D5551" s="139"/>
      <c r="F5551"/>
    </row>
    <row r="5552" spans="4:6" x14ac:dyDescent="0.2">
      <c r="D5552" s="139"/>
      <c r="F5552"/>
    </row>
    <row r="5553" spans="4:6" x14ac:dyDescent="0.2">
      <c r="D5553" s="139"/>
      <c r="F5553"/>
    </row>
    <row r="5554" spans="4:6" x14ac:dyDescent="0.2">
      <c r="D5554" s="139"/>
      <c r="F5554"/>
    </row>
    <row r="5555" spans="4:6" x14ac:dyDescent="0.2">
      <c r="D5555" s="139"/>
      <c r="F5555"/>
    </row>
    <row r="5556" spans="4:6" x14ac:dyDescent="0.2">
      <c r="D5556" s="139"/>
      <c r="F5556"/>
    </row>
    <row r="5557" spans="4:6" x14ac:dyDescent="0.2">
      <c r="D5557" s="139"/>
      <c r="F5557"/>
    </row>
    <row r="5558" spans="4:6" x14ac:dyDescent="0.2">
      <c r="D5558" s="139"/>
      <c r="F5558"/>
    </row>
    <row r="5559" spans="4:6" x14ac:dyDescent="0.2">
      <c r="D5559" s="139"/>
      <c r="F5559"/>
    </row>
    <row r="5560" spans="4:6" x14ac:dyDescent="0.2">
      <c r="D5560" s="139"/>
      <c r="F5560"/>
    </row>
    <row r="5561" spans="4:6" x14ac:dyDescent="0.2">
      <c r="D5561" s="139"/>
      <c r="F5561"/>
    </row>
    <row r="5562" spans="4:6" x14ac:dyDescent="0.2">
      <c r="D5562" s="139"/>
      <c r="F5562"/>
    </row>
    <row r="5563" spans="4:6" x14ac:dyDescent="0.2">
      <c r="D5563" s="139"/>
      <c r="F5563"/>
    </row>
    <row r="5564" spans="4:6" x14ac:dyDescent="0.2">
      <c r="D5564" s="139"/>
      <c r="F5564"/>
    </row>
    <row r="5565" spans="4:6" x14ac:dyDescent="0.2">
      <c r="D5565" s="139"/>
      <c r="F5565"/>
    </row>
    <row r="5566" spans="4:6" x14ac:dyDescent="0.2">
      <c r="D5566" s="139"/>
      <c r="F5566"/>
    </row>
    <row r="5567" spans="4:6" x14ac:dyDescent="0.2">
      <c r="D5567" s="139"/>
      <c r="F5567"/>
    </row>
    <row r="5568" spans="4:6" x14ac:dyDescent="0.2">
      <c r="D5568" s="139"/>
      <c r="F5568"/>
    </row>
    <row r="5569" spans="4:6" x14ac:dyDescent="0.2">
      <c r="D5569" s="139"/>
      <c r="F5569"/>
    </row>
    <row r="5570" spans="4:6" x14ac:dyDescent="0.2">
      <c r="D5570" s="139"/>
      <c r="F5570"/>
    </row>
    <row r="5571" spans="4:6" x14ac:dyDescent="0.2">
      <c r="D5571" s="139"/>
      <c r="F5571"/>
    </row>
    <row r="5572" spans="4:6" x14ac:dyDescent="0.2">
      <c r="D5572" s="139"/>
      <c r="F5572"/>
    </row>
    <row r="5573" spans="4:6" x14ac:dyDescent="0.2">
      <c r="D5573" s="139"/>
      <c r="F5573"/>
    </row>
    <row r="5574" spans="4:6" x14ac:dyDescent="0.2">
      <c r="D5574" s="139"/>
      <c r="F5574"/>
    </row>
    <row r="5575" spans="4:6" x14ac:dyDescent="0.2">
      <c r="D5575" s="139"/>
      <c r="F5575"/>
    </row>
    <row r="5576" spans="4:6" x14ac:dyDescent="0.2">
      <c r="D5576" s="139"/>
      <c r="F5576"/>
    </row>
    <row r="5577" spans="4:6" x14ac:dyDescent="0.2">
      <c r="D5577" s="139"/>
      <c r="F5577"/>
    </row>
    <row r="5578" spans="4:6" x14ac:dyDescent="0.2">
      <c r="D5578" s="139"/>
      <c r="F5578"/>
    </row>
    <row r="5579" spans="4:6" x14ac:dyDescent="0.2">
      <c r="D5579" s="139"/>
      <c r="F5579"/>
    </row>
    <row r="5580" spans="4:6" x14ac:dyDescent="0.2">
      <c r="D5580" s="139"/>
      <c r="F5580"/>
    </row>
    <row r="5581" spans="4:6" x14ac:dyDescent="0.2">
      <c r="D5581" s="139"/>
      <c r="F5581"/>
    </row>
    <row r="5582" spans="4:6" x14ac:dyDescent="0.2">
      <c r="D5582" s="139"/>
      <c r="F5582"/>
    </row>
    <row r="5583" spans="4:6" x14ac:dyDescent="0.2">
      <c r="D5583" s="139"/>
      <c r="F5583"/>
    </row>
    <row r="5584" spans="4:6" x14ac:dyDescent="0.2">
      <c r="D5584" s="139"/>
      <c r="F5584"/>
    </row>
    <row r="5585" spans="4:6" x14ac:dyDescent="0.2">
      <c r="D5585" s="139"/>
      <c r="F5585"/>
    </row>
    <row r="5586" spans="4:6" x14ac:dyDescent="0.2">
      <c r="D5586" s="139"/>
      <c r="F5586"/>
    </row>
    <row r="5587" spans="4:6" x14ac:dyDescent="0.2">
      <c r="D5587" s="139"/>
      <c r="F5587"/>
    </row>
    <row r="5588" spans="4:6" x14ac:dyDescent="0.2">
      <c r="D5588" s="139"/>
      <c r="F5588"/>
    </row>
    <row r="5589" spans="4:6" x14ac:dyDescent="0.2">
      <c r="D5589" s="139"/>
      <c r="F5589"/>
    </row>
    <row r="5590" spans="4:6" x14ac:dyDescent="0.2">
      <c r="D5590" s="139"/>
      <c r="F5590"/>
    </row>
    <row r="5591" spans="4:6" x14ac:dyDescent="0.2">
      <c r="D5591" s="139"/>
      <c r="F5591"/>
    </row>
    <row r="5592" spans="4:6" x14ac:dyDescent="0.2">
      <c r="D5592" s="139"/>
      <c r="F5592"/>
    </row>
    <row r="5593" spans="4:6" x14ac:dyDescent="0.2">
      <c r="D5593" s="139"/>
      <c r="F5593"/>
    </row>
    <row r="5594" spans="4:6" x14ac:dyDescent="0.2">
      <c r="D5594" s="139"/>
      <c r="F5594"/>
    </row>
    <row r="5595" spans="4:6" x14ac:dyDescent="0.2">
      <c r="D5595" s="139"/>
      <c r="F5595"/>
    </row>
    <row r="5596" spans="4:6" x14ac:dyDescent="0.2">
      <c r="D5596" s="139"/>
      <c r="F5596"/>
    </row>
    <row r="5597" spans="4:6" x14ac:dyDescent="0.2">
      <c r="D5597" s="139"/>
      <c r="F5597"/>
    </row>
    <row r="5598" spans="4:6" x14ac:dyDescent="0.2">
      <c r="D5598" s="139"/>
      <c r="F5598"/>
    </row>
    <row r="5599" spans="4:6" x14ac:dyDescent="0.2">
      <c r="D5599" s="139"/>
      <c r="F5599"/>
    </row>
    <row r="5600" spans="4:6" x14ac:dyDescent="0.2">
      <c r="D5600" s="139"/>
      <c r="F5600"/>
    </row>
    <row r="5601" spans="4:6" x14ac:dyDescent="0.2">
      <c r="D5601" s="139"/>
      <c r="F5601"/>
    </row>
    <row r="5602" spans="4:6" x14ac:dyDescent="0.2">
      <c r="D5602" s="139"/>
      <c r="F5602"/>
    </row>
    <row r="5603" spans="4:6" x14ac:dyDescent="0.2">
      <c r="D5603" s="139"/>
      <c r="F5603"/>
    </row>
    <row r="5604" spans="4:6" x14ac:dyDescent="0.2">
      <c r="D5604" s="139"/>
      <c r="F5604"/>
    </row>
    <row r="5605" spans="4:6" x14ac:dyDescent="0.2">
      <c r="D5605" s="139"/>
      <c r="F5605"/>
    </row>
    <row r="5606" spans="4:6" x14ac:dyDescent="0.2">
      <c r="D5606" s="139"/>
      <c r="F5606"/>
    </row>
    <row r="5607" spans="4:6" x14ac:dyDescent="0.2">
      <c r="D5607" s="139"/>
      <c r="F5607"/>
    </row>
    <row r="5608" spans="4:6" x14ac:dyDescent="0.2">
      <c r="D5608" s="139"/>
      <c r="F5608"/>
    </row>
    <row r="5609" spans="4:6" x14ac:dyDescent="0.2">
      <c r="D5609" s="139"/>
      <c r="F5609"/>
    </row>
    <row r="5610" spans="4:6" x14ac:dyDescent="0.2">
      <c r="D5610" s="139"/>
      <c r="F5610"/>
    </row>
    <row r="5611" spans="4:6" x14ac:dyDescent="0.2">
      <c r="D5611" s="139"/>
      <c r="F5611"/>
    </row>
    <row r="5612" spans="4:6" x14ac:dyDescent="0.2">
      <c r="D5612" s="139"/>
      <c r="F5612"/>
    </row>
    <row r="5613" spans="4:6" x14ac:dyDescent="0.2">
      <c r="D5613" s="139"/>
      <c r="F5613"/>
    </row>
    <row r="5614" spans="4:6" x14ac:dyDescent="0.2">
      <c r="D5614" s="139"/>
      <c r="F5614"/>
    </row>
    <row r="5615" spans="4:6" x14ac:dyDescent="0.2">
      <c r="D5615" s="139"/>
      <c r="F5615"/>
    </row>
    <row r="5616" spans="4:6" x14ac:dyDescent="0.2">
      <c r="D5616" s="139"/>
      <c r="F5616"/>
    </row>
    <row r="5617" spans="4:6" x14ac:dyDescent="0.2">
      <c r="D5617" s="139"/>
      <c r="F5617"/>
    </row>
    <row r="5618" spans="4:6" x14ac:dyDescent="0.2">
      <c r="D5618" s="139"/>
      <c r="F5618"/>
    </row>
    <row r="5619" spans="4:6" x14ac:dyDescent="0.2">
      <c r="D5619" s="139"/>
      <c r="F5619"/>
    </row>
    <row r="5620" spans="4:6" x14ac:dyDescent="0.2">
      <c r="D5620" s="139"/>
      <c r="F5620"/>
    </row>
    <row r="5621" spans="4:6" x14ac:dyDescent="0.2">
      <c r="D5621" s="139"/>
      <c r="F5621"/>
    </row>
    <row r="5622" spans="4:6" x14ac:dyDescent="0.2">
      <c r="D5622" s="139"/>
      <c r="F5622"/>
    </row>
    <row r="5623" spans="4:6" x14ac:dyDescent="0.2">
      <c r="D5623" s="139"/>
      <c r="F5623"/>
    </row>
    <row r="5624" spans="4:6" x14ac:dyDescent="0.2">
      <c r="D5624" s="139"/>
      <c r="F5624"/>
    </row>
    <row r="5625" spans="4:6" x14ac:dyDescent="0.2">
      <c r="D5625" s="139"/>
      <c r="F5625"/>
    </row>
    <row r="5626" spans="4:6" x14ac:dyDescent="0.2">
      <c r="D5626" s="139"/>
      <c r="F5626"/>
    </row>
    <row r="5627" spans="4:6" x14ac:dyDescent="0.2">
      <c r="D5627" s="139"/>
      <c r="F5627"/>
    </row>
    <row r="5628" spans="4:6" x14ac:dyDescent="0.2">
      <c r="D5628" s="139"/>
      <c r="F5628"/>
    </row>
    <row r="5629" spans="4:6" x14ac:dyDescent="0.2">
      <c r="D5629" s="139"/>
      <c r="F5629"/>
    </row>
    <row r="5630" spans="4:6" x14ac:dyDescent="0.2">
      <c r="D5630" s="139"/>
      <c r="F5630"/>
    </row>
    <row r="5631" spans="4:6" x14ac:dyDescent="0.2">
      <c r="D5631" s="139"/>
      <c r="F5631"/>
    </row>
    <row r="5632" spans="4:6" x14ac:dyDescent="0.2">
      <c r="D5632" s="139"/>
      <c r="F5632"/>
    </row>
    <row r="5633" spans="4:6" x14ac:dyDescent="0.2">
      <c r="D5633" s="139"/>
      <c r="F5633"/>
    </row>
    <row r="5634" spans="4:6" x14ac:dyDescent="0.2">
      <c r="D5634" s="139"/>
      <c r="F5634"/>
    </row>
    <row r="5635" spans="4:6" x14ac:dyDescent="0.2">
      <c r="D5635" s="139"/>
      <c r="F5635"/>
    </row>
    <row r="5636" spans="4:6" x14ac:dyDescent="0.2">
      <c r="D5636" s="139"/>
      <c r="F5636"/>
    </row>
    <row r="5637" spans="4:6" x14ac:dyDescent="0.2">
      <c r="D5637" s="139"/>
      <c r="F5637"/>
    </row>
    <row r="5638" spans="4:6" x14ac:dyDescent="0.2">
      <c r="D5638" s="139"/>
      <c r="F5638"/>
    </row>
    <row r="5639" spans="4:6" x14ac:dyDescent="0.2">
      <c r="D5639" s="139"/>
      <c r="F5639"/>
    </row>
    <row r="5640" spans="4:6" x14ac:dyDescent="0.2">
      <c r="D5640" s="139"/>
      <c r="F5640"/>
    </row>
    <row r="5641" spans="4:6" x14ac:dyDescent="0.2">
      <c r="D5641" s="139"/>
      <c r="F5641"/>
    </row>
    <row r="5642" spans="4:6" x14ac:dyDescent="0.2">
      <c r="D5642" s="139"/>
      <c r="F5642"/>
    </row>
    <row r="5643" spans="4:6" x14ac:dyDescent="0.2">
      <c r="D5643" s="139"/>
      <c r="F5643"/>
    </row>
    <row r="5644" spans="4:6" x14ac:dyDescent="0.2">
      <c r="D5644" s="139"/>
      <c r="F5644"/>
    </row>
    <row r="5645" spans="4:6" x14ac:dyDescent="0.2">
      <c r="D5645" s="139"/>
      <c r="F5645"/>
    </row>
    <row r="5646" spans="4:6" x14ac:dyDescent="0.2">
      <c r="D5646" s="139"/>
      <c r="F5646"/>
    </row>
    <row r="5647" spans="4:6" x14ac:dyDescent="0.2">
      <c r="D5647" s="139"/>
      <c r="F5647"/>
    </row>
    <row r="5648" spans="4:6" x14ac:dyDescent="0.2">
      <c r="D5648" s="139"/>
      <c r="F5648"/>
    </row>
    <row r="5649" spans="4:6" x14ac:dyDescent="0.2">
      <c r="D5649" s="139"/>
      <c r="F5649"/>
    </row>
    <row r="5650" spans="4:6" x14ac:dyDescent="0.2">
      <c r="D5650" s="139"/>
      <c r="F5650"/>
    </row>
    <row r="5651" spans="4:6" x14ac:dyDescent="0.2">
      <c r="D5651" s="139"/>
      <c r="F5651"/>
    </row>
    <row r="5652" spans="4:6" x14ac:dyDescent="0.2">
      <c r="D5652" s="139"/>
      <c r="F5652"/>
    </row>
    <row r="5653" spans="4:6" x14ac:dyDescent="0.2">
      <c r="D5653" s="139"/>
      <c r="F5653"/>
    </row>
    <row r="5654" spans="4:6" x14ac:dyDescent="0.2">
      <c r="D5654" s="139"/>
      <c r="F5654"/>
    </row>
    <row r="5655" spans="4:6" x14ac:dyDescent="0.2">
      <c r="D5655" s="139"/>
      <c r="F5655"/>
    </row>
    <row r="5656" spans="4:6" x14ac:dyDescent="0.2">
      <c r="D5656" s="139"/>
      <c r="F5656"/>
    </row>
    <row r="5657" spans="4:6" x14ac:dyDescent="0.2">
      <c r="D5657" s="139"/>
      <c r="F5657"/>
    </row>
    <row r="5658" spans="4:6" x14ac:dyDescent="0.2">
      <c r="D5658" s="139"/>
      <c r="F5658"/>
    </row>
    <row r="5659" spans="4:6" x14ac:dyDescent="0.2">
      <c r="D5659" s="139"/>
      <c r="F5659"/>
    </row>
    <row r="5660" spans="4:6" x14ac:dyDescent="0.2">
      <c r="D5660" s="139"/>
      <c r="F5660"/>
    </row>
    <row r="5661" spans="4:6" x14ac:dyDescent="0.2">
      <c r="D5661" s="139"/>
      <c r="F5661"/>
    </row>
    <row r="5662" spans="4:6" x14ac:dyDescent="0.2">
      <c r="D5662" s="139"/>
      <c r="F5662"/>
    </row>
    <row r="5663" spans="4:6" x14ac:dyDescent="0.2">
      <c r="D5663" s="139"/>
      <c r="F5663"/>
    </row>
    <row r="5664" spans="4:6" x14ac:dyDescent="0.2">
      <c r="D5664" s="139"/>
      <c r="F5664"/>
    </row>
    <row r="5665" spans="4:6" x14ac:dyDescent="0.2">
      <c r="D5665" s="139"/>
      <c r="F5665"/>
    </row>
    <row r="5666" spans="4:6" x14ac:dyDescent="0.2">
      <c r="D5666" s="139"/>
      <c r="F5666"/>
    </row>
    <row r="5667" spans="4:6" x14ac:dyDescent="0.2">
      <c r="D5667" s="139"/>
      <c r="F5667"/>
    </row>
    <row r="5668" spans="4:6" x14ac:dyDescent="0.2">
      <c r="D5668" s="139"/>
      <c r="F5668"/>
    </row>
    <row r="5669" spans="4:6" x14ac:dyDescent="0.2">
      <c r="D5669" s="139"/>
      <c r="F5669"/>
    </row>
    <row r="5670" spans="4:6" x14ac:dyDescent="0.2">
      <c r="D5670" s="139"/>
      <c r="F5670"/>
    </row>
    <row r="5671" spans="4:6" x14ac:dyDescent="0.2">
      <c r="D5671" s="139"/>
      <c r="F5671"/>
    </row>
    <row r="5672" spans="4:6" x14ac:dyDescent="0.2">
      <c r="D5672" s="139"/>
      <c r="F5672"/>
    </row>
    <row r="5673" spans="4:6" x14ac:dyDescent="0.2">
      <c r="D5673" s="139"/>
      <c r="F5673"/>
    </row>
    <row r="5674" spans="4:6" x14ac:dyDescent="0.2">
      <c r="D5674" s="139"/>
      <c r="F5674"/>
    </row>
    <row r="5675" spans="4:6" x14ac:dyDescent="0.2">
      <c r="D5675" s="139"/>
      <c r="F5675"/>
    </row>
    <row r="5676" spans="4:6" x14ac:dyDescent="0.2">
      <c r="D5676" s="139"/>
      <c r="F5676"/>
    </row>
    <row r="5677" spans="4:6" x14ac:dyDescent="0.2">
      <c r="D5677" s="139"/>
      <c r="F5677"/>
    </row>
    <row r="5678" spans="4:6" x14ac:dyDescent="0.2">
      <c r="D5678" s="139"/>
      <c r="F5678"/>
    </row>
    <row r="5679" spans="4:6" x14ac:dyDescent="0.2">
      <c r="D5679" s="139"/>
      <c r="F5679"/>
    </row>
    <row r="5680" spans="4:6" x14ac:dyDescent="0.2">
      <c r="D5680" s="139"/>
      <c r="F5680"/>
    </row>
    <row r="5681" spans="4:6" x14ac:dyDescent="0.2">
      <c r="D5681" s="139"/>
      <c r="F5681"/>
    </row>
    <row r="5682" spans="4:6" x14ac:dyDescent="0.2">
      <c r="D5682" s="139"/>
      <c r="F5682"/>
    </row>
    <row r="5683" spans="4:6" x14ac:dyDescent="0.2">
      <c r="D5683" s="139"/>
      <c r="F5683"/>
    </row>
    <row r="5684" spans="4:6" x14ac:dyDescent="0.2">
      <c r="D5684" s="139"/>
      <c r="F5684"/>
    </row>
    <row r="5685" spans="4:6" x14ac:dyDescent="0.2">
      <c r="D5685" s="139"/>
      <c r="F5685"/>
    </row>
    <row r="5686" spans="4:6" x14ac:dyDescent="0.2">
      <c r="D5686" s="139"/>
      <c r="F5686"/>
    </row>
    <row r="5687" spans="4:6" x14ac:dyDescent="0.2">
      <c r="D5687" s="139"/>
      <c r="F5687"/>
    </row>
    <row r="5688" spans="4:6" x14ac:dyDescent="0.2">
      <c r="D5688" s="139"/>
      <c r="F5688"/>
    </row>
    <row r="5689" spans="4:6" x14ac:dyDescent="0.2">
      <c r="D5689" s="139"/>
      <c r="F5689"/>
    </row>
    <row r="5690" spans="4:6" x14ac:dyDescent="0.2">
      <c r="D5690" s="139"/>
      <c r="F5690"/>
    </row>
    <row r="5691" spans="4:6" x14ac:dyDescent="0.2">
      <c r="D5691" s="139"/>
      <c r="F5691"/>
    </row>
    <row r="5692" spans="4:6" x14ac:dyDescent="0.2">
      <c r="D5692" s="139"/>
      <c r="F5692"/>
    </row>
    <row r="5693" spans="4:6" x14ac:dyDescent="0.2">
      <c r="D5693" s="139"/>
      <c r="F5693"/>
    </row>
    <row r="5694" spans="4:6" x14ac:dyDescent="0.2">
      <c r="D5694" s="139"/>
      <c r="F5694"/>
    </row>
    <row r="5695" spans="4:6" x14ac:dyDescent="0.2">
      <c r="D5695" s="139"/>
      <c r="F5695"/>
    </row>
    <row r="5696" spans="4:6" x14ac:dyDescent="0.2">
      <c r="D5696" s="139"/>
      <c r="F5696"/>
    </row>
    <row r="5697" spans="4:6" x14ac:dyDescent="0.2">
      <c r="D5697" s="139"/>
      <c r="F5697"/>
    </row>
    <row r="5698" spans="4:6" x14ac:dyDescent="0.2">
      <c r="D5698" s="139"/>
      <c r="F5698"/>
    </row>
    <row r="5699" spans="4:6" x14ac:dyDescent="0.2">
      <c r="D5699" s="139"/>
      <c r="F5699"/>
    </row>
    <row r="5700" spans="4:6" x14ac:dyDescent="0.2">
      <c r="D5700" s="139"/>
      <c r="F5700"/>
    </row>
    <row r="5701" spans="4:6" x14ac:dyDescent="0.2">
      <c r="D5701" s="139"/>
      <c r="F5701"/>
    </row>
    <row r="5702" spans="4:6" x14ac:dyDescent="0.2">
      <c r="D5702" s="139"/>
      <c r="F5702"/>
    </row>
    <row r="5703" spans="4:6" x14ac:dyDescent="0.2">
      <c r="D5703" s="139"/>
      <c r="F5703"/>
    </row>
    <row r="5704" spans="4:6" x14ac:dyDescent="0.2">
      <c r="D5704" s="139"/>
      <c r="F5704"/>
    </row>
    <row r="5705" spans="4:6" x14ac:dyDescent="0.2">
      <c r="D5705" s="139"/>
      <c r="F5705"/>
    </row>
    <row r="5706" spans="4:6" x14ac:dyDescent="0.2">
      <c r="D5706" s="139"/>
      <c r="F5706"/>
    </row>
    <row r="5707" spans="4:6" x14ac:dyDescent="0.2">
      <c r="D5707" s="139"/>
      <c r="F5707"/>
    </row>
    <row r="5708" spans="4:6" x14ac:dyDescent="0.2">
      <c r="D5708" s="139"/>
      <c r="F5708"/>
    </row>
    <row r="5709" spans="4:6" x14ac:dyDescent="0.2">
      <c r="D5709" s="139"/>
      <c r="F5709"/>
    </row>
    <row r="5710" spans="4:6" x14ac:dyDescent="0.2">
      <c r="D5710" s="139"/>
      <c r="F5710"/>
    </row>
    <row r="5711" spans="4:6" x14ac:dyDescent="0.2">
      <c r="D5711" s="139"/>
      <c r="F5711"/>
    </row>
    <row r="5712" spans="4:6" x14ac:dyDescent="0.2">
      <c r="D5712" s="139"/>
      <c r="F5712"/>
    </row>
    <row r="5713" spans="4:6" x14ac:dyDescent="0.2">
      <c r="D5713" s="139"/>
      <c r="F5713"/>
    </row>
    <row r="5714" spans="4:6" x14ac:dyDescent="0.2">
      <c r="D5714" s="139"/>
      <c r="F5714"/>
    </row>
    <row r="5715" spans="4:6" x14ac:dyDescent="0.2">
      <c r="D5715" s="139"/>
      <c r="F5715"/>
    </row>
    <row r="5716" spans="4:6" x14ac:dyDescent="0.2">
      <c r="D5716" s="139"/>
      <c r="F5716"/>
    </row>
    <row r="5717" spans="4:6" x14ac:dyDescent="0.2">
      <c r="D5717" s="139"/>
      <c r="F5717"/>
    </row>
    <row r="5718" spans="4:6" x14ac:dyDescent="0.2">
      <c r="D5718" s="139"/>
      <c r="F5718"/>
    </row>
    <row r="5719" spans="4:6" x14ac:dyDescent="0.2">
      <c r="D5719" s="139"/>
      <c r="F5719"/>
    </row>
    <row r="5720" spans="4:6" x14ac:dyDescent="0.2">
      <c r="D5720" s="139"/>
      <c r="F5720"/>
    </row>
    <row r="5721" spans="4:6" x14ac:dyDescent="0.2">
      <c r="D5721" s="139"/>
      <c r="F5721"/>
    </row>
    <row r="5722" spans="4:6" x14ac:dyDescent="0.2">
      <c r="D5722" s="139"/>
      <c r="F5722"/>
    </row>
    <row r="5723" spans="4:6" x14ac:dyDescent="0.2">
      <c r="D5723" s="139"/>
      <c r="F5723"/>
    </row>
    <row r="5724" spans="4:6" x14ac:dyDescent="0.2">
      <c r="D5724" s="139"/>
      <c r="F5724"/>
    </row>
    <row r="5725" spans="4:6" x14ac:dyDescent="0.2">
      <c r="D5725" s="139"/>
      <c r="F5725"/>
    </row>
    <row r="5726" spans="4:6" x14ac:dyDescent="0.2">
      <c r="D5726" s="139"/>
      <c r="F5726"/>
    </row>
    <row r="5727" spans="4:6" x14ac:dyDescent="0.2">
      <c r="D5727" s="139"/>
      <c r="F5727"/>
    </row>
    <row r="5728" spans="4:6" x14ac:dyDescent="0.2">
      <c r="D5728" s="139"/>
      <c r="F5728"/>
    </row>
    <row r="5729" spans="4:6" x14ac:dyDescent="0.2">
      <c r="D5729" s="139"/>
      <c r="F5729"/>
    </row>
    <row r="5730" spans="4:6" x14ac:dyDescent="0.2">
      <c r="D5730" s="139"/>
      <c r="F5730"/>
    </row>
    <row r="5731" spans="4:6" x14ac:dyDescent="0.2">
      <c r="D5731" s="139"/>
      <c r="F5731"/>
    </row>
    <row r="5732" spans="4:6" x14ac:dyDescent="0.2">
      <c r="D5732" s="139"/>
      <c r="F5732"/>
    </row>
    <row r="5733" spans="4:6" x14ac:dyDescent="0.2">
      <c r="D5733" s="139"/>
      <c r="F5733"/>
    </row>
    <row r="5734" spans="4:6" x14ac:dyDescent="0.2">
      <c r="D5734" s="139"/>
      <c r="F5734"/>
    </row>
    <row r="5735" spans="4:6" x14ac:dyDescent="0.2">
      <c r="D5735" s="139"/>
      <c r="F5735"/>
    </row>
    <row r="5736" spans="4:6" x14ac:dyDescent="0.2">
      <c r="D5736" s="139"/>
      <c r="F5736"/>
    </row>
    <row r="5737" spans="4:6" x14ac:dyDescent="0.2">
      <c r="D5737" s="139"/>
      <c r="F5737"/>
    </row>
    <row r="5738" spans="4:6" x14ac:dyDescent="0.2">
      <c r="D5738" s="139"/>
      <c r="F5738"/>
    </row>
    <row r="5739" spans="4:6" x14ac:dyDescent="0.2">
      <c r="D5739" s="139"/>
      <c r="F5739"/>
    </row>
    <row r="5740" spans="4:6" x14ac:dyDescent="0.2">
      <c r="D5740" s="139"/>
      <c r="F5740"/>
    </row>
    <row r="5741" spans="4:6" x14ac:dyDescent="0.2">
      <c r="D5741" s="139"/>
      <c r="F5741"/>
    </row>
    <row r="5742" spans="4:6" x14ac:dyDescent="0.2">
      <c r="D5742" s="139"/>
      <c r="F5742"/>
    </row>
    <row r="5743" spans="4:6" x14ac:dyDescent="0.2">
      <c r="D5743" s="139"/>
      <c r="F5743"/>
    </row>
    <row r="5744" spans="4:6" x14ac:dyDescent="0.2">
      <c r="D5744" s="139"/>
      <c r="F5744"/>
    </row>
    <row r="5745" spans="4:6" x14ac:dyDescent="0.2">
      <c r="D5745" s="139"/>
      <c r="F5745"/>
    </row>
    <row r="5746" spans="4:6" x14ac:dyDescent="0.2">
      <c r="D5746" s="139"/>
      <c r="F5746"/>
    </row>
    <row r="5747" spans="4:6" x14ac:dyDescent="0.2">
      <c r="D5747" s="139"/>
      <c r="F5747"/>
    </row>
    <row r="5748" spans="4:6" x14ac:dyDescent="0.2">
      <c r="D5748" s="139"/>
      <c r="F5748"/>
    </row>
    <row r="5749" spans="4:6" x14ac:dyDescent="0.2">
      <c r="D5749" s="139"/>
      <c r="F5749"/>
    </row>
    <row r="5750" spans="4:6" x14ac:dyDescent="0.2">
      <c r="D5750" s="139"/>
      <c r="F5750"/>
    </row>
    <row r="5751" spans="4:6" x14ac:dyDescent="0.2">
      <c r="D5751" s="139"/>
      <c r="F5751"/>
    </row>
    <row r="5752" spans="4:6" x14ac:dyDescent="0.2">
      <c r="D5752" s="139"/>
      <c r="F5752"/>
    </row>
    <row r="5753" spans="4:6" x14ac:dyDescent="0.2">
      <c r="D5753" s="139"/>
      <c r="F5753"/>
    </row>
    <row r="5754" spans="4:6" x14ac:dyDescent="0.2">
      <c r="D5754" s="139"/>
      <c r="F5754"/>
    </row>
    <row r="5755" spans="4:6" x14ac:dyDescent="0.2">
      <c r="D5755" s="139"/>
      <c r="F5755"/>
    </row>
    <row r="5756" spans="4:6" x14ac:dyDescent="0.2">
      <c r="D5756" s="139"/>
      <c r="F5756"/>
    </row>
    <row r="5757" spans="4:6" x14ac:dyDescent="0.2">
      <c r="D5757" s="139"/>
      <c r="F5757"/>
    </row>
    <row r="5758" spans="4:6" x14ac:dyDescent="0.2">
      <c r="D5758" s="139"/>
      <c r="F5758"/>
    </row>
    <row r="5759" spans="4:6" x14ac:dyDescent="0.2">
      <c r="D5759" s="139"/>
      <c r="F5759"/>
    </row>
    <row r="5760" spans="4:6" x14ac:dyDescent="0.2">
      <c r="D5760" s="139"/>
      <c r="F5760"/>
    </row>
    <row r="5761" spans="4:6" x14ac:dyDescent="0.2">
      <c r="D5761" s="139"/>
      <c r="F5761"/>
    </row>
    <row r="5762" spans="4:6" x14ac:dyDescent="0.2">
      <c r="D5762" s="139"/>
      <c r="F5762"/>
    </row>
    <row r="5763" spans="4:6" x14ac:dyDescent="0.2">
      <c r="D5763" s="139"/>
      <c r="F5763"/>
    </row>
    <row r="5764" spans="4:6" x14ac:dyDescent="0.2">
      <c r="D5764" s="139"/>
      <c r="F5764"/>
    </row>
    <row r="5765" spans="4:6" x14ac:dyDescent="0.2">
      <c r="D5765" s="139"/>
      <c r="F5765"/>
    </row>
    <row r="5766" spans="4:6" x14ac:dyDescent="0.2">
      <c r="D5766" s="139"/>
      <c r="F5766"/>
    </row>
    <row r="5767" spans="4:6" x14ac:dyDescent="0.2">
      <c r="D5767" s="139"/>
      <c r="F5767"/>
    </row>
    <row r="5768" spans="4:6" x14ac:dyDescent="0.2">
      <c r="D5768" s="139"/>
      <c r="F5768"/>
    </row>
    <row r="5769" spans="4:6" x14ac:dyDescent="0.2">
      <c r="D5769" s="139"/>
      <c r="F5769"/>
    </row>
    <row r="5770" spans="4:6" x14ac:dyDescent="0.2">
      <c r="D5770" s="139"/>
      <c r="F5770"/>
    </row>
    <row r="5771" spans="4:6" x14ac:dyDescent="0.2">
      <c r="D5771" s="139"/>
      <c r="F5771"/>
    </row>
    <row r="5772" spans="4:6" x14ac:dyDescent="0.2">
      <c r="D5772" s="139"/>
      <c r="F5772"/>
    </row>
    <row r="5773" spans="4:6" x14ac:dyDescent="0.2">
      <c r="D5773" s="139"/>
      <c r="F5773"/>
    </row>
    <row r="5774" spans="4:6" x14ac:dyDescent="0.2">
      <c r="D5774" s="139"/>
      <c r="F5774"/>
    </row>
    <row r="5775" spans="4:6" x14ac:dyDescent="0.2">
      <c r="D5775" s="139"/>
      <c r="F5775"/>
    </row>
    <row r="5776" spans="4:6" x14ac:dyDescent="0.2">
      <c r="D5776" s="139"/>
      <c r="F5776"/>
    </row>
    <row r="5777" spans="4:6" x14ac:dyDescent="0.2">
      <c r="D5777" s="139"/>
      <c r="F5777"/>
    </row>
    <row r="5778" spans="4:6" x14ac:dyDescent="0.2">
      <c r="D5778" s="139"/>
      <c r="F5778"/>
    </row>
    <row r="5779" spans="4:6" x14ac:dyDescent="0.2">
      <c r="D5779" s="139"/>
      <c r="F5779"/>
    </row>
    <row r="5780" spans="4:6" x14ac:dyDescent="0.2">
      <c r="D5780" s="139"/>
      <c r="F5780"/>
    </row>
    <row r="5781" spans="4:6" x14ac:dyDescent="0.2">
      <c r="D5781" s="139"/>
      <c r="F5781"/>
    </row>
    <row r="5782" spans="4:6" x14ac:dyDescent="0.2">
      <c r="D5782" s="139"/>
      <c r="F5782"/>
    </row>
    <row r="5783" spans="4:6" x14ac:dyDescent="0.2">
      <c r="D5783" s="139"/>
      <c r="F5783"/>
    </row>
    <row r="5784" spans="4:6" x14ac:dyDescent="0.2">
      <c r="D5784" s="139"/>
      <c r="F5784"/>
    </row>
    <row r="5785" spans="4:6" x14ac:dyDescent="0.2">
      <c r="D5785" s="139"/>
      <c r="F5785"/>
    </row>
    <row r="5786" spans="4:6" x14ac:dyDescent="0.2">
      <c r="D5786" s="139"/>
      <c r="F5786"/>
    </row>
    <row r="5787" spans="4:6" x14ac:dyDescent="0.2">
      <c r="D5787" s="139"/>
      <c r="F5787"/>
    </row>
    <row r="5788" spans="4:6" x14ac:dyDescent="0.2">
      <c r="D5788" s="139"/>
      <c r="F5788"/>
    </row>
    <row r="5789" spans="4:6" x14ac:dyDescent="0.2">
      <c r="D5789" s="139"/>
      <c r="F5789"/>
    </row>
    <row r="5790" spans="4:6" x14ac:dyDescent="0.2">
      <c r="D5790" s="139"/>
      <c r="F5790"/>
    </row>
    <row r="5791" spans="4:6" x14ac:dyDescent="0.2">
      <c r="D5791" s="139"/>
      <c r="F5791"/>
    </row>
    <row r="5792" spans="4:6" x14ac:dyDescent="0.2">
      <c r="D5792" s="139"/>
      <c r="F5792"/>
    </row>
    <row r="5793" spans="4:6" x14ac:dyDescent="0.2">
      <c r="D5793" s="139"/>
      <c r="F5793"/>
    </row>
    <row r="5794" spans="4:6" x14ac:dyDescent="0.2">
      <c r="D5794" s="139"/>
      <c r="F5794"/>
    </row>
    <row r="5795" spans="4:6" x14ac:dyDescent="0.2">
      <c r="D5795" s="139"/>
      <c r="F5795"/>
    </row>
    <row r="5796" spans="4:6" x14ac:dyDescent="0.2">
      <c r="D5796" s="139"/>
      <c r="F5796"/>
    </row>
    <row r="5797" spans="4:6" x14ac:dyDescent="0.2">
      <c r="D5797" s="139"/>
      <c r="F5797"/>
    </row>
    <row r="5798" spans="4:6" x14ac:dyDescent="0.2">
      <c r="D5798" s="139"/>
      <c r="F5798"/>
    </row>
    <row r="5799" spans="4:6" x14ac:dyDescent="0.2">
      <c r="D5799" s="139"/>
      <c r="F5799"/>
    </row>
    <row r="5800" spans="4:6" x14ac:dyDescent="0.2">
      <c r="D5800" s="139"/>
      <c r="F5800"/>
    </row>
    <row r="5801" spans="4:6" x14ac:dyDescent="0.2">
      <c r="D5801" s="139"/>
      <c r="F5801"/>
    </row>
    <row r="5802" spans="4:6" x14ac:dyDescent="0.2">
      <c r="D5802" s="139"/>
      <c r="F5802"/>
    </row>
    <row r="5803" spans="4:6" x14ac:dyDescent="0.2">
      <c r="D5803" s="139"/>
      <c r="F5803"/>
    </row>
    <row r="5804" spans="4:6" x14ac:dyDescent="0.2">
      <c r="D5804" s="139"/>
      <c r="F5804"/>
    </row>
    <row r="5805" spans="4:6" x14ac:dyDescent="0.2">
      <c r="D5805" s="139"/>
      <c r="F5805"/>
    </row>
    <row r="5806" spans="4:6" x14ac:dyDescent="0.2">
      <c r="D5806" s="139"/>
      <c r="F5806"/>
    </row>
    <row r="5807" spans="4:6" x14ac:dyDescent="0.2">
      <c r="D5807" s="139"/>
      <c r="F5807"/>
    </row>
    <row r="5808" spans="4:6" x14ac:dyDescent="0.2">
      <c r="D5808" s="139"/>
      <c r="F5808"/>
    </row>
    <row r="5809" spans="4:6" x14ac:dyDescent="0.2">
      <c r="D5809" s="139"/>
      <c r="F5809"/>
    </row>
    <row r="5810" spans="4:6" x14ac:dyDescent="0.2">
      <c r="D5810" s="139"/>
      <c r="F5810"/>
    </row>
    <row r="5811" spans="4:6" x14ac:dyDescent="0.2">
      <c r="D5811" s="139"/>
      <c r="F5811"/>
    </row>
    <row r="5812" spans="4:6" x14ac:dyDescent="0.2">
      <c r="D5812" s="139"/>
      <c r="F5812"/>
    </row>
    <row r="5813" spans="4:6" x14ac:dyDescent="0.2">
      <c r="D5813" s="139"/>
      <c r="F5813"/>
    </row>
    <row r="5814" spans="4:6" x14ac:dyDescent="0.2">
      <c r="D5814" s="139"/>
      <c r="F5814"/>
    </row>
    <row r="5815" spans="4:6" x14ac:dyDescent="0.2">
      <c r="D5815" s="139"/>
      <c r="F5815"/>
    </row>
    <row r="5816" spans="4:6" x14ac:dyDescent="0.2">
      <c r="D5816" s="139"/>
      <c r="F5816"/>
    </row>
    <row r="5817" spans="4:6" x14ac:dyDescent="0.2">
      <c r="D5817" s="139"/>
      <c r="F5817"/>
    </row>
    <row r="5818" spans="4:6" x14ac:dyDescent="0.2">
      <c r="D5818" s="139"/>
      <c r="F5818"/>
    </row>
    <row r="5819" spans="4:6" x14ac:dyDescent="0.2">
      <c r="D5819" s="139"/>
      <c r="F5819"/>
    </row>
    <row r="5820" spans="4:6" x14ac:dyDescent="0.2">
      <c r="D5820" s="139"/>
      <c r="F5820"/>
    </row>
    <row r="5821" spans="4:6" x14ac:dyDescent="0.2">
      <c r="D5821" s="139"/>
      <c r="F5821"/>
    </row>
    <row r="5822" spans="4:6" x14ac:dyDescent="0.2">
      <c r="D5822" s="139"/>
      <c r="F5822"/>
    </row>
    <row r="5823" spans="4:6" x14ac:dyDescent="0.2">
      <c r="D5823" s="139"/>
      <c r="F5823"/>
    </row>
    <row r="5824" spans="4:6" x14ac:dyDescent="0.2">
      <c r="D5824" s="139"/>
      <c r="F5824"/>
    </row>
    <row r="5825" spans="4:6" x14ac:dyDescent="0.2">
      <c r="D5825" s="139"/>
      <c r="F5825"/>
    </row>
    <row r="5826" spans="4:6" x14ac:dyDescent="0.2">
      <c r="D5826" s="139"/>
      <c r="F5826"/>
    </row>
    <row r="5827" spans="4:6" x14ac:dyDescent="0.2">
      <c r="D5827" s="139"/>
      <c r="F5827"/>
    </row>
    <row r="5828" spans="4:6" x14ac:dyDescent="0.2">
      <c r="D5828" s="139"/>
      <c r="F5828"/>
    </row>
    <row r="5829" spans="4:6" x14ac:dyDescent="0.2">
      <c r="D5829" s="139"/>
      <c r="F5829"/>
    </row>
    <row r="5830" spans="4:6" x14ac:dyDescent="0.2">
      <c r="D5830" s="139"/>
      <c r="F5830"/>
    </row>
    <row r="5831" spans="4:6" x14ac:dyDescent="0.2">
      <c r="D5831" s="139"/>
      <c r="F5831"/>
    </row>
    <row r="5832" spans="4:6" x14ac:dyDescent="0.2">
      <c r="D5832" s="139"/>
      <c r="F5832"/>
    </row>
    <row r="5833" spans="4:6" x14ac:dyDescent="0.2">
      <c r="D5833" s="139"/>
      <c r="F5833"/>
    </row>
    <row r="5834" spans="4:6" x14ac:dyDescent="0.2">
      <c r="D5834" s="139"/>
      <c r="F5834"/>
    </row>
    <row r="5835" spans="4:6" x14ac:dyDescent="0.2">
      <c r="D5835" s="139"/>
      <c r="F5835"/>
    </row>
    <row r="5836" spans="4:6" x14ac:dyDescent="0.2">
      <c r="D5836" s="139"/>
      <c r="F5836"/>
    </row>
    <row r="5837" spans="4:6" x14ac:dyDescent="0.2">
      <c r="D5837" s="139"/>
      <c r="F5837"/>
    </row>
    <row r="5838" spans="4:6" x14ac:dyDescent="0.2">
      <c r="D5838" s="139"/>
      <c r="F5838"/>
    </row>
    <row r="5839" spans="4:6" x14ac:dyDescent="0.2">
      <c r="D5839" s="139"/>
      <c r="F5839"/>
    </row>
    <row r="5840" spans="4:6" x14ac:dyDescent="0.2">
      <c r="D5840" s="139"/>
      <c r="F5840"/>
    </row>
    <row r="5841" spans="4:6" x14ac:dyDescent="0.2">
      <c r="D5841" s="139"/>
      <c r="F5841"/>
    </row>
    <row r="5842" spans="4:6" x14ac:dyDescent="0.2">
      <c r="D5842" s="139"/>
      <c r="F5842"/>
    </row>
    <row r="5843" spans="4:6" x14ac:dyDescent="0.2">
      <c r="D5843" s="139"/>
      <c r="F5843"/>
    </row>
    <row r="5844" spans="4:6" x14ac:dyDescent="0.2">
      <c r="D5844" s="139"/>
      <c r="F5844"/>
    </row>
    <row r="5845" spans="4:6" x14ac:dyDescent="0.2">
      <c r="D5845" s="139"/>
      <c r="F5845"/>
    </row>
    <row r="5846" spans="4:6" x14ac:dyDescent="0.2">
      <c r="D5846" s="139"/>
      <c r="F5846"/>
    </row>
    <row r="5847" spans="4:6" x14ac:dyDescent="0.2">
      <c r="D5847" s="139"/>
      <c r="F5847"/>
    </row>
    <row r="5848" spans="4:6" x14ac:dyDescent="0.2">
      <c r="D5848" s="139"/>
      <c r="F5848"/>
    </row>
    <row r="5849" spans="4:6" x14ac:dyDescent="0.2">
      <c r="D5849" s="139"/>
      <c r="F5849"/>
    </row>
    <row r="5850" spans="4:6" x14ac:dyDescent="0.2">
      <c r="D5850" s="139"/>
      <c r="F5850"/>
    </row>
    <row r="5851" spans="4:6" x14ac:dyDescent="0.2">
      <c r="D5851" s="139"/>
      <c r="F5851"/>
    </row>
    <row r="5852" spans="4:6" x14ac:dyDescent="0.2">
      <c r="D5852" s="139"/>
      <c r="F5852"/>
    </row>
    <row r="5853" spans="4:6" x14ac:dyDescent="0.2">
      <c r="D5853" s="139"/>
      <c r="F5853"/>
    </row>
    <row r="5854" spans="4:6" x14ac:dyDescent="0.2">
      <c r="D5854" s="139"/>
      <c r="F5854"/>
    </row>
    <row r="5855" spans="4:6" x14ac:dyDescent="0.2">
      <c r="D5855" s="139"/>
      <c r="F5855"/>
    </row>
    <row r="5856" spans="4:6" x14ac:dyDescent="0.2">
      <c r="D5856" s="139"/>
      <c r="F5856"/>
    </row>
    <row r="5857" spans="4:6" x14ac:dyDescent="0.2">
      <c r="D5857" s="139"/>
      <c r="F5857"/>
    </row>
    <row r="5858" spans="4:6" x14ac:dyDescent="0.2">
      <c r="D5858" s="139"/>
      <c r="F5858"/>
    </row>
    <row r="5859" spans="4:6" x14ac:dyDescent="0.2">
      <c r="D5859" s="139"/>
      <c r="F5859"/>
    </row>
    <row r="5860" spans="4:6" x14ac:dyDescent="0.2">
      <c r="D5860" s="139"/>
      <c r="F5860"/>
    </row>
    <row r="5861" spans="4:6" x14ac:dyDescent="0.2">
      <c r="D5861" s="139"/>
      <c r="F5861"/>
    </row>
    <row r="5862" spans="4:6" x14ac:dyDescent="0.2">
      <c r="D5862" s="139"/>
      <c r="F5862"/>
    </row>
    <row r="5863" spans="4:6" x14ac:dyDescent="0.2">
      <c r="D5863" s="139"/>
      <c r="F5863"/>
    </row>
    <row r="5864" spans="4:6" x14ac:dyDescent="0.2">
      <c r="D5864" s="139"/>
      <c r="F5864"/>
    </row>
    <row r="5865" spans="4:6" x14ac:dyDescent="0.2">
      <c r="D5865" s="139"/>
      <c r="F5865"/>
    </row>
    <row r="5866" spans="4:6" x14ac:dyDescent="0.2">
      <c r="D5866" s="139"/>
      <c r="F5866"/>
    </row>
    <row r="5867" spans="4:6" x14ac:dyDescent="0.2">
      <c r="D5867" s="139"/>
      <c r="F5867"/>
    </row>
    <row r="5868" spans="4:6" x14ac:dyDescent="0.2">
      <c r="D5868" s="139"/>
      <c r="F5868"/>
    </row>
    <row r="5869" spans="4:6" x14ac:dyDescent="0.2">
      <c r="D5869" s="139"/>
      <c r="F5869"/>
    </row>
    <row r="5870" spans="4:6" x14ac:dyDescent="0.2">
      <c r="D5870" s="139"/>
      <c r="F5870"/>
    </row>
    <row r="5871" spans="4:6" x14ac:dyDescent="0.2">
      <c r="D5871" s="139"/>
      <c r="F5871"/>
    </row>
    <row r="5872" spans="4:6" x14ac:dyDescent="0.2">
      <c r="D5872" s="139"/>
      <c r="F5872"/>
    </row>
    <row r="5873" spans="4:6" x14ac:dyDescent="0.2">
      <c r="D5873" s="139"/>
      <c r="F5873"/>
    </row>
    <row r="5874" spans="4:6" x14ac:dyDescent="0.2">
      <c r="D5874" s="139"/>
      <c r="F5874"/>
    </row>
    <row r="5875" spans="4:6" x14ac:dyDescent="0.2">
      <c r="D5875" s="139"/>
      <c r="F5875"/>
    </row>
    <row r="5876" spans="4:6" x14ac:dyDescent="0.2">
      <c r="D5876" s="139"/>
      <c r="F5876"/>
    </row>
    <row r="5877" spans="4:6" x14ac:dyDescent="0.2">
      <c r="D5877" s="139"/>
      <c r="F5877"/>
    </row>
    <row r="5878" spans="4:6" x14ac:dyDescent="0.2">
      <c r="D5878" s="139"/>
      <c r="F5878"/>
    </row>
    <row r="5879" spans="4:6" x14ac:dyDescent="0.2">
      <c r="D5879" s="139"/>
      <c r="F5879"/>
    </row>
    <row r="5880" spans="4:6" x14ac:dyDescent="0.2">
      <c r="D5880" s="139"/>
      <c r="F5880"/>
    </row>
    <row r="5881" spans="4:6" x14ac:dyDescent="0.2">
      <c r="D5881" s="139"/>
      <c r="F5881"/>
    </row>
    <row r="5882" spans="4:6" x14ac:dyDescent="0.2">
      <c r="D5882" s="139"/>
      <c r="F5882"/>
    </row>
    <row r="5883" spans="4:6" x14ac:dyDescent="0.2">
      <c r="D5883" s="139"/>
      <c r="F5883"/>
    </row>
    <row r="5884" spans="4:6" x14ac:dyDescent="0.2">
      <c r="D5884" s="139"/>
      <c r="F5884"/>
    </row>
    <row r="5885" spans="4:6" x14ac:dyDescent="0.2">
      <c r="D5885" s="139"/>
      <c r="F5885"/>
    </row>
    <row r="5886" spans="4:6" x14ac:dyDescent="0.2">
      <c r="D5886" s="139"/>
      <c r="F5886"/>
    </row>
    <row r="5887" spans="4:6" x14ac:dyDescent="0.2">
      <c r="D5887" s="139"/>
      <c r="F5887"/>
    </row>
    <row r="5888" spans="4:6" x14ac:dyDescent="0.2">
      <c r="D5888" s="139"/>
      <c r="F5888"/>
    </row>
    <row r="5889" spans="4:6" x14ac:dyDescent="0.2">
      <c r="D5889" s="139"/>
      <c r="F5889"/>
    </row>
    <row r="5890" spans="4:6" x14ac:dyDescent="0.2">
      <c r="D5890" s="139"/>
      <c r="F5890"/>
    </row>
    <row r="5891" spans="4:6" x14ac:dyDescent="0.2">
      <c r="D5891" s="139"/>
      <c r="F5891"/>
    </row>
    <row r="5892" spans="4:6" x14ac:dyDescent="0.2">
      <c r="D5892" s="139"/>
      <c r="F5892"/>
    </row>
    <row r="5893" spans="4:6" x14ac:dyDescent="0.2">
      <c r="D5893" s="139"/>
      <c r="F5893"/>
    </row>
    <row r="5894" spans="4:6" x14ac:dyDescent="0.2">
      <c r="D5894" s="139"/>
      <c r="F5894"/>
    </row>
    <row r="5895" spans="4:6" x14ac:dyDescent="0.2">
      <c r="D5895" s="139"/>
      <c r="F5895"/>
    </row>
    <row r="5896" spans="4:6" x14ac:dyDescent="0.2">
      <c r="D5896" s="139"/>
      <c r="F5896"/>
    </row>
    <row r="5897" spans="4:6" x14ac:dyDescent="0.2">
      <c r="D5897" s="139"/>
      <c r="F5897"/>
    </row>
    <row r="5898" spans="4:6" x14ac:dyDescent="0.2">
      <c r="D5898" s="139"/>
      <c r="F5898"/>
    </row>
    <row r="5899" spans="4:6" x14ac:dyDescent="0.2">
      <c r="D5899" s="139"/>
      <c r="F5899"/>
    </row>
    <row r="5900" spans="4:6" x14ac:dyDescent="0.2">
      <c r="D5900" s="139"/>
      <c r="F5900"/>
    </row>
    <row r="5901" spans="4:6" x14ac:dyDescent="0.2">
      <c r="D5901" s="139"/>
      <c r="F5901"/>
    </row>
    <row r="5902" spans="4:6" x14ac:dyDescent="0.2">
      <c r="D5902" s="139"/>
      <c r="F5902"/>
    </row>
    <row r="5903" spans="4:6" x14ac:dyDescent="0.2">
      <c r="D5903" s="139"/>
      <c r="F5903"/>
    </row>
    <row r="5904" spans="4:6" x14ac:dyDescent="0.2">
      <c r="D5904" s="139"/>
      <c r="F5904"/>
    </row>
    <row r="5905" spans="4:6" x14ac:dyDescent="0.2">
      <c r="D5905" s="139"/>
      <c r="F5905"/>
    </row>
    <row r="5906" spans="4:6" x14ac:dyDescent="0.2">
      <c r="D5906" s="139"/>
      <c r="F5906"/>
    </row>
    <row r="5907" spans="4:6" x14ac:dyDescent="0.2">
      <c r="D5907" s="139"/>
      <c r="F5907"/>
    </row>
    <row r="5908" spans="4:6" x14ac:dyDescent="0.2">
      <c r="D5908" s="139"/>
      <c r="F5908"/>
    </row>
    <row r="5909" spans="4:6" x14ac:dyDescent="0.2">
      <c r="D5909" s="139"/>
      <c r="F5909"/>
    </row>
    <row r="5910" spans="4:6" x14ac:dyDescent="0.2">
      <c r="D5910" s="139"/>
      <c r="F5910"/>
    </row>
    <row r="5911" spans="4:6" x14ac:dyDescent="0.2">
      <c r="D5911" s="139"/>
      <c r="F5911"/>
    </row>
    <row r="5912" spans="4:6" x14ac:dyDescent="0.2">
      <c r="D5912" s="139"/>
      <c r="F5912"/>
    </row>
    <row r="5913" spans="4:6" x14ac:dyDescent="0.2">
      <c r="D5913" s="139"/>
      <c r="F5913"/>
    </row>
    <row r="5914" spans="4:6" x14ac:dyDescent="0.2">
      <c r="D5914" s="139"/>
      <c r="F5914"/>
    </row>
    <row r="5915" spans="4:6" x14ac:dyDescent="0.2">
      <c r="D5915" s="139"/>
      <c r="F5915"/>
    </row>
    <row r="5916" spans="4:6" x14ac:dyDescent="0.2">
      <c r="D5916" s="139"/>
      <c r="F5916"/>
    </row>
    <row r="5917" spans="4:6" x14ac:dyDescent="0.2">
      <c r="D5917" s="139"/>
      <c r="F5917"/>
    </row>
    <row r="5918" spans="4:6" x14ac:dyDescent="0.2">
      <c r="D5918" s="139"/>
      <c r="F5918"/>
    </row>
    <row r="5919" spans="4:6" x14ac:dyDescent="0.2">
      <c r="D5919" s="139"/>
      <c r="F5919"/>
    </row>
    <row r="5920" spans="4:6" x14ac:dyDescent="0.2">
      <c r="D5920" s="139"/>
      <c r="F5920"/>
    </row>
    <row r="5921" spans="4:6" x14ac:dyDescent="0.2">
      <c r="D5921" s="139"/>
      <c r="F5921"/>
    </row>
    <row r="5922" spans="4:6" x14ac:dyDescent="0.2">
      <c r="D5922" s="139"/>
      <c r="F5922"/>
    </row>
    <row r="5923" spans="4:6" x14ac:dyDescent="0.2">
      <c r="D5923" s="139"/>
      <c r="F5923"/>
    </row>
    <row r="5924" spans="4:6" x14ac:dyDescent="0.2">
      <c r="D5924" s="139"/>
      <c r="F5924"/>
    </row>
    <row r="5925" spans="4:6" x14ac:dyDescent="0.2">
      <c r="D5925" s="139"/>
      <c r="F5925"/>
    </row>
    <row r="5926" spans="4:6" x14ac:dyDescent="0.2">
      <c r="D5926" s="139"/>
      <c r="F5926"/>
    </row>
    <row r="5927" spans="4:6" x14ac:dyDescent="0.2">
      <c r="D5927" s="139"/>
      <c r="F5927"/>
    </row>
    <row r="5928" spans="4:6" x14ac:dyDescent="0.2">
      <c r="D5928" s="139"/>
      <c r="F5928"/>
    </row>
    <row r="5929" spans="4:6" x14ac:dyDescent="0.2">
      <c r="D5929" s="139"/>
      <c r="F5929"/>
    </row>
    <row r="5930" spans="4:6" x14ac:dyDescent="0.2">
      <c r="D5930" s="139"/>
      <c r="F5930"/>
    </row>
    <row r="5931" spans="4:6" x14ac:dyDescent="0.2">
      <c r="D5931" s="139"/>
      <c r="F5931"/>
    </row>
    <row r="5932" spans="4:6" x14ac:dyDescent="0.2">
      <c r="D5932" s="139"/>
      <c r="F5932"/>
    </row>
    <row r="5933" spans="4:6" x14ac:dyDescent="0.2">
      <c r="D5933" s="139"/>
      <c r="F5933"/>
    </row>
    <row r="5934" spans="4:6" x14ac:dyDescent="0.2">
      <c r="D5934" s="139"/>
      <c r="F5934"/>
    </row>
    <row r="5935" spans="4:6" x14ac:dyDescent="0.2">
      <c r="D5935" s="139"/>
      <c r="F5935"/>
    </row>
    <row r="5936" spans="4:6" x14ac:dyDescent="0.2">
      <c r="D5936" s="139"/>
      <c r="F5936"/>
    </row>
    <row r="5937" spans="4:6" x14ac:dyDescent="0.2">
      <c r="D5937" s="139"/>
      <c r="F5937"/>
    </row>
    <row r="5938" spans="4:6" x14ac:dyDescent="0.2">
      <c r="D5938" s="139"/>
      <c r="F5938"/>
    </row>
    <row r="5939" spans="4:6" x14ac:dyDescent="0.2">
      <c r="D5939" s="139"/>
      <c r="F5939"/>
    </row>
    <row r="5940" spans="4:6" x14ac:dyDescent="0.2">
      <c r="D5940" s="139"/>
      <c r="F5940"/>
    </row>
    <row r="5941" spans="4:6" x14ac:dyDescent="0.2">
      <c r="D5941" s="139"/>
      <c r="F5941"/>
    </row>
    <row r="5942" spans="4:6" x14ac:dyDescent="0.2">
      <c r="D5942" s="139"/>
      <c r="F5942"/>
    </row>
    <row r="5943" spans="4:6" x14ac:dyDescent="0.2">
      <c r="D5943" s="139"/>
      <c r="F5943"/>
    </row>
    <row r="5944" spans="4:6" x14ac:dyDescent="0.2">
      <c r="D5944" s="139"/>
      <c r="F5944"/>
    </row>
    <row r="5945" spans="4:6" x14ac:dyDescent="0.2">
      <c r="D5945" s="139"/>
      <c r="F5945"/>
    </row>
    <row r="5946" spans="4:6" x14ac:dyDescent="0.2">
      <c r="D5946" s="139"/>
      <c r="F5946"/>
    </row>
    <row r="5947" spans="4:6" x14ac:dyDescent="0.2">
      <c r="D5947" s="139"/>
      <c r="F5947"/>
    </row>
    <row r="5948" spans="4:6" x14ac:dyDescent="0.2">
      <c r="D5948" s="139"/>
      <c r="F5948"/>
    </row>
    <row r="5949" spans="4:6" x14ac:dyDescent="0.2">
      <c r="D5949" s="139"/>
      <c r="F5949"/>
    </row>
    <row r="5950" spans="4:6" x14ac:dyDescent="0.2">
      <c r="D5950" s="139"/>
      <c r="F5950"/>
    </row>
    <row r="5951" spans="4:6" x14ac:dyDescent="0.2">
      <c r="D5951" s="139"/>
      <c r="F5951"/>
    </row>
    <row r="5952" spans="4:6" x14ac:dyDescent="0.2">
      <c r="D5952" s="139"/>
      <c r="F5952"/>
    </row>
    <row r="5953" spans="4:6" x14ac:dyDescent="0.2">
      <c r="D5953" s="139"/>
      <c r="F5953"/>
    </row>
    <row r="5954" spans="4:6" x14ac:dyDescent="0.2">
      <c r="D5954" s="139"/>
      <c r="F5954"/>
    </row>
    <row r="5955" spans="4:6" x14ac:dyDescent="0.2">
      <c r="D5955" s="139"/>
      <c r="F5955"/>
    </row>
    <row r="5956" spans="4:6" x14ac:dyDescent="0.2">
      <c r="D5956" s="139"/>
      <c r="F5956"/>
    </row>
    <row r="5957" spans="4:6" x14ac:dyDescent="0.2">
      <c r="D5957" s="139"/>
      <c r="F5957"/>
    </row>
    <row r="5958" spans="4:6" x14ac:dyDescent="0.2">
      <c r="D5958" s="139"/>
      <c r="F5958"/>
    </row>
    <row r="5959" spans="4:6" x14ac:dyDescent="0.2">
      <c r="D5959" s="139"/>
      <c r="F5959"/>
    </row>
    <row r="5960" spans="4:6" x14ac:dyDescent="0.2">
      <c r="D5960" s="139"/>
      <c r="F5960"/>
    </row>
    <row r="5961" spans="4:6" x14ac:dyDescent="0.2">
      <c r="D5961" s="139"/>
      <c r="F5961"/>
    </row>
    <row r="5962" spans="4:6" x14ac:dyDescent="0.2">
      <c r="D5962" s="139"/>
      <c r="F5962"/>
    </row>
    <row r="5963" spans="4:6" x14ac:dyDescent="0.2">
      <c r="D5963" s="139"/>
      <c r="F5963"/>
    </row>
    <row r="5964" spans="4:6" x14ac:dyDescent="0.2">
      <c r="D5964" s="139"/>
      <c r="F5964"/>
    </row>
    <row r="5965" spans="4:6" x14ac:dyDescent="0.2">
      <c r="D5965" s="139"/>
      <c r="F5965"/>
    </row>
    <row r="5966" spans="4:6" x14ac:dyDescent="0.2">
      <c r="D5966" s="139"/>
      <c r="F5966"/>
    </row>
    <row r="5967" spans="4:6" x14ac:dyDescent="0.2">
      <c r="D5967" s="139"/>
      <c r="F5967"/>
    </row>
    <row r="5968" spans="4:6" x14ac:dyDescent="0.2">
      <c r="D5968" s="139"/>
      <c r="F5968"/>
    </row>
    <row r="5969" spans="4:6" x14ac:dyDescent="0.2">
      <c r="D5969" s="139"/>
      <c r="F5969"/>
    </row>
    <row r="5970" spans="4:6" x14ac:dyDescent="0.2">
      <c r="D5970" s="139"/>
      <c r="F5970"/>
    </row>
    <row r="5971" spans="4:6" x14ac:dyDescent="0.2">
      <c r="D5971" s="139"/>
      <c r="F5971"/>
    </row>
    <row r="5972" spans="4:6" x14ac:dyDescent="0.2">
      <c r="D5972" s="139"/>
      <c r="F5972"/>
    </row>
    <row r="5973" spans="4:6" x14ac:dyDescent="0.2">
      <c r="D5973" s="139"/>
      <c r="F5973"/>
    </row>
    <row r="5974" spans="4:6" x14ac:dyDescent="0.2">
      <c r="D5974" s="139"/>
      <c r="F5974"/>
    </row>
    <row r="5975" spans="4:6" x14ac:dyDescent="0.2">
      <c r="D5975" s="139"/>
      <c r="F5975"/>
    </row>
    <row r="5976" spans="4:6" x14ac:dyDescent="0.2">
      <c r="D5976" s="139"/>
      <c r="F5976"/>
    </row>
    <row r="5977" spans="4:6" x14ac:dyDescent="0.2">
      <c r="D5977" s="139"/>
      <c r="F5977"/>
    </row>
    <row r="5978" spans="4:6" x14ac:dyDescent="0.2">
      <c r="D5978" s="139"/>
      <c r="F5978"/>
    </row>
    <row r="5979" spans="4:6" x14ac:dyDescent="0.2">
      <c r="D5979" s="139"/>
      <c r="F5979"/>
    </row>
    <row r="5980" spans="4:6" x14ac:dyDescent="0.2">
      <c r="D5980" s="139"/>
      <c r="F5980"/>
    </row>
    <row r="5981" spans="4:6" x14ac:dyDescent="0.2">
      <c r="D5981" s="139"/>
      <c r="F5981"/>
    </row>
    <row r="5982" spans="4:6" x14ac:dyDescent="0.2">
      <c r="D5982" s="139"/>
      <c r="F5982"/>
    </row>
    <row r="5983" spans="4:6" x14ac:dyDescent="0.2">
      <c r="D5983" s="139"/>
      <c r="F5983"/>
    </row>
    <row r="5984" spans="4:6" x14ac:dyDescent="0.2">
      <c r="D5984" s="139"/>
      <c r="F5984"/>
    </row>
    <row r="5985" spans="4:6" x14ac:dyDescent="0.2">
      <c r="D5985" s="139"/>
      <c r="F5985"/>
    </row>
    <row r="5986" spans="4:6" x14ac:dyDescent="0.2">
      <c r="D5986" s="139"/>
      <c r="F5986"/>
    </row>
    <row r="5987" spans="4:6" x14ac:dyDescent="0.2">
      <c r="D5987" s="139"/>
      <c r="F5987"/>
    </row>
    <row r="5988" spans="4:6" x14ac:dyDescent="0.2">
      <c r="D5988" s="139"/>
      <c r="F5988"/>
    </row>
    <row r="5989" spans="4:6" x14ac:dyDescent="0.2">
      <c r="D5989" s="139"/>
      <c r="F5989"/>
    </row>
    <row r="5990" spans="4:6" x14ac:dyDescent="0.2">
      <c r="D5990" s="139"/>
      <c r="F5990"/>
    </row>
    <row r="5991" spans="4:6" x14ac:dyDescent="0.2">
      <c r="D5991" s="139"/>
      <c r="F5991"/>
    </row>
    <row r="5992" spans="4:6" x14ac:dyDescent="0.2">
      <c r="D5992" s="139"/>
      <c r="F5992"/>
    </row>
    <row r="5993" spans="4:6" x14ac:dyDescent="0.2">
      <c r="D5993" s="139"/>
      <c r="F5993"/>
    </row>
    <row r="5994" spans="4:6" x14ac:dyDescent="0.2">
      <c r="D5994" s="139"/>
      <c r="F5994"/>
    </row>
    <row r="5995" spans="4:6" x14ac:dyDescent="0.2">
      <c r="D5995" s="139"/>
      <c r="F5995"/>
    </row>
    <row r="5996" spans="4:6" x14ac:dyDescent="0.2">
      <c r="D5996" s="139"/>
      <c r="F5996"/>
    </row>
    <row r="5997" spans="4:6" x14ac:dyDescent="0.2">
      <c r="D5997" s="139"/>
      <c r="F5997"/>
    </row>
    <row r="5998" spans="4:6" x14ac:dyDescent="0.2">
      <c r="D5998" s="139"/>
      <c r="F5998"/>
    </row>
    <row r="5999" spans="4:6" x14ac:dyDescent="0.2">
      <c r="D5999" s="139"/>
      <c r="F5999"/>
    </row>
    <row r="6000" spans="4:6" x14ac:dyDescent="0.2">
      <c r="D6000" s="139"/>
      <c r="F6000"/>
    </row>
    <row r="6001" spans="4:6" x14ac:dyDescent="0.2">
      <c r="D6001" s="139"/>
      <c r="F6001"/>
    </row>
    <row r="6002" spans="4:6" x14ac:dyDescent="0.2">
      <c r="D6002" s="139"/>
      <c r="F6002"/>
    </row>
    <row r="6003" spans="4:6" x14ac:dyDescent="0.2">
      <c r="D6003" s="139"/>
      <c r="F6003"/>
    </row>
    <row r="6004" spans="4:6" x14ac:dyDescent="0.2">
      <c r="D6004" s="139"/>
      <c r="F6004"/>
    </row>
    <row r="6005" spans="4:6" x14ac:dyDescent="0.2">
      <c r="D6005" s="139"/>
      <c r="F6005"/>
    </row>
    <row r="6006" spans="4:6" x14ac:dyDescent="0.2">
      <c r="D6006" s="139"/>
      <c r="F6006"/>
    </row>
    <row r="6007" spans="4:6" x14ac:dyDescent="0.2">
      <c r="D6007" s="139"/>
      <c r="F6007"/>
    </row>
    <row r="6008" spans="4:6" x14ac:dyDescent="0.2">
      <c r="D6008" s="139"/>
      <c r="F6008"/>
    </row>
    <row r="6009" spans="4:6" x14ac:dyDescent="0.2">
      <c r="D6009" s="139"/>
      <c r="F6009"/>
    </row>
    <row r="6010" spans="4:6" x14ac:dyDescent="0.2">
      <c r="D6010" s="139"/>
      <c r="F6010"/>
    </row>
    <row r="6011" spans="4:6" x14ac:dyDescent="0.2">
      <c r="D6011" s="139"/>
      <c r="F6011"/>
    </row>
    <row r="6012" spans="4:6" x14ac:dyDescent="0.2">
      <c r="D6012" s="139"/>
      <c r="F6012"/>
    </row>
    <row r="6013" spans="4:6" x14ac:dyDescent="0.2">
      <c r="D6013" s="139"/>
      <c r="F6013"/>
    </row>
    <row r="6014" spans="4:6" x14ac:dyDescent="0.2">
      <c r="D6014" s="139"/>
      <c r="F6014"/>
    </row>
    <row r="6015" spans="4:6" x14ac:dyDescent="0.2">
      <c r="D6015" s="139"/>
      <c r="F6015"/>
    </row>
    <row r="6016" spans="4:6" x14ac:dyDescent="0.2">
      <c r="D6016" s="139"/>
      <c r="F6016"/>
    </row>
    <row r="6017" spans="4:6" x14ac:dyDescent="0.2">
      <c r="D6017" s="139"/>
      <c r="F6017"/>
    </row>
    <row r="6018" spans="4:6" x14ac:dyDescent="0.2">
      <c r="D6018" s="139"/>
      <c r="F6018"/>
    </row>
    <row r="6019" spans="4:6" x14ac:dyDescent="0.2">
      <c r="D6019" s="139"/>
      <c r="F6019"/>
    </row>
    <row r="6020" spans="4:6" x14ac:dyDescent="0.2">
      <c r="D6020" s="139"/>
      <c r="F6020"/>
    </row>
    <row r="6021" spans="4:6" x14ac:dyDescent="0.2">
      <c r="D6021" s="139"/>
      <c r="F6021"/>
    </row>
    <row r="6022" spans="4:6" x14ac:dyDescent="0.2">
      <c r="D6022" s="139"/>
      <c r="F6022"/>
    </row>
    <row r="6023" spans="4:6" x14ac:dyDescent="0.2">
      <c r="D6023" s="139"/>
      <c r="F6023"/>
    </row>
    <row r="6024" spans="4:6" x14ac:dyDescent="0.2">
      <c r="D6024" s="139"/>
      <c r="F6024"/>
    </row>
    <row r="6025" spans="4:6" x14ac:dyDescent="0.2">
      <c r="D6025" s="139"/>
      <c r="F6025"/>
    </row>
    <row r="6026" spans="4:6" x14ac:dyDescent="0.2">
      <c r="D6026" s="139"/>
      <c r="F6026"/>
    </row>
    <row r="6027" spans="4:6" x14ac:dyDescent="0.2">
      <c r="D6027" s="139"/>
      <c r="F6027"/>
    </row>
    <row r="6028" spans="4:6" x14ac:dyDescent="0.2">
      <c r="D6028" s="139"/>
      <c r="F6028"/>
    </row>
    <row r="6029" spans="4:6" x14ac:dyDescent="0.2">
      <c r="D6029" s="139"/>
      <c r="F6029"/>
    </row>
    <row r="6030" spans="4:6" x14ac:dyDescent="0.2">
      <c r="D6030" s="139"/>
      <c r="F6030"/>
    </row>
    <row r="6031" spans="4:6" x14ac:dyDescent="0.2">
      <c r="D6031" s="139"/>
      <c r="F6031"/>
    </row>
    <row r="6032" spans="4:6" x14ac:dyDescent="0.2">
      <c r="D6032" s="139"/>
      <c r="F6032"/>
    </row>
    <row r="6033" spans="4:6" x14ac:dyDescent="0.2">
      <c r="D6033" s="139"/>
      <c r="F6033"/>
    </row>
    <row r="6034" spans="4:6" x14ac:dyDescent="0.2">
      <c r="D6034" s="139"/>
      <c r="F6034"/>
    </row>
    <row r="6035" spans="4:6" x14ac:dyDescent="0.2">
      <c r="D6035" s="139"/>
      <c r="F6035"/>
    </row>
    <row r="6036" spans="4:6" x14ac:dyDescent="0.2">
      <c r="D6036" s="139"/>
      <c r="F6036"/>
    </row>
    <row r="6037" spans="4:6" x14ac:dyDescent="0.2">
      <c r="D6037" s="139"/>
      <c r="F6037"/>
    </row>
    <row r="6038" spans="4:6" x14ac:dyDescent="0.2">
      <c r="D6038" s="139"/>
      <c r="F6038"/>
    </row>
    <row r="6039" spans="4:6" x14ac:dyDescent="0.2">
      <c r="D6039" s="139"/>
      <c r="F6039"/>
    </row>
    <row r="6040" spans="4:6" x14ac:dyDescent="0.2">
      <c r="D6040" s="139"/>
      <c r="F6040"/>
    </row>
    <row r="6041" spans="4:6" x14ac:dyDescent="0.2">
      <c r="D6041" s="139"/>
      <c r="F6041"/>
    </row>
    <row r="6042" spans="4:6" x14ac:dyDescent="0.2">
      <c r="D6042" s="139"/>
      <c r="F6042"/>
    </row>
    <row r="6043" spans="4:6" x14ac:dyDescent="0.2">
      <c r="D6043" s="139"/>
      <c r="F6043"/>
    </row>
    <row r="6044" spans="4:6" x14ac:dyDescent="0.2">
      <c r="D6044" s="139"/>
      <c r="F6044"/>
    </row>
    <row r="6045" spans="4:6" x14ac:dyDescent="0.2">
      <c r="D6045" s="139"/>
      <c r="F6045"/>
    </row>
    <row r="6046" spans="4:6" x14ac:dyDescent="0.2">
      <c r="D6046" s="139"/>
      <c r="F6046"/>
    </row>
    <row r="6047" spans="4:6" x14ac:dyDescent="0.2">
      <c r="D6047" s="139"/>
      <c r="F6047"/>
    </row>
    <row r="6048" spans="4:6" x14ac:dyDescent="0.2">
      <c r="D6048" s="139"/>
      <c r="F6048"/>
    </row>
    <row r="6049" spans="4:6" x14ac:dyDescent="0.2">
      <c r="D6049" s="139"/>
      <c r="F6049"/>
    </row>
    <row r="6050" spans="4:6" x14ac:dyDescent="0.2">
      <c r="D6050" s="139"/>
      <c r="F6050"/>
    </row>
    <row r="6051" spans="4:6" x14ac:dyDescent="0.2">
      <c r="D6051" s="139"/>
      <c r="F6051"/>
    </row>
    <row r="6052" spans="4:6" x14ac:dyDescent="0.2">
      <c r="D6052" s="139"/>
      <c r="F6052"/>
    </row>
    <row r="6053" spans="4:6" x14ac:dyDescent="0.2">
      <c r="D6053" s="139"/>
      <c r="F6053"/>
    </row>
    <row r="6054" spans="4:6" x14ac:dyDescent="0.2">
      <c r="D6054" s="139"/>
      <c r="F6054"/>
    </row>
    <row r="6055" spans="4:6" x14ac:dyDescent="0.2">
      <c r="D6055" s="139"/>
      <c r="F6055"/>
    </row>
    <row r="6056" spans="4:6" x14ac:dyDescent="0.2">
      <c r="D6056" s="139"/>
      <c r="F6056"/>
    </row>
    <row r="6057" spans="4:6" x14ac:dyDescent="0.2">
      <c r="D6057" s="139"/>
      <c r="F6057"/>
    </row>
    <row r="6058" spans="4:6" x14ac:dyDescent="0.2">
      <c r="D6058" s="139"/>
      <c r="F6058"/>
    </row>
    <row r="6059" spans="4:6" x14ac:dyDescent="0.2">
      <c r="D6059" s="139"/>
      <c r="F6059"/>
    </row>
    <row r="6060" spans="4:6" x14ac:dyDescent="0.2">
      <c r="D6060" s="139"/>
      <c r="F6060"/>
    </row>
    <row r="6061" spans="4:6" x14ac:dyDescent="0.2">
      <c r="D6061" s="139"/>
      <c r="F6061"/>
    </row>
    <row r="6062" spans="4:6" x14ac:dyDescent="0.2">
      <c r="D6062" s="139"/>
      <c r="F6062"/>
    </row>
    <row r="6063" spans="4:6" x14ac:dyDescent="0.2">
      <c r="D6063" s="139"/>
      <c r="F6063"/>
    </row>
    <row r="6064" spans="4:6" x14ac:dyDescent="0.2">
      <c r="D6064" s="139"/>
      <c r="F6064"/>
    </row>
    <row r="6065" spans="4:6" x14ac:dyDescent="0.2">
      <c r="D6065" s="139"/>
      <c r="F6065"/>
    </row>
    <row r="6066" spans="4:6" x14ac:dyDescent="0.2">
      <c r="D6066" s="139"/>
      <c r="F6066"/>
    </row>
    <row r="6067" spans="4:6" x14ac:dyDescent="0.2">
      <c r="D6067" s="139"/>
      <c r="F6067"/>
    </row>
    <row r="6068" spans="4:6" x14ac:dyDescent="0.2">
      <c r="D6068" s="139"/>
      <c r="F6068"/>
    </row>
    <row r="6069" spans="4:6" x14ac:dyDescent="0.2">
      <c r="D6069" s="139"/>
      <c r="F6069"/>
    </row>
    <row r="6070" spans="4:6" x14ac:dyDescent="0.2">
      <c r="D6070" s="139"/>
      <c r="F6070"/>
    </row>
    <row r="6071" spans="4:6" x14ac:dyDescent="0.2">
      <c r="D6071" s="139"/>
      <c r="F6071"/>
    </row>
    <row r="6072" spans="4:6" x14ac:dyDescent="0.2">
      <c r="D6072" s="139"/>
      <c r="F6072"/>
    </row>
    <row r="6073" spans="4:6" x14ac:dyDescent="0.2">
      <c r="D6073" s="139"/>
      <c r="F6073"/>
    </row>
    <row r="6074" spans="4:6" x14ac:dyDescent="0.2">
      <c r="D6074" s="139"/>
      <c r="F6074"/>
    </row>
    <row r="6075" spans="4:6" x14ac:dyDescent="0.2">
      <c r="D6075" s="139"/>
      <c r="F6075"/>
    </row>
    <row r="6076" spans="4:6" x14ac:dyDescent="0.2">
      <c r="D6076" s="139"/>
      <c r="F6076"/>
    </row>
    <row r="6077" spans="4:6" x14ac:dyDescent="0.2">
      <c r="D6077" s="139"/>
      <c r="F6077"/>
    </row>
    <row r="6078" spans="4:6" x14ac:dyDescent="0.2">
      <c r="D6078" s="139"/>
      <c r="F6078"/>
    </row>
    <row r="6079" spans="4:6" x14ac:dyDescent="0.2">
      <c r="D6079" s="139"/>
      <c r="F6079"/>
    </row>
    <row r="6080" spans="4:6" x14ac:dyDescent="0.2">
      <c r="D6080" s="139"/>
      <c r="F6080"/>
    </row>
    <row r="6081" spans="4:6" x14ac:dyDescent="0.2">
      <c r="D6081" s="139"/>
      <c r="F6081"/>
    </row>
    <row r="6082" spans="4:6" x14ac:dyDescent="0.2">
      <c r="D6082" s="139"/>
      <c r="F6082"/>
    </row>
    <row r="6083" spans="4:6" x14ac:dyDescent="0.2">
      <c r="D6083" s="139"/>
      <c r="F6083"/>
    </row>
    <row r="6084" spans="4:6" x14ac:dyDescent="0.2">
      <c r="D6084" s="139"/>
      <c r="F6084"/>
    </row>
    <row r="6085" spans="4:6" x14ac:dyDescent="0.2">
      <c r="D6085" s="139"/>
      <c r="F6085"/>
    </row>
    <row r="6086" spans="4:6" x14ac:dyDescent="0.2">
      <c r="D6086" s="139"/>
      <c r="F6086"/>
    </row>
    <row r="6087" spans="4:6" x14ac:dyDescent="0.2">
      <c r="D6087" s="139"/>
      <c r="F6087"/>
    </row>
    <row r="6088" spans="4:6" x14ac:dyDescent="0.2">
      <c r="D6088" s="139"/>
      <c r="F6088"/>
    </row>
    <row r="6089" spans="4:6" x14ac:dyDescent="0.2">
      <c r="D6089" s="139"/>
      <c r="F6089"/>
    </row>
    <row r="6090" spans="4:6" x14ac:dyDescent="0.2">
      <c r="D6090" s="139"/>
      <c r="F6090"/>
    </row>
    <row r="6091" spans="4:6" x14ac:dyDescent="0.2">
      <c r="D6091" s="139"/>
      <c r="F6091"/>
    </row>
    <row r="6092" spans="4:6" x14ac:dyDescent="0.2">
      <c r="D6092" s="139"/>
      <c r="F6092"/>
    </row>
    <row r="6093" spans="4:6" x14ac:dyDescent="0.2">
      <c r="D6093" s="139"/>
      <c r="F6093"/>
    </row>
    <row r="6094" spans="4:6" x14ac:dyDescent="0.2">
      <c r="D6094" s="139"/>
      <c r="F6094"/>
    </row>
    <row r="6095" spans="4:6" x14ac:dyDescent="0.2">
      <c r="D6095" s="139"/>
      <c r="F6095"/>
    </row>
    <row r="6096" spans="4:6" x14ac:dyDescent="0.2">
      <c r="D6096" s="139"/>
      <c r="F6096"/>
    </row>
    <row r="6097" spans="4:6" x14ac:dyDescent="0.2">
      <c r="D6097" s="139"/>
      <c r="F6097"/>
    </row>
    <row r="6098" spans="4:6" x14ac:dyDescent="0.2">
      <c r="D6098" s="139"/>
      <c r="F6098"/>
    </row>
    <row r="6099" spans="4:6" x14ac:dyDescent="0.2">
      <c r="D6099" s="139"/>
      <c r="F6099"/>
    </row>
    <row r="6100" spans="4:6" x14ac:dyDescent="0.2">
      <c r="D6100" s="139"/>
      <c r="F6100"/>
    </row>
    <row r="6101" spans="4:6" x14ac:dyDescent="0.2">
      <c r="D6101" s="139"/>
      <c r="F6101"/>
    </row>
    <row r="6102" spans="4:6" x14ac:dyDescent="0.2">
      <c r="D6102" s="139"/>
      <c r="F6102"/>
    </row>
    <row r="6103" spans="4:6" x14ac:dyDescent="0.2">
      <c r="D6103" s="139"/>
      <c r="F6103"/>
    </row>
    <row r="6104" spans="4:6" x14ac:dyDescent="0.2">
      <c r="D6104" s="139"/>
      <c r="F6104"/>
    </row>
    <row r="6105" spans="4:6" x14ac:dyDescent="0.2">
      <c r="D6105" s="139"/>
      <c r="F6105"/>
    </row>
    <row r="6106" spans="4:6" x14ac:dyDescent="0.2">
      <c r="D6106" s="139"/>
      <c r="F6106"/>
    </row>
    <row r="6107" spans="4:6" x14ac:dyDescent="0.2">
      <c r="D6107" s="139"/>
      <c r="F6107"/>
    </row>
    <row r="6108" spans="4:6" x14ac:dyDescent="0.2">
      <c r="D6108" s="139"/>
      <c r="F6108"/>
    </row>
    <row r="6109" spans="4:6" x14ac:dyDescent="0.2">
      <c r="D6109" s="139"/>
      <c r="F6109"/>
    </row>
    <row r="6110" spans="4:6" x14ac:dyDescent="0.2">
      <c r="D6110" s="139"/>
      <c r="F6110"/>
    </row>
    <row r="6111" spans="4:6" x14ac:dyDescent="0.2">
      <c r="D6111" s="139"/>
      <c r="F6111"/>
    </row>
    <row r="6112" spans="4:6" x14ac:dyDescent="0.2">
      <c r="D6112" s="139"/>
      <c r="F6112"/>
    </row>
    <row r="6113" spans="4:6" x14ac:dyDescent="0.2">
      <c r="D6113" s="139"/>
      <c r="F6113"/>
    </row>
    <row r="6114" spans="4:6" x14ac:dyDescent="0.2">
      <c r="D6114" s="139"/>
      <c r="F6114"/>
    </row>
    <row r="6115" spans="4:6" x14ac:dyDescent="0.2">
      <c r="D6115" s="139"/>
      <c r="F6115"/>
    </row>
    <row r="6116" spans="4:6" x14ac:dyDescent="0.2">
      <c r="D6116" s="139"/>
      <c r="F6116"/>
    </row>
    <row r="6117" spans="4:6" x14ac:dyDescent="0.2">
      <c r="D6117" s="139"/>
      <c r="F6117"/>
    </row>
    <row r="6118" spans="4:6" x14ac:dyDescent="0.2">
      <c r="D6118" s="139"/>
      <c r="F6118"/>
    </row>
    <row r="6119" spans="4:6" x14ac:dyDescent="0.2">
      <c r="D6119" s="139"/>
      <c r="F6119"/>
    </row>
    <row r="6120" spans="4:6" x14ac:dyDescent="0.2">
      <c r="D6120" s="139"/>
      <c r="F6120"/>
    </row>
    <row r="6121" spans="4:6" x14ac:dyDescent="0.2">
      <c r="D6121" s="139"/>
      <c r="F6121"/>
    </row>
    <row r="6122" spans="4:6" x14ac:dyDescent="0.2">
      <c r="D6122" s="139"/>
      <c r="F6122"/>
    </row>
    <row r="6123" spans="4:6" x14ac:dyDescent="0.2">
      <c r="D6123" s="139"/>
      <c r="F6123"/>
    </row>
    <row r="6124" spans="4:6" x14ac:dyDescent="0.2">
      <c r="D6124" s="139"/>
      <c r="F6124"/>
    </row>
    <row r="6125" spans="4:6" x14ac:dyDescent="0.2">
      <c r="D6125" s="139"/>
      <c r="F6125"/>
    </row>
    <row r="6126" spans="4:6" x14ac:dyDescent="0.2">
      <c r="D6126" s="139"/>
      <c r="F6126"/>
    </row>
    <row r="6127" spans="4:6" x14ac:dyDescent="0.2">
      <c r="D6127" s="139"/>
      <c r="F6127"/>
    </row>
    <row r="6128" spans="4:6" x14ac:dyDescent="0.2">
      <c r="D6128" s="139"/>
      <c r="F6128"/>
    </row>
    <row r="6129" spans="4:6" x14ac:dyDescent="0.2">
      <c r="D6129" s="139"/>
      <c r="F6129"/>
    </row>
    <row r="6130" spans="4:6" x14ac:dyDescent="0.2">
      <c r="D6130" s="139"/>
      <c r="F6130"/>
    </row>
    <row r="6131" spans="4:6" x14ac:dyDescent="0.2">
      <c r="D6131" s="139"/>
      <c r="F6131"/>
    </row>
    <row r="6132" spans="4:6" x14ac:dyDescent="0.2">
      <c r="D6132" s="139"/>
      <c r="F6132"/>
    </row>
    <row r="6133" spans="4:6" x14ac:dyDescent="0.2">
      <c r="D6133" s="139"/>
      <c r="F6133"/>
    </row>
    <row r="6134" spans="4:6" x14ac:dyDescent="0.2">
      <c r="D6134" s="139"/>
      <c r="F6134"/>
    </row>
    <row r="6135" spans="4:6" x14ac:dyDescent="0.2">
      <c r="D6135" s="139"/>
      <c r="F6135"/>
    </row>
    <row r="6136" spans="4:6" x14ac:dyDescent="0.2">
      <c r="D6136" s="139"/>
      <c r="F6136"/>
    </row>
    <row r="6137" spans="4:6" x14ac:dyDescent="0.2">
      <c r="D6137" s="139"/>
      <c r="F6137"/>
    </row>
    <row r="6138" spans="4:6" x14ac:dyDescent="0.2">
      <c r="D6138" s="139"/>
      <c r="F6138"/>
    </row>
    <row r="6139" spans="4:6" x14ac:dyDescent="0.2">
      <c r="D6139" s="139"/>
      <c r="F6139"/>
    </row>
    <row r="6140" spans="4:6" x14ac:dyDescent="0.2">
      <c r="D6140" s="139"/>
      <c r="F6140"/>
    </row>
    <row r="6141" spans="4:6" x14ac:dyDescent="0.2">
      <c r="D6141" s="139"/>
      <c r="F6141"/>
    </row>
    <row r="6142" spans="4:6" x14ac:dyDescent="0.2">
      <c r="D6142" s="139"/>
      <c r="F6142"/>
    </row>
    <row r="6143" spans="4:6" x14ac:dyDescent="0.2">
      <c r="D6143" s="139"/>
      <c r="F6143"/>
    </row>
    <row r="6144" spans="4:6" x14ac:dyDescent="0.2">
      <c r="D6144" s="139"/>
      <c r="F6144"/>
    </row>
    <row r="6145" spans="4:6" x14ac:dyDescent="0.2">
      <c r="D6145" s="139"/>
      <c r="F6145"/>
    </row>
    <row r="6146" spans="4:6" x14ac:dyDescent="0.2">
      <c r="D6146" s="139"/>
      <c r="F6146"/>
    </row>
    <row r="6147" spans="4:6" x14ac:dyDescent="0.2">
      <c r="D6147" s="139"/>
      <c r="F6147"/>
    </row>
    <row r="6148" spans="4:6" x14ac:dyDescent="0.2">
      <c r="D6148" s="139"/>
      <c r="F6148"/>
    </row>
    <row r="6149" spans="4:6" x14ac:dyDescent="0.2">
      <c r="D6149" s="139"/>
      <c r="F6149"/>
    </row>
    <row r="6150" spans="4:6" x14ac:dyDescent="0.2">
      <c r="D6150" s="139"/>
      <c r="F6150"/>
    </row>
    <row r="6151" spans="4:6" x14ac:dyDescent="0.2">
      <c r="D6151" s="139"/>
      <c r="F6151"/>
    </row>
    <row r="6152" spans="4:6" x14ac:dyDescent="0.2">
      <c r="D6152" s="139"/>
      <c r="F6152"/>
    </row>
    <row r="6153" spans="4:6" x14ac:dyDescent="0.2">
      <c r="D6153" s="139"/>
      <c r="F6153"/>
    </row>
    <row r="6154" spans="4:6" x14ac:dyDescent="0.2">
      <c r="D6154" s="139"/>
      <c r="F6154"/>
    </row>
    <row r="6155" spans="4:6" x14ac:dyDescent="0.2">
      <c r="D6155" s="139"/>
      <c r="F6155"/>
    </row>
    <row r="6156" spans="4:6" x14ac:dyDescent="0.2">
      <c r="D6156" s="139"/>
      <c r="F6156"/>
    </row>
    <row r="6157" spans="4:6" x14ac:dyDescent="0.2">
      <c r="D6157" s="139"/>
      <c r="F6157"/>
    </row>
    <row r="6158" spans="4:6" x14ac:dyDescent="0.2">
      <c r="D6158" s="139"/>
      <c r="F6158"/>
    </row>
    <row r="6159" spans="4:6" x14ac:dyDescent="0.2">
      <c r="D6159" s="139"/>
      <c r="F6159"/>
    </row>
    <row r="6160" spans="4:6" x14ac:dyDescent="0.2">
      <c r="D6160" s="139"/>
      <c r="F6160"/>
    </row>
    <row r="6161" spans="4:6" x14ac:dyDescent="0.2">
      <c r="D6161" s="139"/>
      <c r="F6161"/>
    </row>
    <row r="6162" spans="4:6" x14ac:dyDescent="0.2">
      <c r="D6162" s="139"/>
      <c r="F6162"/>
    </row>
    <row r="6163" spans="4:6" x14ac:dyDescent="0.2">
      <c r="D6163" s="139"/>
      <c r="F6163"/>
    </row>
    <row r="6164" spans="4:6" x14ac:dyDescent="0.2">
      <c r="D6164" s="139"/>
      <c r="F6164"/>
    </row>
    <row r="6165" spans="4:6" x14ac:dyDescent="0.2">
      <c r="D6165" s="139"/>
      <c r="F6165"/>
    </row>
    <row r="6166" spans="4:6" x14ac:dyDescent="0.2">
      <c r="D6166" s="139"/>
      <c r="F6166"/>
    </row>
    <row r="6167" spans="4:6" x14ac:dyDescent="0.2">
      <c r="D6167" s="139"/>
      <c r="F6167"/>
    </row>
    <row r="6168" spans="4:6" x14ac:dyDescent="0.2">
      <c r="D6168" s="139"/>
      <c r="F6168"/>
    </row>
    <row r="6169" spans="4:6" x14ac:dyDescent="0.2">
      <c r="D6169" s="139"/>
      <c r="F6169"/>
    </row>
    <row r="6170" spans="4:6" x14ac:dyDescent="0.2">
      <c r="D6170" s="139"/>
      <c r="F6170"/>
    </row>
    <row r="6171" spans="4:6" x14ac:dyDescent="0.2">
      <c r="D6171" s="139"/>
      <c r="F6171"/>
    </row>
    <row r="6172" spans="4:6" x14ac:dyDescent="0.2">
      <c r="D6172" s="139"/>
      <c r="F6172"/>
    </row>
    <row r="6173" spans="4:6" x14ac:dyDescent="0.2">
      <c r="D6173" s="139"/>
      <c r="F6173"/>
    </row>
    <row r="6174" spans="4:6" x14ac:dyDescent="0.2">
      <c r="D6174" s="139"/>
      <c r="F6174"/>
    </row>
    <row r="6175" spans="4:6" x14ac:dyDescent="0.2">
      <c r="D6175" s="139"/>
      <c r="F6175"/>
    </row>
    <row r="6176" spans="4:6" x14ac:dyDescent="0.2">
      <c r="D6176" s="139"/>
      <c r="F6176"/>
    </row>
    <row r="6177" spans="4:6" x14ac:dyDescent="0.2">
      <c r="D6177" s="139"/>
      <c r="F6177"/>
    </row>
    <row r="6178" spans="4:6" x14ac:dyDescent="0.2">
      <c r="D6178" s="139"/>
      <c r="F6178"/>
    </row>
    <row r="6179" spans="4:6" x14ac:dyDescent="0.2">
      <c r="D6179" s="139"/>
      <c r="F6179"/>
    </row>
    <row r="6180" spans="4:6" x14ac:dyDescent="0.2">
      <c r="D6180" s="139"/>
      <c r="F6180"/>
    </row>
    <row r="6181" spans="4:6" x14ac:dyDescent="0.2">
      <c r="D6181" s="139"/>
      <c r="F6181"/>
    </row>
    <row r="6182" spans="4:6" x14ac:dyDescent="0.2">
      <c r="D6182" s="139"/>
      <c r="F6182"/>
    </row>
    <row r="6183" spans="4:6" x14ac:dyDescent="0.2">
      <c r="D6183" s="139"/>
      <c r="F6183"/>
    </row>
    <row r="6184" spans="4:6" x14ac:dyDescent="0.2">
      <c r="D6184" s="139"/>
      <c r="F6184"/>
    </row>
    <row r="6185" spans="4:6" x14ac:dyDescent="0.2">
      <c r="D6185" s="139"/>
      <c r="F6185"/>
    </row>
    <row r="6186" spans="4:6" x14ac:dyDescent="0.2">
      <c r="D6186" s="139"/>
      <c r="F6186"/>
    </row>
    <row r="6187" spans="4:6" x14ac:dyDescent="0.2">
      <c r="D6187" s="139"/>
      <c r="F6187"/>
    </row>
    <row r="6188" spans="4:6" x14ac:dyDescent="0.2">
      <c r="D6188" s="139"/>
      <c r="F6188"/>
    </row>
    <row r="6189" spans="4:6" x14ac:dyDescent="0.2">
      <c r="D6189" s="139"/>
      <c r="F6189"/>
    </row>
    <row r="6190" spans="4:6" x14ac:dyDescent="0.2">
      <c r="D6190" s="139"/>
      <c r="F6190"/>
    </row>
    <row r="6191" spans="4:6" x14ac:dyDescent="0.2">
      <c r="D6191" s="139"/>
      <c r="F6191"/>
    </row>
    <row r="6192" spans="4:6" x14ac:dyDescent="0.2">
      <c r="D6192" s="139"/>
      <c r="F6192"/>
    </row>
    <row r="6193" spans="4:6" x14ac:dyDescent="0.2">
      <c r="D6193" s="139"/>
      <c r="F6193"/>
    </row>
    <row r="6194" spans="4:6" x14ac:dyDescent="0.2">
      <c r="D6194" s="139"/>
      <c r="F6194"/>
    </row>
    <row r="6195" spans="4:6" x14ac:dyDescent="0.2">
      <c r="D6195" s="139"/>
      <c r="F6195"/>
    </row>
    <row r="6196" spans="4:6" x14ac:dyDescent="0.2">
      <c r="D6196" s="139"/>
      <c r="F6196"/>
    </row>
    <row r="6197" spans="4:6" x14ac:dyDescent="0.2">
      <c r="D6197" s="139"/>
      <c r="F6197"/>
    </row>
    <row r="6198" spans="4:6" x14ac:dyDescent="0.2">
      <c r="D6198" s="139"/>
      <c r="F6198"/>
    </row>
    <row r="6199" spans="4:6" x14ac:dyDescent="0.2">
      <c r="D6199" s="139"/>
      <c r="F6199"/>
    </row>
    <row r="6200" spans="4:6" x14ac:dyDescent="0.2">
      <c r="D6200" s="139"/>
      <c r="F6200"/>
    </row>
    <row r="6201" spans="4:6" x14ac:dyDescent="0.2">
      <c r="D6201" s="139"/>
      <c r="F6201"/>
    </row>
    <row r="6202" spans="4:6" x14ac:dyDescent="0.2">
      <c r="D6202" s="139"/>
      <c r="F6202"/>
    </row>
    <row r="6203" spans="4:6" x14ac:dyDescent="0.2">
      <c r="D6203" s="139"/>
      <c r="F6203"/>
    </row>
    <row r="6204" spans="4:6" x14ac:dyDescent="0.2">
      <c r="D6204" s="139"/>
      <c r="F6204"/>
    </row>
    <row r="6205" spans="4:6" x14ac:dyDescent="0.2">
      <c r="D6205" s="139"/>
      <c r="F6205"/>
    </row>
    <row r="6206" spans="4:6" x14ac:dyDescent="0.2">
      <c r="D6206" s="139"/>
      <c r="F6206"/>
    </row>
    <row r="6207" spans="4:6" x14ac:dyDescent="0.2">
      <c r="D6207" s="139"/>
      <c r="F6207"/>
    </row>
    <row r="6208" spans="4:6" x14ac:dyDescent="0.2">
      <c r="D6208" s="139"/>
      <c r="F6208"/>
    </row>
    <row r="6209" spans="4:6" x14ac:dyDescent="0.2">
      <c r="D6209" s="139"/>
      <c r="F6209"/>
    </row>
    <row r="6210" spans="4:6" x14ac:dyDescent="0.2">
      <c r="D6210" s="139"/>
      <c r="F6210"/>
    </row>
    <row r="6211" spans="4:6" x14ac:dyDescent="0.2">
      <c r="D6211" s="139"/>
      <c r="F6211"/>
    </row>
    <row r="6212" spans="4:6" x14ac:dyDescent="0.2">
      <c r="D6212" s="139"/>
      <c r="F6212"/>
    </row>
    <row r="6213" spans="4:6" x14ac:dyDescent="0.2">
      <c r="D6213" s="139"/>
      <c r="F6213"/>
    </row>
    <row r="6214" spans="4:6" x14ac:dyDescent="0.2">
      <c r="D6214" s="139"/>
      <c r="F6214"/>
    </row>
    <row r="6215" spans="4:6" x14ac:dyDescent="0.2">
      <c r="D6215" s="139"/>
      <c r="F6215"/>
    </row>
    <row r="6216" spans="4:6" x14ac:dyDescent="0.2">
      <c r="D6216" s="139"/>
      <c r="F6216"/>
    </row>
    <row r="6217" spans="4:6" x14ac:dyDescent="0.2">
      <c r="D6217" s="139"/>
      <c r="F6217"/>
    </row>
    <row r="6218" spans="4:6" x14ac:dyDescent="0.2">
      <c r="D6218" s="139"/>
      <c r="F6218"/>
    </row>
    <row r="6219" spans="4:6" x14ac:dyDescent="0.2">
      <c r="D6219" s="139"/>
      <c r="F6219"/>
    </row>
    <row r="6220" spans="4:6" x14ac:dyDescent="0.2">
      <c r="D6220" s="139"/>
      <c r="F6220"/>
    </row>
    <row r="6221" spans="4:6" x14ac:dyDescent="0.2">
      <c r="D6221" s="139"/>
      <c r="F6221"/>
    </row>
    <row r="6222" spans="4:6" x14ac:dyDescent="0.2">
      <c r="D6222" s="139"/>
      <c r="F6222"/>
    </row>
    <row r="6223" spans="4:6" x14ac:dyDescent="0.2">
      <c r="D6223" s="139"/>
      <c r="F6223"/>
    </row>
    <row r="6224" spans="4:6" x14ac:dyDescent="0.2">
      <c r="D6224" s="139"/>
      <c r="F6224"/>
    </row>
    <row r="6225" spans="4:6" x14ac:dyDescent="0.2">
      <c r="D6225" s="139"/>
      <c r="F6225"/>
    </row>
    <row r="6226" spans="4:6" x14ac:dyDescent="0.2">
      <c r="D6226" s="139"/>
      <c r="F6226"/>
    </row>
    <row r="6227" spans="4:6" x14ac:dyDescent="0.2">
      <c r="D6227" s="139"/>
      <c r="F6227"/>
    </row>
    <row r="6228" spans="4:6" x14ac:dyDescent="0.2">
      <c r="D6228" s="139"/>
      <c r="F6228"/>
    </row>
    <row r="6229" spans="4:6" x14ac:dyDescent="0.2">
      <c r="D6229" s="139"/>
      <c r="F6229"/>
    </row>
    <row r="6230" spans="4:6" x14ac:dyDescent="0.2">
      <c r="D6230" s="139"/>
      <c r="F6230"/>
    </row>
    <row r="6231" spans="4:6" x14ac:dyDescent="0.2">
      <c r="D6231" s="139"/>
      <c r="F6231"/>
    </row>
    <row r="6232" spans="4:6" x14ac:dyDescent="0.2">
      <c r="D6232" s="139"/>
      <c r="F6232"/>
    </row>
    <row r="6233" spans="4:6" x14ac:dyDescent="0.2">
      <c r="D6233" s="139"/>
      <c r="F6233"/>
    </row>
    <row r="6234" spans="4:6" x14ac:dyDescent="0.2">
      <c r="D6234" s="139"/>
      <c r="F6234"/>
    </row>
    <row r="6235" spans="4:6" x14ac:dyDescent="0.2">
      <c r="D6235" s="139"/>
      <c r="F6235"/>
    </row>
    <row r="6236" spans="4:6" x14ac:dyDescent="0.2">
      <c r="D6236" s="139"/>
      <c r="F6236"/>
    </row>
    <row r="6237" spans="4:6" x14ac:dyDescent="0.2">
      <c r="D6237" s="139"/>
      <c r="F6237"/>
    </row>
    <row r="6238" spans="4:6" x14ac:dyDescent="0.2">
      <c r="D6238" s="139"/>
      <c r="F6238"/>
    </row>
    <row r="6239" spans="4:6" x14ac:dyDescent="0.2">
      <c r="D6239" s="139"/>
      <c r="F6239"/>
    </row>
    <row r="6240" spans="4:6" x14ac:dyDescent="0.2">
      <c r="D6240" s="139"/>
      <c r="F6240"/>
    </row>
    <row r="6241" spans="4:6" x14ac:dyDescent="0.2">
      <c r="D6241" s="139"/>
      <c r="F6241"/>
    </row>
    <row r="6242" spans="4:6" x14ac:dyDescent="0.2">
      <c r="D6242" s="139"/>
      <c r="F6242"/>
    </row>
    <row r="6243" spans="4:6" x14ac:dyDescent="0.2">
      <c r="D6243" s="139"/>
      <c r="F6243"/>
    </row>
    <row r="6244" spans="4:6" x14ac:dyDescent="0.2">
      <c r="D6244" s="139"/>
      <c r="F6244"/>
    </row>
    <row r="6245" spans="4:6" x14ac:dyDescent="0.2">
      <c r="D6245" s="139"/>
      <c r="F6245"/>
    </row>
    <row r="6246" spans="4:6" x14ac:dyDescent="0.2">
      <c r="D6246" s="139"/>
      <c r="F6246"/>
    </row>
    <row r="6247" spans="4:6" x14ac:dyDescent="0.2">
      <c r="D6247" s="139"/>
      <c r="F6247"/>
    </row>
    <row r="6248" spans="4:6" x14ac:dyDescent="0.2">
      <c r="D6248" s="139"/>
      <c r="F6248"/>
    </row>
    <row r="6249" spans="4:6" x14ac:dyDescent="0.2">
      <c r="D6249" s="139"/>
      <c r="F6249"/>
    </row>
    <row r="6250" spans="4:6" x14ac:dyDescent="0.2">
      <c r="D6250" s="139"/>
      <c r="F6250"/>
    </row>
    <row r="6251" spans="4:6" x14ac:dyDescent="0.2">
      <c r="D6251" s="139"/>
      <c r="F6251"/>
    </row>
    <row r="6252" spans="4:6" x14ac:dyDescent="0.2">
      <c r="D6252" s="139"/>
      <c r="F6252"/>
    </row>
    <row r="6253" spans="4:6" x14ac:dyDescent="0.2">
      <c r="D6253" s="139"/>
      <c r="F6253"/>
    </row>
    <row r="6254" spans="4:6" x14ac:dyDescent="0.2">
      <c r="D6254" s="139"/>
      <c r="F6254"/>
    </row>
    <row r="6255" spans="4:6" x14ac:dyDescent="0.2">
      <c r="D6255" s="139"/>
      <c r="F6255"/>
    </row>
    <row r="6256" spans="4:6" x14ac:dyDescent="0.2">
      <c r="D6256" s="139"/>
      <c r="F6256"/>
    </row>
    <row r="6257" spans="4:6" x14ac:dyDescent="0.2">
      <c r="D6257" s="139"/>
      <c r="F6257"/>
    </row>
    <row r="6258" spans="4:6" x14ac:dyDescent="0.2">
      <c r="D6258" s="139"/>
      <c r="F6258"/>
    </row>
    <row r="6259" spans="4:6" x14ac:dyDescent="0.2">
      <c r="D6259" s="139"/>
      <c r="F6259"/>
    </row>
    <row r="6260" spans="4:6" x14ac:dyDescent="0.2">
      <c r="D6260" s="139"/>
      <c r="F6260"/>
    </row>
    <row r="6261" spans="4:6" x14ac:dyDescent="0.2">
      <c r="D6261" s="139"/>
      <c r="F6261"/>
    </row>
    <row r="6262" spans="4:6" x14ac:dyDescent="0.2">
      <c r="D6262" s="139"/>
      <c r="F6262"/>
    </row>
    <row r="6263" spans="4:6" x14ac:dyDescent="0.2">
      <c r="D6263" s="139"/>
      <c r="F6263"/>
    </row>
    <row r="6264" spans="4:6" x14ac:dyDescent="0.2">
      <c r="D6264" s="139"/>
      <c r="F6264"/>
    </row>
    <row r="6265" spans="4:6" x14ac:dyDescent="0.2">
      <c r="D6265" s="139"/>
      <c r="F6265"/>
    </row>
    <row r="6266" spans="4:6" x14ac:dyDescent="0.2">
      <c r="D6266" s="139"/>
      <c r="F6266"/>
    </row>
    <row r="6267" spans="4:6" x14ac:dyDescent="0.2">
      <c r="D6267" s="139"/>
      <c r="F6267"/>
    </row>
    <row r="6268" spans="4:6" x14ac:dyDescent="0.2">
      <c r="D6268" s="139"/>
      <c r="F6268"/>
    </row>
    <row r="6269" spans="4:6" x14ac:dyDescent="0.2">
      <c r="D6269" s="139"/>
      <c r="F6269"/>
    </row>
    <row r="6270" spans="4:6" x14ac:dyDescent="0.2">
      <c r="D6270" s="139"/>
      <c r="F6270"/>
    </row>
    <row r="6271" spans="4:6" x14ac:dyDescent="0.2">
      <c r="D6271" s="139"/>
      <c r="F6271"/>
    </row>
    <row r="6272" spans="4:6" x14ac:dyDescent="0.2">
      <c r="D6272" s="139"/>
      <c r="F6272"/>
    </row>
    <row r="6273" spans="4:6" x14ac:dyDescent="0.2">
      <c r="D6273" s="139"/>
      <c r="F6273"/>
    </row>
    <row r="6274" spans="4:6" x14ac:dyDescent="0.2">
      <c r="D6274" s="139"/>
      <c r="F6274"/>
    </row>
    <row r="6275" spans="4:6" x14ac:dyDescent="0.2">
      <c r="D6275" s="139"/>
      <c r="F6275"/>
    </row>
    <row r="6276" spans="4:6" x14ac:dyDescent="0.2">
      <c r="D6276" s="139"/>
      <c r="F6276"/>
    </row>
    <row r="6277" spans="4:6" x14ac:dyDescent="0.2">
      <c r="D6277" s="139"/>
      <c r="F6277"/>
    </row>
    <row r="6278" spans="4:6" x14ac:dyDescent="0.2">
      <c r="D6278" s="139"/>
      <c r="F6278"/>
    </row>
    <row r="6279" spans="4:6" x14ac:dyDescent="0.2">
      <c r="D6279" s="139"/>
      <c r="F6279"/>
    </row>
    <row r="6280" spans="4:6" x14ac:dyDescent="0.2">
      <c r="D6280" s="139"/>
      <c r="F6280"/>
    </row>
    <row r="6281" spans="4:6" x14ac:dyDescent="0.2">
      <c r="D6281" s="139"/>
      <c r="F6281"/>
    </row>
    <row r="6282" spans="4:6" x14ac:dyDescent="0.2">
      <c r="D6282" s="139"/>
      <c r="F6282"/>
    </row>
    <row r="6283" spans="4:6" x14ac:dyDescent="0.2">
      <c r="D6283" s="139"/>
      <c r="F6283"/>
    </row>
    <row r="6284" spans="4:6" x14ac:dyDescent="0.2">
      <c r="D6284" s="139"/>
      <c r="F6284"/>
    </row>
    <row r="6285" spans="4:6" x14ac:dyDescent="0.2">
      <c r="D6285" s="139"/>
      <c r="F6285"/>
    </row>
    <row r="6286" spans="4:6" x14ac:dyDescent="0.2">
      <c r="D6286" s="139"/>
      <c r="F6286"/>
    </row>
    <row r="6287" spans="4:6" x14ac:dyDescent="0.2">
      <c r="D6287" s="139"/>
      <c r="F6287"/>
    </row>
    <row r="6288" spans="4:6" x14ac:dyDescent="0.2">
      <c r="D6288" s="139"/>
      <c r="F6288"/>
    </row>
    <row r="6289" spans="4:6" x14ac:dyDescent="0.2">
      <c r="D6289" s="139"/>
      <c r="F6289"/>
    </row>
    <row r="6290" spans="4:6" x14ac:dyDescent="0.2">
      <c r="D6290" s="139"/>
      <c r="F6290"/>
    </row>
    <row r="6291" spans="4:6" x14ac:dyDescent="0.2">
      <c r="D6291" s="139"/>
      <c r="F6291"/>
    </row>
    <row r="6292" spans="4:6" x14ac:dyDescent="0.2">
      <c r="D6292" s="139"/>
      <c r="F6292"/>
    </row>
    <row r="6293" spans="4:6" x14ac:dyDescent="0.2">
      <c r="D6293" s="139"/>
      <c r="F6293"/>
    </row>
    <row r="6294" spans="4:6" x14ac:dyDescent="0.2">
      <c r="D6294" s="139"/>
      <c r="F6294"/>
    </row>
    <row r="6295" spans="4:6" x14ac:dyDescent="0.2">
      <c r="D6295" s="139"/>
      <c r="F6295"/>
    </row>
    <row r="6296" spans="4:6" x14ac:dyDescent="0.2">
      <c r="D6296" s="139"/>
      <c r="F6296"/>
    </row>
    <row r="6297" spans="4:6" x14ac:dyDescent="0.2">
      <c r="D6297" s="139"/>
      <c r="F6297"/>
    </row>
    <row r="6298" spans="4:6" x14ac:dyDescent="0.2">
      <c r="D6298" s="139"/>
      <c r="F6298"/>
    </row>
    <row r="6299" spans="4:6" x14ac:dyDescent="0.2">
      <c r="D6299" s="139"/>
      <c r="F6299"/>
    </row>
    <row r="6300" spans="4:6" x14ac:dyDescent="0.2">
      <c r="D6300" s="139"/>
      <c r="F6300"/>
    </row>
    <row r="6301" spans="4:6" x14ac:dyDescent="0.2">
      <c r="D6301" s="139"/>
      <c r="F6301"/>
    </row>
    <row r="6302" spans="4:6" x14ac:dyDescent="0.2">
      <c r="D6302" s="139"/>
      <c r="F6302"/>
    </row>
    <row r="6303" spans="4:6" x14ac:dyDescent="0.2">
      <c r="D6303" s="139"/>
      <c r="F6303"/>
    </row>
    <row r="6304" spans="4:6" x14ac:dyDescent="0.2">
      <c r="D6304" s="139"/>
      <c r="F6304"/>
    </row>
    <row r="6305" spans="4:6" x14ac:dyDescent="0.2">
      <c r="D6305" s="139"/>
      <c r="F6305"/>
    </row>
    <row r="6306" spans="4:6" x14ac:dyDescent="0.2">
      <c r="D6306" s="139"/>
      <c r="F6306"/>
    </row>
    <row r="6307" spans="4:6" x14ac:dyDescent="0.2">
      <c r="D6307" s="139"/>
      <c r="F6307"/>
    </row>
    <row r="6308" spans="4:6" x14ac:dyDescent="0.2">
      <c r="D6308" s="139"/>
      <c r="F6308"/>
    </row>
    <row r="6309" spans="4:6" x14ac:dyDescent="0.2">
      <c r="D6309" s="139"/>
      <c r="F6309"/>
    </row>
    <row r="6310" spans="4:6" x14ac:dyDescent="0.2">
      <c r="D6310" s="139"/>
      <c r="F6310"/>
    </row>
    <row r="6311" spans="4:6" x14ac:dyDescent="0.2">
      <c r="D6311" s="139"/>
      <c r="F6311"/>
    </row>
    <row r="6312" spans="4:6" x14ac:dyDescent="0.2">
      <c r="D6312" s="139"/>
      <c r="F6312"/>
    </row>
    <row r="6313" spans="4:6" x14ac:dyDescent="0.2">
      <c r="D6313" s="139"/>
      <c r="F6313"/>
    </row>
    <row r="6314" spans="4:6" x14ac:dyDescent="0.2">
      <c r="D6314" s="139"/>
      <c r="F6314"/>
    </row>
    <row r="6315" spans="4:6" x14ac:dyDescent="0.2">
      <c r="D6315" s="139"/>
      <c r="F6315"/>
    </row>
    <row r="6316" spans="4:6" x14ac:dyDescent="0.2">
      <c r="D6316" s="139"/>
      <c r="F6316"/>
    </row>
    <row r="6317" spans="4:6" x14ac:dyDescent="0.2">
      <c r="D6317" s="139"/>
      <c r="F6317"/>
    </row>
    <row r="6318" spans="4:6" x14ac:dyDescent="0.2">
      <c r="D6318" s="139"/>
      <c r="F6318"/>
    </row>
    <row r="6319" spans="4:6" x14ac:dyDescent="0.2">
      <c r="D6319" s="139"/>
      <c r="F6319"/>
    </row>
    <row r="6320" spans="4:6" x14ac:dyDescent="0.2">
      <c r="D6320" s="139"/>
      <c r="F6320"/>
    </row>
    <row r="6321" spans="4:6" x14ac:dyDescent="0.2">
      <c r="D6321" s="139"/>
      <c r="F6321"/>
    </row>
    <row r="6322" spans="4:6" x14ac:dyDescent="0.2">
      <c r="D6322" s="139"/>
      <c r="F6322"/>
    </row>
    <row r="6323" spans="4:6" x14ac:dyDescent="0.2">
      <c r="D6323" s="139"/>
      <c r="F6323"/>
    </row>
    <row r="6324" spans="4:6" x14ac:dyDescent="0.2">
      <c r="D6324" s="139"/>
      <c r="F6324"/>
    </row>
    <row r="6325" spans="4:6" x14ac:dyDescent="0.2">
      <c r="D6325" s="139"/>
      <c r="F6325"/>
    </row>
    <row r="6326" spans="4:6" x14ac:dyDescent="0.2">
      <c r="D6326" s="139"/>
      <c r="F6326"/>
    </row>
    <row r="6327" spans="4:6" x14ac:dyDescent="0.2">
      <c r="D6327" s="139"/>
      <c r="F6327"/>
    </row>
    <row r="6328" spans="4:6" x14ac:dyDescent="0.2">
      <c r="D6328" s="139"/>
      <c r="F6328"/>
    </row>
    <row r="6329" spans="4:6" x14ac:dyDescent="0.2">
      <c r="D6329" s="139"/>
      <c r="F6329"/>
    </row>
    <row r="6330" spans="4:6" x14ac:dyDescent="0.2">
      <c r="D6330" s="139"/>
      <c r="F6330"/>
    </row>
    <row r="6331" spans="4:6" x14ac:dyDescent="0.2">
      <c r="D6331" s="139"/>
      <c r="F6331"/>
    </row>
    <row r="6332" spans="4:6" x14ac:dyDescent="0.2">
      <c r="D6332" s="139"/>
      <c r="F6332"/>
    </row>
    <row r="6333" spans="4:6" x14ac:dyDescent="0.2">
      <c r="D6333" s="139"/>
      <c r="F6333"/>
    </row>
    <row r="6334" spans="4:6" x14ac:dyDescent="0.2">
      <c r="D6334" s="139"/>
      <c r="F6334"/>
    </row>
    <row r="6335" spans="4:6" x14ac:dyDescent="0.2">
      <c r="D6335" s="139"/>
      <c r="F6335"/>
    </row>
    <row r="6336" spans="4:6" x14ac:dyDescent="0.2">
      <c r="D6336" s="139"/>
      <c r="F6336"/>
    </row>
    <row r="6337" spans="4:6" x14ac:dyDescent="0.2">
      <c r="D6337" s="139"/>
      <c r="F6337"/>
    </row>
    <row r="6338" spans="4:6" x14ac:dyDescent="0.2">
      <c r="D6338" s="139"/>
      <c r="F6338"/>
    </row>
    <row r="6339" spans="4:6" x14ac:dyDescent="0.2">
      <c r="D6339" s="139"/>
      <c r="F6339"/>
    </row>
    <row r="6340" spans="4:6" x14ac:dyDescent="0.2">
      <c r="D6340" s="139"/>
      <c r="F6340"/>
    </row>
    <row r="6341" spans="4:6" x14ac:dyDescent="0.2">
      <c r="D6341" s="139"/>
      <c r="F6341"/>
    </row>
    <row r="6342" spans="4:6" x14ac:dyDescent="0.2">
      <c r="D6342" s="139"/>
      <c r="F6342"/>
    </row>
    <row r="6343" spans="4:6" x14ac:dyDescent="0.2">
      <c r="D6343" s="139"/>
      <c r="F6343"/>
    </row>
    <row r="6344" spans="4:6" x14ac:dyDescent="0.2">
      <c r="D6344" s="139"/>
      <c r="F6344"/>
    </row>
    <row r="6345" spans="4:6" x14ac:dyDescent="0.2">
      <c r="D6345" s="139"/>
      <c r="F6345"/>
    </row>
    <row r="6346" spans="4:6" x14ac:dyDescent="0.2">
      <c r="D6346" s="139"/>
      <c r="F6346"/>
    </row>
    <row r="6347" spans="4:6" x14ac:dyDescent="0.2">
      <c r="D6347" s="139"/>
      <c r="F6347"/>
    </row>
    <row r="6348" spans="4:6" x14ac:dyDescent="0.2">
      <c r="D6348" s="139"/>
      <c r="F6348"/>
    </row>
    <row r="6349" spans="4:6" x14ac:dyDescent="0.2">
      <c r="D6349" s="139"/>
      <c r="F6349"/>
    </row>
    <row r="6350" spans="4:6" x14ac:dyDescent="0.2">
      <c r="D6350" s="139"/>
      <c r="F6350"/>
    </row>
    <row r="6351" spans="4:6" x14ac:dyDescent="0.2">
      <c r="D6351" s="139"/>
      <c r="F6351"/>
    </row>
    <row r="6352" spans="4:6" x14ac:dyDescent="0.2">
      <c r="D6352" s="139"/>
      <c r="F6352"/>
    </row>
    <row r="6353" spans="4:6" x14ac:dyDescent="0.2">
      <c r="D6353" s="139"/>
      <c r="F6353"/>
    </row>
    <row r="6354" spans="4:6" x14ac:dyDescent="0.2">
      <c r="D6354" s="139"/>
      <c r="F6354"/>
    </row>
    <row r="6355" spans="4:6" x14ac:dyDescent="0.2">
      <c r="D6355" s="139"/>
      <c r="F6355"/>
    </row>
    <row r="6356" spans="4:6" x14ac:dyDescent="0.2">
      <c r="D6356" s="139"/>
      <c r="F6356"/>
    </row>
    <row r="6357" spans="4:6" x14ac:dyDescent="0.2">
      <c r="D6357" s="139"/>
      <c r="F6357"/>
    </row>
    <row r="6358" spans="4:6" x14ac:dyDescent="0.2">
      <c r="D6358" s="139"/>
      <c r="F6358"/>
    </row>
    <row r="6359" spans="4:6" x14ac:dyDescent="0.2">
      <c r="D6359" s="139"/>
      <c r="F6359"/>
    </row>
    <row r="6360" spans="4:6" x14ac:dyDescent="0.2">
      <c r="D6360" s="139"/>
      <c r="F6360"/>
    </row>
    <row r="6361" spans="4:6" x14ac:dyDescent="0.2">
      <c r="D6361" s="139"/>
      <c r="F6361"/>
    </row>
    <row r="6362" spans="4:6" x14ac:dyDescent="0.2">
      <c r="D6362" s="139"/>
      <c r="F6362"/>
    </row>
    <row r="6363" spans="4:6" x14ac:dyDescent="0.2">
      <c r="D6363" s="139"/>
      <c r="F6363"/>
    </row>
    <row r="6364" spans="4:6" x14ac:dyDescent="0.2">
      <c r="D6364" s="139"/>
      <c r="F6364"/>
    </row>
    <row r="6365" spans="4:6" x14ac:dyDescent="0.2">
      <c r="D6365" s="139"/>
      <c r="F6365"/>
    </row>
    <row r="6366" spans="4:6" x14ac:dyDescent="0.2">
      <c r="D6366" s="139"/>
      <c r="F6366"/>
    </row>
    <row r="6367" spans="4:6" x14ac:dyDescent="0.2">
      <c r="D6367" s="139"/>
      <c r="F6367"/>
    </row>
    <row r="6368" spans="4:6" x14ac:dyDescent="0.2">
      <c r="D6368" s="139"/>
      <c r="F6368"/>
    </row>
    <row r="6369" spans="4:6" x14ac:dyDescent="0.2">
      <c r="D6369" s="139"/>
      <c r="F6369"/>
    </row>
    <row r="6370" spans="4:6" x14ac:dyDescent="0.2">
      <c r="D6370" s="139"/>
      <c r="F6370"/>
    </row>
    <row r="6371" spans="4:6" x14ac:dyDescent="0.2">
      <c r="D6371" s="139"/>
      <c r="F6371"/>
    </row>
    <row r="6372" spans="4:6" x14ac:dyDescent="0.2">
      <c r="D6372" s="139"/>
      <c r="F6372"/>
    </row>
    <row r="6373" spans="4:6" x14ac:dyDescent="0.2">
      <c r="D6373" s="139"/>
      <c r="F6373"/>
    </row>
    <row r="6374" spans="4:6" x14ac:dyDescent="0.2">
      <c r="D6374" s="139"/>
      <c r="F6374"/>
    </row>
    <row r="6375" spans="4:6" x14ac:dyDescent="0.2">
      <c r="D6375" s="139"/>
      <c r="F6375"/>
    </row>
    <row r="6376" spans="4:6" x14ac:dyDescent="0.2">
      <c r="D6376" s="139"/>
      <c r="F6376"/>
    </row>
    <row r="6377" spans="4:6" x14ac:dyDescent="0.2">
      <c r="D6377" s="139"/>
      <c r="F6377"/>
    </row>
    <row r="6378" spans="4:6" x14ac:dyDescent="0.2">
      <c r="D6378" s="139"/>
      <c r="F6378"/>
    </row>
    <row r="6379" spans="4:6" x14ac:dyDescent="0.2">
      <c r="D6379" s="139"/>
      <c r="F6379"/>
    </row>
    <row r="6380" spans="4:6" x14ac:dyDescent="0.2">
      <c r="D6380" s="139"/>
      <c r="F6380"/>
    </row>
    <row r="6381" spans="4:6" x14ac:dyDescent="0.2">
      <c r="D6381" s="139"/>
      <c r="F6381"/>
    </row>
    <row r="6382" spans="4:6" x14ac:dyDescent="0.2">
      <c r="D6382" s="139"/>
      <c r="F6382"/>
    </row>
    <row r="6383" spans="4:6" x14ac:dyDescent="0.2">
      <c r="D6383" s="139"/>
      <c r="F6383"/>
    </row>
    <row r="6384" spans="4:6" x14ac:dyDescent="0.2">
      <c r="D6384" s="139"/>
      <c r="F6384"/>
    </row>
    <row r="6385" spans="4:6" x14ac:dyDescent="0.2">
      <c r="D6385" s="139"/>
      <c r="F6385"/>
    </row>
    <row r="6386" spans="4:6" x14ac:dyDescent="0.2">
      <c r="D6386" s="139"/>
      <c r="F6386"/>
    </row>
    <row r="6387" spans="4:6" x14ac:dyDescent="0.2">
      <c r="D6387" s="139"/>
      <c r="F6387"/>
    </row>
    <row r="6388" spans="4:6" x14ac:dyDescent="0.2">
      <c r="D6388" s="139"/>
      <c r="F6388"/>
    </row>
    <row r="6389" spans="4:6" x14ac:dyDescent="0.2">
      <c r="D6389" s="139"/>
      <c r="F6389"/>
    </row>
    <row r="6390" spans="4:6" x14ac:dyDescent="0.2">
      <c r="D6390" s="139"/>
      <c r="F6390"/>
    </row>
    <row r="6391" spans="4:6" x14ac:dyDescent="0.2">
      <c r="D6391" s="139"/>
      <c r="F6391"/>
    </row>
    <row r="6392" spans="4:6" x14ac:dyDescent="0.2">
      <c r="D6392" s="139"/>
      <c r="F6392"/>
    </row>
    <row r="6393" spans="4:6" x14ac:dyDescent="0.2">
      <c r="D6393" s="139"/>
      <c r="F6393"/>
    </row>
    <row r="6394" spans="4:6" x14ac:dyDescent="0.2">
      <c r="D6394" s="139"/>
      <c r="F6394"/>
    </row>
    <row r="6395" spans="4:6" x14ac:dyDescent="0.2">
      <c r="D6395" s="139"/>
      <c r="F6395"/>
    </row>
    <row r="6396" spans="4:6" x14ac:dyDescent="0.2">
      <c r="D6396" s="139"/>
      <c r="F6396"/>
    </row>
    <row r="6397" spans="4:6" x14ac:dyDescent="0.2">
      <c r="D6397" s="139"/>
      <c r="F6397"/>
    </row>
    <row r="6398" spans="4:6" x14ac:dyDescent="0.2">
      <c r="D6398" s="139"/>
      <c r="F6398"/>
    </row>
    <row r="6399" spans="4:6" x14ac:dyDescent="0.2">
      <c r="D6399" s="139"/>
      <c r="F6399"/>
    </row>
    <row r="6400" spans="4:6" x14ac:dyDescent="0.2">
      <c r="D6400" s="139"/>
      <c r="F6400"/>
    </row>
    <row r="6401" spans="4:6" x14ac:dyDescent="0.2">
      <c r="D6401" s="139"/>
      <c r="F6401"/>
    </row>
    <row r="6402" spans="4:6" x14ac:dyDescent="0.2">
      <c r="D6402" s="139"/>
      <c r="F6402"/>
    </row>
    <row r="6403" spans="4:6" x14ac:dyDescent="0.2">
      <c r="D6403" s="139"/>
      <c r="F6403"/>
    </row>
    <row r="6404" spans="4:6" x14ac:dyDescent="0.2">
      <c r="D6404" s="139"/>
      <c r="F6404"/>
    </row>
    <row r="6405" spans="4:6" x14ac:dyDescent="0.2">
      <c r="D6405" s="139"/>
      <c r="F6405"/>
    </row>
    <row r="6406" spans="4:6" x14ac:dyDescent="0.2">
      <c r="D6406" s="139"/>
      <c r="F6406"/>
    </row>
    <row r="6407" spans="4:6" x14ac:dyDescent="0.2">
      <c r="D6407" s="139"/>
      <c r="F6407"/>
    </row>
    <row r="6408" spans="4:6" x14ac:dyDescent="0.2">
      <c r="D6408" s="139"/>
      <c r="F6408"/>
    </row>
    <row r="6409" spans="4:6" x14ac:dyDescent="0.2">
      <c r="D6409" s="139"/>
      <c r="F6409"/>
    </row>
    <row r="6410" spans="4:6" x14ac:dyDescent="0.2">
      <c r="D6410" s="139"/>
      <c r="F6410"/>
    </row>
    <row r="6411" spans="4:6" x14ac:dyDescent="0.2">
      <c r="D6411" s="139"/>
      <c r="F6411"/>
    </row>
    <row r="6412" spans="4:6" x14ac:dyDescent="0.2">
      <c r="D6412" s="139"/>
      <c r="F6412"/>
    </row>
    <row r="6413" spans="4:6" x14ac:dyDescent="0.2">
      <c r="D6413" s="139"/>
      <c r="F6413"/>
    </row>
    <row r="6414" spans="4:6" x14ac:dyDescent="0.2">
      <c r="D6414" s="139"/>
      <c r="F6414"/>
    </row>
    <row r="6415" spans="4:6" x14ac:dyDescent="0.2">
      <c r="D6415" s="139"/>
      <c r="F6415"/>
    </row>
    <row r="6416" spans="4:6" x14ac:dyDescent="0.2">
      <c r="D6416" s="139"/>
      <c r="F6416"/>
    </row>
    <row r="6417" spans="4:6" x14ac:dyDescent="0.2">
      <c r="D6417" s="139"/>
      <c r="F6417"/>
    </row>
    <row r="6418" spans="4:6" x14ac:dyDescent="0.2">
      <c r="D6418" s="139"/>
      <c r="F6418"/>
    </row>
    <row r="6419" spans="4:6" x14ac:dyDescent="0.2">
      <c r="D6419" s="139"/>
      <c r="F6419"/>
    </row>
    <row r="6420" spans="4:6" x14ac:dyDescent="0.2">
      <c r="D6420" s="139"/>
      <c r="F6420"/>
    </row>
    <row r="6421" spans="4:6" x14ac:dyDescent="0.2">
      <c r="D6421" s="139"/>
      <c r="F6421"/>
    </row>
    <row r="6422" spans="4:6" x14ac:dyDescent="0.2">
      <c r="D6422" s="139"/>
      <c r="F6422"/>
    </row>
    <row r="6423" spans="4:6" x14ac:dyDescent="0.2">
      <c r="D6423" s="139"/>
      <c r="F6423"/>
    </row>
    <row r="6424" spans="4:6" x14ac:dyDescent="0.2">
      <c r="D6424" s="139"/>
      <c r="F6424"/>
    </row>
    <row r="6425" spans="4:6" x14ac:dyDescent="0.2">
      <c r="D6425" s="139"/>
      <c r="F6425"/>
    </row>
    <row r="6426" spans="4:6" x14ac:dyDescent="0.2">
      <c r="D6426" s="139"/>
      <c r="F6426"/>
    </row>
    <row r="6427" spans="4:6" x14ac:dyDescent="0.2">
      <c r="D6427" s="139"/>
      <c r="F6427"/>
    </row>
    <row r="6428" spans="4:6" x14ac:dyDescent="0.2">
      <c r="D6428" s="139"/>
      <c r="F6428"/>
    </row>
    <row r="6429" spans="4:6" x14ac:dyDescent="0.2">
      <c r="D6429" s="139"/>
      <c r="F6429"/>
    </row>
    <row r="6430" spans="4:6" x14ac:dyDescent="0.2">
      <c r="D6430" s="139"/>
      <c r="F6430"/>
    </row>
    <row r="6431" spans="4:6" x14ac:dyDescent="0.2">
      <c r="D6431" s="139"/>
      <c r="F6431"/>
    </row>
    <row r="6432" spans="4:6" x14ac:dyDescent="0.2">
      <c r="D6432" s="139"/>
      <c r="F6432"/>
    </row>
    <row r="6433" spans="4:6" x14ac:dyDescent="0.2">
      <c r="D6433" s="139"/>
      <c r="F6433"/>
    </row>
    <row r="6434" spans="4:6" x14ac:dyDescent="0.2">
      <c r="D6434" s="139"/>
      <c r="F6434"/>
    </row>
    <row r="6435" spans="4:6" x14ac:dyDescent="0.2">
      <c r="D6435" s="139"/>
      <c r="F6435"/>
    </row>
    <row r="6436" spans="4:6" x14ac:dyDescent="0.2">
      <c r="D6436" s="139"/>
      <c r="F6436"/>
    </row>
    <row r="6437" spans="4:6" x14ac:dyDescent="0.2">
      <c r="D6437" s="139"/>
      <c r="F6437"/>
    </row>
    <row r="6438" spans="4:6" x14ac:dyDescent="0.2">
      <c r="D6438" s="139"/>
      <c r="F6438"/>
    </row>
    <row r="6439" spans="4:6" x14ac:dyDescent="0.2">
      <c r="D6439" s="139"/>
      <c r="F6439"/>
    </row>
    <row r="6440" spans="4:6" x14ac:dyDescent="0.2">
      <c r="D6440" s="139"/>
      <c r="F6440"/>
    </row>
    <row r="6441" spans="4:6" x14ac:dyDescent="0.2">
      <c r="D6441" s="139"/>
      <c r="F6441"/>
    </row>
    <row r="6442" spans="4:6" x14ac:dyDescent="0.2">
      <c r="D6442" s="139"/>
      <c r="F6442"/>
    </row>
    <row r="6443" spans="4:6" x14ac:dyDescent="0.2">
      <c r="D6443" s="139"/>
      <c r="F6443"/>
    </row>
    <row r="6444" spans="4:6" x14ac:dyDescent="0.2">
      <c r="D6444" s="139"/>
      <c r="F6444"/>
    </row>
    <row r="6445" spans="4:6" x14ac:dyDescent="0.2">
      <c r="D6445" s="139"/>
      <c r="F6445"/>
    </row>
    <row r="6446" spans="4:6" x14ac:dyDescent="0.2">
      <c r="D6446" s="139"/>
      <c r="F6446"/>
    </row>
    <row r="6447" spans="4:6" x14ac:dyDescent="0.2">
      <c r="D6447" s="139"/>
      <c r="F6447"/>
    </row>
    <row r="6448" spans="4:6" x14ac:dyDescent="0.2">
      <c r="D6448" s="139"/>
      <c r="F6448"/>
    </row>
    <row r="6449" spans="4:6" x14ac:dyDescent="0.2">
      <c r="D6449" s="139"/>
      <c r="F6449"/>
    </row>
    <row r="6450" spans="4:6" x14ac:dyDescent="0.2">
      <c r="D6450" s="139"/>
      <c r="F6450"/>
    </row>
    <row r="6451" spans="4:6" x14ac:dyDescent="0.2">
      <c r="D6451" s="139"/>
      <c r="F6451"/>
    </row>
    <row r="6452" spans="4:6" x14ac:dyDescent="0.2">
      <c r="D6452" s="139"/>
      <c r="F6452"/>
    </row>
    <row r="6453" spans="4:6" x14ac:dyDescent="0.2">
      <c r="D6453" s="139"/>
      <c r="F6453"/>
    </row>
    <row r="6454" spans="4:6" x14ac:dyDescent="0.2">
      <c r="D6454" s="139"/>
      <c r="F6454"/>
    </row>
    <row r="6455" spans="4:6" x14ac:dyDescent="0.2">
      <c r="D6455" s="139"/>
      <c r="F6455"/>
    </row>
    <row r="6456" spans="4:6" x14ac:dyDescent="0.2">
      <c r="D6456" s="139"/>
      <c r="F6456"/>
    </row>
    <row r="6457" spans="4:6" x14ac:dyDescent="0.2">
      <c r="D6457" s="139"/>
      <c r="F6457"/>
    </row>
    <row r="6458" spans="4:6" x14ac:dyDescent="0.2">
      <c r="D6458" s="139"/>
      <c r="F6458"/>
    </row>
    <row r="6459" spans="4:6" x14ac:dyDescent="0.2">
      <c r="D6459" s="139"/>
      <c r="F6459"/>
    </row>
    <row r="6460" spans="4:6" x14ac:dyDescent="0.2">
      <c r="D6460" s="139"/>
      <c r="F6460"/>
    </row>
    <row r="6461" spans="4:6" x14ac:dyDescent="0.2">
      <c r="D6461" s="139"/>
      <c r="F6461"/>
    </row>
    <row r="6462" spans="4:6" x14ac:dyDescent="0.2">
      <c r="D6462" s="139"/>
      <c r="F6462"/>
    </row>
    <row r="6463" spans="4:6" x14ac:dyDescent="0.2">
      <c r="D6463" s="139"/>
      <c r="F6463"/>
    </row>
    <row r="6464" spans="4:6" x14ac:dyDescent="0.2">
      <c r="D6464" s="139"/>
      <c r="F6464"/>
    </row>
    <row r="6465" spans="4:6" x14ac:dyDescent="0.2">
      <c r="D6465" s="139"/>
      <c r="F6465"/>
    </row>
    <row r="6466" spans="4:6" x14ac:dyDescent="0.2">
      <c r="D6466" s="139"/>
      <c r="F6466"/>
    </row>
    <row r="6467" spans="4:6" x14ac:dyDescent="0.2">
      <c r="D6467" s="139"/>
      <c r="F6467"/>
    </row>
    <row r="6468" spans="4:6" x14ac:dyDescent="0.2">
      <c r="D6468" s="139"/>
      <c r="F6468"/>
    </row>
    <row r="6469" spans="4:6" x14ac:dyDescent="0.2">
      <c r="D6469" s="139"/>
      <c r="F6469"/>
    </row>
    <row r="6470" spans="4:6" x14ac:dyDescent="0.2">
      <c r="D6470" s="139"/>
      <c r="F6470"/>
    </row>
    <row r="6471" spans="4:6" x14ac:dyDescent="0.2">
      <c r="D6471" s="139"/>
      <c r="F6471"/>
    </row>
    <row r="6472" spans="4:6" x14ac:dyDescent="0.2">
      <c r="D6472" s="139"/>
      <c r="F6472"/>
    </row>
    <row r="6473" spans="4:6" x14ac:dyDescent="0.2">
      <c r="D6473" s="139"/>
      <c r="F6473"/>
    </row>
    <row r="6474" spans="4:6" x14ac:dyDescent="0.2">
      <c r="D6474" s="139"/>
      <c r="F6474"/>
    </row>
    <row r="6475" spans="4:6" x14ac:dyDescent="0.2">
      <c r="D6475" s="139"/>
      <c r="F6475"/>
    </row>
    <row r="6476" spans="4:6" x14ac:dyDescent="0.2">
      <c r="D6476" s="139"/>
      <c r="F6476"/>
    </row>
    <row r="6477" spans="4:6" x14ac:dyDescent="0.2">
      <c r="D6477" s="139"/>
      <c r="F6477"/>
    </row>
    <row r="6478" spans="4:6" x14ac:dyDescent="0.2">
      <c r="D6478" s="139"/>
      <c r="F6478"/>
    </row>
    <row r="6479" spans="4:6" x14ac:dyDescent="0.2">
      <c r="D6479" s="139"/>
      <c r="F6479"/>
    </row>
    <row r="6480" spans="4:6" x14ac:dyDescent="0.2">
      <c r="D6480" s="139"/>
      <c r="F6480"/>
    </row>
    <row r="6481" spans="4:6" x14ac:dyDescent="0.2">
      <c r="D6481" s="139"/>
      <c r="F6481"/>
    </row>
    <row r="6482" spans="4:6" x14ac:dyDescent="0.2">
      <c r="D6482" s="139"/>
      <c r="F6482"/>
    </row>
    <row r="6483" spans="4:6" x14ac:dyDescent="0.2">
      <c r="D6483" s="139"/>
      <c r="F6483"/>
    </row>
    <row r="6484" spans="4:6" x14ac:dyDescent="0.2">
      <c r="D6484" s="139"/>
      <c r="F6484"/>
    </row>
    <row r="6485" spans="4:6" x14ac:dyDescent="0.2">
      <c r="D6485" s="139"/>
      <c r="F6485"/>
    </row>
    <row r="6486" spans="4:6" x14ac:dyDescent="0.2">
      <c r="D6486" s="139"/>
      <c r="F6486"/>
    </row>
    <row r="6487" spans="4:6" x14ac:dyDescent="0.2">
      <c r="D6487" s="139"/>
      <c r="F6487"/>
    </row>
    <row r="6488" spans="4:6" x14ac:dyDescent="0.2">
      <c r="D6488" s="139"/>
      <c r="F6488"/>
    </row>
    <row r="6489" spans="4:6" x14ac:dyDescent="0.2">
      <c r="D6489" s="139"/>
      <c r="F6489"/>
    </row>
    <row r="6490" spans="4:6" x14ac:dyDescent="0.2">
      <c r="D6490" s="139"/>
      <c r="F6490"/>
    </row>
    <row r="6491" spans="4:6" x14ac:dyDescent="0.2">
      <c r="D6491" s="139"/>
      <c r="F6491"/>
    </row>
    <row r="6492" spans="4:6" x14ac:dyDescent="0.2">
      <c r="D6492" s="139"/>
      <c r="F6492"/>
    </row>
    <row r="6493" spans="4:6" x14ac:dyDescent="0.2">
      <c r="D6493" s="139"/>
      <c r="F6493"/>
    </row>
    <row r="6494" spans="4:6" x14ac:dyDescent="0.2">
      <c r="D6494" s="139"/>
      <c r="F6494"/>
    </row>
    <row r="6495" spans="4:6" x14ac:dyDescent="0.2">
      <c r="D6495" s="139"/>
      <c r="F6495"/>
    </row>
    <row r="6496" spans="4:6" x14ac:dyDescent="0.2">
      <c r="D6496" s="139"/>
      <c r="F6496"/>
    </row>
    <row r="6497" spans="4:6" x14ac:dyDescent="0.2">
      <c r="D6497" s="139"/>
      <c r="F6497"/>
    </row>
    <row r="6498" spans="4:6" x14ac:dyDescent="0.2">
      <c r="D6498" s="139"/>
      <c r="F6498"/>
    </row>
    <row r="6499" spans="4:6" x14ac:dyDescent="0.2">
      <c r="D6499" s="139"/>
      <c r="F6499"/>
    </row>
    <row r="6500" spans="4:6" x14ac:dyDescent="0.2">
      <c r="D6500" s="139"/>
      <c r="F6500"/>
    </row>
    <row r="6501" spans="4:6" x14ac:dyDescent="0.2">
      <c r="D6501" s="139"/>
      <c r="F6501"/>
    </row>
    <row r="6502" spans="4:6" x14ac:dyDescent="0.2">
      <c r="D6502" s="139"/>
      <c r="F6502"/>
    </row>
    <row r="6503" spans="4:6" x14ac:dyDescent="0.2">
      <c r="D6503" s="139"/>
      <c r="F6503"/>
    </row>
    <row r="6504" spans="4:6" x14ac:dyDescent="0.2">
      <c r="D6504" s="139"/>
      <c r="F6504"/>
    </row>
    <row r="6505" spans="4:6" x14ac:dyDescent="0.2">
      <c r="D6505" s="139"/>
      <c r="F6505"/>
    </row>
    <row r="6506" spans="4:6" x14ac:dyDescent="0.2">
      <c r="D6506" s="139"/>
      <c r="F6506"/>
    </row>
    <row r="6507" spans="4:6" x14ac:dyDescent="0.2">
      <c r="D6507" s="139"/>
      <c r="F6507"/>
    </row>
    <row r="6508" spans="4:6" x14ac:dyDescent="0.2">
      <c r="D6508" s="139"/>
      <c r="F6508"/>
    </row>
    <row r="6509" spans="4:6" x14ac:dyDescent="0.2">
      <c r="D6509" s="139"/>
      <c r="F6509"/>
    </row>
    <row r="6510" spans="4:6" x14ac:dyDescent="0.2">
      <c r="D6510" s="139"/>
      <c r="F6510"/>
    </row>
    <row r="6511" spans="4:6" x14ac:dyDescent="0.2">
      <c r="D6511" s="139"/>
      <c r="F6511"/>
    </row>
    <row r="6512" spans="4:6" x14ac:dyDescent="0.2">
      <c r="D6512" s="139"/>
      <c r="F6512"/>
    </row>
    <row r="6513" spans="4:6" x14ac:dyDescent="0.2">
      <c r="D6513" s="139"/>
      <c r="F6513"/>
    </row>
    <row r="6514" spans="4:6" x14ac:dyDescent="0.2">
      <c r="D6514" s="139"/>
      <c r="F6514"/>
    </row>
    <row r="6515" spans="4:6" x14ac:dyDescent="0.2">
      <c r="D6515" s="139"/>
      <c r="F6515"/>
    </row>
    <row r="6516" spans="4:6" x14ac:dyDescent="0.2">
      <c r="D6516" s="139"/>
      <c r="F6516"/>
    </row>
    <row r="6517" spans="4:6" x14ac:dyDescent="0.2">
      <c r="D6517" s="139"/>
      <c r="F6517"/>
    </row>
    <row r="6518" spans="4:6" x14ac:dyDescent="0.2">
      <c r="D6518" s="139"/>
      <c r="F6518"/>
    </row>
    <row r="6519" spans="4:6" x14ac:dyDescent="0.2">
      <c r="D6519" s="139"/>
      <c r="F6519"/>
    </row>
    <row r="6520" spans="4:6" x14ac:dyDescent="0.2">
      <c r="D6520" s="139"/>
      <c r="F6520"/>
    </row>
    <row r="6521" spans="4:6" x14ac:dyDescent="0.2">
      <c r="D6521" s="139"/>
      <c r="F6521"/>
    </row>
    <row r="6522" spans="4:6" x14ac:dyDescent="0.2">
      <c r="D6522" s="139"/>
      <c r="F6522"/>
    </row>
    <row r="6523" spans="4:6" x14ac:dyDescent="0.2">
      <c r="D6523" s="139"/>
      <c r="F6523"/>
    </row>
    <row r="6524" spans="4:6" x14ac:dyDescent="0.2">
      <c r="D6524" s="139"/>
      <c r="F6524"/>
    </row>
    <row r="6525" spans="4:6" x14ac:dyDescent="0.2">
      <c r="D6525" s="139"/>
      <c r="F6525"/>
    </row>
    <row r="6526" spans="4:6" x14ac:dyDescent="0.2">
      <c r="D6526" s="139"/>
      <c r="F6526"/>
    </row>
    <row r="6527" spans="4:6" x14ac:dyDescent="0.2">
      <c r="D6527" s="139"/>
      <c r="F6527"/>
    </row>
    <row r="6528" spans="4:6" x14ac:dyDescent="0.2">
      <c r="D6528" s="139"/>
      <c r="F6528"/>
    </row>
    <row r="6529" spans="4:6" x14ac:dyDescent="0.2">
      <c r="D6529" s="139"/>
      <c r="F6529"/>
    </row>
    <row r="6530" spans="4:6" x14ac:dyDescent="0.2">
      <c r="D6530" s="139"/>
      <c r="F6530"/>
    </row>
    <row r="6531" spans="4:6" x14ac:dyDescent="0.2">
      <c r="D6531" s="139"/>
      <c r="F6531"/>
    </row>
    <row r="6532" spans="4:6" x14ac:dyDescent="0.2">
      <c r="D6532" s="139"/>
      <c r="F6532"/>
    </row>
    <row r="6533" spans="4:6" x14ac:dyDescent="0.2">
      <c r="D6533" s="139"/>
      <c r="F6533"/>
    </row>
    <row r="6534" spans="4:6" x14ac:dyDescent="0.2">
      <c r="D6534" s="139"/>
      <c r="F6534"/>
    </row>
    <row r="6535" spans="4:6" x14ac:dyDescent="0.2">
      <c r="D6535" s="139"/>
      <c r="F6535"/>
    </row>
    <row r="6536" spans="4:6" x14ac:dyDescent="0.2">
      <c r="D6536" s="139"/>
      <c r="F6536"/>
    </row>
    <row r="6537" spans="4:6" x14ac:dyDescent="0.2">
      <c r="D6537" s="139"/>
      <c r="F6537"/>
    </row>
    <row r="6538" spans="4:6" x14ac:dyDescent="0.2">
      <c r="D6538" s="139"/>
      <c r="F6538"/>
    </row>
    <row r="6539" spans="4:6" x14ac:dyDescent="0.2">
      <c r="D6539" s="139"/>
      <c r="F6539"/>
    </row>
    <row r="6540" spans="4:6" x14ac:dyDescent="0.2">
      <c r="D6540" s="139"/>
      <c r="F6540"/>
    </row>
    <row r="6541" spans="4:6" x14ac:dyDescent="0.2">
      <c r="D6541" s="139"/>
      <c r="F6541"/>
    </row>
    <row r="6542" spans="4:6" x14ac:dyDescent="0.2">
      <c r="D6542" s="139"/>
      <c r="F6542"/>
    </row>
    <row r="6543" spans="4:6" x14ac:dyDescent="0.2">
      <c r="D6543" s="139"/>
      <c r="F6543"/>
    </row>
    <row r="6544" spans="4:6" x14ac:dyDescent="0.2">
      <c r="D6544" s="139"/>
      <c r="F6544"/>
    </row>
    <row r="6545" spans="4:6" x14ac:dyDescent="0.2">
      <c r="D6545" s="139"/>
      <c r="F6545"/>
    </row>
    <row r="6546" spans="4:6" x14ac:dyDescent="0.2">
      <c r="D6546" s="139"/>
      <c r="F6546"/>
    </row>
    <row r="6547" spans="4:6" x14ac:dyDescent="0.2">
      <c r="D6547" s="139"/>
      <c r="F6547"/>
    </row>
    <row r="6548" spans="4:6" x14ac:dyDescent="0.2">
      <c r="D6548" s="139"/>
      <c r="F6548"/>
    </row>
    <row r="6549" spans="4:6" x14ac:dyDescent="0.2">
      <c r="D6549" s="139"/>
      <c r="F6549"/>
    </row>
    <row r="6550" spans="4:6" x14ac:dyDescent="0.2">
      <c r="D6550" s="139"/>
      <c r="F6550"/>
    </row>
    <row r="6551" spans="4:6" x14ac:dyDescent="0.2">
      <c r="D6551" s="139"/>
      <c r="F6551"/>
    </row>
    <row r="6552" spans="4:6" x14ac:dyDescent="0.2">
      <c r="D6552" s="139"/>
      <c r="F6552"/>
    </row>
    <row r="6553" spans="4:6" x14ac:dyDescent="0.2">
      <c r="D6553" s="139"/>
      <c r="F6553"/>
    </row>
    <row r="6554" spans="4:6" x14ac:dyDescent="0.2">
      <c r="D6554" s="139"/>
      <c r="F655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04D4-077B-48D9-9184-851AE3EB3F30}">
  <sheetPr>
    <pageSetUpPr fitToPage="1"/>
  </sheetPr>
  <dimension ref="A1:Q37"/>
  <sheetViews>
    <sheetView topLeftCell="A25" workbookViewId="0">
      <selection activeCell="B4" sqref="B4"/>
    </sheetView>
  </sheetViews>
  <sheetFormatPr defaultRowHeight="12.75" x14ac:dyDescent="0.2"/>
  <cols>
    <col min="1" max="1" width="22.125" style="551" customWidth="1"/>
    <col min="2" max="17" width="9.25" style="552" customWidth="1"/>
    <col min="18" max="16384" width="9" style="551"/>
  </cols>
  <sheetData>
    <row r="1" spans="1:17" ht="17.100000000000001" customHeight="1" thickTop="1" x14ac:dyDescent="0.2">
      <c r="A1" s="565" t="s">
        <v>5</v>
      </c>
      <c r="B1" s="806" t="s">
        <v>77</v>
      </c>
      <c r="C1" s="807"/>
      <c r="D1" s="806" t="s">
        <v>78</v>
      </c>
      <c r="E1" s="807"/>
      <c r="F1" s="806" t="s">
        <v>79</v>
      </c>
      <c r="G1" s="807"/>
      <c r="H1" s="806" t="s">
        <v>80</v>
      </c>
      <c r="I1" s="807"/>
      <c r="J1" s="806" t="s">
        <v>81</v>
      </c>
      <c r="K1" s="807"/>
      <c r="L1" s="806" t="s">
        <v>82</v>
      </c>
      <c r="M1" s="807"/>
      <c r="N1" s="806" t="s">
        <v>83</v>
      </c>
      <c r="O1" s="807"/>
      <c r="P1" s="806" t="s">
        <v>84</v>
      </c>
      <c r="Q1" s="807"/>
    </row>
    <row r="2" spans="1:17" s="563" customFormat="1" ht="17.100000000000001" customHeight="1" x14ac:dyDescent="0.2">
      <c r="A2" s="566"/>
      <c r="B2" s="571" t="s">
        <v>9553</v>
      </c>
      <c r="C2" s="572" t="s">
        <v>9554</v>
      </c>
      <c r="D2" s="571" t="s">
        <v>9553</v>
      </c>
      <c r="E2" s="572" t="s">
        <v>9554</v>
      </c>
      <c r="F2" s="571" t="s">
        <v>9553</v>
      </c>
      <c r="G2" s="572" t="s">
        <v>9554</v>
      </c>
      <c r="H2" s="571" t="s">
        <v>9553</v>
      </c>
      <c r="I2" s="572" t="s">
        <v>9554</v>
      </c>
      <c r="J2" s="571" t="s">
        <v>9553</v>
      </c>
      <c r="K2" s="572" t="s">
        <v>9554</v>
      </c>
      <c r="L2" s="571" t="s">
        <v>9553</v>
      </c>
      <c r="M2" s="572" t="s">
        <v>9554</v>
      </c>
      <c r="N2" s="571" t="s">
        <v>9553</v>
      </c>
      <c r="O2" s="572" t="s">
        <v>9554</v>
      </c>
      <c r="P2" s="571" t="s">
        <v>9553</v>
      </c>
      <c r="Q2" s="572" t="s">
        <v>9554</v>
      </c>
    </row>
    <row r="3" spans="1:17" x14ac:dyDescent="0.2">
      <c r="A3" s="567" t="s">
        <v>32</v>
      </c>
      <c r="B3" s="573">
        <v>0.12</v>
      </c>
      <c r="C3" s="574">
        <v>0.12</v>
      </c>
      <c r="D3" s="578">
        <v>0.16</v>
      </c>
      <c r="E3" s="574">
        <v>0.16</v>
      </c>
      <c r="F3" s="573">
        <v>0.23</v>
      </c>
      <c r="G3" s="574">
        <v>0.23</v>
      </c>
      <c r="H3" s="573">
        <v>0.23</v>
      </c>
      <c r="I3" s="574">
        <v>0.23</v>
      </c>
      <c r="J3" s="573">
        <v>0.34</v>
      </c>
      <c r="K3" s="574">
        <v>0.34</v>
      </c>
      <c r="L3" s="573">
        <v>0.18</v>
      </c>
      <c r="M3" s="574">
        <v>0.18</v>
      </c>
      <c r="N3" s="573">
        <v>0.13</v>
      </c>
      <c r="O3" s="574">
        <v>0.13</v>
      </c>
      <c r="P3" s="573">
        <v>0.03</v>
      </c>
      <c r="Q3" s="574">
        <v>0.03</v>
      </c>
    </row>
    <row r="4" spans="1:17" x14ac:dyDescent="0.2">
      <c r="A4" s="567" t="s">
        <v>33</v>
      </c>
      <c r="B4" s="573">
        <v>0.1</v>
      </c>
      <c r="C4" s="574">
        <v>0.1</v>
      </c>
      <c r="D4" s="578">
        <v>0.15</v>
      </c>
      <c r="E4" s="574">
        <v>0.15</v>
      </c>
      <c r="F4" s="573">
        <v>0.22</v>
      </c>
      <c r="G4" s="574">
        <v>0.22</v>
      </c>
      <c r="H4" s="573">
        <v>0.22</v>
      </c>
      <c r="I4" s="574">
        <v>0.22</v>
      </c>
      <c r="J4" s="573">
        <v>0.19</v>
      </c>
      <c r="K4" s="574">
        <v>0.19</v>
      </c>
      <c r="L4" s="573">
        <v>0.1</v>
      </c>
      <c r="M4" s="574">
        <v>0.1</v>
      </c>
      <c r="N4" s="573">
        <v>0.08</v>
      </c>
      <c r="O4" s="574">
        <v>0.08</v>
      </c>
      <c r="P4" s="573">
        <v>7.0000000000000007E-2</v>
      </c>
      <c r="Q4" s="574">
        <v>7.0000000000000007E-2</v>
      </c>
    </row>
    <row r="5" spans="1:17" x14ac:dyDescent="0.2">
      <c r="A5" s="567" t="s">
        <v>34</v>
      </c>
      <c r="B5" s="573">
        <v>0</v>
      </c>
      <c r="C5" s="574">
        <v>0</v>
      </c>
      <c r="D5" s="578">
        <v>0.05</v>
      </c>
      <c r="E5" s="574">
        <v>0.05</v>
      </c>
      <c r="F5" s="573">
        <v>0.05</v>
      </c>
      <c r="G5" s="574">
        <v>0.05</v>
      </c>
      <c r="H5" s="573">
        <v>0.05</v>
      </c>
      <c r="I5" s="574">
        <v>0.05</v>
      </c>
      <c r="J5" s="573">
        <v>0.06</v>
      </c>
      <c r="K5" s="574">
        <v>0.06</v>
      </c>
      <c r="L5" s="573">
        <v>0.06</v>
      </c>
      <c r="M5" s="574">
        <v>0.06</v>
      </c>
      <c r="N5" s="573">
        <v>0.06</v>
      </c>
      <c r="O5" s="574">
        <v>0.06</v>
      </c>
      <c r="P5" s="573">
        <v>0</v>
      </c>
      <c r="Q5" s="574">
        <v>0</v>
      </c>
    </row>
    <row r="6" spans="1:17" x14ac:dyDescent="0.2">
      <c r="A6" s="567" t="s">
        <v>35</v>
      </c>
      <c r="B6" s="573">
        <v>0</v>
      </c>
      <c r="C6" s="574">
        <v>0</v>
      </c>
      <c r="D6" s="578">
        <v>0.04</v>
      </c>
      <c r="E6" s="574">
        <v>0.04</v>
      </c>
      <c r="F6" s="573">
        <v>0.04</v>
      </c>
      <c r="G6" s="574">
        <v>0.04</v>
      </c>
      <c r="H6" s="573">
        <v>0.1</v>
      </c>
      <c r="I6" s="574">
        <v>0.1</v>
      </c>
      <c r="J6" s="573">
        <v>0.11</v>
      </c>
      <c r="K6" s="574">
        <v>0.11</v>
      </c>
      <c r="L6" s="573">
        <v>0.24</v>
      </c>
      <c r="M6" s="574">
        <v>0.24</v>
      </c>
      <c r="N6" s="573">
        <v>0.25</v>
      </c>
      <c r="O6" s="574">
        <v>0.25</v>
      </c>
      <c r="P6" s="573">
        <v>0.27</v>
      </c>
      <c r="Q6" s="574">
        <v>0.27</v>
      </c>
    </row>
    <row r="7" spans="1:17" x14ac:dyDescent="0.2">
      <c r="A7" s="567" t="s">
        <v>36</v>
      </c>
      <c r="B7" s="573">
        <v>0</v>
      </c>
      <c r="C7" s="574">
        <v>0</v>
      </c>
      <c r="D7" s="578">
        <v>0</v>
      </c>
      <c r="E7" s="574">
        <v>0</v>
      </c>
      <c r="F7" s="573">
        <v>0.04</v>
      </c>
      <c r="G7" s="574">
        <v>0.04</v>
      </c>
      <c r="H7" s="573">
        <v>0.1</v>
      </c>
      <c r="I7" s="574">
        <v>0.1</v>
      </c>
      <c r="J7" s="573">
        <v>0.13</v>
      </c>
      <c r="K7" s="574">
        <v>0.13</v>
      </c>
      <c r="L7" s="573">
        <v>0.27</v>
      </c>
      <c r="M7" s="574">
        <v>0.27</v>
      </c>
      <c r="N7" s="573">
        <v>0.42</v>
      </c>
      <c r="O7" s="574">
        <v>0.4</v>
      </c>
      <c r="P7" s="573">
        <v>0.63</v>
      </c>
      <c r="Q7" s="574">
        <v>0.61</v>
      </c>
    </row>
    <row r="8" spans="1:17" x14ac:dyDescent="0.2">
      <c r="A8" s="567" t="s">
        <v>37</v>
      </c>
      <c r="B8" s="573">
        <v>0.05</v>
      </c>
      <c r="C8" s="574">
        <v>0.05</v>
      </c>
      <c r="D8" s="578">
        <v>0.05</v>
      </c>
      <c r="E8" s="574">
        <v>0.05</v>
      </c>
      <c r="F8" s="573">
        <v>0.06</v>
      </c>
      <c r="G8" s="574">
        <v>0.06</v>
      </c>
      <c r="H8" s="573">
        <v>7.0000000000000007E-2</v>
      </c>
      <c r="I8" s="574">
        <v>7.0000000000000007E-2</v>
      </c>
      <c r="J8" s="573">
        <v>0.08</v>
      </c>
      <c r="K8" s="574">
        <v>0.08</v>
      </c>
      <c r="L8" s="573">
        <v>0.06</v>
      </c>
      <c r="M8" s="574">
        <v>0.06</v>
      </c>
      <c r="N8" s="573">
        <v>0.06</v>
      </c>
      <c r="O8" s="574">
        <v>0.06</v>
      </c>
      <c r="P8" s="573">
        <v>0</v>
      </c>
      <c r="Q8" s="574">
        <v>0</v>
      </c>
    </row>
    <row r="9" spans="1:17" x14ac:dyDescent="0.2">
      <c r="A9" s="567" t="s">
        <v>38</v>
      </c>
      <c r="B9" s="573">
        <v>0</v>
      </c>
      <c r="C9" s="574">
        <v>0</v>
      </c>
      <c r="D9" s="578">
        <v>0</v>
      </c>
      <c r="E9" s="574">
        <v>0</v>
      </c>
      <c r="F9" s="573">
        <v>0</v>
      </c>
      <c r="G9" s="574">
        <v>0</v>
      </c>
      <c r="H9" s="573">
        <v>0</v>
      </c>
      <c r="I9" s="574">
        <v>0</v>
      </c>
      <c r="J9" s="573">
        <v>0</v>
      </c>
      <c r="K9" s="574">
        <v>0</v>
      </c>
      <c r="L9" s="573">
        <v>0</v>
      </c>
      <c r="M9" s="574">
        <v>0</v>
      </c>
      <c r="N9" s="573">
        <v>0</v>
      </c>
      <c r="O9" s="574">
        <v>0</v>
      </c>
      <c r="P9" s="573">
        <v>0</v>
      </c>
      <c r="Q9" s="574">
        <v>0</v>
      </c>
    </row>
    <row r="10" spans="1:17" s="563" customFormat="1" ht="17.100000000000001" customHeight="1" x14ac:dyDescent="0.2">
      <c r="A10" s="568" t="s">
        <v>39</v>
      </c>
      <c r="B10" s="577">
        <f>SUM(B3:B9)</f>
        <v>0.27</v>
      </c>
      <c r="C10" s="576">
        <f>SUM(C3:C9)</f>
        <v>0.27</v>
      </c>
      <c r="D10" s="575">
        <f t="shared" ref="D10:Q10" si="0">SUM(D3:D9)</f>
        <v>0.44999999999999996</v>
      </c>
      <c r="E10" s="576">
        <f t="shared" si="0"/>
        <v>0.44999999999999996</v>
      </c>
      <c r="F10" s="575">
        <f t="shared" si="0"/>
        <v>0.64000000000000012</v>
      </c>
      <c r="G10" s="576">
        <f t="shared" si="0"/>
        <v>0.64000000000000012</v>
      </c>
      <c r="H10" s="575">
        <f t="shared" si="0"/>
        <v>0.77</v>
      </c>
      <c r="I10" s="576">
        <f t="shared" si="0"/>
        <v>0.77</v>
      </c>
      <c r="J10" s="575">
        <f t="shared" si="0"/>
        <v>0.91</v>
      </c>
      <c r="K10" s="576">
        <f t="shared" si="0"/>
        <v>0.91</v>
      </c>
      <c r="L10" s="575">
        <f t="shared" si="0"/>
        <v>0.91000000000000014</v>
      </c>
      <c r="M10" s="576">
        <f t="shared" si="0"/>
        <v>0.91000000000000014</v>
      </c>
      <c r="N10" s="575">
        <f t="shared" si="0"/>
        <v>1</v>
      </c>
      <c r="O10" s="576">
        <f t="shared" si="0"/>
        <v>0.98</v>
      </c>
      <c r="P10" s="575">
        <f t="shared" si="0"/>
        <v>1</v>
      </c>
      <c r="Q10" s="576">
        <f t="shared" si="0"/>
        <v>0.98</v>
      </c>
    </row>
    <row r="11" spans="1:17" x14ac:dyDescent="0.2">
      <c r="A11" s="569" t="s">
        <v>40</v>
      </c>
      <c r="B11" s="573">
        <v>0.1</v>
      </c>
      <c r="C11" s="574">
        <v>0.1</v>
      </c>
      <c r="D11" s="578">
        <v>0.05</v>
      </c>
      <c r="E11" s="574">
        <v>0.05</v>
      </c>
      <c r="F11" s="573">
        <v>0.03</v>
      </c>
      <c r="G11" s="574">
        <v>0.03</v>
      </c>
      <c r="H11" s="573">
        <v>0</v>
      </c>
      <c r="I11" s="574">
        <v>0</v>
      </c>
      <c r="J11" s="573">
        <v>0</v>
      </c>
      <c r="K11" s="574">
        <v>0</v>
      </c>
      <c r="L11" s="573">
        <v>0</v>
      </c>
      <c r="M11" s="574">
        <v>0</v>
      </c>
      <c r="N11" s="573">
        <v>0</v>
      </c>
      <c r="O11" s="574">
        <v>0</v>
      </c>
      <c r="P11" s="573">
        <v>0</v>
      </c>
      <c r="Q11" s="574">
        <v>0</v>
      </c>
    </row>
    <row r="12" spans="1:17" x14ac:dyDescent="0.2">
      <c r="A12" s="569" t="s">
        <v>9529</v>
      </c>
      <c r="B12" s="573">
        <v>0.08</v>
      </c>
      <c r="C12" s="574">
        <v>0.08</v>
      </c>
      <c r="D12" s="578">
        <v>0.08</v>
      </c>
      <c r="E12" s="574">
        <v>0.08</v>
      </c>
      <c r="F12" s="573">
        <v>0.04</v>
      </c>
      <c r="G12" s="574">
        <v>0.04</v>
      </c>
      <c r="H12" s="573">
        <v>0</v>
      </c>
      <c r="I12" s="574">
        <v>0</v>
      </c>
      <c r="J12" s="573">
        <v>0</v>
      </c>
      <c r="K12" s="574">
        <v>0</v>
      </c>
      <c r="L12" s="573">
        <v>0</v>
      </c>
      <c r="M12" s="574">
        <v>0</v>
      </c>
      <c r="N12" s="573">
        <v>0</v>
      </c>
      <c r="O12" s="574">
        <v>0</v>
      </c>
      <c r="P12" s="573">
        <v>0</v>
      </c>
      <c r="Q12" s="574">
        <v>0</v>
      </c>
    </row>
    <row r="13" spans="1:17" x14ac:dyDescent="0.2">
      <c r="A13" s="569" t="s">
        <v>9528</v>
      </c>
      <c r="B13" s="573">
        <v>0.18</v>
      </c>
      <c r="C13" s="574">
        <v>0.18</v>
      </c>
      <c r="D13" s="578">
        <v>0.1</v>
      </c>
      <c r="E13" s="574">
        <v>0.1</v>
      </c>
      <c r="F13" s="573">
        <v>0.04</v>
      </c>
      <c r="G13" s="574">
        <v>0.04</v>
      </c>
      <c r="H13" s="573">
        <v>0.04</v>
      </c>
      <c r="I13" s="574">
        <v>0.04</v>
      </c>
      <c r="J13" s="573">
        <v>0</v>
      </c>
      <c r="K13" s="574">
        <v>0.02</v>
      </c>
      <c r="L13" s="573">
        <v>0</v>
      </c>
      <c r="M13" s="574">
        <v>0.02</v>
      </c>
      <c r="N13" s="573">
        <v>0</v>
      </c>
      <c r="O13" s="574">
        <v>0</v>
      </c>
      <c r="P13" s="573">
        <v>0</v>
      </c>
      <c r="Q13" s="574">
        <v>0</v>
      </c>
    </row>
    <row r="14" spans="1:17" x14ac:dyDescent="0.2">
      <c r="A14" s="569" t="s">
        <v>9530</v>
      </c>
      <c r="B14" s="573">
        <v>0.15</v>
      </c>
      <c r="C14" s="574">
        <v>0.15</v>
      </c>
      <c r="D14" s="578">
        <v>0.15</v>
      </c>
      <c r="E14" s="574">
        <v>0.15</v>
      </c>
      <c r="F14" s="573">
        <v>0.1</v>
      </c>
      <c r="G14" s="574">
        <v>0.1</v>
      </c>
      <c r="H14" s="573">
        <v>0.08</v>
      </c>
      <c r="I14" s="574">
        <v>0.08</v>
      </c>
      <c r="J14" s="573">
        <v>0</v>
      </c>
      <c r="K14" s="574">
        <v>0</v>
      </c>
      <c r="L14" s="573">
        <v>0</v>
      </c>
      <c r="M14" s="574">
        <v>0</v>
      </c>
      <c r="N14" s="573">
        <v>0</v>
      </c>
      <c r="O14" s="574">
        <v>0</v>
      </c>
      <c r="P14" s="573">
        <v>0</v>
      </c>
      <c r="Q14" s="574">
        <v>0</v>
      </c>
    </row>
    <row r="15" spans="1:17" x14ac:dyDescent="0.2">
      <c r="A15" s="569" t="s">
        <v>9531</v>
      </c>
      <c r="B15" s="573">
        <v>0</v>
      </c>
      <c r="C15" s="574">
        <v>0</v>
      </c>
      <c r="D15" s="578">
        <v>0</v>
      </c>
      <c r="E15" s="574">
        <v>0</v>
      </c>
      <c r="F15" s="573">
        <v>0</v>
      </c>
      <c r="G15" s="574">
        <v>0</v>
      </c>
      <c r="H15" s="573">
        <v>0</v>
      </c>
      <c r="I15" s="574">
        <v>0</v>
      </c>
      <c r="J15" s="573">
        <v>0.04</v>
      </c>
      <c r="K15" s="574">
        <v>0</v>
      </c>
      <c r="L15" s="573">
        <v>0.04</v>
      </c>
      <c r="M15" s="574">
        <v>0</v>
      </c>
      <c r="N15" s="573">
        <v>0</v>
      </c>
      <c r="O15" s="574">
        <v>0</v>
      </c>
      <c r="P15" s="573">
        <v>0</v>
      </c>
      <c r="Q15" s="574">
        <v>0</v>
      </c>
    </row>
    <row r="16" spans="1:17" x14ac:dyDescent="0.2">
      <c r="A16" s="569" t="s">
        <v>45</v>
      </c>
      <c r="B16" s="573">
        <v>0</v>
      </c>
      <c r="C16" s="574">
        <v>0</v>
      </c>
      <c r="D16" s="578">
        <v>0</v>
      </c>
      <c r="E16" s="574">
        <v>0</v>
      </c>
      <c r="F16" s="573">
        <v>0</v>
      </c>
      <c r="G16" s="574">
        <v>0</v>
      </c>
      <c r="H16" s="573">
        <v>0</v>
      </c>
      <c r="I16" s="574">
        <v>0</v>
      </c>
      <c r="J16" s="573">
        <v>0</v>
      </c>
      <c r="K16" s="574">
        <v>0</v>
      </c>
      <c r="L16" s="573">
        <v>0</v>
      </c>
      <c r="M16" s="574">
        <v>0</v>
      </c>
      <c r="N16" s="573">
        <v>0</v>
      </c>
      <c r="O16" s="574">
        <v>0</v>
      </c>
      <c r="P16" s="573">
        <v>0</v>
      </c>
      <c r="Q16" s="574">
        <v>0</v>
      </c>
    </row>
    <row r="17" spans="1:17" s="563" customFormat="1" ht="17.100000000000001" customHeight="1" x14ac:dyDescent="0.2">
      <c r="A17" s="568" t="s">
        <v>46</v>
      </c>
      <c r="B17" s="577">
        <f>SUM(B11:B16)</f>
        <v>0.51</v>
      </c>
      <c r="C17" s="576">
        <f>SUM(C11:C16)</f>
        <v>0.51</v>
      </c>
      <c r="D17" s="575">
        <f t="shared" ref="D17:Q17" si="1">SUM(D11:D16)</f>
        <v>0.38</v>
      </c>
      <c r="E17" s="576">
        <f t="shared" si="1"/>
        <v>0.38</v>
      </c>
      <c r="F17" s="575">
        <f t="shared" si="1"/>
        <v>0.21000000000000002</v>
      </c>
      <c r="G17" s="576">
        <f t="shared" si="1"/>
        <v>0.21000000000000002</v>
      </c>
      <c r="H17" s="575">
        <f t="shared" si="1"/>
        <v>0.12</v>
      </c>
      <c r="I17" s="576">
        <f t="shared" si="1"/>
        <v>0.12</v>
      </c>
      <c r="J17" s="575">
        <f t="shared" si="1"/>
        <v>0.04</v>
      </c>
      <c r="K17" s="576">
        <f t="shared" si="1"/>
        <v>0.02</v>
      </c>
      <c r="L17" s="575">
        <f t="shared" si="1"/>
        <v>0.04</v>
      </c>
      <c r="M17" s="576">
        <f t="shared" si="1"/>
        <v>0.02</v>
      </c>
      <c r="N17" s="575">
        <f t="shared" si="1"/>
        <v>0</v>
      </c>
      <c r="O17" s="576">
        <f t="shared" si="1"/>
        <v>0</v>
      </c>
      <c r="P17" s="575">
        <f t="shared" si="1"/>
        <v>0</v>
      </c>
      <c r="Q17" s="576">
        <f t="shared" si="1"/>
        <v>0</v>
      </c>
    </row>
    <row r="18" spans="1:17" x14ac:dyDescent="0.2">
      <c r="A18" s="570" t="s">
        <v>11</v>
      </c>
      <c r="B18" s="573">
        <v>0.17</v>
      </c>
      <c r="C18" s="574">
        <v>0.17</v>
      </c>
      <c r="D18" s="578">
        <v>0.12</v>
      </c>
      <c r="E18" s="574">
        <v>0.12</v>
      </c>
      <c r="F18" s="573">
        <v>0.1</v>
      </c>
      <c r="G18" s="574">
        <v>0.1</v>
      </c>
      <c r="H18" s="573">
        <v>0.06</v>
      </c>
      <c r="I18" s="574">
        <v>0.06</v>
      </c>
      <c r="J18" s="573">
        <v>0</v>
      </c>
      <c r="K18" s="574">
        <v>0.02</v>
      </c>
      <c r="L18" s="573">
        <v>0</v>
      </c>
      <c r="M18" s="574">
        <v>0.02</v>
      </c>
      <c r="N18" s="573">
        <v>0</v>
      </c>
      <c r="O18" s="574">
        <v>0.02</v>
      </c>
      <c r="P18" s="573">
        <v>0</v>
      </c>
      <c r="Q18" s="574">
        <v>0.02</v>
      </c>
    </row>
    <row r="19" spans="1:17" s="563" customFormat="1" ht="17.100000000000001" customHeight="1" x14ac:dyDescent="0.2">
      <c r="A19" s="568" t="s">
        <v>9534</v>
      </c>
      <c r="B19" s="577">
        <f>SUM(B18)</f>
        <v>0.17</v>
      </c>
      <c r="C19" s="576">
        <f>SUM(C18)</f>
        <v>0.17</v>
      </c>
      <c r="D19" s="575">
        <f t="shared" ref="D19:Q19" si="2">SUM(D18)</f>
        <v>0.12</v>
      </c>
      <c r="E19" s="576">
        <f t="shared" si="2"/>
        <v>0.12</v>
      </c>
      <c r="F19" s="577">
        <f t="shared" si="2"/>
        <v>0.1</v>
      </c>
      <c r="G19" s="576">
        <f t="shared" si="2"/>
        <v>0.1</v>
      </c>
      <c r="H19" s="577">
        <f t="shared" si="2"/>
        <v>0.06</v>
      </c>
      <c r="I19" s="576">
        <f t="shared" si="2"/>
        <v>0.06</v>
      </c>
      <c r="J19" s="577">
        <f t="shared" si="2"/>
        <v>0</v>
      </c>
      <c r="K19" s="576">
        <f t="shared" si="2"/>
        <v>0.02</v>
      </c>
      <c r="L19" s="577">
        <f t="shared" si="2"/>
        <v>0</v>
      </c>
      <c r="M19" s="576">
        <f t="shared" si="2"/>
        <v>0.02</v>
      </c>
      <c r="N19" s="577">
        <f t="shared" si="2"/>
        <v>0</v>
      </c>
      <c r="O19" s="576">
        <f t="shared" si="2"/>
        <v>0.02</v>
      </c>
      <c r="P19" s="577">
        <f t="shared" si="2"/>
        <v>0</v>
      </c>
      <c r="Q19" s="576">
        <f t="shared" si="2"/>
        <v>0.02</v>
      </c>
    </row>
    <row r="20" spans="1:17" x14ac:dyDescent="0.2">
      <c r="A20" s="570" t="s">
        <v>49</v>
      </c>
      <c r="B20" s="573">
        <v>0.05</v>
      </c>
      <c r="C20" s="574">
        <v>0.05</v>
      </c>
      <c r="D20" s="578">
        <v>0.05</v>
      </c>
      <c r="E20" s="574">
        <v>0.05</v>
      </c>
      <c r="F20" s="573">
        <v>0.05</v>
      </c>
      <c r="G20" s="574">
        <v>0.05</v>
      </c>
      <c r="H20" s="573">
        <v>0.05</v>
      </c>
      <c r="I20" s="574">
        <v>0.05</v>
      </c>
      <c r="J20" s="573">
        <v>0.05</v>
      </c>
      <c r="K20" s="574">
        <v>0.05</v>
      </c>
      <c r="L20" s="573">
        <v>0.05</v>
      </c>
      <c r="M20" s="574">
        <v>0.05</v>
      </c>
      <c r="N20" s="573">
        <v>0</v>
      </c>
      <c r="O20" s="574">
        <v>0</v>
      </c>
      <c r="P20" s="573">
        <v>0</v>
      </c>
      <c r="Q20" s="574">
        <v>0</v>
      </c>
    </row>
    <row r="21" spans="1:17" s="563" customFormat="1" ht="17.100000000000001" customHeight="1" x14ac:dyDescent="0.2">
      <c r="A21" s="568" t="s">
        <v>9535</v>
      </c>
      <c r="B21" s="577">
        <f>SUM(B20)</f>
        <v>0.05</v>
      </c>
      <c r="C21" s="576">
        <f>SUM(C20)</f>
        <v>0.05</v>
      </c>
      <c r="D21" s="575">
        <f t="shared" ref="D21:Q21" si="3">SUM(D20)</f>
        <v>0.05</v>
      </c>
      <c r="E21" s="576">
        <f t="shared" si="3"/>
        <v>0.05</v>
      </c>
      <c r="F21" s="577">
        <f t="shared" si="3"/>
        <v>0.05</v>
      </c>
      <c r="G21" s="576">
        <f t="shared" si="3"/>
        <v>0.05</v>
      </c>
      <c r="H21" s="577">
        <f t="shared" si="3"/>
        <v>0.05</v>
      </c>
      <c r="I21" s="576">
        <f t="shared" si="3"/>
        <v>0.05</v>
      </c>
      <c r="J21" s="577">
        <f t="shared" si="3"/>
        <v>0.05</v>
      </c>
      <c r="K21" s="576">
        <f t="shared" si="3"/>
        <v>0.05</v>
      </c>
      <c r="L21" s="577">
        <f t="shared" si="3"/>
        <v>0.05</v>
      </c>
      <c r="M21" s="576">
        <f t="shared" si="3"/>
        <v>0.05</v>
      </c>
      <c r="N21" s="577">
        <f t="shared" si="3"/>
        <v>0</v>
      </c>
      <c r="O21" s="576">
        <f t="shared" si="3"/>
        <v>0</v>
      </c>
      <c r="P21" s="577">
        <f t="shared" si="3"/>
        <v>0</v>
      </c>
      <c r="Q21" s="576">
        <f t="shared" si="3"/>
        <v>0</v>
      </c>
    </row>
    <row r="22" spans="1:17" x14ac:dyDescent="0.2">
      <c r="A22" s="569" t="s">
        <v>47</v>
      </c>
      <c r="B22" s="573">
        <v>0</v>
      </c>
      <c r="C22" s="574">
        <v>0</v>
      </c>
      <c r="D22" s="578">
        <v>0</v>
      </c>
      <c r="E22" s="574">
        <v>0</v>
      </c>
      <c r="F22" s="573">
        <v>0</v>
      </c>
      <c r="G22" s="574">
        <v>0</v>
      </c>
      <c r="H22" s="573">
        <v>0</v>
      </c>
      <c r="I22" s="574">
        <v>0</v>
      </c>
      <c r="J22" s="573">
        <v>0</v>
      </c>
      <c r="K22" s="574">
        <v>0</v>
      </c>
      <c r="L22" s="573">
        <v>0</v>
      </c>
      <c r="M22" s="574">
        <v>0</v>
      </c>
      <c r="N22" s="573">
        <v>0</v>
      </c>
      <c r="O22" s="574">
        <v>0</v>
      </c>
      <c r="P22" s="573">
        <v>0</v>
      </c>
      <c r="Q22" s="574">
        <v>0</v>
      </c>
    </row>
    <row r="23" spans="1:17" x14ac:dyDescent="0.2">
      <c r="A23" s="569" t="s">
        <v>48</v>
      </c>
      <c r="B23" s="573">
        <v>0</v>
      </c>
      <c r="C23" s="574">
        <v>0</v>
      </c>
      <c r="D23" s="578">
        <v>0</v>
      </c>
      <c r="E23" s="574">
        <v>0</v>
      </c>
      <c r="F23" s="573">
        <v>0</v>
      </c>
      <c r="G23" s="574">
        <v>0</v>
      </c>
      <c r="H23" s="573">
        <v>0</v>
      </c>
      <c r="I23" s="574">
        <v>0</v>
      </c>
      <c r="J23" s="573">
        <v>0</v>
      </c>
      <c r="K23" s="574">
        <v>0</v>
      </c>
      <c r="L23" s="573">
        <v>0</v>
      </c>
      <c r="M23" s="574">
        <v>0</v>
      </c>
      <c r="N23" s="573">
        <v>0</v>
      </c>
      <c r="O23" s="574">
        <v>0</v>
      </c>
      <c r="P23" s="573">
        <v>0</v>
      </c>
      <c r="Q23" s="574">
        <v>0</v>
      </c>
    </row>
    <row r="24" spans="1:17" s="563" customFormat="1" ht="17.100000000000001" customHeight="1" thickBot="1" x14ac:dyDescent="0.25">
      <c r="A24" s="580" t="s">
        <v>9536</v>
      </c>
      <c r="B24" s="577">
        <f>SUM(B22:B23)</f>
        <v>0</v>
      </c>
      <c r="C24" s="581">
        <f t="shared" ref="C24" si="4">SUM(C22:C23)</f>
        <v>0</v>
      </c>
      <c r="D24" s="577">
        <f t="shared" ref="D24" si="5">SUM(D22:D23)</f>
        <v>0</v>
      </c>
      <c r="E24" s="581">
        <f t="shared" ref="E24" si="6">SUM(E22:E23)</f>
        <v>0</v>
      </c>
      <c r="F24" s="577">
        <f t="shared" ref="F24" si="7">SUM(F22:F23)</f>
        <v>0</v>
      </c>
      <c r="G24" s="581">
        <f t="shared" ref="G24" si="8">SUM(G22:G23)</f>
        <v>0</v>
      </c>
      <c r="H24" s="577">
        <f t="shared" ref="H24" si="9">SUM(H22:H23)</f>
        <v>0</v>
      </c>
      <c r="I24" s="581">
        <f t="shared" ref="I24" si="10">SUM(I22:I23)</f>
        <v>0</v>
      </c>
      <c r="J24" s="577">
        <f t="shared" ref="J24" si="11">SUM(J22:J23)</f>
        <v>0</v>
      </c>
      <c r="K24" s="581">
        <f t="shared" ref="K24" si="12">SUM(K22:K23)</f>
        <v>0</v>
      </c>
      <c r="L24" s="577">
        <f t="shared" ref="L24" si="13">SUM(L22:L23)</f>
        <v>0</v>
      </c>
      <c r="M24" s="581">
        <f t="shared" ref="M24" si="14">SUM(M22:M23)</f>
        <v>0</v>
      </c>
      <c r="N24" s="577">
        <f t="shared" ref="N24" si="15">SUM(N22:N23)</f>
        <v>0</v>
      </c>
      <c r="O24" s="581">
        <f t="shared" ref="O24" si="16">SUM(O22:O23)</f>
        <v>0</v>
      </c>
      <c r="P24" s="577">
        <f t="shared" ref="P24" si="17">SUM(P22:P23)</f>
        <v>0</v>
      </c>
      <c r="Q24" s="581">
        <f t="shared" ref="Q24" si="18">SUM(Q22:Q23)</f>
        <v>0</v>
      </c>
    </row>
    <row r="25" spans="1:17" s="584" customFormat="1" ht="17.100000000000001" customHeight="1" thickTop="1" thickBot="1" x14ac:dyDescent="0.25">
      <c r="A25" s="582" t="s">
        <v>9532</v>
      </c>
      <c r="B25" s="583">
        <f>B10+B17+B19+B21+B24</f>
        <v>1</v>
      </c>
      <c r="C25" s="583">
        <f t="shared" ref="C25:Q25" si="19">C10+C17+C19+C21+C24</f>
        <v>1</v>
      </c>
      <c r="D25" s="583">
        <f>D10+D17+D19+D21+D24</f>
        <v>1</v>
      </c>
      <c r="E25" s="583">
        <f t="shared" si="19"/>
        <v>1</v>
      </c>
      <c r="F25" s="583">
        <f t="shared" si="19"/>
        <v>1</v>
      </c>
      <c r="G25" s="583">
        <f t="shared" si="19"/>
        <v>1</v>
      </c>
      <c r="H25" s="583">
        <f t="shared" si="19"/>
        <v>1</v>
      </c>
      <c r="I25" s="583">
        <f t="shared" si="19"/>
        <v>1</v>
      </c>
      <c r="J25" s="583">
        <f t="shared" si="19"/>
        <v>1</v>
      </c>
      <c r="K25" s="583">
        <f t="shared" si="19"/>
        <v>1</v>
      </c>
      <c r="L25" s="583">
        <f t="shared" si="19"/>
        <v>1.0000000000000002</v>
      </c>
      <c r="M25" s="583">
        <f t="shared" si="19"/>
        <v>1.0000000000000002</v>
      </c>
      <c r="N25" s="583">
        <f t="shared" si="19"/>
        <v>1</v>
      </c>
      <c r="O25" s="583">
        <f t="shared" si="19"/>
        <v>1</v>
      </c>
      <c r="P25" s="583">
        <f t="shared" si="19"/>
        <v>1</v>
      </c>
      <c r="Q25" s="583">
        <f t="shared" si="19"/>
        <v>1</v>
      </c>
    </row>
    <row r="26" spans="1:17" ht="13.5" thickTop="1" x14ac:dyDescent="0.2"/>
    <row r="28" spans="1:17" x14ac:dyDescent="0.2">
      <c r="A28" s="564" t="s">
        <v>9563</v>
      </c>
    </row>
    <row r="30" spans="1:17" x14ac:dyDescent="0.2">
      <c r="A30" s="551" t="s">
        <v>9571</v>
      </c>
    </row>
    <row r="31" spans="1:17" x14ac:dyDescent="0.2">
      <c r="A31" s="551" t="s">
        <v>9567</v>
      </c>
    </row>
    <row r="32" spans="1:17" x14ac:dyDescent="0.2">
      <c r="A32" s="551" t="s">
        <v>9568</v>
      </c>
    </row>
    <row r="33" spans="1:1" x14ac:dyDescent="0.2">
      <c r="A33" s="551" t="s">
        <v>9569</v>
      </c>
    </row>
    <row r="34" spans="1:1" x14ac:dyDescent="0.2">
      <c r="A34" s="551" t="s">
        <v>9570</v>
      </c>
    </row>
    <row r="35" spans="1:1" x14ac:dyDescent="0.2">
      <c r="A35" s="551" t="s">
        <v>9564</v>
      </c>
    </row>
    <row r="36" spans="1:1" x14ac:dyDescent="0.2">
      <c r="A36" s="551" t="s">
        <v>9565</v>
      </c>
    </row>
    <row r="37" spans="1:1" x14ac:dyDescent="0.2">
      <c r="A37" s="551" t="s">
        <v>9566</v>
      </c>
    </row>
  </sheetData>
  <sheetProtection selectLockedCells="1"/>
  <mergeCells count="8">
    <mergeCell ref="N1:O1"/>
    <mergeCell ref="P1:Q1"/>
    <mergeCell ref="B1:C1"/>
    <mergeCell ref="D1:E1"/>
    <mergeCell ref="F1:G1"/>
    <mergeCell ref="H1:I1"/>
    <mergeCell ref="J1:K1"/>
    <mergeCell ref="L1:M1"/>
  </mergeCells>
  <conditionalFormatting sqref="C3:C9 C20:C23 C18 C11:C16">
    <cfRule type="expression" dxfId="517" priority="26">
      <formula>C3&lt;&gt;B3</formula>
    </cfRule>
  </conditionalFormatting>
  <conditionalFormatting sqref="E3:E9 E20:E23 E18 E11:E16">
    <cfRule type="expression" dxfId="516" priority="25">
      <formula>E3&lt;&gt;D3</formula>
    </cfRule>
  </conditionalFormatting>
  <conditionalFormatting sqref="G3:G9 G20:G23 G18 G11:G16">
    <cfRule type="expression" dxfId="515" priority="24">
      <formula>G3&lt;&gt;F3</formula>
    </cfRule>
  </conditionalFormatting>
  <conditionalFormatting sqref="I3:I9 I20:I23 I18 I11:I16">
    <cfRule type="expression" dxfId="514" priority="23">
      <formula>I3&lt;&gt;H3</formula>
    </cfRule>
  </conditionalFormatting>
  <conditionalFormatting sqref="K3:K9 K20:K23 K18 K11:K16">
    <cfRule type="expression" dxfId="513" priority="22">
      <formula>K3&lt;&gt;J3</formula>
    </cfRule>
  </conditionalFormatting>
  <conditionalFormatting sqref="M3:M9 M20:M23 M18 M11:M16">
    <cfRule type="expression" dxfId="512" priority="21">
      <formula>M3&lt;&gt;L3</formula>
    </cfRule>
  </conditionalFormatting>
  <conditionalFormatting sqref="O3:O9 O20:O23 O18 O11:O16">
    <cfRule type="expression" dxfId="511" priority="20">
      <formula>O3&lt;&gt;N3</formula>
    </cfRule>
  </conditionalFormatting>
  <conditionalFormatting sqref="Q3:Q9 Q20:Q23 Q18 Q11:Q16">
    <cfRule type="expression" dxfId="510" priority="19">
      <formula>Q3&lt;&gt;P3</formula>
    </cfRule>
  </conditionalFormatting>
  <conditionalFormatting sqref="K19">
    <cfRule type="expression" dxfId="509" priority="16">
      <formula>K19&lt;&gt;J19</formula>
    </cfRule>
  </conditionalFormatting>
  <conditionalFormatting sqref="C19">
    <cfRule type="expression" dxfId="508" priority="15">
      <formula>C19&lt;&gt;B19</formula>
    </cfRule>
  </conditionalFormatting>
  <conditionalFormatting sqref="E19">
    <cfRule type="expression" dxfId="507" priority="14">
      <formula>E19&lt;&gt;D19</formula>
    </cfRule>
  </conditionalFormatting>
  <conditionalFormatting sqref="G19">
    <cfRule type="expression" dxfId="506" priority="13">
      <formula>G19&lt;&gt;F19</formula>
    </cfRule>
  </conditionalFormatting>
  <conditionalFormatting sqref="I19">
    <cfRule type="expression" dxfId="505" priority="12">
      <formula>I19&lt;&gt;H19</formula>
    </cfRule>
  </conditionalFormatting>
  <conditionalFormatting sqref="M19">
    <cfRule type="expression" dxfId="504" priority="11">
      <formula>M19&lt;&gt;L19</formula>
    </cfRule>
  </conditionalFormatting>
  <conditionalFormatting sqref="O19">
    <cfRule type="expression" dxfId="503" priority="10">
      <formula>O19&lt;&gt;N19</formula>
    </cfRule>
  </conditionalFormatting>
  <conditionalFormatting sqref="Q19">
    <cfRule type="expression" dxfId="502" priority="9">
      <formula>Q19&lt;&gt;P19</formula>
    </cfRule>
  </conditionalFormatting>
  <conditionalFormatting sqref="C10">
    <cfRule type="expression" dxfId="501" priority="8">
      <formula>C10&lt;&gt;B10</formula>
    </cfRule>
  </conditionalFormatting>
  <conditionalFormatting sqref="E10">
    <cfRule type="expression" dxfId="500" priority="7">
      <formula>E10&lt;&gt;D10</formula>
    </cfRule>
  </conditionalFormatting>
  <conditionalFormatting sqref="G10">
    <cfRule type="expression" dxfId="499" priority="6">
      <formula>G10&lt;&gt;F10</formula>
    </cfRule>
  </conditionalFormatting>
  <conditionalFormatting sqref="I10">
    <cfRule type="expression" dxfId="498" priority="5">
      <formula>I10&lt;&gt;H10</formula>
    </cfRule>
  </conditionalFormatting>
  <conditionalFormatting sqref="K10">
    <cfRule type="expression" dxfId="497" priority="4">
      <formula>K10&lt;&gt;J10</formula>
    </cfRule>
  </conditionalFormatting>
  <conditionalFormatting sqref="M10">
    <cfRule type="expression" dxfId="496" priority="3">
      <formula>M10&lt;&gt;L10</formula>
    </cfRule>
  </conditionalFormatting>
  <conditionalFormatting sqref="O10">
    <cfRule type="expression" dxfId="495" priority="2">
      <formula>O10&lt;&gt;N10</formula>
    </cfRule>
  </conditionalFormatting>
  <conditionalFormatting sqref="Q10">
    <cfRule type="expression" dxfId="494" priority="1">
      <formula>Q10&lt;&gt;P10</formula>
    </cfRule>
  </conditionalFormatting>
  <pageMargins left="0.25" right="0.25" top="0.75" bottom="0.75" header="0.3" footer="0.3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4F5F1-FD8B-4612-AFA5-3DA763002E23}">
  <sheetPr>
    <pageSetUpPr fitToPage="1"/>
  </sheetPr>
  <dimension ref="A1:L39"/>
  <sheetViews>
    <sheetView zoomScale="85" zoomScaleNormal="85" workbookViewId="0">
      <selection activeCell="B4" sqref="B4"/>
    </sheetView>
  </sheetViews>
  <sheetFormatPr defaultRowHeight="14.25" x14ac:dyDescent="0.2"/>
  <cols>
    <col min="1" max="1" width="15.375" bestFit="1" customWidth="1"/>
    <col min="2" max="2" width="55.75" bestFit="1" customWidth="1"/>
    <col min="3" max="3" width="2.125" customWidth="1"/>
    <col min="4" max="4" width="24.875" customWidth="1"/>
    <col min="5" max="10" width="12.375" customWidth="1"/>
    <col min="11" max="11" width="13.375" customWidth="1"/>
    <col min="12" max="12" width="12.375" customWidth="1"/>
  </cols>
  <sheetData>
    <row r="1" spans="1:12" ht="31.5" thickTop="1" thickBot="1" x14ac:dyDescent="0.25">
      <c r="A1" s="128" t="s">
        <v>9575</v>
      </c>
      <c r="B1" s="129"/>
      <c r="C1" s="129"/>
      <c r="D1" s="129"/>
      <c r="E1" s="129"/>
      <c r="F1" s="129"/>
      <c r="G1" s="129"/>
      <c r="H1" s="129"/>
      <c r="I1" s="130"/>
      <c r="J1" s="131"/>
      <c r="K1" s="131"/>
      <c r="L1" s="132"/>
    </row>
    <row r="2" spans="1:12" ht="15.75" thickTop="1" x14ac:dyDescent="0.25">
      <c r="A2" s="133" t="s">
        <v>2</v>
      </c>
      <c r="B2" s="239">
        <f>Date</f>
        <v>44733</v>
      </c>
      <c r="C2" s="239"/>
      <c r="D2" s="239"/>
      <c r="E2" s="239"/>
      <c r="F2" s="239"/>
      <c r="G2" s="239"/>
      <c r="H2" s="239"/>
      <c r="I2" s="240"/>
      <c r="J2" s="134"/>
      <c r="K2" s="134"/>
      <c r="L2" s="135"/>
    </row>
    <row r="3" spans="1:12" ht="15.75" x14ac:dyDescent="0.25">
      <c r="A3" s="222" t="s">
        <v>3</v>
      </c>
      <c r="B3" s="120" t="s">
        <v>4</v>
      </c>
      <c r="C3" s="120" t="s">
        <v>76</v>
      </c>
      <c r="D3" s="120" t="s">
        <v>5</v>
      </c>
      <c r="E3" s="121" t="s">
        <v>77</v>
      </c>
      <c r="F3" s="121" t="s">
        <v>78</v>
      </c>
      <c r="G3" s="121" t="s">
        <v>79</v>
      </c>
      <c r="H3" s="122" t="s">
        <v>80</v>
      </c>
      <c r="I3" s="122" t="s">
        <v>81</v>
      </c>
      <c r="J3" s="121" t="s">
        <v>82</v>
      </c>
      <c r="K3" s="121" t="s">
        <v>83</v>
      </c>
      <c r="L3" s="136" t="s">
        <v>84</v>
      </c>
    </row>
    <row r="4" spans="1:12" x14ac:dyDescent="0.2">
      <c r="A4" s="137" t="s">
        <v>11</v>
      </c>
      <c r="B4" s="123" t="str">
        <f>IFERROR(VLOOKUP(A4,NoviaFunds[],2,FALSE),"")</f>
        <v>Cash</v>
      </c>
      <c r="C4" s="124"/>
      <c r="D4" s="125" t="str">
        <f>IFERROR(VLOOKUP(A4,NoviaFunds[],6,FALSE),"")</f>
        <v>Cash</v>
      </c>
      <c r="E4" s="127">
        <v>1</v>
      </c>
      <c r="F4" s="127">
        <v>1</v>
      </c>
      <c r="G4" s="127">
        <v>1</v>
      </c>
      <c r="H4" s="127">
        <v>1</v>
      </c>
      <c r="I4" s="127">
        <v>1</v>
      </c>
      <c r="J4" s="127">
        <v>1</v>
      </c>
      <c r="K4" s="127">
        <v>1</v>
      </c>
      <c r="L4" s="224">
        <v>1</v>
      </c>
    </row>
    <row r="5" spans="1:12" x14ac:dyDescent="0.2">
      <c r="A5" s="642" t="s">
        <v>564</v>
      </c>
      <c r="B5" s="123" t="str">
        <f>IFERROR(VLOOKUP(A5,NoviaFunds[],2,FALSE),"")</f>
        <v>ASI Asia Pacific Equity Enhanced Index B Acc in GB</v>
      </c>
      <c r="C5" s="124"/>
      <c r="D5" s="125" t="str">
        <f>IFERROR(VLOOKUP(A5,NoviaFunds[],6,FALSE),"")</f>
        <v>Asia Pacific</v>
      </c>
      <c r="E5" s="127">
        <v>0</v>
      </c>
      <c r="F5" s="127">
        <v>1</v>
      </c>
      <c r="G5" s="127">
        <v>1</v>
      </c>
      <c r="H5" s="127">
        <v>0.3</v>
      </c>
      <c r="I5" s="127">
        <v>0.3</v>
      </c>
      <c r="J5" s="127">
        <v>0.3</v>
      </c>
      <c r="K5" s="127">
        <v>0.3</v>
      </c>
      <c r="L5" s="127">
        <v>0.3</v>
      </c>
    </row>
    <row r="6" spans="1:12" x14ac:dyDescent="0.2">
      <c r="A6" s="642" t="s">
        <v>1461</v>
      </c>
      <c r="B6" s="651" t="str">
        <f>IFERROR(VLOOKUP(A6,NoviaFunds[],2,FALSE),"")</f>
        <v>Baillie Gifford Pacific B Acc TR in GB</v>
      </c>
      <c r="C6" s="124"/>
      <c r="D6" s="125" t="str">
        <f>IFERROR(VLOOKUP(A6,NoviaFunds[],6,FALSE),"")</f>
        <v>Asia Pacific</v>
      </c>
      <c r="E6" s="127">
        <v>0</v>
      </c>
      <c r="F6" s="127">
        <v>0</v>
      </c>
      <c r="G6" s="127">
        <v>0</v>
      </c>
      <c r="H6" s="127">
        <v>0.3</v>
      </c>
      <c r="I6" s="127">
        <v>0.3</v>
      </c>
      <c r="J6" s="127">
        <v>0.3</v>
      </c>
      <c r="K6" s="127">
        <v>0.3</v>
      </c>
      <c r="L6" s="127">
        <v>0.3</v>
      </c>
    </row>
    <row r="7" spans="1:12" x14ac:dyDescent="0.2">
      <c r="A7" s="642" t="s">
        <v>64</v>
      </c>
      <c r="B7" s="651" t="str">
        <f>IFERROR(VLOOKUP(A7,NoviaFunds[],2,FALSE),"")</f>
        <v>Schroder Asian Income Z Acc in GB</v>
      </c>
      <c r="C7" s="124"/>
      <c r="D7" s="125" t="str">
        <f>IFERROR(VLOOKUP(A7,NoviaFunds[],6,FALSE),"")</f>
        <v>Asia Pacific</v>
      </c>
      <c r="E7" s="127">
        <v>0</v>
      </c>
      <c r="F7" s="127">
        <v>0</v>
      </c>
      <c r="G7" s="127">
        <v>0</v>
      </c>
      <c r="H7" s="127">
        <v>0.2</v>
      </c>
      <c r="I7" s="127">
        <v>0.2</v>
      </c>
      <c r="J7" s="127">
        <v>0.2</v>
      </c>
      <c r="K7" s="127">
        <v>0.2</v>
      </c>
      <c r="L7" s="127">
        <v>0.2</v>
      </c>
    </row>
    <row r="8" spans="1:12" x14ac:dyDescent="0.2">
      <c r="A8" s="642" t="s">
        <v>65</v>
      </c>
      <c r="B8" s="651" t="str">
        <f>IFERROR(VLOOKUP(A8,NoviaFunds[],2,FALSE),"")</f>
        <v>Schroder Institutional Pacific I Acc in GB</v>
      </c>
      <c r="C8" s="124"/>
      <c r="D8" s="125" t="str">
        <f>IFERROR(VLOOKUP(A8,NoviaFunds[],6,FALSE),"")</f>
        <v>Asia Pacific</v>
      </c>
      <c r="E8" s="127">
        <v>0</v>
      </c>
      <c r="F8" s="127">
        <v>0</v>
      </c>
      <c r="G8" s="127">
        <v>0</v>
      </c>
      <c r="H8" s="127">
        <v>0.2</v>
      </c>
      <c r="I8" s="127">
        <v>0.2</v>
      </c>
      <c r="J8" s="127">
        <v>0.2</v>
      </c>
      <c r="K8" s="127">
        <v>0.2</v>
      </c>
      <c r="L8" s="127">
        <v>0.2</v>
      </c>
    </row>
    <row r="9" spans="1:12" x14ac:dyDescent="0.2">
      <c r="A9" s="643" t="s">
        <v>59</v>
      </c>
      <c r="B9" s="651" t="str">
        <f>IFERROR(VLOOKUP(A9,NoviaFunds[],2,FALSE),"")</f>
        <v>ASI Emerging Markets Income Equity Ret Platform 1 Acc GBP in GB</v>
      </c>
      <c r="C9" s="124"/>
      <c r="D9" s="125" t="str">
        <f>IFERROR(VLOOKUP(A9,NoviaFunds[],6,FALSE),"")</f>
        <v>Emerging Markets</v>
      </c>
      <c r="E9" s="127"/>
      <c r="F9" s="127"/>
      <c r="G9" s="127">
        <v>0.5</v>
      </c>
      <c r="H9" s="127">
        <v>0.3</v>
      </c>
      <c r="I9" s="127">
        <v>0.3</v>
      </c>
      <c r="J9" s="127">
        <v>0.3</v>
      </c>
      <c r="K9" s="127">
        <v>0.3</v>
      </c>
      <c r="L9" s="127">
        <v>0.3</v>
      </c>
    </row>
    <row r="10" spans="1:12" x14ac:dyDescent="0.2">
      <c r="A10" s="643" t="s">
        <v>53</v>
      </c>
      <c r="B10" s="651" t="str">
        <f>IFERROR(VLOOKUP(A10,NoviaFunds[],2,FALSE),"")</f>
        <v>Federated Hermes Global Emerging Markets F Acc</v>
      </c>
      <c r="C10" s="124"/>
      <c r="D10" s="125" t="str">
        <f>IFERROR(VLOOKUP(A10,NoviaFunds[],6,FALSE),"")</f>
        <v>Emerging Markets</v>
      </c>
      <c r="E10" s="127"/>
      <c r="F10" s="127"/>
      <c r="G10" s="127">
        <v>0</v>
      </c>
      <c r="H10" s="127">
        <v>0.2</v>
      </c>
      <c r="I10" s="127">
        <v>0.2</v>
      </c>
      <c r="J10" s="127">
        <v>0.2</v>
      </c>
      <c r="K10" s="127">
        <v>0.2</v>
      </c>
      <c r="L10" s="127">
        <v>0.2</v>
      </c>
    </row>
    <row r="11" spans="1:12" x14ac:dyDescent="0.2">
      <c r="A11" s="643" t="s">
        <v>66</v>
      </c>
      <c r="B11" s="651" t="str">
        <f>IFERROR(VLOOKUP(A11,NoviaFunds[],2,FALSE),"")</f>
        <v>JPM Emerging Markets Income C Acc in GB</v>
      </c>
      <c r="C11" s="124"/>
      <c r="D11" s="125" t="str">
        <f>IFERROR(VLOOKUP(A11,NoviaFunds[],6,FALSE),"")</f>
        <v>Emerging Markets</v>
      </c>
      <c r="E11" s="127"/>
      <c r="F11" s="127"/>
      <c r="G11" s="127">
        <v>0.5</v>
      </c>
      <c r="H11" s="127">
        <v>0.3</v>
      </c>
      <c r="I11" s="127">
        <v>0.3</v>
      </c>
      <c r="J11" s="127">
        <v>0.3</v>
      </c>
      <c r="K11" s="127">
        <v>0.3</v>
      </c>
      <c r="L11" s="127">
        <v>0.3</v>
      </c>
    </row>
    <row r="12" spans="1:12" x14ac:dyDescent="0.2">
      <c r="A12" s="642" t="s">
        <v>67</v>
      </c>
      <c r="B12" s="651" t="str">
        <f>IFERROR(VLOOKUP(A12,NoviaFunds[],2,FALSE),"")</f>
        <v>UBS Global Emerging Markets Equity C Acc in GB</v>
      </c>
      <c r="C12" s="124"/>
      <c r="D12" s="125" t="str">
        <f>IFERROR(VLOOKUP(A12,NoviaFunds[],6,FALSE),"")</f>
        <v>Emerging Markets</v>
      </c>
      <c r="E12" s="127"/>
      <c r="F12" s="127"/>
      <c r="G12" s="127">
        <v>0</v>
      </c>
      <c r="H12" s="127">
        <v>0.2</v>
      </c>
      <c r="I12" s="127">
        <v>0.2</v>
      </c>
      <c r="J12" s="127">
        <v>0.2</v>
      </c>
      <c r="K12" s="127">
        <v>0.2</v>
      </c>
      <c r="L12" s="127">
        <v>0.2</v>
      </c>
    </row>
    <row r="13" spans="1:12" x14ac:dyDescent="0.2">
      <c r="A13" s="642" t="s">
        <v>3087</v>
      </c>
      <c r="B13" s="651" t="str">
        <f>IFERROR(VLOOKUP(A13,NoviaFunds[],2,FALSE),"")</f>
        <v>HSBC European Index C Acc in GB</v>
      </c>
      <c r="C13" s="124"/>
      <c r="D13" s="125" t="str">
        <f>IFERROR(VLOOKUP(A13,NoviaFunds[],6,FALSE),"")</f>
        <v>European Equities</v>
      </c>
      <c r="E13" s="127">
        <v>1</v>
      </c>
      <c r="F13" s="127">
        <v>1</v>
      </c>
      <c r="G13" s="127">
        <v>1</v>
      </c>
      <c r="H13" s="127">
        <v>1</v>
      </c>
      <c r="I13" s="127">
        <v>1</v>
      </c>
      <c r="J13" s="127">
        <v>1</v>
      </c>
      <c r="K13" s="127">
        <v>1</v>
      </c>
      <c r="L13" s="127">
        <v>1</v>
      </c>
    </row>
    <row r="14" spans="1:12" x14ac:dyDescent="0.2">
      <c r="A14" s="642" t="s">
        <v>9558</v>
      </c>
      <c r="B14" s="651" t="str">
        <f>IFERROR(VLOOKUP(A14,NoviaFunds[],2,FALSE),"")</f>
        <v>iShares UK Gilts 0-5yr UCITS ETF</v>
      </c>
      <c r="C14" s="124"/>
      <c r="D14" s="125" t="str">
        <f>IFERROR(VLOOKUP(A14,NoviaFunds[],6,FALSE),"")</f>
        <v>Gilts</v>
      </c>
      <c r="E14" s="127">
        <v>1</v>
      </c>
      <c r="F14" s="127">
        <v>1</v>
      </c>
      <c r="G14" s="127">
        <v>1</v>
      </c>
      <c r="H14" s="127">
        <v>1</v>
      </c>
      <c r="I14" s="127">
        <v>1</v>
      </c>
      <c r="J14" s="127">
        <v>1</v>
      </c>
      <c r="K14" s="127">
        <v>1</v>
      </c>
      <c r="L14" s="127">
        <v>1</v>
      </c>
    </row>
    <row r="15" spans="1:12" x14ac:dyDescent="0.2">
      <c r="A15" s="642" t="s">
        <v>9557</v>
      </c>
      <c r="B15" s="651" t="str">
        <f>IFERROR(VLOOKUP(A15,NoviaFunds[],2,FALSE),"")</f>
        <v>ASI Short Dated Global Corporate Bond Tracker B Acc</v>
      </c>
      <c r="C15" s="124"/>
      <c r="D15" s="125" t="str">
        <f>IFERROR(VLOOKUP(A15,NoviaFunds[],6,FALSE),"")</f>
        <v>Global Investment Grade</v>
      </c>
      <c r="E15" s="127">
        <v>0.5</v>
      </c>
      <c r="F15" s="127">
        <v>0.5</v>
      </c>
      <c r="G15" s="127">
        <v>0.5</v>
      </c>
      <c r="H15" s="127">
        <v>0.5</v>
      </c>
      <c r="I15" s="127">
        <v>0</v>
      </c>
      <c r="J15" s="127">
        <v>0</v>
      </c>
      <c r="K15" s="127">
        <v>0</v>
      </c>
      <c r="L15" s="127">
        <v>0</v>
      </c>
    </row>
    <row r="16" spans="1:12" x14ac:dyDescent="0.2">
      <c r="A16" s="643" t="s">
        <v>3624</v>
      </c>
      <c r="B16" s="651" t="str">
        <f>IFERROR(VLOOKUP(A16,NoviaFunds[],2,FALSE),"")</f>
        <v>iShares Overseas Corporate Bond Index (UK) D Acc in GB</v>
      </c>
      <c r="C16" s="124"/>
      <c r="D16" s="125" t="str">
        <f>IFERROR(VLOOKUP(A16,NoviaFunds[],6,FALSE),"")</f>
        <v>Global Investment Grade</v>
      </c>
      <c r="E16" s="127">
        <v>0.5</v>
      </c>
      <c r="F16" s="127">
        <v>0.5</v>
      </c>
      <c r="G16" s="127">
        <v>0.5</v>
      </c>
      <c r="H16" s="127">
        <v>0.5</v>
      </c>
      <c r="I16" s="127">
        <v>1</v>
      </c>
      <c r="J16" s="127">
        <v>1</v>
      </c>
      <c r="K16" s="127">
        <v>1</v>
      </c>
      <c r="L16" s="127">
        <v>1</v>
      </c>
    </row>
    <row r="17" spans="1:12" x14ac:dyDescent="0.2">
      <c r="A17" s="643" t="s">
        <v>56</v>
      </c>
      <c r="B17" s="651" t="str">
        <f>IFERROR(VLOOKUP(A17,NoviaFunds[],2,FALSE),"")</f>
        <v>Baillie Gifford Japanese B Acc in GB**</v>
      </c>
      <c r="C17" s="124"/>
      <c r="D17" s="125" t="str">
        <f>IFERROR(VLOOKUP(A17,NoviaFunds[],6,FALSE),"")</f>
        <v>Japanese Equities</v>
      </c>
      <c r="E17" s="127">
        <v>1</v>
      </c>
      <c r="F17" s="127">
        <v>1</v>
      </c>
      <c r="G17" s="127">
        <v>1</v>
      </c>
      <c r="H17" s="127">
        <v>1</v>
      </c>
      <c r="I17" s="127">
        <v>1</v>
      </c>
      <c r="J17" s="127">
        <v>1</v>
      </c>
      <c r="K17" s="127">
        <v>1</v>
      </c>
      <c r="L17" s="127">
        <v>1</v>
      </c>
    </row>
    <row r="18" spans="1:12" x14ac:dyDescent="0.2">
      <c r="A18" s="643" t="s">
        <v>9540</v>
      </c>
      <c r="B18" s="651" t="str">
        <f>IFERROR(VLOOKUP(A18,NoviaFunds[],2,FALSE),"")</f>
        <v>iShares MSCI Target UK Real Estate UCITS ETF GBP</v>
      </c>
      <c r="C18" s="124"/>
      <c r="D18" s="125" t="str">
        <f>IFERROR(VLOOKUP(A18,NoviaFunds[],6,FALSE),"")</f>
        <v>Property</v>
      </c>
      <c r="E18" s="127">
        <v>1</v>
      </c>
      <c r="F18" s="127">
        <v>1</v>
      </c>
      <c r="G18" s="127">
        <v>1</v>
      </c>
      <c r="H18" s="127">
        <v>1</v>
      </c>
      <c r="I18" s="127">
        <v>1</v>
      </c>
      <c r="J18" s="127">
        <v>1</v>
      </c>
      <c r="K18" s="127">
        <v>1</v>
      </c>
      <c r="L18" s="127">
        <v>1</v>
      </c>
    </row>
    <row r="19" spans="1:12" x14ac:dyDescent="0.2">
      <c r="A19" s="643" t="s">
        <v>15</v>
      </c>
      <c r="B19" s="651" t="str">
        <f>IFERROR(VLOOKUP(A19,NoviaFunds[],2,FALSE),"")</f>
        <v>L&amp;G Short Dated Sterling Corporate Bond Index I Acc in GB</v>
      </c>
      <c r="C19" s="124"/>
      <c r="D19" s="125" t="str">
        <f>IFERROR(VLOOKUP(A19,NoviaFunds[],6,FALSE),"")</f>
        <v>Sterling Corporate Bonds</v>
      </c>
      <c r="E19" s="127">
        <v>0.3</v>
      </c>
      <c r="F19" s="127">
        <v>0.3</v>
      </c>
      <c r="G19" s="127">
        <v>0.3</v>
      </c>
      <c r="H19" s="127">
        <v>0.3</v>
      </c>
      <c r="I19" s="127">
        <v>0</v>
      </c>
      <c r="J19" s="127">
        <v>0</v>
      </c>
      <c r="K19" s="127">
        <v>0</v>
      </c>
      <c r="L19" s="127">
        <v>0</v>
      </c>
    </row>
    <row r="20" spans="1:12" x14ac:dyDescent="0.2">
      <c r="A20" s="643" t="s">
        <v>6914</v>
      </c>
      <c r="B20" s="123" t="str">
        <f>IFERROR(VLOOKUP(A20,NoviaFunds[],2,FALSE),"")</f>
        <v>Royal London Sterling Credit Z Inc TR in GB</v>
      </c>
      <c r="C20" s="124"/>
      <c r="D20" s="125" t="str">
        <f>IFERROR(VLOOKUP(A20,NoviaFunds[],6,FALSE),"")</f>
        <v>Sterling Corporate Bonds</v>
      </c>
      <c r="E20" s="127">
        <v>0.3</v>
      </c>
      <c r="F20" s="127">
        <v>0.3</v>
      </c>
      <c r="G20" s="127">
        <v>0.3</v>
      </c>
      <c r="H20" s="127">
        <v>0.3</v>
      </c>
      <c r="I20" s="127">
        <v>0</v>
      </c>
      <c r="J20" s="127">
        <v>0</v>
      </c>
      <c r="K20" s="127">
        <v>0</v>
      </c>
      <c r="L20" s="127">
        <v>0</v>
      </c>
    </row>
    <row r="21" spans="1:12" x14ac:dyDescent="0.2">
      <c r="A21" s="643" t="s">
        <v>17</v>
      </c>
      <c r="B21" s="123" t="str">
        <f>IFERROR(VLOOKUP(A21,NoviaFunds[],2,FALSE),"")</f>
        <v>Vanguard UK Short-Term Investment Grade Bond Index Acc</v>
      </c>
      <c r="C21" s="124"/>
      <c r="D21" s="125" t="str">
        <f>IFERROR(VLOOKUP(A21,NoviaFunds[],6,FALSE),"")</f>
        <v>Sterling Corporate Bonds</v>
      </c>
      <c r="E21" s="127">
        <v>0.4</v>
      </c>
      <c r="F21" s="127">
        <v>0.4</v>
      </c>
      <c r="G21" s="127">
        <v>0.4</v>
      </c>
      <c r="H21" s="127">
        <v>0.4</v>
      </c>
      <c r="I21" s="127">
        <v>1</v>
      </c>
      <c r="J21" s="127">
        <v>1</v>
      </c>
      <c r="K21" s="127">
        <v>1</v>
      </c>
      <c r="L21" s="127">
        <v>1</v>
      </c>
    </row>
    <row r="22" spans="1:12" x14ac:dyDescent="0.2">
      <c r="A22" s="645" t="s">
        <v>23</v>
      </c>
      <c r="B22" s="123" t="str">
        <f>IFERROR(VLOOKUP(A22,NoviaFunds[],2,FALSE),"")</f>
        <v>Allianz UK Listed Equity Income E Inc GBP</v>
      </c>
      <c r="C22" s="124"/>
      <c r="D22" s="125" t="str">
        <f>IFERROR(VLOOKUP(A22,NoviaFunds[],6,FALSE),"")</f>
        <v>UK Equities</v>
      </c>
      <c r="E22" s="225">
        <v>0.25</v>
      </c>
      <c r="F22" s="225">
        <v>0.25</v>
      </c>
      <c r="G22" s="225">
        <v>0.25</v>
      </c>
      <c r="H22" s="225">
        <v>0.25</v>
      </c>
      <c r="I22" s="225">
        <v>0.25</v>
      </c>
      <c r="J22" s="225">
        <v>0.25</v>
      </c>
      <c r="K22" s="225">
        <v>0.25</v>
      </c>
      <c r="L22" s="225">
        <v>0</v>
      </c>
    </row>
    <row r="23" spans="1:12" x14ac:dyDescent="0.2">
      <c r="A23" s="642" t="s">
        <v>25</v>
      </c>
      <c r="B23" s="123" t="str">
        <f>IFERROR(VLOOKUP(A23,NoviaFunds[],2,FALSE),"")</f>
        <v>FTF Franklin UK Equity Income W Acc TR in GB</v>
      </c>
      <c r="C23" s="124"/>
      <c r="D23" s="125" t="str">
        <f>IFERROR(VLOOKUP(A23,NoviaFunds[],6,FALSE),"")</f>
        <v>UK Equities</v>
      </c>
      <c r="E23" s="225">
        <v>0.25</v>
      </c>
      <c r="F23" s="225">
        <v>0.25</v>
      </c>
      <c r="G23" s="225">
        <v>0.25</v>
      </c>
      <c r="H23" s="225">
        <v>0.25</v>
      </c>
      <c r="I23" s="225">
        <v>0.25</v>
      </c>
      <c r="J23" s="225">
        <v>0.25</v>
      </c>
      <c r="K23" s="225">
        <v>0.25</v>
      </c>
      <c r="L23" s="225">
        <v>0</v>
      </c>
    </row>
    <row r="24" spans="1:12" x14ac:dyDescent="0.2">
      <c r="A24" s="643" t="s">
        <v>22</v>
      </c>
      <c r="B24" s="123" t="str">
        <f>IFERROR(VLOOKUP(A24,NoviaFunds[],2,FALSE),"")</f>
        <v>Slater Growth P Acc in GB</v>
      </c>
      <c r="C24" s="124"/>
      <c r="D24" s="125" t="str">
        <f>IFERROR(VLOOKUP(A24,NoviaFunds[],6,FALSE),"")</f>
        <v>UK Equities</v>
      </c>
      <c r="E24" s="225">
        <v>0.2</v>
      </c>
      <c r="F24" s="225">
        <v>0.2</v>
      </c>
      <c r="G24" s="225">
        <v>0.2</v>
      </c>
      <c r="H24" s="225">
        <v>0.2</v>
      </c>
      <c r="I24" s="225">
        <v>0.2</v>
      </c>
      <c r="J24" s="225">
        <v>0.2</v>
      </c>
      <c r="K24" s="225">
        <v>0.2</v>
      </c>
      <c r="L24" s="225">
        <v>0</v>
      </c>
    </row>
    <row r="25" spans="1:12" x14ac:dyDescent="0.2">
      <c r="A25" s="643" t="s">
        <v>8389</v>
      </c>
      <c r="B25" s="123" t="str">
        <f>IFERROR(VLOOKUP(A25,NoviaFunds[],2,FALSE),"")</f>
        <v>Vanguard FTSE U.K. All Share Index Unit Trust A Acc GBP in GB</v>
      </c>
      <c r="C25" s="124"/>
      <c r="D25" s="125" t="str">
        <f>IFERROR(VLOOKUP(A25,NoviaFunds[],6,FALSE),"")</f>
        <v>UK Equities</v>
      </c>
      <c r="E25" s="225">
        <v>0.3</v>
      </c>
      <c r="F25" s="225">
        <v>0.3</v>
      </c>
      <c r="G25" s="225">
        <v>0.3</v>
      </c>
      <c r="H25" s="225">
        <v>0.3</v>
      </c>
      <c r="I25" s="225">
        <v>0.3</v>
      </c>
      <c r="J25" s="225">
        <v>0.3</v>
      </c>
      <c r="K25" s="225">
        <v>0.3</v>
      </c>
      <c r="L25" s="225">
        <v>1</v>
      </c>
    </row>
    <row r="26" spans="1:12" x14ac:dyDescent="0.2">
      <c r="A26" s="643" t="s">
        <v>9544</v>
      </c>
      <c r="B26" s="123" t="str">
        <f>IFERROR(VLOOKUP(A26,NoviaFunds[],2,FALSE),"")</f>
        <v>iShares £ Index-Linked Gilts UCITS ETF</v>
      </c>
      <c r="C26" s="124"/>
      <c r="D26" s="125" t="str">
        <f>IFERROR(VLOOKUP(A26,NoviaFunds[],6,FALSE),"")</f>
        <v>UK Index Linked Gilts</v>
      </c>
      <c r="E26" s="127">
        <v>1</v>
      </c>
      <c r="F26" s="127">
        <v>1</v>
      </c>
      <c r="G26" s="127">
        <v>1</v>
      </c>
      <c r="H26" s="127">
        <v>1</v>
      </c>
      <c r="I26" s="127">
        <v>1</v>
      </c>
      <c r="J26" s="127">
        <v>1</v>
      </c>
      <c r="K26" s="127">
        <v>1</v>
      </c>
      <c r="L26" s="127">
        <v>1</v>
      </c>
    </row>
    <row r="27" spans="1:12" x14ac:dyDescent="0.2">
      <c r="A27" s="644" t="s">
        <v>62</v>
      </c>
      <c r="B27" s="123" t="str">
        <f>IFERROR(VLOOKUP(A27,NoviaFunds[],2,FALSE),"")</f>
        <v>Artemis US Smaller Companies I Acc GBP in GB</v>
      </c>
      <c r="C27" s="124"/>
      <c r="D27" s="125" t="str">
        <f>IFERROR(VLOOKUP(A27,NoviaFunds[],6,FALSE),"")</f>
        <v>USA Equities</v>
      </c>
      <c r="E27" s="127">
        <v>0.25</v>
      </c>
      <c r="F27" s="127">
        <v>0.25</v>
      </c>
      <c r="G27" s="127">
        <v>0.25</v>
      </c>
      <c r="H27" s="127">
        <v>0.25</v>
      </c>
      <c r="I27" s="127">
        <v>0.25</v>
      </c>
      <c r="J27" s="127">
        <v>0.25</v>
      </c>
      <c r="K27" s="127">
        <v>0.25</v>
      </c>
      <c r="L27" s="127">
        <v>0</v>
      </c>
    </row>
    <row r="28" spans="1:12" x14ac:dyDescent="0.2">
      <c r="A28" s="643" t="s">
        <v>2706</v>
      </c>
      <c r="B28" s="123" t="str">
        <f>IFERROR(VLOOKUP(A28,NoviaFunds[],2,FALSE),"")</f>
        <v>Fidelity Index US P in GB</v>
      </c>
      <c r="C28" s="124"/>
      <c r="D28" s="125" t="str">
        <f>IFERROR(VLOOKUP(A28,NoviaFunds[],6,FALSE),"")</f>
        <v>USA Equities</v>
      </c>
      <c r="E28" s="127">
        <v>0.5</v>
      </c>
      <c r="F28" s="127">
        <v>0.5</v>
      </c>
      <c r="G28" s="127">
        <v>0.5</v>
      </c>
      <c r="H28" s="127">
        <v>0.5</v>
      </c>
      <c r="I28" s="127">
        <v>0.5</v>
      </c>
      <c r="J28" s="127">
        <v>0.5</v>
      </c>
      <c r="K28" s="127">
        <v>0.5</v>
      </c>
      <c r="L28" s="127">
        <v>1</v>
      </c>
    </row>
    <row r="29" spans="1:12" x14ac:dyDescent="0.2">
      <c r="A29" s="643" t="s">
        <v>9539</v>
      </c>
      <c r="B29" s="123" t="str">
        <f>IFERROR(VLOOKUP(A29,NoviaFunds[],2,FALSE),"")</f>
        <v>Xtrackers S&amp;P 500 Equal Weight UCITS ETF</v>
      </c>
      <c r="C29" s="124"/>
      <c r="D29" s="125" t="str">
        <f>IFERROR(VLOOKUP(A29,NoviaFunds[],6,FALSE),"")</f>
        <v>USA Equities</v>
      </c>
      <c r="E29" s="127">
        <v>0.25</v>
      </c>
      <c r="F29" s="127">
        <v>0.25</v>
      </c>
      <c r="G29" s="127">
        <v>0.25</v>
      </c>
      <c r="H29" s="127">
        <v>0.25</v>
      </c>
      <c r="I29" s="127">
        <v>0.25</v>
      </c>
      <c r="J29" s="127">
        <v>0.25</v>
      </c>
      <c r="K29" s="127">
        <v>0.25</v>
      </c>
      <c r="L29" s="127">
        <v>0</v>
      </c>
    </row>
    <row r="30" spans="1:12" x14ac:dyDescent="0.2">
      <c r="A30" s="643"/>
      <c r="B30" s="651" t="str">
        <f>IFERROR(VLOOKUP(A30,NoviaFunds[],2,FALSE),"")</f>
        <v/>
      </c>
      <c r="C30" s="124"/>
      <c r="D30" s="125" t="str">
        <f>IFERROR(VLOOKUP(A30,NoviaFunds[],6,FALSE),"")</f>
        <v/>
      </c>
      <c r="E30" s="127"/>
      <c r="F30" s="127"/>
      <c r="G30" s="127"/>
      <c r="H30" s="225" t="str">
        <f>IFERROR(VLOOKUP(Table36[[#This Row],[ISIN Code]],'DT06 Meridian'!$A$4:$J$32,6,FALSE),"")</f>
        <v/>
      </c>
      <c r="I30" s="225" t="str">
        <f>IFERROR(VLOOKUP(Table36[[#This Row],[ISIN Code]],'DT07 Explorer'!$A$4:$J$32,6,FALSE),"")</f>
        <v/>
      </c>
      <c r="J30" s="226" t="str">
        <f>IFERROR(VLOOKUP(Table36[[#This Row],[ISIN Code]],'DT08 Voyager'!$A$4:$J$39,6,FALSE),"")</f>
        <v/>
      </c>
      <c r="K30" s="226" t="str">
        <f>IFERROR(VLOOKUP(Table36[[#This Row],[ISIN Code]],'DT09 Adventurer'!$A$4:$J$38,6,FALSE),"")</f>
        <v/>
      </c>
      <c r="L30" s="224" t="str">
        <f>IFERROR(VLOOKUP(Table36[[#This Row],[ISIN Code]],'DT10 Pioneer'!$A$4:$J$38,6,FALSE),"")</f>
        <v/>
      </c>
    </row>
    <row r="31" spans="1:12" x14ac:dyDescent="0.2">
      <c r="A31" s="119"/>
      <c r="B31" s="651" t="str">
        <f>IFERROR(VLOOKUP(A31,NoviaFunds[],2,FALSE),"")</f>
        <v/>
      </c>
      <c r="C31" s="124"/>
      <c r="D31" s="125" t="str">
        <f>IFERROR(VLOOKUP(A31,NoviaFunds[],6,FALSE),"")</f>
        <v/>
      </c>
      <c r="E31" s="127"/>
      <c r="F31" s="127"/>
      <c r="G31" s="127"/>
      <c r="H31" s="225"/>
      <c r="I31" s="225"/>
      <c r="J31" s="226"/>
      <c r="K31" s="226"/>
      <c r="L31" s="224"/>
    </row>
    <row r="32" spans="1:12" x14ac:dyDescent="0.2">
      <c r="A32" s="119"/>
      <c r="B32" s="658" t="str">
        <f>IFERROR(VLOOKUP(A32,NoviaFunds[],2,FALSE),"")</f>
        <v/>
      </c>
      <c r="C32" s="144"/>
      <c r="D32" s="145" t="str">
        <f>IFERROR(VLOOKUP(A32,NoviaFunds[],6,FALSE),"")</f>
        <v/>
      </c>
      <c r="E32" s="147"/>
      <c r="F32" s="147"/>
      <c r="G32" s="147"/>
      <c r="H32" s="147"/>
      <c r="I32" s="147"/>
      <c r="J32" s="147"/>
      <c r="K32" s="147"/>
      <c r="L32" s="147"/>
    </row>
    <row r="33" spans="1:12" x14ac:dyDescent="0.2">
      <c r="A33" s="119"/>
      <c r="B33" s="658" t="str">
        <f>IFERROR(VLOOKUP(A33,NoviaFunds[],2,FALSE),"")</f>
        <v/>
      </c>
      <c r="C33" s="144"/>
      <c r="D33" s="145" t="str">
        <f>IFERROR(VLOOKUP(A33,NoviaFunds[],6,FALSE),"")</f>
        <v/>
      </c>
      <c r="E33" s="147"/>
      <c r="F33" s="147"/>
      <c r="G33" s="147"/>
      <c r="H33" s="229"/>
      <c r="I33" s="229"/>
      <c r="J33" s="230"/>
      <c r="K33" s="230"/>
      <c r="L33" s="231"/>
    </row>
    <row r="34" spans="1:12" x14ac:dyDescent="0.2">
      <c r="A34" s="137"/>
      <c r="B34" s="658" t="str">
        <f>IFERROR(VLOOKUP(A34,NoviaFunds[],2,FALSE),"")</f>
        <v/>
      </c>
      <c r="C34" s="144"/>
      <c r="D34" s="145" t="str">
        <f>IFERROR(VLOOKUP(A34,NoviaFunds[],6,FALSE),"")</f>
        <v/>
      </c>
      <c r="E34" s="147"/>
      <c r="F34" s="147"/>
      <c r="G34" s="147"/>
      <c r="H34" s="229"/>
      <c r="I34" s="229"/>
      <c r="J34" s="230"/>
      <c r="K34" s="230"/>
      <c r="L34" s="231"/>
    </row>
    <row r="35" spans="1:12" x14ac:dyDescent="0.2">
      <c r="A35" s="137"/>
      <c r="B35" s="658" t="str">
        <f>IFERROR(VLOOKUP(A35,NoviaFunds[],2,FALSE),"")</f>
        <v/>
      </c>
      <c r="C35" s="144"/>
      <c r="D35" s="145" t="str">
        <f>IFERROR(VLOOKUP(A35,NoviaFunds[],6,FALSE),"")</f>
        <v/>
      </c>
      <c r="E35" s="147"/>
      <c r="F35" s="147"/>
      <c r="G35" s="147"/>
      <c r="H35" s="229"/>
      <c r="I35" s="229"/>
      <c r="J35" s="230"/>
      <c r="K35" s="230"/>
      <c r="L35" s="231"/>
    </row>
    <row r="36" spans="1:12" x14ac:dyDescent="0.2">
      <c r="A36" s="137"/>
      <c r="B36" s="651" t="str">
        <f>IFERROR(VLOOKUP(A36,NoviaFunds[],2,FALSE),"")</f>
        <v/>
      </c>
      <c r="C36" s="124"/>
      <c r="D36" s="125" t="str">
        <f>IFERROR(VLOOKUP(A36,NoviaFunds[],6,FALSE),"")</f>
        <v/>
      </c>
      <c r="E36" s="127"/>
      <c r="F36" s="127"/>
      <c r="G36" s="127"/>
      <c r="H36" s="127"/>
      <c r="I36" s="127"/>
      <c r="J36" s="226"/>
      <c r="K36" s="226"/>
      <c r="L36" s="553"/>
    </row>
    <row r="37" spans="1:12" x14ac:dyDescent="0.2">
      <c r="A37" s="137"/>
      <c r="B37" s="123" t="str">
        <f>IFERROR(VLOOKUP(A37,NoviaFunds[],2,FALSE),"")</f>
        <v/>
      </c>
      <c r="C37" s="124"/>
      <c r="D37" s="125" t="str">
        <f>IFERROR(VLOOKUP(A37,NoviaFunds[],6,FALSE),"")</f>
        <v/>
      </c>
      <c r="E37" s="127" t="str">
        <f>IFERROR(VLOOKUP(Table36[[#This Row],[ISIN Code]],'DT03 Defender'!$A$4:$J$32,6,FALSE),"")</f>
        <v/>
      </c>
      <c r="F37" s="127" t="str">
        <f>IFERROR(VLOOKUP(Table36[[#This Row],[ISIN Code]],'DT04 Prudence'!$A$4:$J$32,6,FALSE),"")</f>
        <v/>
      </c>
      <c r="G37" s="127" t="str">
        <f>IFERROR(VLOOKUP(Table36[[#This Row],[ISIN Code]],'DT05 Navigator'!$A$4:$J$32,6,FALSE),"")</f>
        <v/>
      </c>
      <c r="H37" s="127" t="str">
        <f>IFERROR(VLOOKUP(Table36[[#This Row],[ISIN Code]],'DT06 Meridian'!$A$4:$J$32,6,FALSE),"")</f>
        <v/>
      </c>
      <c r="I37" s="127" t="str">
        <f>IFERROR(VLOOKUP(Table36[[#This Row],[ISIN Code]],'DT07 Explorer'!$A$4:$J$32,6,FALSE),"")</f>
        <v/>
      </c>
      <c r="J37" s="127" t="str">
        <f>IFERROR(VLOOKUP(Table36[[#This Row],[ISIN Code]],'DT08 Voyager'!$A$4:$J$39,6,FALSE),"")</f>
        <v/>
      </c>
      <c r="K37" s="127" t="str">
        <f>IFERROR(VLOOKUP(Table36[[#This Row],[ISIN Code]],'DT09 Adventurer'!$A$4:$J$38,6,FALSE),"")</f>
        <v/>
      </c>
      <c r="L37" s="228" t="str">
        <f>IFERROR(VLOOKUP(Table36[[#This Row],[ISIN Code]],'DT10 Pioneer'!$A$4:$J$38,6,FALSE),"")</f>
        <v/>
      </c>
    </row>
    <row r="38" spans="1:12" x14ac:dyDescent="0.2">
      <c r="A38" s="652"/>
      <c r="B38" s="653" t="str">
        <f>IFERROR(VLOOKUP(A38,NoviaFunds[],2,FALSE),"")</f>
        <v/>
      </c>
      <c r="C38" s="654"/>
      <c r="D38" s="655" t="str">
        <f>IFERROR(VLOOKUP(A38,NoviaFunds[],6,FALSE),"")</f>
        <v/>
      </c>
      <c r="E38" s="656" t="str">
        <f>IFERROR(VLOOKUP(Table36[[#This Row],[ISIN Code]],'DT03 Defender'!$A$4:$J$32,6,FALSE),"")</f>
        <v/>
      </c>
      <c r="F38" s="656" t="str">
        <f>IFERROR(VLOOKUP(Table36[[#This Row],[ISIN Code]],'DT04 Prudence'!$A$4:$J$32,6,FALSE),"")</f>
        <v/>
      </c>
      <c r="G38" s="656" t="str">
        <f>IFERROR(VLOOKUP(Table36[[#This Row],[ISIN Code]],'DT05 Navigator'!$A$4:$J$32,6,FALSE),"")</f>
        <v/>
      </c>
      <c r="H38" s="656" t="str">
        <f>IFERROR(VLOOKUP(Table36[[#This Row],[ISIN Code]],'DT06 Meridian'!$A$4:$J$32,6,FALSE),"")</f>
        <v/>
      </c>
      <c r="I38" s="656" t="str">
        <f>IFERROR(VLOOKUP(Table36[[#This Row],[ISIN Code]],'DT07 Explorer'!$A$4:$J$32,6,FALSE),"")</f>
        <v/>
      </c>
      <c r="J38" s="656" t="str">
        <f>IFERROR(VLOOKUP(Table36[[#This Row],[ISIN Code]],'DT08 Voyager'!$A$4:$J$39,6,FALSE),"")</f>
        <v/>
      </c>
      <c r="K38" s="656" t="str">
        <f>IFERROR(VLOOKUP(Table36[[#This Row],[ISIN Code]],'DT09 Adventurer'!$A$4:$J$38,6,FALSE),"")</f>
        <v/>
      </c>
      <c r="L38" s="657" t="str">
        <f>IFERROR(VLOOKUP(Table36[[#This Row],[ISIN Code]],'DT10 Pioneer'!$A$4:$J$38,6,FALSE),"")</f>
        <v/>
      </c>
    </row>
    <row r="39" spans="1:12" x14ac:dyDescent="0.2">
      <c r="A39" s="554" t="s">
        <v>9556</v>
      </c>
      <c r="B39" s="649"/>
      <c r="C39" s="555"/>
      <c r="D39" s="556"/>
      <c r="E39" s="650"/>
      <c r="F39" s="650"/>
      <c r="G39" s="650"/>
      <c r="H39" s="650"/>
      <c r="I39" s="650"/>
      <c r="J39" s="650"/>
      <c r="K39" s="650"/>
      <c r="L39" s="650">
        <f>SUBTOTAL(103,Table36[Pioneer])</f>
        <v>29</v>
      </c>
    </row>
  </sheetData>
  <conditionalFormatting sqref="D4:D38">
    <cfRule type="cellIs" dxfId="493" priority="23" operator="equal">
      <formula>"Other Bonds"</formula>
    </cfRule>
    <cfRule type="cellIs" dxfId="492" priority="25" operator="equal">
      <formula>"Absolute Return"</formula>
    </cfRule>
    <cfRule type="cellIs" dxfId="491" priority="26" operator="equal">
      <formula>"USA Equities"</formula>
    </cfRule>
    <cfRule type="cellIs" dxfId="490" priority="27" operator="equal">
      <formula>"UK Equity Income"</formula>
    </cfRule>
    <cfRule type="cellIs" dxfId="489" priority="28" operator="equal">
      <formula>"UK Equities"</formula>
    </cfRule>
    <cfRule type="cellIs" dxfId="488" priority="29" operator="equal">
      <formula>"Specialist"</formula>
    </cfRule>
    <cfRule type="cellIs" dxfId="487" priority="30" operator="equal">
      <formula>"Other Equities"</formula>
    </cfRule>
    <cfRule type="cellIs" dxfId="486" priority="31" operator="equal">
      <formula>"Japanese Equities"</formula>
    </cfRule>
    <cfRule type="cellIs" dxfId="485" priority="32" operator="equal">
      <formula>"European Equities"</formula>
    </cfRule>
    <cfRule type="cellIs" dxfId="484" priority="33" operator="equal">
      <formula>"Emerging Markets"</formula>
    </cfRule>
    <cfRule type="cellIs" dxfId="483" priority="34" operator="equal">
      <formula>"Asia Pacific"</formula>
    </cfRule>
    <cfRule type="cellIs" dxfId="482" priority="35" operator="equal">
      <formula>"Cash"</formula>
    </cfRule>
    <cfRule type="cellIs" dxfId="481" priority="36" operator="equal">
      <formula>"High Yield"</formula>
    </cfRule>
    <cfRule type="cellIs" dxfId="480" priority="37" operator="equal">
      <formula>"Global Bonds"</formula>
    </cfRule>
    <cfRule type="cellIs" dxfId="479" priority="38" operator="equal">
      <formula>"Investment Grade"</formula>
    </cfRule>
  </conditionalFormatting>
  <conditionalFormatting sqref="E4:L38">
    <cfRule type="cellIs" dxfId="478" priority="24" operator="equal">
      <formula>0</formula>
    </cfRule>
  </conditionalFormatting>
  <conditionalFormatting sqref="B60:B63">
    <cfRule type="duplicateValues" dxfId="477" priority="22"/>
  </conditionalFormatting>
  <conditionalFormatting sqref="A60:A63">
    <cfRule type="duplicateValues" dxfId="476" priority="21"/>
  </conditionalFormatting>
  <conditionalFormatting sqref="A64:A1048576 A1:A3 A36:A37 A40:A59">
    <cfRule type="duplicateValues" dxfId="475" priority="338"/>
  </conditionalFormatting>
  <conditionalFormatting sqref="A40:A1048576 A31:A37 A1:A4">
    <cfRule type="duplicateValues" dxfId="474" priority="20"/>
  </conditionalFormatting>
  <conditionalFormatting sqref="A28:A30">
    <cfRule type="expression" dxfId="473" priority="11">
      <formula>AND($F28&lt;&gt;"",$F28=0%)</formula>
    </cfRule>
  </conditionalFormatting>
  <conditionalFormatting sqref="A28:A30">
    <cfRule type="expression" dxfId="472" priority="12">
      <formula>AND($G28&lt;&gt;"",$G28=0%)</formula>
    </cfRule>
  </conditionalFormatting>
  <conditionalFormatting sqref="A28:A30">
    <cfRule type="expression" dxfId="471" priority="13">
      <formula>$A28=""</formula>
    </cfRule>
    <cfRule type="expression" dxfId="470" priority="14">
      <formula>$A28&lt;&gt;""</formula>
    </cfRule>
  </conditionalFormatting>
  <conditionalFormatting sqref="A22:A24">
    <cfRule type="expression" dxfId="469" priority="7">
      <formula>AND($F22&lt;&gt;"",$F22=0%)</formula>
    </cfRule>
  </conditionalFormatting>
  <conditionalFormatting sqref="A22:A24">
    <cfRule type="expression" dxfId="468" priority="8">
      <formula>AND($G22&lt;&gt;"",$G22=0%)</formula>
    </cfRule>
  </conditionalFormatting>
  <conditionalFormatting sqref="A22:A24">
    <cfRule type="expression" dxfId="467" priority="9">
      <formula>$A22=""</formula>
    </cfRule>
    <cfRule type="expression" dxfId="466" priority="10">
      <formula>$A22&lt;&gt;""</formula>
    </cfRule>
  </conditionalFormatting>
  <conditionalFormatting sqref="D1:D1048576">
    <cfRule type="cellIs" dxfId="465" priority="1" operator="equal">
      <formula>"UK Index Linked Gilts"</formula>
    </cfRule>
    <cfRule type="cellIs" dxfId="464" priority="2" operator="equal">
      <formula>"UK Index Linked Gilts"</formula>
    </cfRule>
    <cfRule type="cellIs" dxfId="463" priority="3" operator="equal">
      <formula>"Sterling Corporate Bonds"</formula>
    </cfRule>
    <cfRule type="cellIs" dxfId="462" priority="4" operator="equal">
      <formula>"Property"</formula>
    </cfRule>
    <cfRule type="cellIs" dxfId="461" priority="5" operator="equal">
      <formula>"Global Investment Grade"</formula>
    </cfRule>
    <cfRule type="cellIs" dxfId="460" priority="6" operator="equal">
      <formula>"Gilts"</formula>
    </cfRule>
  </conditionalFormatting>
  <pageMargins left="0.25" right="0.25" top="0.75" bottom="0.75" header="0.3" footer="0.3"/>
  <pageSetup paperSize="9" scale="6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056B-DB4B-4523-A92F-542E39EE68A1}">
  <sheetPr>
    <pageSetUpPr fitToPage="1"/>
  </sheetPr>
  <dimension ref="A1:L39"/>
  <sheetViews>
    <sheetView zoomScale="85" zoomScaleNormal="85" workbookViewId="0">
      <selection activeCell="B4" sqref="B4"/>
    </sheetView>
  </sheetViews>
  <sheetFormatPr defaultRowHeight="14.25" x14ac:dyDescent="0.2"/>
  <cols>
    <col min="1" max="1" width="15.375" bestFit="1" customWidth="1"/>
    <col min="2" max="2" width="55.75" bestFit="1" customWidth="1"/>
    <col min="3" max="3" width="2.125" customWidth="1"/>
    <col min="4" max="4" width="28.625" customWidth="1"/>
    <col min="5" max="10" width="12.375" customWidth="1"/>
    <col min="11" max="11" width="13.375" customWidth="1"/>
    <col min="12" max="12" width="12.375" customWidth="1"/>
  </cols>
  <sheetData>
    <row r="1" spans="1:12" ht="31.5" thickTop="1" thickBot="1" x14ac:dyDescent="0.25">
      <c r="A1" s="128" t="s">
        <v>9574</v>
      </c>
      <c r="B1" s="129"/>
      <c r="C1" s="129"/>
      <c r="D1" s="129"/>
      <c r="E1" s="129"/>
      <c r="F1" s="129"/>
      <c r="G1" s="129"/>
      <c r="H1" s="129"/>
      <c r="I1" s="130"/>
      <c r="J1" s="131"/>
      <c r="K1" s="131"/>
      <c r="L1" s="132"/>
    </row>
    <row r="2" spans="1:12" ht="15.75" thickTop="1" x14ac:dyDescent="0.25">
      <c r="A2" s="133" t="s">
        <v>2</v>
      </c>
      <c r="B2" s="239">
        <f>Date</f>
        <v>44733</v>
      </c>
      <c r="C2" s="239"/>
      <c r="D2" s="239"/>
      <c r="E2" s="239"/>
      <c r="F2" s="239"/>
      <c r="G2" s="239"/>
      <c r="H2" s="239"/>
      <c r="I2" s="240"/>
      <c r="J2" s="134"/>
      <c r="K2" s="134"/>
      <c r="L2" s="135"/>
    </row>
    <row r="3" spans="1:12" ht="15.75" x14ac:dyDescent="0.25">
      <c r="A3" s="222" t="s">
        <v>3</v>
      </c>
      <c r="B3" s="120" t="s">
        <v>4</v>
      </c>
      <c r="C3" s="120" t="s">
        <v>76</v>
      </c>
      <c r="D3" s="120" t="s">
        <v>5</v>
      </c>
      <c r="E3" s="121" t="s">
        <v>77</v>
      </c>
      <c r="F3" s="121" t="s">
        <v>78</v>
      </c>
      <c r="G3" s="121" t="s">
        <v>79</v>
      </c>
      <c r="H3" s="122" t="s">
        <v>80</v>
      </c>
      <c r="I3" s="122" t="s">
        <v>81</v>
      </c>
      <c r="J3" s="121" t="s">
        <v>82</v>
      </c>
      <c r="K3" s="121" t="s">
        <v>83</v>
      </c>
      <c r="L3" s="136" t="s">
        <v>84</v>
      </c>
    </row>
    <row r="4" spans="1:12" x14ac:dyDescent="0.2">
      <c r="A4" s="137" t="s">
        <v>11</v>
      </c>
      <c r="B4" s="123" t="str">
        <f>IFERROR(VLOOKUP(A4,NoviaFunds[],2,FALSE),"")</f>
        <v>Cash</v>
      </c>
      <c r="C4" s="124"/>
      <c r="D4" s="125" t="s">
        <v>11</v>
      </c>
      <c r="E4" s="127">
        <f>IFERROR(VLOOKUP(Table367[[#This Row],[Sector]],'Asset Allocations'!$A:$Q,3,FALSE)*Table36[[#This Row],[Defender]],"")</f>
        <v>0.17</v>
      </c>
      <c r="F4" s="127">
        <f>IFERROR(VLOOKUP(Table367[[#This Row],[Sector]],'Asset Allocations'!$A:$Q,5,FALSE)*Table36[[#This Row],[Prudence]],"")</f>
        <v>0.12</v>
      </c>
      <c r="G4" s="127">
        <f>IFERROR(VLOOKUP(Table367[[#This Row],[Sector]],'Asset Allocations'!$A:$Q,7,FALSE)*Table36[[#This Row],[Navigator]],"")</f>
        <v>0.1</v>
      </c>
      <c r="H4" s="127">
        <f>IFERROR(VLOOKUP(Table367[[#This Row],[Sector]],'Asset Allocations'!$A:$Q,9,FALSE)*Table36[[#This Row],[Meridian]],"")</f>
        <v>0.06</v>
      </c>
      <c r="I4" s="127">
        <f>IFERROR(VLOOKUP(Table367[[#This Row],[Sector]],'Asset Allocations'!$A:$Q,11,FALSE)*Table36[[#This Row],[Explorer]],"")</f>
        <v>0.02</v>
      </c>
      <c r="J4" s="127">
        <f>IFERROR(VLOOKUP(Table367[[#This Row],[Sector]],'Asset Allocations'!$A:$Q,13,FALSE)*Table36[[#This Row],[Voyager]],"")</f>
        <v>0.02</v>
      </c>
      <c r="K4" s="127">
        <f>IFERROR(VLOOKUP(Table367[[#This Row],[Sector]],'Asset Allocations'!$A:$Q,15,FALSE)*Table36[[#This Row],[Adventurer]],"")</f>
        <v>0.02</v>
      </c>
      <c r="L4" s="127">
        <f>IFERROR(VLOOKUP(Table367[[#This Row],[Sector]],'Asset Allocations'!$A:$Q,17,FALSE)*Table36[[#This Row],[Pioneer]],"")</f>
        <v>0.02</v>
      </c>
    </row>
    <row r="5" spans="1:12" x14ac:dyDescent="0.2">
      <c r="A5" s="119" t="str">
        <f>IF(Table36[[#This Row],[ISIN Code]]="","",Table36[[#This Row],[ISIN Code]])</f>
        <v>GB00BRJL7V21</v>
      </c>
      <c r="B5" s="123" t="str">
        <f>IFERROR(VLOOKUP(A5,NoviaFunds[],2,FALSE),"")</f>
        <v>ASI Asia Pacific Equity Enhanced Index B Acc in GB</v>
      </c>
      <c r="C5" s="124"/>
      <c r="D5" s="145" t="str">
        <f>IFERROR(VLOOKUP(A5,NoviaFunds[],6,FALSE),"")</f>
        <v>Asia Pacific</v>
      </c>
      <c r="E5" s="127">
        <f>IFERROR(VLOOKUP(Table367[[#This Row],[Sector]],'Asset Allocations'!$A:$Q,3,FALSE)*Table36[[#This Row],[Defender]],"")</f>
        <v>0</v>
      </c>
      <c r="F5" s="127">
        <f>IFERROR(VLOOKUP(Table367[[#This Row],[Sector]],'Asset Allocations'!$A:$Q,5,FALSE)*Table36[[#This Row],[Prudence]],"")</f>
        <v>0.04</v>
      </c>
      <c r="G5" s="127">
        <f>IFERROR(VLOOKUP(Table367[[#This Row],[Sector]],'Asset Allocations'!$A:$Q,7,FALSE)*Table36[[#This Row],[Navigator]],"")</f>
        <v>0.04</v>
      </c>
      <c r="H5" s="127">
        <f>IFERROR(VLOOKUP(Table367[[#This Row],[Sector]],'Asset Allocations'!$A:$Q,9,FALSE)*Table36[[#This Row],[Meridian]],"")</f>
        <v>0.03</v>
      </c>
      <c r="I5" s="127">
        <f>IFERROR(VLOOKUP(Table367[[#This Row],[Sector]],'Asset Allocations'!$A:$Q,11,FALSE)*Table36[[#This Row],[Explorer]],"")</f>
        <v>3.3000000000000002E-2</v>
      </c>
      <c r="J5" s="127">
        <f>IFERROR(VLOOKUP(Table367[[#This Row],[Sector]],'Asset Allocations'!$A:$Q,13,FALSE)*Table36[[#This Row],[Voyager]],"")</f>
        <v>7.1999999999999995E-2</v>
      </c>
      <c r="K5" s="127">
        <f>IFERROR(VLOOKUP(Table367[[#This Row],[Sector]],'Asset Allocations'!$A:$Q,15,FALSE)*Table36[[#This Row],[Adventurer]],"")</f>
        <v>7.4999999999999997E-2</v>
      </c>
      <c r="L5" s="127">
        <f>IFERROR(VLOOKUP(Table367[[#This Row],[Sector]],'Asset Allocations'!$A:$Q,17,FALSE)*Table36[[#This Row],[Pioneer]],"")</f>
        <v>8.1000000000000003E-2</v>
      </c>
    </row>
    <row r="6" spans="1:12" x14ac:dyDescent="0.2">
      <c r="A6" s="119" t="str">
        <f>IF(Table36[[#This Row],[ISIN Code]]="","",Table36[[#This Row],[ISIN Code]])</f>
        <v>GB0006063233</v>
      </c>
      <c r="B6" s="123" t="str">
        <f>IFERROR(VLOOKUP(A6,NoviaFunds[],2,FALSE),"")</f>
        <v>Baillie Gifford Pacific B Acc TR in GB</v>
      </c>
      <c r="C6" s="124"/>
      <c r="D6" s="145" t="str">
        <f>IFERROR(VLOOKUP(A6,NoviaFunds[],6,FALSE),"")</f>
        <v>Asia Pacific</v>
      </c>
      <c r="E6" s="127">
        <f>IFERROR(VLOOKUP(Table367[[#This Row],[Sector]],'Asset Allocations'!$A:$Q,3,FALSE)*Table36[[#This Row],[Defender]],"")</f>
        <v>0</v>
      </c>
      <c r="F6" s="127">
        <f>IFERROR(VLOOKUP(Table367[[#This Row],[Sector]],'Asset Allocations'!$A:$Q,5,FALSE)*Table36[[#This Row],[Prudence]],"")</f>
        <v>0</v>
      </c>
      <c r="G6" s="127">
        <f>IFERROR(VLOOKUP(Table367[[#This Row],[Sector]],'Asset Allocations'!$A:$Q,7,FALSE)*Table36[[#This Row],[Navigator]],"")</f>
        <v>0</v>
      </c>
      <c r="H6" s="127">
        <f>IFERROR(VLOOKUP(Table367[[#This Row],[Sector]],'Asset Allocations'!$A:$Q,9,FALSE)*Table36[[#This Row],[Meridian]],"")</f>
        <v>0.03</v>
      </c>
      <c r="I6" s="127">
        <f>IFERROR(VLOOKUP(Table367[[#This Row],[Sector]],'Asset Allocations'!$A:$Q,11,FALSE)*Table36[[#This Row],[Explorer]],"")</f>
        <v>3.3000000000000002E-2</v>
      </c>
      <c r="J6" s="127">
        <f>IFERROR(VLOOKUP(Table367[[#This Row],[Sector]],'Asset Allocations'!$A:$Q,13,FALSE)*Table36[[#This Row],[Voyager]],"")</f>
        <v>7.1999999999999995E-2</v>
      </c>
      <c r="K6" s="127">
        <f>IFERROR(VLOOKUP(Table367[[#This Row],[Sector]],'Asset Allocations'!$A:$Q,15,FALSE)*Table36[[#This Row],[Adventurer]],"")</f>
        <v>7.4999999999999997E-2</v>
      </c>
      <c r="L6" s="127">
        <f>IFERROR(VLOOKUP(Table367[[#This Row],[Sector]],'Asset Allocations'!$A:$Q,17,FALSE)*Table36[[#This Row],[Pioneer]],"")</f>
        <v>8.1000000000000003E-2</v>
      </c>
    </row>
    <row r="7" spans="1:12" x14ac:dyDescent="0.2">
      <c r="A7" s="119" t="str">
        <f>IF(Table36[[#This Row],[ISIN Code]]="","",Table36[[#This Row],[ISIN Code]])</f>
        <v>GB00B5BJ7M17</v>
      </c>
      <c r="B7" s="123" t="str">
        <f>IFERROR(VLOOKUP(A7,NoviaFunds[],2,FALSE),"")</f>
        <v>Schroder Asian Income Z Acc in GB</v>
      </c>
      <c r="C7" s="124"/>
      <c r="D7" s="145" t="str">
        <f>IFERROR(VLOOKUP(A7,NoviaFunds[],6,FALSE),"")</f>
        <v>Asia Pacific</v>
      </c>
      <c r="E7" s="127">
        <f>IFERROR(VLOOKUP(Table367[[#This Row],[Sector]],'Asset Allocations'!$A:$Q,3,FALSE)*Table36[[#This Row],[Defender]],"")</f>
        <v>0</v>
      </c>
      <c r="F7" s="127">
        <f>IFERROR(VLOOKUP(Table367[[#This Row],[Sector]],'Asset Allocations'!$A:$Q,5,FALSE)*Table36[[#This Row],[Prudence]],"")</f>
        <v>0</v>
      </c>
      <c r="G7" s="127">
        <f>IFERROR(VLOOKUP(Table367[[#This Row],[Sector]],'Asset Allocations'!$A:$Q,7,FALSE)*Table36[[#This Row],[Navigator]],"")</f>
        <v>0</v>
      </c>
      <c r="H7" s="127">
        <f>IFERROR(VLOOKUP(Table367[[#This Row],[Sector]],'Asset Allocations'!$A:$Q,9,FALSE)*Table36[[#This Row],[Meridian]],"")</f>
        <v>2.0000000000000004E-2</v>
      </c>
      <c r="I7" s="127">
        <f>IFERROR(VLOOKUP(Table367[[#This Row],[Sector]],'Asset Allocations'!$A:$Q,11,FALSE)*Table36[[#This Row],[Explorer]],"")</f>
        <v>2.2000000000000002E-2</v>
      </c>
      <c r="J7" s="127">
        <f>IFERROR(VLOOKUP(Table367[[#This Row],[Sector]],'Asset Allocations'!$A:$Q,13,FALSE)*Table36[[#This Row],[Voyager]],"")</f>
        <v>4.8000000000000001E-2</v>
      </c>
      <c r="K7" s="127">
        <f>IFERROR(VLOOKUP(Table367[[#This Row],[Sector]],'Asset Allocations'!$A:$Q,15,FALSE)*Table36[[#This Row],[Adventurer]],"")</f>
        <v>0.05</v>
      </c>
      <c r="L7" s="127">
        <f>IFERROR(VLOOKUP(Table367[[#This Row],[Sector]],'Asset Allocations'!$A:$Q,17,FALSE)*Table36[[#This Row],[Pioneer]],"")</f>
        <v>5.4000000000000006E-2</v>
      </c>
    </row>
    <row r="8" spans="1:12" x14ac:dyDescent="0.2">
      <c r="A8" s="119" t="str">
        <f>IF(Table36[[#This Row],[ISIN Code]]="","",Table36[[#This Row],[ISIN Code]])</f>
        <v>GB0007646747</v>
      </c>
      <c r="B8" s="123" t="str">
        <f>IFERROR(VLOOKUP(A8,NoviaFunds[],2,FALSE),"")</f>
        <v>Schroder Institutional Pacific I Acc in GB</v>
      </c>
      <c r="C8" s="124"/>
      <c r="D8" s="145" t="str">
        <f>IFERROR(VLOOKUP(A8,NoviaFunds[],6,FALSE),"")</f>
        <v>Asia Pacific</v>
      </c>
      <c r="E8" s="127">
        <f>IFERROR(VLOOKUP(Table367[[#This Row],[Sector]],'Asset Allocations'!$A:$Q,3,FALSE)*Table36[[#This Row],[Defender]],"")</f>
        <v>0</v>
      </c>
      <c r="F8" s="127">
        <f>IFERROR(VLOOKUP(Table367[[#This Row],[Sector]],'Asset Allocations'!$A:$Q,5,FALSE)*Table36[[#This Row],[Prudence]],"")</f>
        <v>0</v>
      </c>
      <c r="G8" s="127">
        <f>IFERROR(VLOOKUP(Table367[[#This Row],[Sector]],'Asset Allocations'!$A:$Q,7,FALSE)*Table36[[#This Row],[Navigator]],"")</f>
        <v>0</v>
      </c>
      <c r="H8" s="127">
        <f>IFERROR(VLOOKUP(Table367[[#This Row],[Sector]],'Asset Allocations'!$A:$Q,9,FALSE)*Table36[[#This Row],[Meridian]],"")</f>
        <v>2.0000000000000004E-2</v>
      </c>
      <c r="I8" s="127">
        <f>IFERROR(VLOOKUP(Table367[[#This Row],[Sector]],'Asset Allocations'!$A:$Q,11,FALSE)*Table36[[#This Row],[Explorer]],"")</f>
        <v>2.2000000000000002E-2</v>
      </c>
      <c r="J8" s="127">
        <f>IFERROR(VLOOKUP(Table367[[#This Row],[Sector]],'Asset Allocations'!$A:$Q,13,FALSE)*Table36[[#This Row],[Voyager]],"")</f>
        <v>4.8000000000000001E-2</v>
      </c>
      <c r="K8" s="127">
        <f>IFERROR(VLOOKUP(Table367[[#This Row],[Sector]],'Asset Allocations'!$A:$Q,15,FALSE)*Table36[[#This Row],[Adventurer]],"")</f>
        <v>0.05</v>
      </c>
      <c r="L8" s="127">
        <f>IFERROR(VLOOKUP(Table367[[#This Row],[Sector]],'Asset Allocations'!$A:$Q,17,FALSE)*Table36[[#This Row],[Pioneer]],"")</f>
        <v>5.4000000000000006E-2</v>
      </c>
    </row>
    <row r="9" spans="1:12" x14ac:dyDescent="0.2">
      <c r="A9" s="119" t="str">
        <f>IF(Table36[[#This Row],[ISIN Code]]="","",Table36[[#This Row],[ISIN Code]])</f>
        <v>GB00B8B02G41</v>
      </c>
      <c r="B9" s="123" t="str">
        <f>IFERROR(VLOOKUP(A9,NoviaFunds[],2,FALSE),"")</f>
        <v>ASI Emerging Markets Income Equity Ret Platform 1 Acc GBP in GB</v>
      </c>
      <c r="C9" s="124"/>
      <c r="D9" s="145" t="str">
        <f>IFERROR(VLOOKUP(A9,NoviaFunds[],6,FALSE),"")</f>
        <v>Emerging Markets</v>
      </c>
      <c r="E9" s="127">
        <f>IFERROR(VLOOKUP(Table367[[#This Row],[Sector]],'Asset Allocations'!$A:$Q,3,FALSE)*Table36[[#This Row],[Defender]],"")</f>
        <v>0</v>
      </c>
      <c r="F9" s="127">
        <f>IFERROR(VLOOKUP(Table367[[#This Row],[Sector]],'Asset Allocations'!$A:$Q,5,FALSE)*Table36[[#This Row],[Prudence]],"")</f>
        <v>0</v>
      </c>
      <c r="G9" s="127">
        <f>IFERROR(VLOOKUP(Table367[[#This Row],[Sector]],'Asset Allocations'!$A:$Q,7,FALSE)*Table36[[#This Row],[Navigator]],"")</f>
        <v>0.02</v>
      </c>
      <c r="H9" s="127">
        <f>IFERROR(VLOOKUP(Table367[[#This Row],[Sector]],'Asset Allocations'!$A:$Q,9,FALSE)*Table36[[#This Row],[Meridian]],"")</f>
        <v>0.03</v>
      </c>
      <c r="I9" s="127">
        <f>IFERROR(VLOOKUP(Table367[[#This Row],[Sector]],'Asset Allocations'!$A:$Q,11,FALSE)*Table36[[#This Row],[Explorer]],"")</f>
        <v>3.9E-2</v>
      </c>
      <c r="J9" s="127">
        <f>IFERROR(VLOOKUP(Table367[[#This Row],[Sector]],'Asset Allocations'!$A:$Q,13,FALSE)*Table36[[#This Row],[Voyager]],"")</f>
        <v>8.1000000000000003E-2</v>
      </c>
      <c r="K9" s="127">
        <f>IFERROR(VLOOKUP(Table367[[#This Row],[Sector]],'Asset Allocations'!$A:$Q,15,FALSE)*Table36[[#This Row],[Adventurer]],"")</f>
        <v>0.12</v>
      </c>
      <c r="L9" s="127">
        <f>IFERROR(VLOOKUP(Table367[[#This Row],[Sector]],'Asset Allocations'!$A:$Q,17,FALSE)*Table36[[#This Row],[Pioneer]],"")</f>
        <v>0.183</v>
      </c>
    </row>
    <row r="10" spans="1:12" x14ac:dyDescent="0.2">
      <c r="A10" s="119" t="str">
        <f>IF(Table36[[#This Row],[ISIN Code]]="","",Table36[[#This Row],[ISIN Code]])</f>
        <v>IE00B3DJ5K90</v>
      </c>
      <c r="B10" s="123" t="str">
        <f>IFERROR(VLOOKUP(A10,NoviaFunds[],2,FALSE),"")</f>
        <v>Federated Hermes Global Emerging Markets F Acc</v>
      </c>
      <c r="C10" s="124"/>
      <c r="D10" s="145" t="str">
        <f>IFERROR(VLOOKUP(A10,NoviaFunds[],6,FALSE),"")</f>
        <v>Emerging Markets</v>
      </c>
      <c r="E10" s="127">
        <f>IFERROR(VLOOKUP(Table367[[#This Row],[Sector]],'Asset Allocations'!$A:$Q,3,FALSE)*Table36[[#This Row],[Defender]],"")</f>
        <v>0</v>
      </c>
      <c r="F10" s="127">
        <f>IFERROR(VLOOKUP(Table367[[#This Row],[Sector]],'Asset Allocations'!$A:$Q,5,FALSE)*Table36[[#This Row],[Prudence]],"")</f>
        <v>0</v>
      </c>
      <c r="G10" s="127">
        <f>IFERROR(VLOOKUP(Table367[[#This Row],[Sector]],'Asset Allocations'!$A:$Q,7,FALSE)*Table36[[#This Row],[Navigator]],"")</f>
        <v>0</v>
      </c>
      <c r="H10" s="127">
        <f>IFERROR(VLOOKUP(Table367[[#This Row],[Sector]],'Asset Allocations'!$A:$Q,9,FALSE)*Table36[[#This Row],[Meridian]],"")</f>
        <v>2.0000000000000004E-2</v>
      </c>
      <c r="I10" s="127">
        <f>IFERROR(VLOOKUP(Table367[[#This Row],[Sector]],'Asset Allocations'!$A:$Q,11,FALSE)*Table36[[#This Row],[Explorer]],"")</f>
        <v>2.6000000000000002E-2</v>
      </c>
      <c r="J10" s="127">
        <f>IFERROR(VLOOKUP(Table367[[#This Row],[Sector]],'Asset Allocations'!$A:$Q,13,FALSE)*Table36[[#This Row],[Voyager]],"")</f>
        <v>5.4000000000000006E-2</v>
      </c>
      <c r="K10" s="127">
        <f>IFERROR(VLOOKUP(Table367[[#This Row],[Sector]],'Asset Allocations'!$A:$Q,15,FALSE)*Table36[[#This Row],[Adventurer]],"")</f>
        <v>8.0000000000000016E-2</v>
      </c>
      <c r="L10" s="127">
        <f>IFERROR(VLOOKUP(Table367[[#This Row],[Sector]],'Asset Allocations'!$A:$Q,17,FALSE)*Table36[[#This Row],[Pioneer]],"")</f>
        <v>0.122</v>
      </c>
    </row>
    <row r="11" spans="1:12" x14ac:dyDescent="0.2">
      <c r="A11" s="119" t="str">
        <f>IF(Table36[[#This Row],[ISIN Code]]="","",Table36[[#This Row],[ISIN Code]])</f>
        <v>GB00B5M5KY18</v>
      </c>
      <c r="B11" s="123" t="str">
        <f>IFERROR(VLOOKUP(A11,NoviaFunds[],2,FALSE),"")</f>
        <v>JPM Emerging Markets Income C Acc in GB</v>
      </c>
      <c r="C11" s="124"/>
      <c r="D11" s="145" t="str">
        <f>IFERROR(VLOOKUP(A11,NoviaFunds[],6,FALSE),"")</f>
        <v>Emerging Markets</v>
      </c>
      <c r="E11" s="127">
        <f>IFERROR(VLOOKUP(Table367[[#This Row],[Sector]],'Asset Allocations'!$A:$Q,3,FALSE)*Table36[[#This Row],[Defender]],"")</f>
        <v>0</v>
      </c>
      <c r="F11" s="127">
        <f>IFERROR(VLOOKUP(Table367[[#This Row],[Sector]],'Asset Allocations'!$A:$Q,5,FALSE)*Table36[[#This Row],[Prudence]],"")</f>
        <v>0</v>
      </c>
      <c r="G11" s="127">
        <f>IFERROR(VLOOKUP(Table367[[#This Row],[Sector]],'Asset Allocations'!$A:$Q,7,FALSE)*Table36[[#This Row],[Navigator]],"")</f>
        <v>0.02</v>
      </c>
      <c r="H11" s="127">
        <f>IFERROR(VLOOKUP(Table367[[#This Row],[Sector]],'Asset Allocations'!$A:$Q,9,FALSE)*Table36[[#This Row],[Meridian]],"")</f>
        <v>0.03</v>
      </c>
      <c r="I11" s="127">
        <f>IFERROR(VLOOKUP(Table367[[#This Row],[Sector]],'Asset Allocations'!$A:$Q,11,FALSE)*Table36[[#This Row],[Explorer]],"")</f>
        <v>3.9E-2</v>
      </c>
      <c r="J11" s="127">
        <f>IFERROR(VLOOKUP(Table367[[#This Row],[Sector]],'Asset Allocations'!$A:$Q,13,FALSE)*Table36[[#This Row],[Voyager]],"")</f>
        <v>8.1000000000000003E-2</v>
      </c>
      <c r="K11" s="127">
        <f>IFERROR(VLOOKUP(Table367[[#This Row],[Sector]],'Asset Allocations'!$A:$Q,15,FALSE)*Table36[[#This Row],[Adventurer]],"")</f>
        <v>0.12</v>
      </c>
      <c r="L11" s="127">
        <f>IFERROR(VLOOKUP(Table367[[#This Row],[Sector]],'Asset Allocations'!$A:$Q,17,FALSE)*Table36[[#This Row],[Pioneer]],"")</f>
        <v>0.183</v>
      </c>
    </row>
    <row r="12" spans="1:12" x14ac:dyDescent="0.2">
      <c r="A12" s="119" t="str">
        <f>IF(Table36[[#This Row],[ISIN Code]]="","",Table36[[#This Row],[ISIN Code]])</f>
        <v>GB00B7L34154</v>
      </c>
      <c r="B12" s="123" t="str">
        <f>IFERROR(VLOOKUP(A12,NoviaFunds[],2,FALSE),"")</f>
        <v>UBS Global Emerging Markets Equity C Acc in GB</v>
      </c>
      <c r="C12" s="124"/>
      <c r="D12" s="145" t="str">
        <f>IFERROR(VLOOKUP(A12,NoviaFunds[],6,FALSE),"")</f>
        <v>Emerging Markets</v>
      </c>
      <c r="E12" s="127">
        <f>IFERROR(VLOOKUP(Table367[[#This Row],[Sector]],'Asset Allocations'!$A:$Q,3,FALSE)*Table36[[#This Row],[Defender]],"")</f>
        <v>0</v>
      </c>
      <c r="F12" s="127">
        <f>IFERROR(VLOOKUP(Table367[[#This Row],[Sector]],'Asset Allocations'!$A:$Q,5,FALSE)*Table36[[#This Row],[Prudence]],"")</f>
        <v>0</v>
      </c>
      <c r="G12" s="127">
        <f>IFERROR(VLOOKUP(Table367[[#This Row],[Sector]],'Asset Allocations'!$A:$Q,7,FALSE)*Table36[[#This Row],[Navigator]],"")</f>
        <v>0</v>
      </c>
      <c r="H12" s="127">
        <f>IFERROR(VLOOKUP(Table367[[#This Row],[Sector]],'Asset Allocations'!$A:$Q,9,FALSE)*Table36[[#This Row],[Meridian]],"")</f>
        <v>2.0000000000000004E-2</v>
      </c>
      <c r="I12" s="127">
        <f>IFERROR(VLOOKUP(Table367[[#This Row],[Sector]],'Asset Allocations'!$A:$Q,11,FALSE)*Table36[[#This Row],[Explorer]],"")</f>
        <v>2.6000000000000002E-2</v>
      </c>
      <c r="J12" s="127">
        <f>IFERROR(VLOOKUP(Table367[[#This Row],[Sector]],'Asset Allocations'!$A:$Q,13,FALSE)*Table36[[#This Row],[Voyager]],"")</f>
        <v>5.4000000000000006E-2</v>
      </c>
      <c r="K12" s="127">
        <f>IFERROR(VLOOKUP(Table367[[#This Row],[Sector]],'Asset Allocations'!$A:$Q,15,FALSE)*Table36[[#This Row],[Adventurer]],"")</f>
        <v>8.0000000000000016E-2</v>
      </c>
      <c r="L12" s="127">
        <f>IFERROR(VLOOKUP(Table367[[#This Row],[Sector]],'Asset Allocations'!$A:$Q,17,FALSE)*Table36[[#This Row],[Pioneer]],"")</f>
        <v>0.122</v>
      </c>
    </row>
    <row r="13" spans="1:12" x14ac:dyDescent="0.2">
      <c r="A13" s="119" t="str">
        <f>IF(Table36[[#This Row],[ISIN Code]]="","",Table36[[#This Row],[ISIN Code]])</f>
        <v>GB00B80QGH28</v>
      </c>
      <c r="B13" s="123" t="str">
        <f>IFERROR(VLOOKUP(A13,NoviaFunds[],2,FALSE),"")</f>
        <v>HSBC European Index C Acc in GB</v>
      </c>
      <c r="C13" s="124"/>
      <c r="D13" s="145" t="str">
        <f>IFERROR(VLOOKUP(A13,NoviaFunds[],6,FALSE),"")</f>
        <v>European Equities</v>
      </c>
      <c r="E13" s="127">
        <f>IFERROR(VLOOKUP(Table367[[#This Row],[Sector]],'Asset Allocations'!$A:$Q,3,FALSE)*Table36[[#This Row],[Defender]],"")</f>
        <v>0</v>
      </c>
      <c r="F13" s="127">
        <f>IFERROR(VLOOKUP(Table367[[#This Row],[Sector]],'Asset Allocations'!$A:$Q,5,FALSE)*Table36[[#This Row],[Prudence]],"")</f>
        <v>0.05</v>
      </c>
      <c r="G13" s="127">
        <f>IFERROR(VLOOKUP(Table367[[#This Row],[Sector]],'Asset Allocations'!$A:$Q,7,FALSE)*Table36[[#This Row],[Navigator]],"")</f>
        <v>0.05</v>
      </c>
      <c r="H13" s="127">
        <f>IFERROR(VLOOKUP(Table367[[#This Row],[Sector]],'Asset Allocations'!$A:$Q,9,FALSE)*Table36[[#This Row],[Meridian]],"")</f>
        <v>0.05</v>
      </c>
      <c r="I13" s="127">
        <f>IFERROR(VLOOKUP(Table367[[#This Row],[Sector]],'Asset Allocations'!$A:$Q,11,FALSE)*Table36[[#This Row],[Explorer]],"")</f>
        <v>0.06</v>
      </c>
      <c r="J13" s="127">
        <f>IFERROR(VLOOKUP(Table367[[#This Row],[Sector]],'Asset Allocations'!$A:$Q,13,FALSE)*Table36[[#This Row],[Voyager]],"")</f>
        <v>0.06</v>
      </c>
      <c r="K13" s="127">
        <f>IFERROR(VLOOKUP(Table367[[#This Row],[Sector]],'Asset Allocations'!$A:$Q,15,FALSE)*Table36[[#This Row],[Adventurer]],"")</f>
        <v>0.06</v>
      </c>
      <c r="L13" s="127">
        <f>IFERROR(VLOOKUP(Table367[[#This Row],[Sector]],'Asset Allocations'!$A:$Q,17,FALSE)*Table36[[#This Row],[Pioneer]],"")</f>
        <v>0</v>
      </c>
    </row>
    <row r="14" spans="1:12" x14ac:dyDescent="0.2">
      <c r="A14" s="119" t="str">
        <f>IF(Table36[[#This Row],[ISIN Code]]="","",Table36[[#This Row],[ISIN Code]])</f>
        <v>IE00B4WXJK79</v>
      </c>
      <c r="B14" s="123" t="str">
        <f>IFERROR(VLOOKUP(A14,NoviaFunds[],2,FALSE),"")</f>
        <v>iShares UK Gilts 0-5yr UCITS ETF</v>
      </c>
      <c r="C14" s="124"/>
      <c r="D14" s="145" t="str">
        <f>IFERROR(VLOOKUP(A14,NoviaFunds[],6,FALSE),"")</f>
        <v>Gilts</v>
      </c>
      <c r="E14" s="127">
        <f>IFERROR(VLOOKUP(Table367[[#This Row],[Sector]],'Asset Allocations'!$A:$Q,3,FALSE)*Table36[[#This Row],[Defender]],"")</f>
        <v>0.1</v>
      </c>
      <c r="F14" s="127">
        <f>IFERROR(VLOOKUP(Table367[[#This Row],[Sector]],'Asset Allocations'!$A:$Q,5,FALSE)*Table36[[#This Row],[Prudence]],"")</f>
        <v>0.05</v>
      </c>
      <c r="G14" s="127">
        <f>IFERROR(VLOOKUP(Table367[[#This Row],[Sector]],'Asset Allocations'!$A:$Q,7,FALSE)*Table36[[#This Row],[Navigator]],"")</f>
        <v>0.03</v>
      </c>
      <c r="H14" s="127">
        <f>IFERROR(VLOOKUP(Table367[[#This Row],[Sector]],'Asset Allocations'!$A:$Q,9,FALSE)*Table36[[#This Row],[Meridian]],"")</f>
        <v>0</v>
      </c>
      <c r="I14" s="127">
        <f>IFERROR(VLOOKUP(Table367[[#This Row],[Sector]],'Asset Allocations'!$A:$Q,11,FALSE)*Table36[[#This Row],[Explorer]],"")</f>
        <v>0</v>
      </c>
      <c r="J14" s="127">
        <f>IFERROR(VLOOKUP(Table367[[#This Row],[Sector]],'Asset Allocations'!$A:$Q,13,FALSE)*Table36[[#This Row],[Voyager]],"")</f>
        <v>0</v>
      </c>
      <c r="K14" s="127">
        <f>IFERROR(VLOOKUP(Table367[[#This Row],[Sector]],'Asset Allocations'!$A:$Q,15,FALSE)*Table36[[#This Row],[Adventurer]],"")</f>
        <v>0</v>
      </c>
      <c r="L14" s="127">
        <f>IFERROR(VLOOKUP(Table367[[#This Row],[Sector]],'Asset Allocations'!$A:$Q,17,FALSE)*Table36[[#This Row],[Pioneer]],"")</f>
        <v>0</v>
      </c>
    </row>
    <row r="15" spans="1:12" x14ac:dyDescent="0.2">
      <c r="A15" s="119" t="str">
        <f>IF(Table36[[#This Row],[ISIN Code]]="","",Table36[[#This Row],[ISIN Code]])</f>
        <v>GB00BG08N399</v>
      </c>
      <c r="B15" s="123" t="str">
        <f>IFERROR(VLOOKUP(A15,NoviaFunds[],2,FALSE),"")</f>
        <v>ASI Short Dated Global Corporate Bond Tracker B Acc</v>
      </c>
      <c r="C15" s="124"/>
      <c r="D15" s="145" t="str">
        <f>IFERROR(VLOOKUP(A15,NoviaFunds[],6,FALSE),"")</f>
        <v>Global Investment Grade</v>
      </c>
      <c r="E15" s="127">
        <f>IFERROR(VLOOKUP(Table367[[#This Row],[Sector]],'Asset Allocations'!$A:$Q,3,FALSE)*Table36[[#This Row],[Defender]],"")</f>
        <v>0.09</v>
      </c>
      <c r="F15" s="127">
        <f>IFERROR(VLOOKUP(Table367[[#This Row],[Sector]],'Asset Allocations'!$A:$Q,5,FALSE)*Table36[[#This Row],[Prudence]],"")</f>
        <v>0.05</v>
      </c>
      <c r="G15" s="127">
        <f>IFERROR(VLOOKUP(Table367[[#This Row],[Sector]],'Asset Allocations'!$A:$Q,7,FALSE)*Table36[[#This Row],[Navigator]],"")</f>
        <v>0.02</v>
      </c>
      <c r="H15" s="127">
        <f>IFERROR(VLOOKUP(Table367[[#This Row],[Sector]],'Asset Allocations'!$A:$Q,9,FALSE)*Table36[[#This Row],[Meridian]],"")</f>
        <v>0.02</v>
      </c>
      <c r="I15" s="127">
        <f>IFERROR(VLOOKUP(Table367[[#This Row],[Sector]],'Asset Allocations'!$A:$Q,11,FALSE)*Table36[[#This Row],[Explorer]],"")</f>
        <v>0</v>
      </c>
      <c r="J15" s="127">
        <f>IFERROR(VLOOKUP(Table367[[#This Row],[Sector]],'Asset Allocations'!$A:$Q,13,FALSE)*Table36[[#This Row],[Voyager]],"")</f>
        <v>0</v>
      </c>
      <c r="K15" s="127">
        <f>IFERROR(VLOOKUP(Table367[[#This Row],[Sector]],'Asset Allocations'!$A:$Q,15,FALSE)*Table36[[#This Row],[Adventurer]],"")</f>
        <v>0</v>
      </c>
      <c r="L15" s="127">
        <f>IFERROR(VLOOKUP(Table367[[#This Row],[Sector]],'Asset Allocations'!$A:$Q,17,FALSE)*Table36[[#This Row],[Pioneer]],"")</f>
        <v>0</v>
      </c>
    </row>
    <row r="16" spans="1:12" x14ac:dyDescent="0.2">
      <c r="A16" s="119" t="str">
        <f>IF(Table36[[#This Row],[ISIN Code]]="","",Table36[[#This Row],[ISIN Code]])</f>
        <v>GB00B58YKH53</v>
      </c>
      <c r="B16" s="123" t="str">
        <f>IFERROR(VLOOKUP(A16,NoviaFunds[],2,FALSE),"")</f>
        <v>iShares Overseas Corporate Bond Index (UK) D Acc in GB</v>
      </c>
      <c r="C16" s="124"/>
      <c r="D16" s="145" t="str">
        <f>IFERROR(VLOOKUP(A16,NoviaFunds[],6,FALSE),"")</f>
        <v>Global Investment Grade</v>
      </c>
      <c r="E16" s="127">
        <f>IFERROR(VLOOKUP(Table367[[#This Row],[Sector]],'Asset Allocations'!$A:$Q,3,FALSE)*Table36[[#This Row],[Defender]],"")</f>
        <v>0.09</v>
      </c>
      <c r="F16" s="127">
        <f>IFERROR(VLOOKUP(Table367[[#This Row],[Sector]],'Asset Allocations'!$A:$Q,5,FALSE)*Table36[[#This Row],[Prudence]],"")</f>
        <v>0.05</v>
      </c>
      <c r="G16" s="127">
        <f>IFERROR(VLOOKUP(Table367[[#This Row],[Sector]],'Asset Allocations'!$A:$Q,7,FALSE)*Table36[[#This Row],[Navigator]],"")</f>
        <v>0.02</v>
      </c>
      <c r="H16" s="127">
        <f>IFERROR(VLOOKUP(Table367[[#This Row],[Sector]],'Asset Allocations'!$A:$Q,9,FALSE)*Table36[[#This Row],[Meridian]],"")</f>
        <v>0.02</v>
      </c>
      <c r="I16" s="127">
        <f>IFERROR(VLOOKUP(Table367[[#This Row],[Sector]],'Asset Allocations'!$A:$Q,11,FALSE)*Table36[[#This Row],[Explorer]],"")</f>
        <v>0.02</v>
      </c>
      <c r="J16" s="127">
        <f>IFERROR(VLOOKUP(Table367[[#This Row],[Sector]],'Asset Allocations'!$A:$Q,13,FALSE)*Table36[[#This Row],[Voyager]],"")</f>
        <v>0.02</v>
      </c>
      <c r="K16" s="127">
        <f>IFERROR(VLOOKUP(Table367[[#This Row],[Sector]],'Asset Allocations'!$A:$Q,15,FALSE)*Table36[[#This Row],[Adventurer]],"")</f>
        <v>0</v>
      </c>
      <c r="L16" s="127">
        <f>IFERROR(VLOOKUP(Table367[[#This Row],[Sector]],'Asset Allocations'!$A:$Q,17,FALSE)*Table36[[#This Row],[Pioneer]],"")</f>
        <v>0</v>
      </c>
    </row>
    <row r="17" spans="1:12" x14ac:dyDescent="0.2">
      <c r="A17" s="119" t="str">
        <f>IF(Table36[[#This Row],[ISIN Code]]="","",Table36[[#This Row],[ISIN Code]])</f>
        <v>GB0006011133</v>
      </c>
      <c r="B17" s="123" t="str">
        <f>IFERROR(VLOOKUP(A17,NoviaFunds[],2,FALSE),"")</f>
        <v>Baillie Gifford Japanese B Acc in GB**</v>
      </c>
      <c r="C17" s="124"/>
      <c r="D17" s="145" t="str">
        <f>IFERROR(VLOOKUP(A17,NoviaFunds[],6,FALSE),"")</f>
        <v>Japanese Equities</v>
      </c>
      <c r="E17" s="127">
        <f>IFERROR(VLOOKUP(Table367[[#This Row],[Sector]],'Asset Allocations'!$A:$Q,3,FALSE)*Table36[[#This Row],[Defender]],"")</f>
        <v>0.05</v>
      </c>
      <c r="F17" s="127">
        <f>IFERROR(VLOOKUP(Table367[[#This Row],[Sector]],'Asset Allocations'!$A:$Q,5,FALSE)*Table36[[#This Row],[Prudence]],"")</f>
        <v>0.05</v>
      </c>
      <c r="G17" s="127">
        <f>IFERROR(VLOOKUP(Table367[[#This Row],[Sector]],'Asset Allocations'!$A:$Q,7,FALSE)*Table36[[#This Row],[Navigator]],"")</f>
        <v>0.06</v>
      </c>
      <c r="H17" s="127">
        <f>IFERROR(VLOOKUP(Table367[[#This Row],[Sector]],'Asset Allocations'!$A:$Q,9,FALSE)*Table36[[#This Row],[Meridian]],"")</f>
        <v>7.0000000000000007E-2</v>
      </c>
      <c r="I17" s="127">
        <f>IFERROR(VLOOKUP(Table367[[#This Row],[Sector]],'Asset Allocations'!$A:$Q,11,FALSE)*Table36[[#This Row],[Explorer]],"")</f>
        <v>0.08</v>
      </c>
      <c r="J17" s="127">
        <f>IFERROR(VLOOKUP(Table367[[#This Row],[Sector]],'Asset Allocations'!$A:$Q,13,FALSE)*Table36[[#This Row],[Voyager]],"")</f>
        <v>0.06</v>
      </c>
      <c r="K17" s="127">
        <f>IFERROR(VLOOKUP(Table367[[#This Row],[Sector]],'Asset Allocations'!$A:$Q,15,FALSE)*Table36[[#This Row],[Adventurer]],"")</f>
        <v>0.06</v>
      </c>
      <c r="L17" s="127">
        <f>IFERROR(VLOOKUP(Table367[[#This Row],[Sector]],'Asset Allocations'!$A:$Q,17,FALSE)*Table36[[#This Row],[Pioneer]],"")</f>
        <v>0</v>
      </c>
    </row>
    <row r="18" spans="1:12" x14ac:dyDescent="0.2">
      <c r="A18" s="119" t="str">
        <f>IF(Table36[[#This Row],[ISIN Code]]="","",Table36[[#This Row],[ISIN Code]])</f>
        <v xml:space="preserve">IE00BRHZ0398 </v>
      </c>
      <c r="B18" s="123" t="str">
        <f>IFERROR(VLOOKUP(A18,NoviaFunds[],2,FALSE),"")</f>
        <v>iShares MSCI Target UK Real Estate UCITS ETF GBP</v>
      </c>
      <c r="C18" s="124"/>
      <c r="D18" s="145" t="str">
        <f>IFERROR(VLOOKUP(A18,NoviaFunds[],6,FALSE),"")</f>
        <v>Property</v>
      </c>
      <c r="E18" s="127">
        <f>IFERROR(VLOOKUP(Table367[[#This Row],[Sector]],'Asset Allocations'!$A:$Q,3,FALSE)*Table36[[#This Row],[Defender]],"")</f>
        <v>0.05</v>
      </c>
      <c r="F18" s="127">
        <f>IFERROR(VLOOKUP(Table367[[#This Row],[Sector]],'Asset Allocations'!$A:$Q,5,FALSE)*Table36[[#This Row],[Prudence]],"")</f>
        <v>0.05</v>
      </c>
      <c r="G18" s="127">
        <f>IFERROR(VLOOKUP(Table367[[#This Row],[Sector]],'Asset Allocations'!$A:$Q,7,FALSE)*Table36[[#This Row],[Navigator]],"")</f>
        <v>0.05</v>
      </c>
      <c r="H18" s="127">
        <f>IFERROR(VLOOKUP(Table367[[#This Row],[Sector]],'Asset Allocations'!$A:$Q,9,FALSE)*Table36[[#This Row],[Meridian]],"")</f>
        <v>0.05</v>
      </c>
      <c r="I18" s="127">
        <f>IFERROR(VLOOKUP(Table367[[#This Row],[Sector]],'Asset Allocations'!$A:$Q,11,FALSE)*Table36[[#This Row],[Explorer]],"")</f>
        <v>0.05</v>
      </c>
      <c r="J18" s="127">
        <f>IFERROR(VLOOKUP(Table367[[#This Row],[Sector]],'Asset Allocations'!$A:$Q,13,FALSE)*Table36[[#This Row],[Voyager]],"")</f>
        <v>0.05</v>
      </c>
      <c r="K18" s="127">
        <f>IFERROR(VLOOKUP(Table367[[#This Row],[Sector]],'Asset Allocations'!$A:$Q,15,FALSE)*Table36[[#This Row],[Adventurer]],"")</f>
        <v>0</v>
      </c>
      <c r="L18" s="127">
        <f>IFERROR(VLOOKUP(Table367[[#This Row],[Sector]],'Asset Allocations'!$A:$Q,17,FALSE)*Table36[[#This Row],[Pioneer]],"")</f>
        <v>0</v>
      </c>
    </row>
    <row r="19" spans="1:12" x14ac:dyDescent="0.2">
      <c r="A19" s="119" t="str">
        <f>IF(Table36[[#This Row],[ISIN Code]]="","",Table36[[#This Row],[ISIN Code]])</f>
        <v>GB00BKGR3H21</v>
      </c>
      <c r="B19" s="123" t="str">
        <f>IFERROR(VLOOKUP(A19,NoviaFunds[],2,FALSE),"")</f>
        <v>L&amp;G Short Dated Sterling Corporate Bond Index I Acc in GB</v>
      </c>
      <c r="C19" s="124"/>
      <c r="D19" s="145" t="str">
        <f>IFERROR(VLOOKUP(A19,NoviaFunds[],6,FALSE),"")</f>
        <v>Sterling Corporate Bonds</v>
      </c>
      <c r="E19" s="127">
        <f>IFERROR(VLOOKUP(Table367[[#This Row],[Sector]],'Asset Allocations'!$A:$Q,3,FALSE)*Table36[[#This Row],[Defender]],"")</f>
        <v>4.4999999999999998E-2</v>
      </c>
      <c r="F19" s="127">
        <f>IFERROR(VLOOKUP(Table367[[#This Row],[Sector]],'Asset Allocations'!$A:$Q,5,FALSE)*Table36[[#This Row],[Prudence]],"")</f>
        <v>4.4999999999999998E-2</v>
      </c>
      <c r="G19" s="127">
        <f>IFERROR(VLOOKUP(Table367[[#This Row],[Sector]],'Asset Allocations'!$A:$Q,7,FALSE)*Table36[[#This Row],[Navigator]],"")</f>
        <v>0.03</v>
      </c>
      <c r="H19" s="127">
        <f>IFERROR(VLOOKUP(Table367[[#This Row],[Sector]],'Asset Allocations'!$A:$Q,9,FALSE)*Table36[[#This Row],[Meridian]],"")</f>
        <v>2.4E-2</v>
      </c>
      <c r="I19" s="127">
        <f>IFERROR(VLOOKUP(Table367[[#This Row],[Sector]],'Asset Allocations'!$A:$Q,11,FALSE)*Table36[[#This Row],[Explorer]],"")</f>
        <v>0</v>
      </c>
      <c r="J19" s="127">
        <f>IFERROR(VLOOKUP(Table367[[#This Row],[Sector]],'Asset Allocations'!$A:$Q,13,FALSE)*Table36[[#This Row],[Voyager]],"")</f>
        <v>0</v>
      </c>
      <c r="K19" s="127">
        <f>IFERROR(VLOOKUP(Table367[[#This Row],[Sector]],'Asset Allocations'!$A:$Q,15,FALSE)*Table36[[#This Row],[Adventurer]],"")</f>
        <v>0</v>
      </c>
      <c r="L19" s="127">
        <f>IFERROR(VLOOKUP(Table367[[#This Row],[Sector]],'Asset Allocations'!$A:$Q,17,FALSE)*Table36[[#This Row],[Pioneer]],"")</f>
        <v>0</v>
      </c>
    </row>
    <row r="20" spans="1:12" x14ac:dyDescent="0.2">
      <c r="A20" s="119" t="str">
        <f>IF(Table36[[#This Row],[ISIN Code]]="","",Table36[[#This Row],[ISIN Code]])</f>
        <v>GB00B4W1ZT22</v>
      </c>
      <c r="B20" s="123" t="str">
        <f>IFERROR(VLOOKUP(A20,NoviaFunds[],2,FALSE),"")</f>
        <v>Royal London Sterling Credit Z Inc TR in GB</v>
      </c>
      <c r="C20" s="124"/>
      <c r="D20" s="145" t="str">
        <f>IFERROR(VLOOKUP(A20,NoviaFunds[],6,FALSE),"")</f>
        <v>Sterling Corporate Bonds</v>
      </c>
      <c r="E20" s="127">
        <f>IFERROR(VLOOKUP(Table367[[#This Row],[Sector]],'Asset Allocations'!$A:$Q,3,FALSE)*Table36[[#This Row],[Defender]],"")</f>
        <v>4.4999999999999998E-2</v>
      </c>
      <c r="F20" s="127">
        <f>IFERROR(VLOOKUP(Table367[[#This Row],[Sector]],'Asset Allocations'!$A:$Q,5,FALSE)*Table36[[#This Row],[Prudence]],"")</f>
        <v>4.4999999999999998E-2</v>
      </c>
      <c r="G20" s="127">
        <f>IFERROR(VLOOKUP(Table367[[#This Row],[Sector]],'Asset Allocations'!$A:$Q,7,FALSE)*Table36[[#This Row],[Navigator]],"")</f>
        <v>0.03</v>
      </c>
      <c r="H20" s="127">
        <f>IFERROR(VLOOKUP(Table367[[#This Row],[Sector]],'Asset Allocations'!$A:$Q,9,FALSE)*Table36[[#This Row],[Meridian]],"")</f>
        <v>2.4E-2</v>
      </c>
      <c r="I20" s="127">
        <f>IFERROR(VLOOKUP(Table367[[#This Row],[Sector]],'Asset Allocations'!$A:$Q,11,FALSE)*Table36[[#This Row],[Explorer]],"")</f>
        <v>0</v>
      </c>
      <c r="J20" s="127">
        <f>IFERROR(VLOOKUP(Table367[[#This Row],[Sector]],'Asset Allocations'!$A:$Q,13,FALSE)*Table36[[#This Row],[Voyager]],"")</f>
        <v>0</v>
      </c>
      <c r="K20" s="127">
        <f>IFERROR(VLOOKUP(Table367[[#This Row],[Sector]],'Asset Allocations'!$A:$Q,15,FALSE)*Table36[[#This Row],[Adventurer]],"")</f>
        <v>0</v>
      </c>
      <c r="L20" s="127">
        <f>IFERROR(VLOOKUP(Table367[[#This Row],[Sector]],'Asset Allocations'!$A:$Q,17,FALSE)*Table36[[#This Row],[Pioneer]],"")</f>
        <v>0</v>
      </c>
    </row>
    <row r="21" spans="1:12" x14ac:dyDescent="0.2">
      <c r="A21" s="119" t="str">
        <f>IF(Table36[[#This Row],[ISIN Code]]="","",Table36[[#This Row],[ISIN Code]])</f>
        <v>IE00B9M1BB17</v>
      </c>
      <c r="B21" s="123" t="str">
        <f>IFERROR(VLOOKUP(A21,NoviaFunds[],2,FALSE),"")</f>
        <v>Vanguard UK Short-Term Investment Grade Bond Index Acc</v>
      </c>
      <c r="C21" s="124"/>
      <c r="D21" s="145" t="str">
        <f>IFERROR(VLOOKUP(A21,NoviaFunds[],6,FALSE),"")</f>
        <v>Sterling Corporate Bonds</v>
      </c>
      <c r="E21" s="127">
        <f>IFERROR(VLOOKUP(Table367[[#This Row],[Sector]],'Asset Allocations'!$A:$Q,3,FALSE)*Table36[[#This Row],[Defender]],"")</f>
        <v>0.06</v>
      </c>
      <c r="F21" s="127">
        <f>IFERROR(VLOOKUP(Table367[[#This Row],[Sector]],'Asset Allocations'!$A:$Q,5,FALSE)*Table36[[#This Row],[Prudence]],"")</f>
        <v>0.06</v>
      </c>
      <c r="G21" s="127">
        <f>IFERROR(VLOOKUP(Table367[[#This Row],[Sector]],'Asset Allocations'!$A:$Q,7,FALSE)*Table36[[#This Row],[Navigator]],"")</f>
        <v>4.0000000000000008E-2</v>
      </c>
      <c r="H21" s="127">
        <f>IFERROR(VLOOKUP(Table367[[#This Row],[Sector]],'Asset Allocations'!$A:$Q,9,FALSE)*Table36[[#This Row],[Meridian]],"")</f>
        <v>3.2000000000000001E-2</v>
      </c>
      <c r="I21" s="127">
        <f>IFERROR(VLOOKUP(Table367[[#This Row],[Sector]],'Asset Allocations'!$A:$Q,11,FALSE)*Table36[[#This Row],[Explorer]],"")</f>
        <v>0</v>
      </c>
      <c r="J21" s="127">
        <f>IFERROR(VLOOKUP(Table367[[#This Row],[Sector]],'Asset Allocations'!$A:$Q,13,FALSE)*Table36[[#This Row],[Voyager]],"")</f>
        <v>0</v>
      </c>
      <c r="K21" s="127">
        <f>IFERROR(VLOOKUP(Table367[[#This Row],[Sector]],'Asset Allocations'!$A:$Q,15,FALSE)*Table36[[#This Row],[Adventurer]],"")</f>
        <v>0</v>
      </c>
      <c r="L21" s="127">
        <f>IFERROR(VLOOKUP(Table367[[#This Row],[Sector]],'Asset Allocations'!$A:$Q,17,FALSE)*Table36[[#This Row],[Pioneer]],"")</f>
        <v>0</v>
      </c>
    </row>
    <row r="22" spans="1:12" x14ac:dyDescent="0.2">
      <c r="A22" s="119" t="str">
        <f>IF(Table36[[#This Row],[ISIN Code]]="","",Table36[[#This Row],[ISIN Code]])</f>
        <v>GB00BMH6XK58</v>
      </c>
      <c r="B22" s="123" t="str">
        <f>IFERROR(VLOOKUP(A22,NoviaFunds[],2,FALSE),"")</f>
        <v>Allianz UK Listed Equity Income E Inc GBP</v>
      </c>
      <c r="C22" s="124"/>
      <c r="D22" s="145" t="str">
        <f>IFERROR(VLOOKUP(A22,NoviaFunds[],6,FALSE),"")</f>
        <v>UK Equities</v>
      </c>
      <c r="E22" s="127">
        <f>IFERROR(VLOOKUP(Table367[[#This Row],[Sector]],'Asset Allocations'!$A:$Q,3,FALSE)*Table36[[#This Row],[Defender]],"")</f>
        <v>0.03</v>
      </c>
      <c r="F22" s="127">
        <f>IFERROR(VLOOKUP(Table367[[#This Row],[Sector]],'Asset Allocations'!$A:$Q,5,FALSE)*Table36[[#This Row],[Prudence]],"")</f>
        <v>0.04</v>
      </c>
      <c r="G22" s="127">
        <f>IFERROR(VLOOKUP(Table367[[#This Row],[Sector]],'Asset Allocations'!$A:$Q,7,FALSE)*Table36[[#This Row],[Navigator]],"")</f>
        <v>5.7500000000000002E-2</v>
      </c>
      <c r="H22" s="127">
        <f>IFERROR(VLOOKUP(Table367[[#This Row],[Sector]],'Asset Allocations'!$A:$Q,9,FALSE)*Table36[[#This Row],[Meridian]],"")</f>
        <v>5.7500000000000002E-2</v>
      </c>
      <c r="I22" s="127">
        <f>IFERROR(VLOOKUP(Table367[[#This Row],[Sector]],'Asset Allocations'!$A:$Q,11,FALSE)*Table36[[#This Row],[Explorer]],"")</f>
        <v>8.5000000000000006E-2</v>
      </c>
      <c r="J22" s="127">
        <f>IFERROR(VLOOKUP(Table367[[#This Row],[Sector]],'Asset Allocations'!$A:$Q,13,FALSE)*Table36[[#This Row],[Voyager]],"")</f>
        <v>4.4999999999999998E-2</v>
      </c>
      <c r="K22" s="127">
        <f>IFERROR(VLOOKUP(Table367[[#This Row],[Sector]],'Asset Allocations'!$A:$Q,15,FALSE)*Table36[[#This Row],[Adventurer]],"")</f>
        <v>3.2500000000000001E-2</v>
      </c>
      <c r="L22" s="127">
        <f>IFERROR(VLOOKUP(Table367[[#This Row],[Sector]],'Asset Allocations'!$A:$Q,17,FALSE)*Table36[[#This Row],[Pioneer]],"")</f>
        <v>0</v>
      </c>
    </row>
    <row r="23" spans="1:12" x14ac:dyDescent="0.2">
      <c r="A23" s="119" t="str">
        <f>IF(Table36[[#This Row],[ISIN Code]]="","",Table36[[#This Row],[ISIN Code]])</f>
        <v>GB00B7DRD638</v>
      </c>
      <c r="B23" s="123" t="str">
        <f>IFERROR(VLOOKUP(A23,NoviaFunds[],2,FALSE),"")</f>
        <v>FTF Franklin UK Equity Income W Acc TR in GB</v>
      </c>
      <c r="C23" s="124"/>
      <c r="D23" s="145" t="str">
        <f>IFERROR(VLOOKUP(A23,NoviaFunds[],6,FALSE),"")</f>
        <v>UK Equities</v>
      </c>
      <c r="E23" s="127">
        <f>IFERROR(VLOOKUP(Table367[[#This Row],[Sector]],'Asset Allocations'!$A:$Q,3,FALSE)*Table36[[#This Row],[Defender]],"")</f>
        <v>0.03</v>
      </c>
      <c r="F23" s="127">
        <f>IFERROR(VLOOKUP(Table367[[#This Row],[Sector]],'Asset Allocations'!$A:$Q,5,FALSE)*Table36[[#This Row],[Prudence]],"")</f>
        <v>0.04</v>
      </c>
      <c r="G23" s="127">
        <f>IFERROR(VLOOKUP(Table367[[#This Row],[Sector]],'Asset Allocations'!$A:$Q,7,FALSE)*Table36[[#This Row],[Navigator]],"")</f>
        <v>5.7500000000000002E-2</v>
      </c>
      <c r="H23" s="127">
        <f>IFERROR(VLOOKUP(Table367[[#This Row],[Sector]],'Asset Allocations'!$A:$Q,9,FALSE)*Table36[[#This Row],[Meridian]],"")</f>
        <v>5.7500000000000002E-2</v>
      </c>
      <c r="I23" s="127">
        <f>IFERROR(VLOOKUP(Table367[[#This Row],[Sector]],'Asset Allocations'!$A:$Q,11,FALSE)*Table36[[#This Row],[Explorer]],"")</f>
        <v>8.5000000000000006E-2</v>
      </c>
      <c r="J23" s="127">
        <f>IFERROR(VLOOKUP(Table367[[#This Row],[Sector]],'Asset Allocations'!$A:$Q,13,FALSE)*Table36[[#This Row],[Voyager]],"")</f>
        <v>4.4999999999999998E-2</v>
      </c>
      <c r="K23" s="127">
        <f>IFERROR(VLOOKUP(Table367[[#This Row],[Sector]],'Asset Allocations'!$A:$Q,15,FALSE)*Table36[[#This Row],[Adventurer]],"")</f>
        <v>3.2500000000000001E-2</v>
      </c>
      <c r="L23" s="127">
        <f>IFERROR(VLOOKUP(Table367[[#This Row],[Sector]],'Asset Allocations'!$A:$Q,17,FALSE)*Table36[[#This Row],[Pioneer]],"")</f>
        <v>0</v>
      </c>
    </row>
    <row r="24" spans="1:12" x14ac:dyDescent="0.2">
      <c r="A24" s="119" t="str">
        <f>IF(Table36[[#This Row],[ISIN Code]]="","",Table36[[#This Row],[ISIN Code]])</f>
        <v>GB00B7T0G907</v>
      </c>
      <c r="B24" s="123" t="str">
        <f>IFERROR(VLOOKUP(A24,NoviaFunds[],2,FALSE),"")</f>
        <v>Slater Growth P Acc in GB</v>
      </c>
      <c r="C24" s="124"/>
      <c r="D24" s="145" t="str">
        <f>IFERROR(VLOOKUP(A24,NoviaFunds[],6,FALSE),"")</f>
        <v>UK Equities</v>
      </c>
      <c r="E24" s="127">
        <f>IFERROR(VLOOKUP(Table367[[#This Row],[Sector]],'Asset Allocations'!$A:$Q,3,FALSE)*Table36[[#This Row],[Defender]],"")</f>
        <v>2.4E-2</v>
      </c>
      <c r="F24" s="127">
        <f>IFERROR(VLOOKUP(Table367[[#This Row],[Sector]],'Asset Allocations'!$A:$Q,5,FALSE)*Table36[[#This Row],[Prudence]],"")</f>
        <v>3.2000000000000001E-2</v>
      </c>
      <c r="G24" s="127">
        <f>IFERROR(VLOOKUP(Table367[[#This Row],[Sector]],'Asset Allocations'!$A:$Q,7,FALSE)*Table36[[#This Row],[Navigator]],"")</f>
        <v>4.6000000000000006E-2</v>
      </c>
      <c r="H24" s="127">
        <f>IFERROR(VLOOKUP(Table367[[#This Row],[Sector]],'Asset Allocations'!$A:$Q,9,FALSE)*Table36[[#This Row],[Meridian]],"")</f>
        <v>4.6000000000000006E-2</v>
      </c>
      <c r="I24" s="127">
        <f>IFERROR(VLOOKUP(Table367[[#This Row],[Sector]],'Asset Allocations'!$A:$Q,11,FALSE)*Table36[[#This Row],[Explorer]],"")</f>
        <v>6.8000000000000005E-2</v>
      </c>
      <c r="J24" s="127">
        <f>IFERROR(VLOOKUP(Table367[[#This Row],[Sector]],'Asset Allocations'!$A:$Q,13,FALSE)*Table36[[#This Row],[Voyager]],"")</f>
        <v>3.5999999999999997E-2</v>
      </c>
      <c r="K24" s="127">
        <f>IFERROR(VLOOKUP(Table367[[#This Row],[Sector]],'Asset Allocations'!$A:$Q,15,FALSE)*Table36[[#This Row],[Adventurer]],"")</f>
        <v>2.6000000000000002E-2</v>
      </c>
      <c r="L24" s="127">
        <f>IFERROR(VLOOKUP(Table367[[#This Row],[Sector]],'Asset Allocations'!$A:$Q,17,FALSE)*Table36[[#This Row],[Pioneer]],"")</f>
        <v>0</v>
      </c>
    </row>
    <row r="25" spans="1:12" x14ac:dyDescent="0.2">
      <c r="A25" s="119" t="str">
        <f>IF(Table36[[#This Row],[ISIN Code]]="","",Table36[[#This Row],[ISIN Code]])</f>
        <v>GB00B3X7QG63</v>
      </c>
      <c r="B25" s="123" t="str">
        <f>IFERROR(VLOOKUP(A25,NoviaFunds[],2,FALSE),"")</f>
        <v>Vanguard FTSE U.K. All Share Index Unit Trust A Acc GBP in GB</v>
      </c>
      <c r="C25" s="124"/>
      <c r="D25" s="145" t="str">
        <f>IFERROR(VLOOKUP(A25,NoviaFunds[],6,FALSE),"")</f>
        <v>UK Equities</v>
      </c>
      <c r="E25" s="127">
        <f>IFERROR(VLOOKUP(Table367[[#This Row],[Sector]],'Asset Allocations'!$A:$Q,3,FALSE)*Table36[[#This Row],[Defender]],"")</f>
        <v>3.5999999999999997E-2</v>
      </c>
      <c r="F25" s="127">
        <f>IFERROR(VLOOKUP(Table367[[#This Row],[Sector]],'Asset Allocations'!$A:$Q,5,FALSE)*Table36[[#This Row],[Prudence]],"")</f>
        <v>4.8000000000000001E-2</v>
      </c>
      <c r="G25" s="127">
        <f>IFERROR(VLOOKUP(Table367[[#This Row],[Sector]],'Asset Allocations'!$A:$Q,7,FALSE)*Table36[[#This Row],[Navigator]],"")</f>
        <v>6.9000000000000006E-2</v>
      </c>
      <c r="H25" s="127">
        <f>IFERROR(VLOOKUP(Table367[[#This Row],[Sector]],'Asset Allocations'!$A:$Q,9,FALSE)*Table36[[#This Row],[Meridian]],"")</f>
        <v>6.9000000000000006E-2</v>
      </c>
      <c r="I25" s="127">
        <f>IFERROR(VLOOKUP(Table367[[#This Row],[Sector]],'Asset Allocations'!$A:$Q,11,FALSE)*Table36[[#This Row],[Explorer]],"")</f>
        <v>0.10200000000000001</v>
      </c>
      <c r="J25" s="127">
        <f>IFERROR(VLOOKUP(Table367[[#This Row],[Sector]],'Asset Allocations'!$A:$Q,13,FALSE)*Table36[[#This Row],[Voyager]],"")</f>
        <v>5.3999999999999999E-2</v>
      </c>
      <c r="K25" s="127">
        <f>IFERROR(VLOOKUP(Table367[[#This Row],[Sector]],'Asset Allocations'!$A:$Q,15,FALSE)*Table36[[#This Row],[Adventurer]],"")</f>
        <v>3.9E-2</v>
      </c>
      <c r="L25" s="127">
        <f>IFERROR(VLOOKUP(Table367[[#This Row],[Sector]],'Asset Allocations'!$A:$Q,17,FALSE)*Table36[[#This Row],[Pioneer]],"")</f>
        <v>0.03</v>
      </c>
    </row>
    <row r="26" spans="1:12" x14ac:dyDescent="0.2">
      <c r="A26" s="119" t="str">
        <f>IF(Table36[[#This Row],[ISIN Code]]="","",Table36[[#This Row],[ISIN Code]])</f>
        <v>IE00B1FZSD53</v>
      </c>
      <c r="B26" s="143" t="str">
        <f>IFERROR(VLOOKUP(A26,NoviaFunds[],2,FALSE),"")</f>
        <v>iShares £ Index-Linked Gilts UCITS ETF</v>
      </c>
      <c r="C26" s="144"/>
      <c r="D26" s="145" t="str">
        <f>IFERROR(VLOOKUP(A26,NoviaFunds[],6,FALSE),"")</f>
        <v>UK Index Linked Gilts</v>
      </c>
      <c r="E26" s="127">
        <f>IFERROR(VLOOKUP(Table367[[#This Row],[Sector]],'Asset Allocations'!$A:$Q,3,FALSE)*Table36[[#This Row],[Defender]],"")</f>
        <v>0.08</v>
      </c>
      <c r="F26" s="127">
        <f>IFERROR(VLOOKUP(Table367[[#This Row],[Sector]],'Asset Allocations'!$A:$Q,5,FALSE)*Table36[[#This Row],[Prudence]],"")</f>
        <v>0.08</v>
      </c>
      <c r="G26" s="127">
        <f>IFERROR(VLOOKUP(Table367[[#This Row],[Sector]],'Asset Allocations'!$A:$Q,7,FALSE)*Table36[[#This Row],[Navigator]],"")</f>
        <v>0.04</v>
      </c>
      <c r="H26" s="127">
        <f>IFERROR(VLOOKUP(Table367[[#This Row],[Sector]],'Asset Allocations'!$A:$Q,9,FALSE)*Table36[[#This Row],[Meridian]],"")</f>
        <v>0</v>
      </c>
      <c r="I26" s="127">
        <f>IFERROR(VLOOKUP(Table367[[#This Row],[Sector]],'Asset Allocations'!$A:$Q,11,FALSE)*Table36[[#This Row],[Explorer]],"")</f>
        <v>0</v>
      </c>
      <c r="J26" s="127">
        <f>IFERROR(VLOOKUP(Table367[[#This Row],[Sector]],'Asset Allocations'!$A:$Q,13,FALSE)*Table36[[#This Row],[Voyager]],"")</f>
        <v>0</v>
      </c>
      <c r="K26" s="127">
        <f>IFERROR(VLOOKUP(Table367[[#This Row],[Sector]],'Asset Allocations'!$A:$Q,15,FALSE)*Table36[[#This Row],[Adventurer]],"")</f>
        <v>0</v>
      </c>
      <c r="L26" s="127">
        <f>IFERROR(VLOOKUP(Table367[[#This Row],[Sector]],'Asset Allocations'!$A:$Q,17,FALSE)*Table36[[#This Row],[Pioneer]],"")</f>
        <v>0</v>
      </c>
    </row>
    <row r="27" spans="1:12" x14ac:dyDescent="0.2">
      <c r="A27" s="119" t="str">
        <f>IF(Table36[[#This Row],[ISIN Code]]="","",Table36[[#This Row],[ISIN Code]])</f>
        <v>GB00BMMV5766</v>
      </c>
      <c r="B27" s="143" t="str">
        <f>IFERROR(VLOOKUP(A27,NoviaFunds[],2,FALSE),"")</f>
        <v>Artemis US Smaller Companies I Acc GBP in GB</v>
      </c>
      <c r="C27" s="144"/>
      <c r="D27" s="145" t="str">
        <f>IFERROR(VLOOKUP(A27,NoviaFunds[],6,FALSE),"")</f>
        <v>USA Equities</v>
      </c>
      <c r="E27" s="127">
        <f>IFERROR(VLOOKUP(Table367[[#This Row],[Sector]],'Asset Allocations'!$A:$Q,3,FALSE)*Table36[[#This Row],[Defender]],"")</f>
        <v>2.5000000000000001E-2</v>
      </c>
      <c r="F27" s="127">
        <f>IFERROR(VLOOKUP(Table367[[#This Row],[Sector]],'Asset Allocations'!$A:$Q,5,FALSE)*Table36[[#This Row],[Prudence]],"")</f>
        <v>3.7499999999999999E-2</v>
      </c>
      <c r="G27" s="127">
        <f>IFERROR(VLOOKUP(Table367[[#This Row],[Sector]],'Asset Allocations'!$A:$Q,7,FALSE)*Table36[[#This Row],[Navigator]],"")</f>
        <v>5.5E-2</v>
      </c>
      <c r="H27" s="127">
        <f>IFERROR(VLOOKUP(Table367[[#This Row],[Sector]],'Asset Allocations'!$A:$Q,9,FALSE)*Table36[[#This Row],[Meridian]],"")</f>
        <v>5.5E-2</v>
      </c>
      <c r="I27" s="127">
        <f>IFERROR(VLOOKUP(Table367[[#This Row],[Sector]],'Asset Allocations'!$A:$Q,11,FALSE)*Table36[[#This Row],[Explorer]],"")</f>
        <v>4.7500000000000001E-2</v>
      </c>
      <c r="J27" s="127">
        <f>IFERROR(VLOOKUP(Table367[[#This Row],[Sector]],'Asset Allocations'!$A:$Q,13,FALSE)*Table36[[#This Row],[Voyager]],"")</f>
        <v>2.5000000000000001E-2</v>
      </c>
      <c r="K27" s="127">
        <f>IFERROR(VLOOKUP(Table367[[#This Row],[Sector]],'Asset Allocations'!$A:$Q,15,FALSE)*Table36[[#This Row],[Adventurer]],"")</f>
        <v>0.02</v>
      </c>
      <c r="L27" s="127">
        <f>IFERROR(VLOOKUP(Table367[[#This Row],[Sector]],'Asset Allocations'!$A:$Q,17,FALSE)*Table36[[#This Row],[Pioneer]],"")</f>
        <v>0</v>
      </c>
    </row>
    <row r="28" spans="1:12" x14ac:dyDescent="0.2">
      <c r="A28" s="119" t="str">
        <f>IF(Table36[[#This Row],[ISIN Code]]="","",Table36[[#This Row],[ISIN Code]])</f>
        <v>GB00BJS8SH10</v>
      </c>
      <c r="B28" s="143" t="str">
        <f>IFERROR(VLOOKUP(A28,NoviaFunds[],2,FALSE),"")</f>
        <v>Fidelity Index US P in GB</v>
      </c>
      <c r="C28" s="144"/>
      <c r="D28" s="145" t="str">
        <f>IFERROR(VLOOKUP(A28,NoviaFunds[],6,FALSE),"")</f>
        <v>USA Equities</v>
      </c>
      <c r="E28" s="127">
        <f>IFERROR(VLOOKUP(Table367[[#This Row],[Sector]],'Asset Allocations'!$A:$Q,3,FALSE)*Table36[[#This Row],[Defender]],"")</f>
        <v>0.05</v>
      </c>
      <c r="F28" s="127">
        <f>IFERROR(VLOOKUP(Table367[[#This Row],[Sector]],'Asset Allocations'!$A:$Q,5,FALSE)*Table36[[#This Row],[Prudence]],"")</f>
        <v>7.4999999999999997E-2</v>
      </c>
      <c r="G28" s="127">
        <f>IFERROR(VLOOKUP(Table367[[#This Row],[Sector]],'Asset Allocations'!$A:$Q,7,FALSE)*Table36[[#This Row],[Navigator]],"")</f>
        <v>0.11</v>
      </c>
      <c r="H28" s="127">
        <f>IFERROR(VLOOKUP(Table367[[#This Row],[Sector]],'Asset Allocations'!$A:$Q,9,FALSE)*Table36[[#This Row],[Meridian]],"")</f>
        <v>0.11</v>
      </c>
      <c r="I28" s="127">
        <f>IFERROR(VLOOKUP(Table367[[#This Row],[Sector]],'Asset Allocations'!$A:$Q,11,FALSE)*Table36[[#This Row],[Explorer]],"")</f>
        <v>9.5000000000000001E-2</v>
      </c>
      <c r="J28" s="127">
        <f>IFERROR(VLOOKUP(Table367[[#This Row],[Sector]],'Asset Allocations'!$A:$Q,13,FALSE)*Table36[[#This Row],[Voyager]],"")</f>
        <v>0.05</v>
      </c>
      <c r="K28" s="127">
        <f>IFERROR(VLOOKUP(Table367[[#This Row],[Sector]],'Asset Allocations'!$A:$Q,15,FALSE)*Table36[[#This Row],[Adventurer]],"")</f>
        <v>0.04</v>
      </c>
      <c r="L28" s="127">
        <f>IFERROR(VLOOKUP(Table367[[#This Row],[Sector]],'Asset Allocations'!$A:$Q,17,FALSE)*Table36[[#This Row],[Pioneer]],"")</f>
        <v>7.0000000000000007E-2</v>
      </c>
    </row>
    <row r="29" spans="1:12" x14ac:dyDescent="0.2">
      <c r="A29" s="119" t="str">
        <f>IF(Table36[[#This Row],[ISIN Code]]="","",Table36[[#This Row],[ISIN Code]])</f>
        <v>IE00BLNMYC90</v>
      </c>
      <c r="B29" s="143" t="str">
        <f>IFERROR(VLOOKUP(A29,NoviaFunds[],2,FALSE),"")</f>
        <v>Xtrackers S&amp;P 500 Equal Weight UCITS ETF</v>
      </c>
      <c r="C29" s="144"/>
      <c r="D29" s="145" t="str">
        <f>IFERROR(VLOOKUP(A29,NoviaFunds[],6,FALSE),"")</f>
        <v>USA Equities</v>
      </c>
      <c r="E29" s="127">
        <f>IFERROR(VLOOKUP(Table367[[#This Row],[Sector]],'Asset Allocations'!$A:$Q,3,FALSE)*Table36[[#This Row],[Defender]],"")</f>
        <v>2.5000000000000001E-2</v>
      </c>
      <c r="F29" s="127">
        <f>IFERROR(VLOOKUP(Table367[[#This Row],[Sector]],'Asset Allocations'!$A:$Q,5,FALSE)*Table36[[#This Row],[Prudence]],"")</f>
        <v>3.7499999999999999E-2</v>
      </c>
      <c r="G29" s="127">
        <f>IFERROR(VLOOKUP(Table367[[#This Row],[Sector]],'Asset Allocations'!$A:$Q,7,FALSE)*Table36[[#This Row],[Navigator]],"")</f>
        <v>5.5E-2</v>
      </c>
      <c r="H29" s="127">
        <f>IFERROR(VLOOKUP(Table367[[#This Row],[Sector]],'Asset Allocations'!$A:$Q,9,FALSE)*Table36[[#This Row],[Meridian]],"")</f>
        <v>5.5E-2</v>
      </c>
      <c r="I29" s="127">
        <f>IFERROR(VLOOKUP(Table367[[#This Row],[Sector]],'Asset Allocations'!$A:$Q,11,FALSE)*Table36[[#This Row],[Explorer]],"")</f>
        <v>4.7500000000000001E-2</v>
      </c>
      <c r="J29" s="127">
        <f>IFERROR(VLOOKUP(Table367[[#This Row],[Sector]],'Asset Allocations'!$A:$Q,13,FALSE)*Table36[[#This Row],[Voyager]],"")</f>
        <v>2.5000000000000001E-2</v>
      </c>
      <c r="K29" s="127">
        <f>IFERROR(VLOOKUP(Table367[[#This Row],[Sector]],'Asset Allocations'!$A:$Q,15,FALSE)*Table36[[#This Row],[Adventurer]],"")</f>
        <v>0.02</v>
      </c>
      <c r="L29" s="127">
        <f>IFERROR(VLOOKUP(Table367[[#This Row],[Sector]],'Asset Allocations'!$A:$Q,17,FALSE)*Table36[[#This Row],[Pioneer]],"")</f>
        <v>0</v>
      </c>
    </row>
    <row r="30" spans="1:12" x14ac:dyDescent="0.2">
      <c r="A30" s="119" t="str">
        <f>IF(Table36[[#This Row],[ISIN Code]]="","",Table36[[#This Row],[ISIN Code]])</f>
        <v/>
      </c>
      <c r="B30" s="143" t="str">
        <f>IFERROR(VLOOKUP(A30,NoviaFunds[],2,FALSE),"")</f>
        <v/>
      </c>
      <c r="C30" s="144"/>
      <c r="D30" s="145" t="str">
        <f>IFERROR(VLOOKUP(A30,NoviaFunds[],6,FALSE),"")</f>
        <v/>
      </c>
      <c r="E30" s="127" t="str">
        <f>IFERROR(VLOOKUP(Table367[[#This Row],[Sector]],'Asset Allocations'!$A:$Q,3,FALSE)*Table36[[#This Row],[Defender]],"")</f>
        <v/>
      </c>
      <c r="F30" s="127" t="str">
        <f>IFERROR(VLOOKUP(Table367[[#This Row],[Sector]],'Asset Allocations'!$A:$Q,5,FALSE)*Table36[[#This Row],[Prudence]],"")</f>
        <v/>
      </c>
      <c r="G30" s="127" t="str">
        <f>IFERROR(VLOOKUP(Table367[[#This Row],[Sector]],'Asset Allocations'!$A:$Q,7,FALSE)*Table36[[#This Row],[Navigator]],"")</f>
        <v/>
      </c>
      <c r="H30" s="127" t="str">
        <f>IFERROR(VLOOKUP(Table367[[#This Row],[Sector]],'Asset Allocations'!$A:$Q,9,FALSE)*Table36[[#This Row],[Meridian]],"")</f>
        <v/>
      </c>
      <c r="I30" s="127" t="str">
        <f>IFERROR(VLOOKUP(Table367[[#This Row],[Sector]],'Asset Allocations'!$A:$Q,11,FALSE)*Table36[[#This Row],[Explorer]],"")</f>
        <v/>
      </c>
      <c r="J30" s="127" t="str">
        <f>IFERROR(VLOOKUP(Table367[[#This Row],[Sector]],'Asset Allocations'!$A:$Q,13,FALSE)*Table36[[#This Row],[Voyager]],"")</f>
        <v/>
      </c>
      <c r="K30" s="127" t="str">
        <f>IFERROR(VLOOKUP(Table367[[#This Row],[Sector]],'Asset Allocations'!$A:$Q,15,FALSE)*Table36[[#This Row],[Adventurer]],"")</f>
        <v/>
      </c>
      <c r="L30" s="127" t="str">
        <f>IFERROR(VLOOKUP(Table367[[#This Row],[Sector]],'Asset Allocations'!$A:$Q,17,FALSE)*Table36[[#This Row],[Pioneer]],"")</f>
        <v/>
      </c>
    </row>
    <row r="31" spans="1:12" x14ac:dyDescent="0.2">
      <c r="A31" s="119" t="str">
        <f>IF(Table36[[#This Row],[ISIN Code]]="","",Table36[[#This Row],[ISIN Code]])</f>
        <v/>
      </c>
      <c r="B31" s="123" t="str">
        <f>IFERROR(VLOOKUP(A31,NoviaFunds[],2,FALSE),"")</f>
        <v/>
      </c>
      <c r="C31" s="124"/>
      <c r="D31" s="125" t="str">
        <f>IFERROR(VLOOKUP(A31,NoviaFunds[],6,FALSE),"")</f>
        <v/>
      </c>
      <c r="E31" s="127" t="str">
        <f>IFERROR(VLOOKUP(Table367[[#This Row],[Sector]],'Asset Allocations'!$A:$Q,3,FALSE)*Table36[[#This Row],[Defender]],"")</f>
        <v/>
      </c>
      <c r="F31" s="127" t="str">
        <f>IFERROR(VLOOKUP(Table367[[#This Row],[Sector]],'Asset Allocations'!$A:$Q,5,FALSE)*Table36[[#This Row],[Prudence]],"")</f>
        <v/>
      </c>
      <c r="G31" s="127" t="str">
        <f>IFERROR(VLOOKUP(Table367[[#This Row],[Sector]],'Asset Allocations'!$A:$Q,7,FALSE)*Table36[[#This Row],[Navigator]],"")</f>
        <v/>
      </c>
      <c r="H31" s="127" t="str">
        <f>IFERROR(VLOOKUP(Table367[[#This Row],[Sector]],'Asset Allocations'!$A:$Q,9,FALSE)*Table36[[#This Row],[Meridian]],"")</f>
        <v/>
      </c>
      <c r="I31" s="127" t="str">
        <f>IFERROR(VLOOKUP(Table367[[#This Row],[Sector]],'Asset Allocations'!$A:$Q,11,FALSE)*Table36[[#This Row],[Explorer]],"")</f>
        <v/>
      </c>
      <c r="J31" s="127" t="str">
        <f>IFERROR(VLOOKUP(Table367[[#This Row],[Sector]],'Asset Allocations'!$A:$Q,13,FALSE)*Table36[[#This Row],[Voyager]],"")</f>
        <v/>
      </c>
      <c r="K31" s="127" t="str">
        <f>IFERROR(VLOOKUP(Table367[[#This Row],[Sector]],'Asset Allocations'!$A:$Q,15,FALSE)*Table36[[#This Row],[Adventurer]],"")</f>
        <v/>
      </c>
      <c r="L31" s="127" t="str">
        <f>IFERROR(VLOOKUP(Table367[[#This Row],[Sector]],'Asset Allocations'!$A:$Q,17,FALSE)*Table36[[#This Row],[Pioneer]],"")</f>
        <v/>
      </c>
    </row>
    <row r="32" spans="1:12" x14ac:dyDescent="0.2">
      <c r="A32" s="119" t="str">
        <f>IF(Table36[[#This Row],[ISIN Code]]="","",Table36[[#This Row],[ISIN Code]])</f>
        <v/>
      </c>
      <c r="B32" s="123" t="str">
        <f>IFERROR(VLOOKUP(A32,NoviaFunds[],2,FALSE),"")</f>
        <v/>
      </c>
      <c r="C32" s="124"/>
      <c r="D32" s="125" t="str">
        <f>IFERROR(VLOOKUP(A32,NoviaFunds[],6,FALSE),"")</f>
        <v/>
      </c>
      <c r="E32" s="127" t="str">
        <f>IFERROR(VLOOKUP(Table367[[#This Row],[Sector]],'Asset Allocations'!$A:$Q,3,FALSE)*Table36[[#This Row],[Defender]],"")</f>
        <v/>
      </c>
      <c r="F32" s="127" t="str">
        <f>IFERROR(VLOOKUP(Table367[[#This Row],[Sector]],'Asset Allocations'!$A:$Q,5,FALSE)*Table36[[#This Row],[Prudence]],"")</f>
        <v/>
      </c>
      <c r="G32" s="127" t="str">
        <f>IFERROR(VLOOKUP(Table367[[#This Row],[Sector]],'Asset Allocations'!$A:$Q,7,FALSE)*Table36[[#This Row],[Navigator]],"")</f>
        <v/>
      </c>
      <c r="H32" s="127" t="str">
        <f>IFERROR(VLOOKUP(Table367[[#This Row],[Sector]],'Asset Allocations'!$A:$Q,9,FALSE)*Table36[[#This Row],[Meridian]],"")</f>
        <v/>
      </c>
      <c r="I32" s="127" t="str">
        <f>IFERROR(VLOOKUP(Table367[[#This Row],[Sector]],'Asset Allocations'!$A:$Q,11,FALSE)*Table36[[#This Row],[Explorer]],"")</f>
        <v/>
      </c>
      <c r="J32" s="127" t="str">
        <f>IFERROR(VLOOKUP(Table367[[#This Row],[Sector]],'Asset Allocations'!$A:$Q,13,FALSE)*Table36[[#This Row],[Voyager]],"")</f>
        <v/>
      </c>
      <c r="K32" s="127" t="str">
        <f>IFERROR(VLOOKUP(Table367[[#This Row],[Sector]],'Asset Allocations'!$A:$Q,15,FALSE)*Table36[[#This Row],[Adventurer]],"")</f>
        <v/>
      </c>
      <c r="L32" s="127" t="str">
        <f>IFERROR(VLOOKUP(Table367[[#This Row],[Sector]],'Asset Allocations'!$A:$Q,17,FALSE)*Table36[[#This Row],[Pioneer]],"")</f>
        <v/>
      </c>
    </row>
    <row r="33" spans="1:12" x14ac:dyDescent="0.2">
      <c r="A33" s="119" t="str">
        <f>IF(Table36[[#This Row],[ISIN Code]]="","",Table36[[#This Row],[ISIN Code]])</f>
        <v/>
      </c>
      <c r="B33" s="123" t="str">
        <f>IFERROR(VLOOKUP(A33,NoviaFunds[],2,FALSE),"")</f>
        <v/>
      </c>
      <c r="C33" s="124"/>
      <c r="D33" s="125" t="str">
        <f>IFERROR(VLOOKUP(A33,NoviaFunds[],6,FALSE),"")</f>
        <v/>
      </c>
      <c r="E33" s="127" t="str">
        <f>IFERROR(VLOOKUP(Table367[[#This Row],[Sector]],'Asset Allocations'!$A:$Q,3,FALSE)*Table36[[#This Row],[Defender]],"")</f>
        <v/>
      </c>
      <c r="F33" s="127" t="str">
        <f>IFERROR(VLOOKUP(Table367[[#This Row],[Sector]],'Asset Allocations'!$A:$Q,5,FALSE)*Table36[[#This Row],[Prudence]],"")</f>
        <v/>
      </c>
      <c r="G33" s="127" t="str">
        <f>IFERROR(VLOOKUP(Table367[[#This Row],[Sector]],'Asset Allocations'!$A:$Q,7,FALSE)*Table36[[#This Row],[Navigator]],"")</f>
        <v/>
      </c>
      <c r="H33" s="127" t="str">
        <f>IFERROR(VLOOKUP(Table367[[#This Row],[Sector]],'Asset Allocations'!$A:$Q,9,FALSE)*Table36[[#This Row],[Meridian]],"")</f>
        <v/>
      </c>
      <c r="I33" s="127" t="str">
        <f>IFERROR(VLOOKUP(Table367[[#This Row],[Sector]],'Asset Allocations'!$A:$Q,11,FALSE)*Table36[[#This Row],[Explorer]],"")</f>
        <v/>
      </c>
      <c r="J33" s="127" t="str">
        <f>IFERROR(VLOOKUP(Table367[[#This Row],[Sector]],'Asset Allocations'!$A:$Q,13,FALSE)*Table36[[#This Row],[Voyager]],"")</f>
        <v/>
      </c>
      <c r="K33" s="127" t="str">
        <f>IFERROR(VLOOKUP(Table367[[#This Row],[Sector]],'Asset Allocations'!$A:$Q,15,FALSE)*Table36[[#This Row],[Adventurer]],"")</f>
        <v/>
      </c>
      <c r="L33" s="127" t="str">
        <f>IFERROR(VLOOKUP(Table367[[#This Row],[Sector]],'Asset Allocations'!$A:$Q,17,FALSE)*Table36[[#This Row],[Pioneer]],"")</f>
        <v/>
      </c>
    </row>
    <row r="34" spans="1:12" x14ac:dyDescent="0.2">
      <c r="A34" s="119" t="str">
        <f>IF(Table36[[#This Row],[ISIN Code]]="","",Table36[[#This Row],[ISIN Code]])</f>
        <v/>
      </c>
      <c r="B34" s="123" t="str">
        <f>IFERROR(VLOOKUP(A34,NoviaFunds[],2,FALSE),"")</f>
        <v/>
      </c>
      <c r="C34" s="124"/>
      <c r="D34" s="125" t="str">
        <f>IFERROR(VLOOKUP(A34,NoviaFunds[],6,FALSE),"")</f>
        <v/>
      </c>
      <c r="E34" s="127" t="str">
        <f>IFERROR(VLOOKUP(Table367[[#This Row],[Sector]],'Asset Allocations'!$A:$Q,3,FALSE)*Table36[[#This Row],[Defender]],"")</f>
        <v/>
      </c>
      <c r="F34" s="127" t="str">
        <f>IFERROR(VLOOKUP(Table367[[#This Row],[Sector]],'Asset Allocations'!$A:$Q,5,FALSE)*Table36[[#This Row],[Prudence]],"")</f>
        <v/>
      </c>
      <c r="G34" s="127" t="str">
        <f>IFERROR(VLOOKUP(Table367[[#This Row],[Sector]],'Asset Allocations'!$A:$Q,7,FALSE)*Table36[[#This Row],[Navigator]],"")</f>
        <v/>
      </c>
      <c r="H34" s="127" t="str">
        <f>IFERROR(VLOOKUP(Table367[[#This Row],[Sector]],'Asset Allocations'!$A:$Q,9,FALSE)*Table36[[#This Row],[Meridian]],"")</f>
        <v/>
      </c>
      <c r="I34" s="127" t="str">
        <f>IFERROR(VLOOKUP(Table367[[#This Row],[Sector]],'Asset Allocations'!$A:$Q,11,FALSE)*Table36[[#This Row],[Explorer]],"")</f>
        <v/>
      </c>
      <c r="J34" s="127" t="str">
        <f>IFERROR(VLOOKUP(Table367[[#This Row],[Sector]],'Asset Allocations'!$A:$Q,13,FALSE)*Table36[[#This Row],[Voyager]],"")</f>
        <v/>
      </c>
      <c r="K34" s="127" t="str">
        <f>IFERROR(VLOOKUP(Table367[[#This Row],[Sector]],'Asset Allocations'!$A:$Q,15,FALSE)*Table36[[#This Row],[Adventurer]],"")</f>
        <v/>
      </c>
      <c r="L34" s="127" t="str">
        <f>IFERROR(VLOOKUP(Table367[[#This Row],[Sector]],'Asset Allocations'!$A:$Q,17,FALSE)*Table36[[#This Row],[Pioneer]],"")</f>
        <v/>
      </c>
    </row>
    <row r="35" spans="1:12" x14ac:dyDescent="0.2">
      <c r="A35" s="119" t="str">
        <f>IF(Table36[[#This Row],[ISIN Code]]="","",Table36[[#This Row],[ISIN Code]])</f>
        <v/>
      </c>
      <c r="B35" s="123" t="str">
        <f>IFERROR(VLOOKUP(A35,NoviaFunds[],2,FALSE),"")</f>
        <v/>
      </c>
      <c r="C35" s="124"/>
      <c r="D35" s="125" t="str">
        <f>IFERROR(VLOOKUP(A35,NoviaFunds[],6,FALSE),"")</f>
        <v/>
      </c>
      <c r="E35" s="127" t="str">
        <f>IFERROR(VLOOKUP(Table367[[#This Row],[Sector]],'Asset Allocations'!$A:$Q,3,FALSE)*Table36[[#This Row],[Defender]],"")</f>
        <v/>
      </c>
      <c r="F35" s="127" t="str">
        <f>IFERROR(VLOOKUP(Table367[[#This Row],[Sector]],'Asset Allocations'!$A:$Q,5,FALSE)*Table36[[#This Row],[Prudence]],"")</f>
        <v/>
      </c>
      <c r="G35" s="127" t="str">
        <f>IFERROR(VLOOKUP(Table367[[#This Row],[Sector]],'Asset Allocations'!$A:$Q,7,FALSE)*Table36[[#This Row],[Navigator]],"")</f>
        <v/>
      </c>
      <c r="H35" s="127" t="str">
        <f>IFERROR(VLOOKUP(Table367[[#This Row],[Sector]],'Asset Allocations'!$A:$Q,9,FALSE)*Table36[[#This Row],[Meridian]],"")</f>
        <v/>
      </c>
      <c r="I35" s="127" t="str">
        <f>IFERROR(VLOOKUP(Table367[[#This Row],[Sector]],'Asset Allocations'!$A:$Q,11,FALSE)*Table36[[#This Row],[Explorer]],"")</f>
        <v/>
      </c>
      <c r="J35" s="127" t="str">
        <f>IFERROR(VLOOKUP(Table367[[#This Row],[Sector]],'Asset Allocations'!$A:$Q,13,FALSE)*Table36[[#This Row],[Voyager]],"")</f>
        <v/>
      </c>
      <c r="K35" s="127" t="str">
        <f>IFERROR(VLOOKUP(Table367[[#This Row],[Sector]],'Asset Allocations'!$A:$Q,15,FALSE)*Table36[[#This Row],[Adventurer]],"")</f>
        <v/>
      </c>
      <c r="L35" s="127" t="str">
        <f>IFERROR(VLOOKUP(Table367[[#This Row],[Sector]],'Asset Allocations'!$A:$Q,17,FALSE)*Table36[[#This Row],[Pioneer]],"")</f>
        <v/>
      </c>
    </row>
    <row r="36" spans="1:12" x14ac:dyDescent="0.2">
      <c r="A36" s="119" t="str">
        <f>IF(Table36[[#This Row],[ISIN Code]]="","",Table36[[#This Row],[ISIN Code]])</f>
        <v/>
      </c>
      <c r="B36" s="123" t="str">
        <f>IFERROR(VLOOKUP(A36,NoviaFunds[],2,FALSE),"")</f>
        <v/>
      </c>
      <c r="C36" s="124"/>
      <c r="D36" s="125" t="str">
        <f>IFERROR(VLOOKUP(A36,NoviaFunds[],6,FALSE),"")</f>
        <v/>
      </c>
      <c r="E36" s="127" t="str">
        <f>IFERROR(VLOOKUP(Table367[[#This Row],[Sector]],'Asset Allocations'!$A:$Q,3,FALSE)*Table36[[#This Row],[Defender]],"")</f>
        <v/>
      </c>
      <c r="F36" s="127" t="str">
        <f>IFERROR(VLOOKUP(Table367[[#This Row],[Sector]],'Asset Allocations'!$A:$Q,5,FALSE)*Table36[[#This Row],[Prudence]],"")</f>
        <v/>
      </c>
      <c r="G36" s="127" t="str">
        <f>IFERROR(VLOOKUP(Table367[[#This Row],[Sector]],'Asset Allocations'!$A:$Q,7,FALSE)*Table36[[#This Row],[Navigator]],"")</f>
        <v/>
      </c>
      <c r="H36" s="127" t="str">
        <f>IFERROR(VLOOKUP(Table367[[#This Row],[Sector]],'Asset Allocations'!$A:$Q,9,FALSE)*Table36[[#This Row],[Meridian]],"")</f>
        <v/>
      </c>
      <c r="I36" s="127" t="str">
        <f>IFERROR(VLOOKUP(Table367[[#This Row],[Sector]],'Asset Allocations'!$A:$Q,11,FALSE)*Table36[[#This Row],[Explorer]],"")</f>
        <v/>
      </c>
      <c r="J36" s="127" t="str">
        <f>IFERROR(VLOOKUP(Table367[[#This Row],[Sector]],'Asset Allocations'!$A:$Q,13,FALSE)*Table36[[#This Row],[Voyager]],"")</f>
        <v/>
      </c>
      <c r="K36" s="127" t="str">
        <f>IFERROR(VLOOKUP(Table367[[#This Row],[Sector]],'Asset Allocations'!$A:$Q,15,FALSE)*Table36[[#This Row],[Adventurer]],"")</f>
        <v/>
      </c>
      <c r="L36" s="127" t="str">
        <f>IFERROR(VLOOKUP(Table367[[#This Row],[Sector]],'Asset Allocations'!$A:$Q,17,FALSE)*Table36[[#This Row],[Pioneer]],"")</f>
        <v/>
      </c>
    </row>
    <row r="37" spans="1:12" x14ac:dyDescent="0.2">
      <c r="A37" s="119" t="str">
        <f>IF(Table36[[#This Row],[ISIN Code]]="","",Table36[[#This Row],[ISIN Code]])</f>
        <v/>
      </c>
      <c r="B37" s="123" t="str">
        <f>IFERROR(VLOOKUP(A37,NoviaFunds[],2,FALSE),"")</f>
        <v/>
      </c>
      <c r="C37" s="124"/>
      <c r="D37" s="125" t="str">
        <f>IFERROR(VLOOKUP(A37,NoviaFunds[],6,FALSE),"")</f>
        <v/>
      </c>
      <c r="E37" s="127" t="str">
        <f>IFERROR(VLOOKUP(Table367[[#This Row],[Sector]],'Asset Allocations'!$A:$Q,3,FALSE)*Table36[[#This Row],[Defender]],"")</f>
        <v/>
      </c>
      <c r="F37" s="127" t="str">
        <f>IFERROR(VLOOKUP(Table367[[#This Row],[Sector]],'Asset Allocations'!$A:$Q,5,FALSE)*Table36[[#This Row],[Prudence]],"")</f>
        <v/>
      </c>
      <c r="G37" s="127" t="str">
        <f>IFERROR(VLOOKUP(Table367[[#This Row],[Sector]],'Asset Allocations'!$A:$Q,7,FALSE)*Table36[[#This Row],[Navigator]],"")</f>
        <v/>
      </c>
      <c r="H37" s="127" t="str">
        <f>IFERROR(VLOOKUP(Table367[[#This Row],[Sector]],'Asset Allocations'!$A:$Q,9,FALSE)*Table36[[#This Row],[Meridian]],"")</f>
        <v/>
      </c>
      <c r="I37" s="127" t="str">
        <f>IFERROR(VLOOKUP(Table367[[#This Row],[Sector]],'Asset Allocations'!$A:$Q,11,FALSE)*Table36[[#This Row],[Explorer]],"")</f>
        <v/>
      </c>
      <c r="J37" s="127" t="str">
        <f>IFERROR(VLOOKUP(Table367[[#This Row],[Sector]],'Asset Allocations'!$A:$Q,13,FALSE)*Table36[[#This Row],[Voyager]],"")</f>
        <v/>
      </c>
      <c r="K37" s="127" t="str">
        <f>IFERROR(VLOOKUP(Table367[[#This Row],[Sector]],'Asset Allocations'!$A:$Q,15,FALSE)*Table36[[#This Row],[Adventurer]],"")</f>
        <v/>
      </c>
      <c r="L37" s="127" t="str">
        <f>IFERROR(VLOOKUP(Table367[[#This Row],[Sector]],'Asset Allocations'!$A:$Q,17,FALSE)*Table36[[#This Row],[Pioneer]],"")</f>
        <v/>
      </c>
    </row>
    <row r="38" spans="1:12" x14ac:dyDescent="0.2">
      <c r="A38" s="119" t="str">
        <f>IF(Table36[[#This Row],[ISIN Code]]="","",Table36[[#This Row],[ISIN Code]])</f>
        <v/>
      </c>
      <c r="B38" s="647" t="str">
        <f>IFERROR(VLOOKUP(A38,NoviaFunds[],2,FALSE),"")</f>
        <v/>
      </c>
      <c r="C38" s="648"/>
      <c r="D38" s="561" t="str">
        <f>IFERROR(VLOOKUP(A38,NoviaFunds[],6,FALSE),"")</f>
        <v/>
      </c>
      <c r="E38" s="127" t="str">
        <f>IFERROR(VLOOKUP(Table367[[#This Row],[Sector]],'Asset Allocations'!$A:$Q,3,FALSE)*Table36[[#This Row],[Defender]],"")</f>
        <v/>
      </c>
      <c r="F38" s="127" t="str">
        <f>IFERROR(VLOOKUP(Table367[[#This Row],[Sector]],'Asset Allocations'!$A:$Q,5,FALSE)*Table36[[#This Row],[Prudence]],"")</f>
        <v/>
      </c>
      <c r="G38" s="127" t="str">
        <f>IFERROR(VLOOKUP(Table367[[#This Row],[Sector]],'Asset Allocations'!$A:$Q,7,FALSE)*Table36[[#This Row],[Navigator]],"")</f>
        <v/>
      </c>
      <c r="H38" s="127" t="str">
        <f>IFERROR(VLOOKUP(Table367[[#This Row],[Sector]],'Asset Allocations'!$A:$Q,9,FALSE)*Table36[[#This Row],[Meridian]],"")</f>
        <v/>
      </c>
      <c r="I38" s="127" t="str">
        <f>IFERROR(VLOOKUP(Table367[[#This Row],[Sector]],'Asset Allocations'!$A:$Q,11,FALSE)*Table36[[#This Row],[Explorer]],"")</f>
        <v/>
      </c>
      <c r="J38" s="127" t="str">
        <f>IFERROR(VLOOKUP(Table367[[#This Row],[Sector]],'Asset Allocations'!$A:$Q,13,FALSE)*Table36[[#This Row],[Voyager]],"")</f>
        <v/>
      </c>
      <c r="K38" s="127" t="str">
        <f>IFERROR(VLOOKUP(Table367[[#This Row],[Sector]],'Asset Allocations'!$A:$Q,15,FALSE)*Table36[[#This Row],[Adventurer]],"")</f>
        <v/>
      </c>
      <c r="L38" s="127" t="str">
        <f>IFERROR(VLOOKUP(Table367[[#This Row],[Sector]],'Asset Allocations'!$A:$Q,17,FALSE)*Table36[[#This Row],[Pioneer]],"")</f>
        <v/>
      </c>
    </row>
    <row r="39" spans="1:12" x14ac:dyDescent="0.2">
      <c r="A39" s="554" t="s">
        <v>9556</v>
      </c>
      <c r="B39" s="555"/>
      <c r="C39" s="555"/>
      <c r="D39" s="556"/>
      <c r="E39" s="557">
        <f>SUBTOTAL(109,Table367[Defender])</f>
        <v>1</v>
      </c>
      <c r="F39" s="557">
        <f>SUBTOTAL(109,Table367[Prudence])</f>
        <v>1.0000000000000002</v>
      </c>
      <c r="G39" s="557">
        <f>SUBTOTAL(109,Table367[Navigator])</f>
        <v>1.0000000000000002</v>
      </c>
      <c r="H39" s="557">
        <f>SUBTOTAL(109,Table367[Meridian])</f>
        <v>1</v>
      </c>
      <c r="I39" s="557">
        <f>SUBTOTAL(109,Table367[Explorer])</f>
        <v>0.99999999999999989</v>
      </c>
      <c r="J39" s="557">
        <f>SUBTOTAL(109,Table367[Voyager])</f>
        <v>1.0000000000000004</v>
      </c>
      <c r="K39" s="557">
        <f>SUBTOTAL(109,Table367[Adventurer])</f>
        <v>1</v>
      </c>
      <c r="L39" s="557">
        <f>SUBTOTAL(109,Table367[Pioneer])</f>
        <v>1</v>
      </c>
    </row>
  </sheetData>
  <conditionalFormatting sqref="D4:D38">
    <cfRule type="cellIs" dxfId="431" priority="12" operator="equal">
      <formula>"Other Bonds"</formula>
    </cfRule>
    <cfRule type="cellIs" dxfId="430" priority="14" operator="equal">
      <formula>"Absolute Return"</formula>
    </cfRule>
    <cfRule type="cellIs" dxfId="429" priority="15" operator="equal">
      <formula>"USA Equities"</formula>
    </cfRule>
    <cfRule type="cellIs" dxfId="428" priority="16" operator="equal">
      <formula>"UK Equity Income"</formula>
    </cfRule>
    <cfRule type="cellIs" dxfId="427" priority="17" operator="equal">
      <formula>"UK Equities"</formula>
    </cfRule>
    <cfRule type="cellIs" dxfId="426" priority="18" operator="equal">
      <formula>"Specialist"</formula>
    </cfRule>
    <cfRule type="cellIs" dxfId="425" priority="19" operator="equal">
      <formula>"Other Equities"</formula>
    </cfRule>
    <cfRule type="cellIs" dxfId="424" priority="20" operator="equal">
      <formula>"Japanese Equities"</formula>
    </cfRule>
    <cfRule type="cellIs" dxfId="423" priority="21" operator="equal">
      <formula>"European Equities"</formula>
    </cfRule>
    <cfRule type="cellIs" dxfId="422" priority="22" operator="equal">
      <formula>"Emerging Markets"</formula>
    </cfRule>
    <cfRule type="cellIs" dxfId="421" priority="23" operator="equal">
      <formula>"Asia Pacific"</formula>
    </cfRule>
    <cfRule type="cellIs" dxfId="420" priority="24" operator="equal">
      <formula>"Cash"</formula>
    </cfRule>
    <cfRule type="cellIs" dxfId="419" priority="25" operator="equal">
      <formula>"High Yield"</formula>
    </cfRule>
    <cfRule type="cellIs" dxfId="418" priority="26" operator="equal">
      <formula>"Global Bonds"</formula>
    </cfRule>
    <cfRule type="cellIs" dxfId="417" priority="27" operator="equal">
      <formula>"Investment Grade"</formula>
    </cfRule>
  </conditionalFormatting>
  <conditionalFormatting sqref="E4:L38">
    <cfRule type="cellIs" dxfId="416" priority="13" operator="equal">
      <formula>0</formula>
    </cfRule>
  </conditionalFormatting>
  <conditionalFormatting sqref="B60:B63">
    <cfRule type="duplicateValues" dxfId="415" priority="11"/>
  </conditionalFormatting>
  <conditionalFormatting sqref="A60:A63">
    <cfRule type="duplicateValues" dxfId="414" priority="10"/>
  </conditionalFormatting>
  <conditionalFormatting sqref="A64:A1048576 A1:A3 A40:A59">
    <cfRule type="duplicateValues" dxfId="413" priority="28"/>
  </conditionalFormatting>
  <conditionalFormatting sqref="A40:A1048576 A1:A38">
    <cfRule type="duplicateValues" dxfId="412" priority="9"/>
  </conditionalFormatting>
  <pageMargins left="0.25" right="0.25" top="0.75" bottom="0.75" header="0.3" footer="0.3"/>
  <pageSetup paperSize="9" scale="6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8762-C6E0-4771-A9DD-A936D540F027}">
  <sheetPr>
    <pageSetUpPr fitToPage="1"/>
  </sheetPr>
  <dimension ref="A1:J100"/>
  <sheetViews>
    <sheetView workbookViewId="0">
      <selection activeCell="B4" sqref="B4"/>
    </sheetView>
  </sheetViews>
  <sheetFormatPr defaultColWidth="9" defaultRowHeight="14.25" x14ac:dyDescent="0.2"/>
  <cols>
    <col min="1" max="1" width="22.375" customWidth="1"/>
    <col min="2" max="4" width="17.625" customWidth="1"/>
    <col min="5" max="5" width="23.5" customWidth="1"/>
    <col min="6" max="10" width="15.625" customWidth="1"/>
  </cols>
  <sheetData>
    <row r="1" spans="1:10" ht="30.75" thickBot="1" x14ac:dyDescent="0.25">
      <c r="A1" s="808" t="s">
        <v>1</v>
      </c>
      <c r="B1" s="809"/>
      <c r="C1" s="809"/>
      <c r="D1" s="809"/>
      <c r="E1" s="809"/>
      <c r="F1" s="809"/>
      <c r="G1" s="809"/>
      <c r="H1" s="809"/>
      <c r="I1" s="809"/>
      <c r="J1" s="810"/>
    </row>
    <row r="2" spans="1:10" ht="15.75" thickTop="1" x14ac:dyDescent="0.25">
      <c r="A2" s="32" t="s">
        <v>2</v>
      </c>
      <c r="B2" s="811">
        <f>Date</f>
        <v>44733</v>
      </c>
      <c r="C2" s="811"/>
      <c r="D2" s="811"/>
      <c r="E2" s="811"/>
      <c r="F2" s="811"/>
      <c r="G2" s="811"/>
      <c r="H2" s="811"/>
      <c r="I2" s="811"/>
      <c r="J2" s="812"/>
    </row>
    <row r="3" spans="1:10" ht="15.75" x14ac:dyDescent="0.25">
      <c r="A3" s="149" t="s">
        <v>3</v>
      </c>
      <c r="B3" s="150" t="s">
        <v>4</v>
      </c>
      <c r="C3" s="150"/>
      <c r="D3" s="150"/>
      <c r="E3" s="150" t="s">
        <v>5</v>
      </c>
      <c r="F3" s="151" t="s">
        <v>6</v>
      </c>
      <c r="G3" s="151" t="s">
        <v>7</v>
      </c>
      <c r="H3" s="151" t="s">
        <v>8</v>
      </c>
      <c r="I3" s="152" t="s">
        <v>9</v>
      </c>
      <c r="J3" s="153" t="s">
        <v>10</v>
      </c>
    </row>
    <row r="4" spans="1:10" x14ac:dyDescent="0.2">
      <c r="A4" s="15" t="s">
        <v>11</v>
      </c>
      <c r="B4" s="21" t="s">
        <v>11</v>
      </c>
      <c r="C4" s="22"/>
      <c r="D4" s="22"/>
      <c r="E4" s="23" t="str">
        <f>IFERROR(VLOOKUP(A4,NoviaFunds[],6,FALSE),"")</f>
        <v>Cash</v>
      </c>
      <c r="F4" s="14">
        <v>0.08</v>
      </c>
      <c r="G4" s="14">
        <v>0.17</v>
      </c>
      <c r="H4" s="24">
        <f t="shared" ref="H4" si="0">IF(G4="","",G4-F4)</f>
        <v>9.0000000000000011E-2</v>
      </c>
      <c r="I4" s="25">
        <f>IFERROR(VLOOKUP(A4,NoviaFunds[],4,FALSE),"")</f>
        <v>0</v>
      </c>
      <c r="J4" s="26">
        <f>IF(G4="","",IFERROR(VLOOKUP(A4,NoviaFunds[],4,FALSE),""))</f>
        <v>0</v>
      </c>
    </row>
    <row r="5" spans="1:10" x14ac:dyDescent="0.2">
      <c r="A5" s="15" t="s">
        <v>12</v>
      </c>
      <c r="B5" s="21" t="str">
        <f>IFERROR(VLOOKUP(A5,NoviaFunds[],2,FALSE),"")</f>
        <v>Artemis Target Return Bond Fund F Acc</v>
      </c>
      <c r="C5" s="22"/>
      <c r="D5" s="22"/>
      <c r="E5" s="23" t="str">
        <f>IFERROR(VLOOKUP(A5,NoviaFunds[],6,FALSE),"")</f>
        <v>Absolute Return</v>
      </c>
      <c r="F5" s="9">
        <v>0.05</v>
      </c>
      <c r="G5" s="9">
        <v>0</v>
      </c>
      <c r="H5" s="24">
        <f t="shared" ref="H5:H31" si="1">IF(G5="","",G5-F5)</f>
        <v>-0.05</v>
      </c>
      <c r="I5" s="25">
        <f>IFERROR(VLOOKUP(A5,NoviaFunds[],4,FALSE),"")</f>
        <v>3.0000000000000001E-3</v>
      </c>
      <c r="J5" s="26">
        <f>IF(G5="","",IFERROR(VLOOKUP(A5,NoviaFunds[],4,FALSE),""))</f>
        <v>3.0000000000000001E-3</v>
      </c>
    </row>
    <row r="6" spans="1:10" x14ac:dyDescent="0.2">
      <c r="A6" s="15" t="s">
        <v>8877</v>
      </c>
      <c r="B6" s="21" t="str">
        <f>IFERROR(VLOOKUP(A6,NoviaFunds[],2,FALSE),"")</f>
        <v>Atlantic House Defined Returns B Acc in GB</v>
      </c>
      <c r="C6" s="22"/>
      <c r="D6" s="22"/>
      <c r="E6" s="23" t="str">
        <f>IFERROR(VLOOKUP(A6,NoviaFunds[],6,FALSE),"")</f>
        <v>Gilts</v>
      </c>
      <c r="F6" s="9">
        <v>0.11</v>
      </c>
      <c r="G6" s="9">
        <v>0</v>
      </c>
      <c r="H6" s="24">
        <f t="shared" si="1"/>
        <v>-0.11</v>
      </c>
      <c r="I6" s="25">
        <f>IFERROR(VLOOKUP(A6,NoviaFunds[],4,FALSE),"")</f>
        <v>6.7000000000000002E-3</v>
      </c>
      <c r="J6" s="26">
        <f>IF(G6="","",IFERROR(VLOOKUP(A6,NoviaFunds[],4,FALSE),""))</f>
        <v>6.7000000000000002E-3</v>
      </c>
    </row>
    <row r="7" spans="1:10" x14ac:dyDescent="0.2">
      <c r="A7" s="15" t="s">
        <v>9558</v>
      </c>
      <c r="B7" s="21" t="str">
        <f>IFERROR(VLOOKUP(A7,NoviaFunds[],2,FALSE),"")</f>
        <v>iShares UK Gilts 0-5yr UCITS ETF</v>
      </c>
      <c r="C7" s="22"/>
      <c r="D7" s="22"/>
      <c r="E7" s="23" t="str">
        <f>IFERROR(VLOOKUP(A7,NoviaFunds[],6,FALSE),"")</f>
        <v>Gilts</v>
      </c>
      <c r="F7" s="9">
        <v>0</v>
      </c>
      <c r="G7" s="9">
        <v>0.1</v>
      </c>
      <c r="H7" s="24">
        <f t="shared" si="1"/>
        <v>0.1</v>
      </c>
      <c r="I7" s="25">
        <f>IFERROR(VLOOKUP(A7,NoviaFunds[],4,FALSE),"")</f>
        <v>6.9999999999999999E-4</v>
      </c>
      <c r="J7" s="26">
        <f>IF(G7="","",IFERROR(VLOOKUP(A7,NoviaFunds[],4,FALSE),""))</f>
        <v>6.9999999999999999E-4</v>
      </c>
    </row>
    <row r="8" spans="1:10" x14ac:dyDescent="0.2">
      <c r="A8" s="15" t="s">
        <v>9557</v>
      </c>
      <c r="B8" s="21" t="str">
        <f>IFERROR(VLOOKUP(A8,NoviaFunds[],2,FALSE),"")</f>
        <v>ASI Short Dated Global Corporate Bond Tracker B Acc</v>
      </c>
      <c r="C8" s="22"/>
      <c r="D8" s="22"/>
      <c r="E8" s="23" t="str">
        <f>IFERROR(VLOOKUP(A8,NoviaFunds[],6,FALSE),"")</f>
        <v>Global Investment Grade</v>
      </c>
      <c r="F8" s="9">
        <v>0</v>
      </c>
      <c r="G8" s="9">
        <v>0.09</v>
      </c>
      <c r="H8" s="24">
        <f t="shared" si="1"/>
        <v>0.09</v>
      </c>
      <c r="I8" s="25">
        <f>IFERROR(VLOOKUP(A8,NoviaFunds[],4,FALSE),"")</f>
        <v>1.2999999999999999E-3</v>
      </c>
      <c r="J8" s="26">
        <f>IF(G8="","",IFERROR(VLOOKUP(A8,NoviaFunds[],4,FALSE),""))</f>
        <v>1.2999999999999999E-3</v>
      </c>
    </row>
    <row r="9" spans="1:10" x14ac:dyDescent="0.2">
      <c r="A9" s="15" t="s">
        <v>3624</v>
      </c>
      <c r="B9" s="21" t="str">
        <f>IFERROR(VLOOKUP(A9,NoviaFunds[],2,FALSE),"")</f>
        <v>iShares Overseas Corporate Bond Index (UK) D Acc in GB</v>
      </c>
      <c r="C9" s="22"/>
      <c r="D9" s="22"/>
      <c r="E9" s="23" t="str">
        <f>IFERROR(VLOOKUP(A9,NoviaFunds[],6,FALSE),"")</f>
        <v>Global Investment Grade</v>
      </c>
      <c r="F9" s="9">
        <v>0</v>
      </c>
      <c r="G9" s="9">
        <v>0.09</v>
      </c>
      <c r="H9" s="24">
        <f t="shared" si="1"/>
        <v>0.09</v>
      </c>
      <c r="I9" s="25">
        <f>IFERROR(VLOOKUP(A9,NoviaFunds[],4,FALSE),"")</f>
        <v>1.1000000000000001E-3</v>
      </c>
      <c r="J9" s="26">
        <f>IF(G9="","",IFERROR(VLOOKUP(A9,NoviaFunds[],4,FALSE),""))</f>
        <v>1.1000000000000001E-3</v>
      </c>
    </row>
    <row r="10" spans="1:10" x14ac:dyDescent="0.2">
      <c r="A10" s="15" t="s">
        <v>13</v>
      </c>
      <c r="B10" s="21" t="str">
        <f>IFERROR(VLOOKUP(A10,NoviaFunds[],2,FALSE),"")</f>
        <v>Royal London Global Index Linked M Inc TR in GB</v>
      </c>
      <c r="C10" s="22"/>
      <c r="D10" s="22"/>
      <c r="E10" s="23" t="str">
        <f>IFERROR(VLOOKUP(A10,NoviaFunds[],6,FALSE),"")</f>
        <v>Global Investment Grade</v>
      </c>
      <c r="F10" s="9">
        <v>3.5000000000000003E-2</v>
      </c>
      <c r="G10" s="9">
        <v>0</v>
      </c>
      <c r="H10" s="24">
        <f t="shared" si="1"/>
        <v>-3.5000000000000003E-2</v>
      </c>
      <c r="I10" s="25">
        <f>IFERROR(VLOOKUP(A10,NoviaFunds[],4,FALSE),"")</f>
        <v>5.0000000000000001E-3</v>
      </c>
      <c r="J10" s="26">
        <f>IF(G10="","",IFERROR(VLOOKUP(A10,NoviaFunds[],4,FALSE),""))</f>
        <v>5.0000000000000001E-3</v>
      </c>
    </row>
    <row r="11" spans="1:10" x14ac:dyDescent="0.2">
      <c r="A11" s="15" t="s">
        <v>56</v>
      </c>
      <c r="B11" s="21" t="str">
        <f>IFERROR(VLOOKUP(A11,NoviaFunds[],2,FALSE),"")</f>
        <v>Baillie Gifford Japanese B Acc in GB**</v>
      </c>
      <c r="C11" s="22"/>
      <c r="D11" s="22"/>
      <c r="E11" s="23" t="str">
        <f>IFERROR(VLOOKUP(A11,NoviaFunds[],6,FALSE),"")</f>
        <v>Japanese Equities</v>
      </c>
      <c r="F11" s="9">
        <v>0</v>
      </c>
      <c r="G11" s="9">
        <v>0.05</v>
      </c>
      <c r="H11" s="24">
        <f t="shared" si="1"/>
        <v>0.05</v>
      </c>
      <c r="I11" s="25">
        <f>IFERROR(VLOOKUP(A11,NoviaFunds[],4,FALSE),"")</f>
        <v>6.0999999999999995E-3</v>
      </c>
      <c r="J11" s="26">
        <f>IF(G11="","",IFERROR(VLOOKUP(A11,NoviaFunds[],4,FALSE),""))</f>
        <v>6.0999999999999995E-3</v>
      </c>
    </row>
    <row r="12" spans="1:10" x14ac:dyDescent="0.2">
      <c r="A12" s="15" t="s">
        <v>3527</v>
      </c>
      <c r="B12" s="21" t="str">
        <f>IFERROR(VLOOKUP(A12,NoviaFunds[],2,FALSE),"")</f>
        <v>Invesco Tactical Bond (UK) Z Acc TR in GB</v>
      </c>
      <c r="C12" s="22"/>
      <c r="D12" s="22"/>
      <c r="E12" s="23" t="str">
        <f>IFERROR(VLOOKUP(A12,NoviaFunds[],6,FALSE),"")</f>
        <v>Other Bonds</v>
      </c>
      <c r="F12" s="9">
        <v>0.03</v>
      </c>
      <c r="G12" s="9">
        <v>0</v>
      </c>
      <c r="H12" s="24">
        <f t="shared" si="1"/>
        <v>-0.03</v>
      </c>
      <c r="I12" s="25">
        <f>IFERROR(VLOOKUP(A12,NoviaFunds[],4,FALSE),"")</f>
        <v>7.4999999999999997E-3</v>
      </c>
      <c r="J12" s="26">
        <f>IF(G12="","",IFERROR(VLOOKUP(A12,NoviaFunds[],4,FALSE),""))</f>
        <v>7.4999999999999997E-3</v>
      </c>
    </row>
    <row r="13" spans="1:10" x14ac:dyDescent="0.2">
      <c r="A13" s="15" t="s">
        <v>18</v>
      </c>
      <c r="B13" s="21" t="str">
        <f>IFERROR(VLOOKUP(A13,NoviaFunds[],2,FALSE),"")</f>
        <v>Artemis Global Select I Acc in GB</v>
      </c>
      <c r="C13" s="22"/>
      <c r="D13" s="22"/>
      <c r="E13" s="23" t="str">
        <f>IFERROR(VLOOKUP(A13,NoviaFunds[],6,FALSE),"")</f>
        <v>Other Equities</v>
      </c>
      <c r="F13" s="9">
        <v>0.1</v>
      </c>
      <c r="G13" s="9">
        <v>0</v>
      </c>
      <c r="H13" s="24">
        <f t="shared" si="1"/>
        <v>-0.1</v>
      </c>
      <c r="I13" s="25">
        <f>IFERROR(VLOOKUP(A13,NoviaFunds[],4,FALSE),"")</f>
        <v>8.8999999999999999E-3</v>
      </c>
      <c r="J13" s="26">
        <f>IF(G13="","",IFERROR(VLOOKUP(A13,NoviaFunds[],4,FALSE),""))</f>
        <v>8.8999999999999999E-3</v>
      </c>
    </row>
    <row r="14" spans="1:10" x14ac:dyDescent="0.2">
      <c r="A14" s="15" t="s">
        <v>19</v>
      </c>
      <c r="B14" s="21" t="str">
        <f>IFERROR(VLOOKUP(A14,NoviaFunds[],2,FALSE),"")</f>
        <v>LF Blue Whale Growth I Acc GBP in GB</v>
      </c>
      <c r="C14" s="22"/>
      <c r="D14" s="22"/>
      <c r="E14" s="23" t="str">
        <f>IFERROR(VLOOKUP(A14,NoviaFunds[],6,FALSE),"")</f>
        <v>Other Equities</v>
      </c>
      <c r="F14" s="9">
        <v>0.05</v>
      </c>
      <c r="G14" s="9">
        <v>0</v>
      </c>
      <c r="H14" s="24">
        <f t="shared" si="1"/>
        <v>-0.05</v>
      </c>
      <c r="I14" s="25">
        <f>IFERROR(VLOOKUP(A14,NoviaFunds[],4,FALSE),"")</f>
        <v>8.6999999999999994E-3</v>
      </c>
      <c r="J14" s="26">
        <f>IF(G14="","",IFERROR(VLOOKUP(A14,NoviaFunds[],4,FALSE),""))</f>
        <v>8.6999999999999994E-3</v>
      </c>
    </row>
    <row r="15" spans="1:10" x14ac:dyDescent="0.2">
      <c r="A15" s="15" t="s">
        <v>9540</v>
      </c>
      <c r="B15" s="21" t="str">
        <f>IFERROR(VLOOKUP(A15,NoviaFunds[],2,FALSE),"")</f>
        <v>iShares MSCI Target UK Real Estate UCITS ETF GBP</v>
      </c>
      <c r="C15" s="22"/>
      <c r="D15" s="22"/>
      <c r="E15" s="23" t="str">
        <f>IFERROR(VLOOKUP(A15,NoviaFunds[],6,FALSE),"")</f>
        <v>Property</v>
      </c>
      <c r="F15" s="9">
        <v>0</v>
      </c>
      <c r="G15" s="9">
        <v>0.05</v>
      </c>
      <c r="H15" s="24">
        <f t="shared" si="1"/>
        <v>0.05</v>
      </c>
      <c r="I15" s="25">
        <f>IFERROR(VLOOKUP(A15,NoviaFunds[],4,FALSE),"")</f>
        <v>4.0000000000000001E-3</v>
      </c>
      <c r="J15" s="26">
        <f>IF(G15="","",IFERROR(VLOOKUP(A15,NoviaFunds[],4,FALSE),""))</f>
        <v>4.0000000000000001E-3</v>
      </c>
    </row>
    <row r="16" spans="1:10" x14ac:dyDescent="0.2">
      <c r="A16" s="15" t="s">
        <v>20</v>
      </c>
      <c r="B16" s="21" t="str">
        <f>IFERROR(VLOOKUP(A16,NoviaFunds[],2,FALSE),"")</f>
        <v>Jupiter Gold &amp; Silver I Acc</v>
      </c>
      <c r="C16" s="22"/>
      <c r="D16" s="22"/>
      <c r="E16" s="23" t="str">
        <f>IFERROR(VLOOKUP(A16,NoviaFunds[],6,FALSE),"")</f>
        <v>Specialist</v>
      </c>
      <c r="F16" s="9">
        <v>0.05</v>
      </c>
      <c r="G16" s="9">
        <v>0</v>
      </c>
      <c r="H16" s="24">
        <f t="shared" si="1"/>
        <v>-0.05</v>
      </c>
      <c r="I16" s="25">
        <f>IFERROR(VLOOKUP(A16,NoviaFunds[],4,FALSE),"")</f>
        <v>8.8000000000000005E-3</v>
      </c>
      <c r="J16" s="26">
        <f>IF(G16="","",IFERROR(VLOOKUP(A16,NoviaFunds[],4,FALSE),""))</f>
        <v>8.8000000000000005E-3</v>
      </c>
    </row>
    <row r="17" spans="1:10" x14ac:dyDescent="0.2">
      <c r="A17" s="15" t="s">
        <v>14</v>
      </c>
      <c r="B17" s="21" t="str">
        <f>IFERROR(VLOOKUP(A17,NoviaFunds[],2,FALSE),"")</f>
        <v>Fidelity Short Dated Corporate Bond W Acc in GB</v>
      </c>
      <c r="C17" s="22"/>
      <c r="D17" s="22"/>
      <c r="E17" s="23" t="str">
        <f>IFERROR(VLOOKUP(A17,NoviaFunds[],6,FALSE),"")</f>
        <v>Sterling Corporate Bonds</v>
      </c>
      <c r="F17" s="9">
        <v>0.05</v>
      </c>
      <c r="G17" s="9">
        <v>0</v>
      </c>
      <c r="H17" s="24">
        <f t="shared" si="1"/>
        <v>-0.05</v>
      </c>
      <c r="I17" s="25">
        <f>IFERROR(VLOOKUP(A17,NoviaFunds[],4,FALSE),"")</f>
        <v>2.3999999999999998E-3</v>
      </c>
      <c r="J17" s="26">
        <f>IF(G17="","",IFERROR(VLOOKUP(A17,NoviaFunds[],4,FALSE),""))</f>
        <v>2.3999999999999998E-3</v>
      </c>
    </row>
    <row r="18" spans="1:10" x14ac:dyDescent="0.2">
      <c r="A18" s="15" t="s">
        <v>15</v>
      </c>
      <c r="B18" s="21" t="str">
        <f>IFERROR(VLOOKUP(A18,NoviaFunds[],2,FALSE),"")</f>
        <v>L&amp;G Short Dated Sterling Corporate Bond Index I Acc in GB</v>
      </c>
      <c r="C18" s="22"/>
      <c r="D18" s="22"/>
      <c r="E18" s="23" t="str">
        <f>IFERROR(VLOOKUP(A18,NoviaFunds[],6,FALSE),"")</f>
        <v>Sterling Corporate Bonds</v>
      </c>
      <c r="F18" s="9">
        <v>0.11</v>
      </c>
      <c r="G18" s="9">
        <v>4.4999999999999998E-2</v>
      </c>
      <c r="H18" s="24">
        <f t="shared" si="1"/>
        <v>-6.5000000000000002E-2</v>
      </c>
      <c r="I18" s="25">
        <f>IFERROR(VLOOKUP(A18,NoviaFunds[],4,FALSE),"")</f>
        <v>1.4000000000000002E-3</v>
      </c>
      <c r="J18" s="26">
        <f>IF(G18="","",IFERROR(VLOOKUP(A18,NoviaFunds[],4,FALSE),""))</f>
        <v>1.4000000000000002E-3</v>
      </c>
    </row>
    <row r="19" spans="1:10" x14ac:dyDescent="0.2">
      <c r="A19" s="560" t="s">
        <v>6914</v>
      </c>
      <c r="B19" s="21" t="str">
        <f>IFERROR(VLOOKUP(A19,NoviaFunds[],2,FALSE),"")</f>
        <v>Royal London Sterling Credit Z Inc TR in GB</v>
      </c>
      <c r="C19" s="22"/>
      <c r="D19" s="22"/>
      <c r="E19" s="23" t="str">
        <f>IFERROR(VLOOKUP(A19,NoviaFunds[],6,FALSE),"")</f>
        <v>Sterling Corporate Bonds</v>
      </c>
      <c r="F19" s="9">
        <v>0.05</v>
      </c>
      <c r="G19" s="9">
        <v>4.4999999999999998E-2</v>
      </c>
      <c r="H19" s="24">
        <f t="shared" si="1"/>
        <v>-5.0000000000000044E-3</v>
      </c>
      <c r="I19" s="25">
        <f>IFERROR(VLOOKUP(A19,NoviaFunds[],4,FALSE),"")</f>
        <v>3.4999999999999996E-3</v>
      </c>
      <c r="J19" s="26">
        <f>IF(G19="","",IFERROR(VLOOKUP(A19,NoviaFunds[],4,FALSE),""))</f>
        <v>3.4999999999999996E-3</v>
      </c>
    </row>
    <row r="20" spans="1:10" x14ac:dyDescent="0.2">
      <c r="A20" s="15" t="s">
        <v>17</v>
      </c>
      <c r="B20" s="21" t="str">
        <f>IFERROR(VLOOKUP(A20,NoviaFunds[],2,FALSE),"")</f>
        <v>Vanguard UK Short-Term Investment Grade Bond Index Acc</v>
      </c>
      <c r="C20" s="22"/>
      <c r="D20" s="22"/>
      <c r="E20" s="23" t="str">
        <f>IFERROR(VLOOKUP(A20,NoviaFunds[],6,FALSE),"")</f>
        <v>Sterling Corporate Bonds</v>
      </c>
      <c r="F20" s="9">
        <v>0</v>
      </c>
      <c r="G20" s="9">
        <v>0.06</v>
      </c>
      <c r="H20" s="24">
        <f t="shared" si="1"/>
        <v>0.06</v>
      </c>
      <c r="I20" s="25">
        <f>IFERROR(VLOOKUP(A20,NoviaFunds[],4,FALSE),"")</f>
        <v>1.1999999999999999E-3</v>
      </c>
      <c r="J20" s="26">
        <f>IF(G20="","",IFERROR(VLOOKUP(A20,NoviaFunds[],4,FALSE),""))</f>
        <v>1.1999999999999999E-3</v>
      </c>
    </row>
    <row r="21" spans="1:10" x14ac:dyDescent="0.2">
      <c r="A21" s="15" t="s">
        <v>23</v>
      </c>
      <c r="B21" s="21" t="str">
        <f>IFERROR(VLOOKUP(A21,NoviaFunds[],2,FALSE),"")</f>
        <v>Allianz UK Listed Equity Income E Inc GBP</v>
      </c>
      <c r="C21" s="22"/>
      <c r="D21" s="22"/>
      <c r="E21" s="23" t="str">
        <f>IFERROR(VLOOKUP(A21,NoviaFunds[],6,FALSE),"")</f>
        <v>UK Equities</v>
      </c>
      <c r="F21" s="9">
        <v>0.05</v>
      </c>
      <c r="G21" s="9">
        <v>0.03</v>
      </c>
      <c r="H21" s="24">
        <f t="shared" si="1"/>
        <v>-2.0000000000000004E-2</v>
      </c>
      <c r="I21" s="25">
        <f>IFERROR(VLOOKUP(A21,NoviaFunds[],4,FALSE),"")</f>
        <v>3.8E-3</v>
      </c>
      <c r="J21" s="26">
        <f>IF(G21="","",IFERROR(VLOOKUP(A21,NoviaFunds[],4,FALSE),""))</f>
        <v>3.8E-3</v>
      </c>
    </row>
    <row r="22" spans="1:10" x14ac:dyDescent="0.2">
      <c r="A22" s="15" t="s">
        <v>442</v>
      </c>
      <c r="B22" s="21" t="str">
        <f>IFERROR(VLOOKUP(A22,NoviaFunds[],2,FALSE),"")</f>
        <v>Artemis Income I Acc TR in GB</v>
      </c>
      <c r="C22" s="22"/>
      <c r="D22" s="22"/>
      <c r="E22" s="23" t="str">
        <f>IFERROR(VLOOKUP(A22,NoviaFunds[],6,FALSE),"")</f>
        <v>UK Equities</v>
      </c>
      <c r="F22" s="9">
        <v>7.0000000000000007E-2</v>
      </c>
      <c r="G22" s="9">
        <v>0</v>
      </c>
      <c r="H22" s="24">
        <f t="shared" si="1"/>
        <v>-7.0000000000000007E-2</v>
      </c>
      <c r="I22" s="25">
        <f>IFERROR(VLOOKUP(A22,NoviaFunds[],4,FALSE),"")</f>
        <v>8.0000000000000002E-3</v>
      </c>
      <c r="J22" s="26">
        <f>IF(G22="","",IFERROR(VLOOKUP(A22,NoviaFunds[],4,FALSE),""))</f>
        <v>8.0000000000000002E-3</v>
      </c>
    </row>
    <row r="23" spans="1:10" x14ac:dyDescent="0.2">
      <c r="A23" s="15" t="s">
        <v>21</v>
      </c>
      <c r="B23" s="21" t="str">
        <f>IFERROR(VLOOKUP(A23,NoviaFunds[],2,FALSE),"")</f>
        <v>BlackRock UK Equity D Acc TR in GB**</v>
      </c>
      <c r="C23" s="22"/>
      <c r="D23" s="22"/>
      <c r="E23" s="23" t="str">
        <f>IFERROR(VLOOKUP(A23,NoviaFunds[],6,FALSE),"")</f>
        <v>UK Equities</v>
      </c>
      <c r="F23" s="9">
        <v>0.1</v>
      </c>
      <c r="G23" s="9">
        <v>0</v>
      </c>
      <c r="H23" s="24">
        <f t="shared" si="1"/>
        <v>-0.1</v>
      </c>
      <c r="I23" s="25">
        <f>IFERROR(VLOOKUP(A23,NoviaFunds[],4,FALSE),"")</f>
        <v>9.1999999999999998E-3</v>
      </c>
      <c r="J23" s="26">
        <f>IF(G23="","",IFERROR(VLOOKUP(A23,NoviaFunds[],4,FALSE),""))</f>
        <v>9.1999999999999998E-3</v>
      </c>
    </row>
    <row r="24" spans="1:10" x14ac:dyDescent="0.2">
      <c r="A24" s="15" t="s">
        <v>25</v>
      </c>
      <c r="B24" s="21" t="str">
        <f>IFERROR(VLOOKUP(A24,NoviaFunds[],2,FALSE),"")</f>
        <v>FTF Franklin UK Equity Income W Acc TR in GB</v>
      </c>
      <c r="C24" s="22"/>
      <c r="D24" s="22"/>
      <c r="E24" s="23" t="str">
        <f>IFERROR(VLOOKUP(A24,NoviaFunds[],6,FALSE),"")</f>
        <v>UK Equities</v>
      </c>
      <c r="F24" s="9">
        <v>0.03</v>
      </c>
      <c r="G24" s="9">
        <v>0.03</v>
      </c>
      <c r="H24" s="24">
        <f t="shared" si="1"/>
        <v>0</v>
      </c>
      <c r="I24" s="25">
        <f>IFERROR(VLOOKUP(A24,NoviaFunds[],4,FALSE),"")</f>
        <v>5.1999999999999998E-3</v>
      </c>
      <c r="J24" s="26">
        <f>IF(G24="","",IFERROR(VLOOKUP(A24,NoviaFunds[],4,FALSE),""))</f>
        <v>5.1999999999999998E-3</v>
      </c>
    </row>
    <row r="25" spans="1:10" x14ac:dyDescent="0.2">
      <c r="A25" s="15" t="s">
        <v>22</v>
      </c>
      <c r="B25" s="21" t="str">
        <f>IFERROR(VLOOKUP(A25,NoviaFunds[],2,FALSE),"")</f>
        <v>Slater Growth P Acc in GB</v>
      </c>
      <c r="C25" s="22"/>
      <c r="D25" s="22"/>
      <c r="E25" s="23" t="str">
        <f>IFERROR(VLOOKUP(A25,NoviaFunds[],6,FALSE),"")</f>
        <v>UK Equities</v>
      </c>
      <c r="F25" s="9">
        <v>3.5000000000000003E-2</v>
      </c>
      <c r="G25" s="9">
        <v>2.4E-2</v>
      </c>
      <c r="H25" s="24">
        <f t="shared" si="1"/>
        <v>-1.1000000000000003E-2</v>
      </c>
      <c r="I25" s="25">
        <f>IFERROR(VLOOKUP(A25,NoviaFunds[],4,FALSE),"")</f>
        <v>8.1000000000000013E-3</v>
      </c>
      <c r="J25" s="26">
        <f>IF(G25="","",IFERROR(VLOOKUP(A25,NoviaFunds[],4,FALSE),""))</f>
        <v>8.1000000000000013E-3</v>
      </c>
    </row>
    <row r="26" spans="1:10" x14ac:dyDescent="0.2">
      <c r="A26" s="15" t="s">
        <v>8389</v>
      </c>
      <c r="B26" s="21" t="str">
        <f>IFERROR(VLOOKUP(A26,NoviaFunds[],2,FALSE),"")</f>
        <v>Vanguard FTSE U.K. All Share Index Unit Trust A Acc GBP in GB</v>
      </c>
      <c r="C26" s="22"/>
      <c r="D26" s="22"/>
      <c r="E26" s="23" t="str">
        <f>IFERROR(VLOOKUP(A26,NoviaFunds[],6,FALSE),"")</f>
        <v>UK Equities</v>
      </c>
      <c r="F26" s="9">
        <v>0</v>
      </c>
      <c r="G26" s="9">
        <v>3.5999999999999997E-2</v>
      </c>
      <c r="H26" s="24">
        <f t="shared" si="1"/>
        <v>3.5999999999999997E-2</v>
      </c>
      <c r="I26" s="25">
        <f>IFERROR(VLOOKUP(A26,NoviaFunds[],4,FALSE),"")</f>
        <v>5.9999999999999995E-4</v>
      </c>
      <c r="J26" s="26">
        <f>IF(G26="","",IFERROR(VLOOKUP(A26,NoviaFunds[],4,FALSE),""))</f>
        <v>5.9999999999999995E-4</v>
      </c>
    </row>
    <row r="27" spans="1:10" x14ac:dyDescent="0.2">
      <c r="A27" s="15" t="s">
        <v>9544</v>
      </c>
      <c r="B27" s="21" t="str">
        <f>IFERROR(VLOOKUP(A27,NoviaFunds[],2,FALSE),"")</f>
        <v>iShares £ Index-Linked Gilts UCITS ETF</v>
      </c>
      <c r="C27" s="22"/>
      <c r="D27" s="22"/>
      <c r="E27" s="23" t="str">
        <f>IFERROR(VLOOKUP(A27,NoviaFunds[],6,FALSE),"")</f>
        <v>UK Index Linked Gilts</v>
      </c>
      <c r="F27" s="9">
        <v>0</v>
      </c>
      <c r="G27" s="9">
        <v>0.08</v>
      </c>
      <c r="H27" s="24">
        <f t="shared" si="1"/>
        <v>0.08</v>
      </c>
      <c r="I27" s="25">
        <f>IFERROR(VLOOKUP(A27,NoviaFunds[],4,FALSE),"")</f>
        <v>1E-3</v>
      </c>
      <c r="J27" s="26">
        <f>IF(G27="","",IFERROR(VLOOKUP(A27,NoviaFunds[],4,FALSE),""))</f>
        <v>1E-3</v>
      </c>
    </row>
    <row r="28" spans="1:10" x14ac:dyDescent="0.2">
      <c r="A28" s="15" t="s">
        <v>62</v>
      </c>
      <c r="B28" s="21" t="str">
        <f>IFERROR(VLOOKUP(A28,NoviaFunds[],2,FALSE),"")</f>
        <v>Artemis US Smaller Companies I Acc GBP in GB</v>
      </c>
      <c r="C28" s="22"/>
      <c r="D28" s="22"/>
      <c r="E28" s="23" t="str">
        <f>IFERROR(VLOOKUP(A28,NoviaFunds[],6,FALSE),"")</f>
        <v>USA Equities</v>
      </c>
      <c r="F28" s="9">
        <v>0</v>
      </c>
      <c r="G28" s="9">
        <v>2.5000000000000001E-2</v>
      </c>
      <c r="H28" s="24">
        <f t="shared" si="1"/>
        <v>2.5000000000000001E-2</v>
      </c>
      <c r="I28" s="25">
        <f>IFERROR(VLOOKUP(A28,NoviaFunds[],4,FALSE),"")</f>
        <v>8.8999999999999999E-3</v>
      </c>
      <c r="J28" s="26">
        <f>IF(G28="","",IFERROR(VLOOKUP(A28,NoviaFunds[],4,FALSE),""))</f>
        <v>8.8999999999999999E-3</v>
      </c>
    </row>
    <row r="29" spans="1:10" x14ac:dyDescent="0.2">
      <c r="A29" s="15" t="s">
        <v>2706</v>
      </c>
      <c r="B29" s="21" t="str">
        <f>IFERROR(VLOOKUP(A29,NoviaFunds[],2,FALSE),"")</f>
        <v>Fidelity Index US P in GB</v>
      </c>
      <c r="C29" s="22"/>
      <c r="D29" s="22"/>
      <c r="E29" s="23" t="str">
        <f>IFERROR(VLOOKUP(A29,NoviaFunds[],6,FALSE),"")</f>
        <v>USA Equities</v>
      </c>
      <c r="F29" s="9">
        <v>0</v>
      </c>
      <c r="G29" s="9">
        <v>0.05</v>
      </c>
      <c r="H29" s="24">
        <f t="shared" si="1"/>
        <v>0.05</v>
      </c>
      <c r="I29" s="25">
        <f>IFERROR(VLOOKUP(A29,NoviaFunds[],4,FALSE),"")</f>
        <v>5.9999999999999995E-4</v>
      </c>
      <c r="J29" s="26">
        <f>IF(G29="","",IFERROR(VLOOKUP(A29,NoviaFunds[],4,FALSE),""))</f>
        <v>5.9999999999999995E-4</v>
      </c>
    </row>
    <row r="30" spans="1:10" x14ac:dyDescent="0.2">
      <c r="A30" s="15" t="s">
        <v>9539</v>
      </c>
      <c r="B30" s="21" t="str">
        <f>IFERROR(VLOOKUP(A30,NoviaFunds[],2,FALSE),"")</f>
        <v>Xtrackers S&amp;P 500 Equal Weight UCITS ETF</v>
      </c>
      <c r="C30" s="22"/>
      <c r="D30" s="22"/>
      <c r="E30" s="23" t="str">
        <f>IFERROR(VLOOKUP(A30,NoviaFunds[],6,FALSE),"")</f>
        <v>USA Equities</v>
      </c>
      <c r="F30" s="9">
        <v>0</v>
      </c>
      <c r="G30" s="9">
        <v>2.5000000000000001E-2</v>
      </c>
      <c r="H30" s="24">
        <f t="shared" si="1"/>
        <v>2.5000000000000001E-2</v>
      </c>
      <c r="I30" s="25">
        <f>IFERROR(VLOOKUP(A30,NoviaFunds[],4,FALSE),"")</f>
        <v>2.5000000000000001E-3</v>
      </c>
      <c r="J30" s="26">
        <f>IF(G30="","",IFERROR(VLOOKUP(A30,NoviaFunds[],4,FALSE),""))</f>
        <v>2.5000000000000001E-3</v>
      </c>
    </row>
    <row r="31" spans="1:10" x14ac:dyDescent="0.2">
      <c r="A31" s="15"/>
      <c r="B31" s="21" t="str">
        <f>IFERROR(VLOOKUP(A31,NoviaFunds[],2,FALSE),"")</f>
        <v/>
      </c>
      <c r="C31" s="22"/>
      <c r="D31" s="22"/>
      <c r="E31" s="23" t="str">
        <f>IFERROR(VLOOKUP(A31,NoviaFunds[],6,FALSE),"")</f>
        <v/>
      </c>
      <c r="F31" s="9"/>
      <c r="G31" s="9"/>
      <c r="H31" s="24" t="str">
        <f t="shared" si="1"/>
        <v/>
      </c>
      <c r="I31" s="25" t="str">
        <f>IFERROR(VLOOKUP(A31,NoviaFunds[],4,FALSE),"")</f>
        <v/>
      </c>
      <c r="J31" s="26" t="str">
        <f>IF(G31="","",IFERROR(VLOOKUP(A31,NoviaFunds[],4,FALSE),""))</f>
        <v/>
      </c>
    </row>
    <row r="32" spans="1:10" x14ac:dyDescent="0.2">
      <c r="A32" s="15"/>
      <c r="B32" s="21" t="str">
        <f>IFERROR(VLOOKUP(A32,NoviaFunds[],2,FALSE),"")</f>
        <v/>
      </c>
      <c r="C32" s="22"/>
      <c r="D32" s="22"/>
      <c r="E32" s="23" t="str">
        <f>IFERROR(VLOOKUP(A32,NoviaFunds[],6,FALSE),"")</f>
        <v/>
      </c>
      <c r="F32" s="9"/>
      <c r="G32" s="9"/>
      <c r="H32" s="24" t="str">
        <f t="shared" ref="H32:H38" si="2">IF(G32="","",G32-F32)</f>
        <v/>
      </c>
      <c r="I32" s="25" t="str">
        <f>IFERROR(VLOOKUP(A32,NoviaFunds[],4,FALSE),"")</f>
        <v/>
      </c>
      <c r="J32" s="26" t="str">
        <f>IF(G32="","",IFERROR(VLOOKUP(A32,NoviaFunds[],4,FALSE),""))</f>
        <v/>
      </c>
    </row>
    <row r="33" spans="1:10" x14ac:dyDescent="0.2">
      <c r="A33" s="15"/>
      <c r="B33" s="21" t="str">
        <f>IFERROR(VLOOKUP(A33,NoviaFunds[],2,FALSE),"")</f>
        <v/>
      </c>
      <c r="C33" s="22"/>
      <c r="D33" s="22"/>
      <c r="E33" s="23" t="str">
        <f>IFERROR(VLOOKUP(A33,NoviaFunds[],6,FALSE),"")</f>
        <v/>
      </c>
      <c r="F33" s="9"/>
      <c r="G33" s="9"/>
      <c r="H33" s="24" t="str">
        <f t="shared" si="2"/>
        <v/>
      </c>
      <c r="I33" s="25" t="str">
        <f>IFERROR(VLOOKUP(A33,NoviaFunds[],4,FALSE),"")</f>
        <v/>
      </c>
      <c r="J33" s="26" t="str">
        <f>IF(G33="","",IFERROR(VLOOKUP(A33,NoviaFunds[],4,FALSE),""))</f>
        <v/>
      </c>
    </row>
    <row r="34" spans="1:10" x14ac:dyDescent="0.2">
      <c r="A34" s="15"/>
      <c r="B34" s="21" t="str">
        <f>IFERROR(VLOOKUP(A34,NoviaFunds[],2,FALSE),"")</f>
        <v/>
      </c>
      <c r="C34" s="22"/>
      <c r="D34" s="22"/>
      <c r="E34" s="23" t="str">
        <f>IFERROR(VLOOKUP(A34,NoviaFunds[],6,FALSE),"")</f>
        <v/>
      </c>
      <c r="F34" s="9"/>
      <c r="G34" s="9"/>
      <c r="H34" s="24" t="str">
        <f t="shared" si="2"/>
        <v/>
      </c>
      <c r="I34" s="25" t="str">
        <f>IFERROR(VLOOKUP(A34,NoviaFunds[],4,FALSE),"")</f>
        <v/>
      </c>
      <c r="J34" s="26" t="str">
        <f>IF(G34="","",IFERROR(VLOOKUP(A34,NoviaFunds[],4,FALSE),""))</f>
        <v/>
      </c>
    </row>
    <row r="35" spans="1:10" x14ac:dyDescent="0.2">
      <c r="A35" s="15"/>
      <c r="B35" s="21" t="str">
        <f>IFERROR(VLOOKUP(A35,NoviaFunds[],2,FALSE),"")</f>
        <v/>
      </c>
      <c r="C35" s="22"/>
      <c r="D35" s="22"/>
      <c r="E35" s="23" t="str">
        <f>IFERROR(VLOOKUP(A35,NoviaFunds[],6,FALSE),"")</f>
        <v/>
      </c>
      <c r="F35" s="9"/>
      <c r="G35" s="9"/>
      <c r="H35" s="24" t="str">
        <f t="shared" si="2"/>
        <v/>
      </c>
      <c r="I35" s="25" t="str">
        <f>IFERROR(VLOOKUP(A35,NoviaFunds[],4,FALSE),"")</f>
        <v/>
      </c>
      <c r="J35" s="26" t="str">
        <f>IF(G35="","",IFERROR(VLOOKUP(A35,NoviaFunds[],4,FALSE),""))</f>
        <v/>
      </c>
    </row>
    <row r="36" spans="1:10" x14ac:dyDescent="0.2">
      <c r="A36" s="15"/>
      <c r="B36" s="21" t="str">
        <f>IFERROR(VLOOKUP(A36,NoviaFunds[],2,FALSE),"")</f>
        <v/>
      </c>
      <c r="C36" s="22"/>
      <c r="D36" s="22"/>
      <c r="E36" s="23" t="str">
        <f>IFERROR(VLOOKUP(A36,NoviaFunds[],6,FALSE),"")</f>
        <v/>
      </c>
      <c r="F36" s="9"/>
      <c r="G36" s="9"/>
      <c r="H36" s="24" t="str">
        <f t="shared" si="2"/>
        <v/>
      </c>
      <c r="I36" s="25" t="str">
        <f>IFERROR(VLOOKUP(A36,NoviaFunds[],4,FALSE),"")</f>
        <v/>
      </c>
      <c r="J36" s="26" t="str">
        <f>IF(G36="","",IFERROR(VLOOKUP(A36,NoviaFunds[],4,FALSE),""))</f>
        <v/>
      </c>
    </row>
    <row r="37" spans="1:10" x14ac:dyDescent="0.2">
      <c r="A37" s="15"/>
      <c r="B37" s="21" t="str">
        <f>IFERROR(VLOOKUP(A37,NoviaFunds[],2,FALSE),"")</f>
        <v/>
      </c>
      <c r="C37" s="22"/>
      <c r="D37" s="22"/>
      <c r="E37" s="23" t="str">
        <f>IFERROR(VLOOKUP(A37,NoviaFunds[],6,FALSE),"")</f>
        <v/>
      </c>
      <c r="F37" s="9"/>
      <c r="G37" s="9"/>
      <c r="H37" s="24" t="str">
        <f t="shared" si="2"/>
        <v/>
      </c>
      <c r="I37" s="25" t="str">
        <f>IFERROR(VLOOKUP(A37,NoviaFunds[],4,FALSE),"")</f>
        <v/>
      </c>
      <c r="J37" s="26" t="str">
        <f>IF(G37="","",IFERROR(VLOOKUP(A37,NoviaFunds[],4,FALSE),""))</f>
        <v/>
      </c>
    </row>
    <row r="38" spans="1:10" x14ac:dyDescent="0.2">
      <c r="A38" s="15"/>
      <c r="B38" s="21" t="str">
        <f>IFERROR(VLOOKUP(A38,NoviaFunds[],2,FALSE),"")</f>
        <v/>
      </c>
      <c r="C38" s="22"/>
      <c r="D38" s="22"/>
      <c r="E38" s="23" t="str">
        <f>IFERROR(VLOOKUP(A38,NoviaFunds[],6,FALSE),"")</f>
        <v/>
      </c>
      <c r="F38" s="9"/>
      <c r="G38" s="9"/>
      <c r="H38" s="24" t="str">
        <f t="shared" si="2"/>
        <v/>
      </c>
      <c r="I38" s="25" t="str">
        <f>IFERROR(VLOOKUP(A38,NoviaFunds[],4,FALSE),"")</f>
        <v/>
      </c>
      <c r="J38" s="26" t="str">
        <f>IF(G38="","",IFERROR(VLOOKUP(A38,NoviaFunds[],4,FALSE),""))</f>
        <v/>
      </c>
    </row>
    <row r="39" spans="1:10" ht="16.5" thickBot="1" x14ac:dyDescent="0.3">
      <c r="A39" s="154"/>
      <c r="B39" s="155"/>
      <c r="C39" s="155"/>
      <c r="D39" s="155"/>
      <c r="E39" s="156"/>
      <c r="F39" s="157">
        <f>SUM(F4:F32)</f>
        <v>1.0000000000000002</v>
      </c>
      <c r="G39" s="157">
        <f>SUM(G4:G32)</f>
        <v>1</v>
      </c>
      <c r="H39" s="157"/>
      <c r="I39" s="158">
        <f>SUMPRODUCT(F4:F32,I4:I32)</f>
        <v>5.6104999999999992E-3</v>
      </c>
      <c r="J39" s="159">
        <f>SUMPRODUCT(G4:G32,J4:J32)</f>
        <v>1.9644999999999997E-3</v>
      </c>
    </row>
    <row r="40" spans="1:10" ht="15.75" thickTop="1" thickBot="1" x14ac:dyDescent="0.25">
      <c r="A40" s="160"/>
      <c r="B40" s="161"/>
      <c r="C40" s="161"/>
      <c r="D40" s="161"/>
      <c r="E40" s="162"/>
      <c r="F40" s="163"/>
      <c r="G40" s="164"/>
      <c r="H40" s="164"/>
      <c r="I40" s="162"/>
      <c r="J40" s="165"/>
    </row>
    <row r="41" spans="1:10" ht="30.75" thickTop="1" x14ac:dyDescent="0.2">
      <c r="A41" s="262" t="s">
        <v>5</v>
      </c>
      <c r="B41" s="263" t="s">
        <v>26</v>
      </c>
      <c r="C41" s="263" t="s">
        <v>27</v>
      </c>
      <c r="D41" s="264" t="s">
        <v>28</v>
      </c>
      <c r="E41" s="264" t="s">
        <v>9555</v>
      </c>
      <c r="F41" s="265" t="s">
        <v>30</v>
      </c>
      <c r="G41" s="266" t="s">
        <v>9572</v>
      </c>
      <c r="H41" s="266" t="s">
        <v>31</v>
      </c>
      <c r="I41" s="267" t="s">
        <v>30</v>
      </c>
      <c r="J41" s="268"/>
    </row>
    <row r="42" spans="1:10" x14ac:dyDescent="0.2">
      <c r="A42" s="269" t="s">
        <v>32</v>
      </c>
      <c r="B42" s="258">
        <f>MAX(0,IF(D42&lt;10%,D42-3%,IF(AND(D42&gt;=10%,D42&lt;20%),D42-5%,D42-8%)))</f>
        <v>6.9999999999999993E-2</v>
      </c>
      <c r="C42" s="256">
        <f>IF(D42&lt;10%,D42+3%,IF(AND(D42&gt;=10%,D42&lt;20%),D42+5%,D42+8%))</f>
        <v>0.16999999999999998</v>
      </c>
      <c r="D42" s="270">
        <f>VLOOKUP(A42,'Asset Allocations'!A:C,2,FALSE)</f>
        <v>0.12</v>
      </c>
      <c r="E42" s="271">
        <f>VLOOKUP(A42,'Asset Allocations'!A:C,3,FALSE)</f>
        <v>0.12</v>
      </c>
      <c r="F42" s="272">
        <f>IFERROR(E42-D42,"")</f>
        <v>0</v>
      </c>
      <c r="G42" s="636">
        <f>IF(SUMIF($E$4:$E$38,$A42,$F$4:$F$38)=0,0,SUMIF($E$4:$E$38,$A42,$F$4:$F$38))</f>
        <v>0.28500000000000003</v>
      </c>
      <c r="H42" s="261">
        <f>IF(SUMIF($E$4:$E$38,$A42,$G$4:$G$38)=0,0,SUMIF($E$4:$E$38,$A42,$G$4:$G$38))</f>
        <v>0.12</v>
      </c>
      <c r="I42" s="257">
        <f>IFERROR(H42-D42,"")</f>
        <v>0</v>
      </c>
      <c r="J42" s="273"/>
    </row>
    <row r="43" spans="1:10" x14ac:dyDescent="0.2">
      <c r="A43" s="274" t="s">
        <v>33</v>
      </c>
      <c r="B43" s="258">
        <f t="shared" ref="B43:B48" si="3">MAX(0,IF(D43&lt;10%,D43-3%,IF(AND(D43&gt;=10%,D43&lt;20%),D43-5%,D43-8%)))</f>
        <v>0.05</v>
      </c>
      <c r="C43" s="256">
        <f t="shared" ref="C43:C62" si="4">IF(D43&lt;10%,D43+3%,IF(AND(D43&gt;=10%,D43&lt;20%),D43+5%,D43+8%))</f>
        <v>0.15000000000000002</v>
      </c>
      <c r="D43" s="275">
        <f>VLOOKUP(A43,'Asset Allocations'!A:C,2,FALSE)</f>
        <v>0.1</v>
      </c>
      <c r="E43" s="271">
        <f>VLOOKUP(A43,'Asset Allocations'!A:C,3,FALSE)</f>
        <v>0.1</v>
      </c>
      <c r="F43" s="276">
        <f t="shared" ref="F43:F63" si="5">IFERROR(E43-D43,"")</f>
        <v>0</v>
      </c>
      <c r="G43" s="637">
        <f t="shared" ref="G43:G62" si="6">IF(SUMIF($E$4:$E$38,$A43,$F$4:$F$38)=0,0,SUMIF($E$4:$E$38,$A43,$F$4:$F$38))</f>
        <v>0</v>
      </c>
      <c r="H43" s="261">
        <f t="shared" ref="H43:H62" si="7">IF(SUMIF($E$4:$E$38,$A43,$G$4:$G$38)=0,0,SUMIF($E$4:$E$38,$A43,$G$4:$G$38))</f>
        <v>0.1</v>
      </c>
      <c r="I43" s="259">
        <f>IFERROR(H43-D43,"")</f>
        <v>0</v>
      </c>
      <c r="J43" s="277"/>
    </row>
    <row r="44" spans="1:10" x14ac:dyDescent="0.2">
      <c r="A44" s="274" t="s">
        <v>34</v>
      </c>
      <c r="B44" s="258">
        <f t="shared" si="3"/>
        <v>0</v>
      </c>
      <c r="C44" s="256">
        <f t="shared" si="4"/>
        <v>0.03</v>
      </c>
      <c r="D44" s="275">
        <f>VLOOKUP(A44,'Asset Allocations'!A:C,2,FALSE)</f>
        <v>0</v>
      </c>
      <c r="E44" s="271">
        <f>VLOOKUP(A44,'Asset Allocations'!A:C,3,FALSE)</f>
        <v>0</v>
      </c>
      <c r="F44" s="276">
        <f t="shared" si="5"/>
        <v>0</v>
      </c>
      <c r="G44" s="637">
        <f t="shared" si="6"/>
        <v>0</v>
      </c>
      <c r="H44" s="261">
        <f t="shared" si="7"/>
        <v>0</v>
      </c>
      <c r="I44" s="259">
        <f t="shared" ref="I44:I62" si="8">IFERROR(H44-D44,"")</f>
        <v>0</v>
      </c>
      <c r="J44" s="277"/>
    </row>
    <row r="45" spans="1:10" x14ac:dyDescent="0.2">
      <c r="A45" s="274" t="s">
        <v>35</v>
      </c>
      <c r="B45" s="258">
        <f t="shared" si="3"/>
        <v>0</v>
      </c>
      <c r="C45" s="256">
        <f t="shared" si="4"/>
        <v>0.03</v>
      </c>
      <c r="D45" s="275">
        <f>VLOOKUP(A45,'Asset Allocations'!A:C,2,FALSE)</f>
        <v>0</v>
      </c>
      <c r="E45" s="271">
        <f>VLOOKUP(A45,'Asset Allocations'!A:C,3,FALSE)</f>
        <v>0</v>
      </c>
      <c r="F45" s="276">
        <f t="shared" si="5"/>
        <v>0</v>
      </c>
      <c r="G45" s="637">
        <f t="shared" si="6"/>
        <v>0</v>
      </c>
      <c r="H45" s="261">
        <f t="shared" si="7"/>
        <v>0</v>
      </c>
      <c r="I45" s="259">
        <f t="shared" si="8"/>
        <v>0</v>
      </c>
      <c r="J45" s="277"/>
    </row>
    <row r="46" spans="1:10" x14ac:dyDescent="0.2">
      <c r="A46" s="274" t="s">
        <v>36</v>
      </c>
      <c r="B46" s="258">
        <f t="shared" si="3"/>
        <v>0</v>
      </c>
      <c r="C46" s="256">
        <f t="shared" si="4"/>
        <v>0.03</v>
      </c>
      <c r="D46" s="275">
        <f>VLOOKUP(A46,'Asset Allocations'!A:C,2,FALSE)</f>
        <v>0</v>
      </c>
      <c r="E46" s="271">
        <f>VLOOKUP(A46,'Asset Allocations'!A:C,3,FALSE)</f>
        <v>0</v>
      </c>
      <c r="F46" s="276">
        <f t="shared" si="5"/>
        <v>0</v>
      </c>
      <c r="G46" s="637">
        <f t="shared" si="6"/>
        <v>0</v>
      </c>
      <c r="H46" s="261">
        <f t="shared" si="7"/>
        <v>0</v>
      </c>
      <c r="I46" s="259">
        <f t="shared" si="8"/>
        <v>0</v>
      </c>
      <c r="J46" s="277"/>
    </row>
    <row r="47" spans="1:10" x14ac:dyDescent="0.2">
      <c r="A47" s="274" t="s">
        <v>37</v>
      </c>
      <c r="B47" s="258">
        <f t="shared" si="3"/>
        <v>2.0000000000000004E-2</v>
      </c>
      <c r="C47" s="256">
        <f t="shared" si="4"/>
        <v>0.08</v>
      </c>
      <c r="D47" s="275">
        <f>VLOOKUP(A47,'Asset Allocations'!A:C,2,FALSE)</f>
        <v>0.05</v>
      </c>
      <c r="E47" s="271">
        <f>VLOOKUP(A47,'Asset Allocations'!A:C,3,FALSE)</f>
        <v>0.05</v>
      </c>
      <c r="F47" s="276">
        <f t="shared" si="5"/>
        <v>0</v>
      </c>
      <c r="G47" s="637">
        <f t="shared" si="6"/>
        <v>0</v>
      </c>
      <c r="H47" s="261">
        <f t="shared" si="7"/>
        <v>0.05</v>
      </c>
      <c r="I47" s="259">
        <f t="shared" si="8"/>
        <v>0</v>
      </c>
      <c r="J47" s="277"/>
    </row>
    <row r="48" spans="1:10" x14ac:dyDescent="0.2">
      <c r="A48" s="278" t="s">
        <v>38</v>
      </c>
      <c r="B48" s="258">
        <f t="shared" si="3"/>
        <v>0</v>
      </c>
      <c r="C48" s="256">
        <f t="shared" si="4"/>
        <v>0.03</v>
      </c>
      <c r="D48" s="279">
        <f>VLOOKUP(A48,'Asset Allocations'!A:C,2,FALSE)</f>
        <v>0</v>
      </c>
      <c r="E48" s="271">
        <f>VLOOKUP(A48,'Asset Allocations'!A:C,3,FALSE)</f>
        <v>0</v>
      </c>
      <c r="F48" s="280">
        <f t="shared" si="5"/>
        <v>0</v>
      </c>
      <c r="G48" s="638">
        <f t="shared" si="6"/>
        <v>0.15000000000000002</v>
      </c>
      <c r="H48" s="261">
        <f t="shared" si="7"/>
        <v>0</v>
      </c>
      <c r="I48" s="260">
        <f t="shared" si="8"/>
        <v>0</v>
      </c>
      <c r="J48" s="281"/>
    </row>
    <row r="49" spans="1:10" ht="15" x14ac:dyDescent="0.25">
      <c r="A49" s="282" t="s">
        <v>39</v>
      </c>
      <c r="B49" s="283">
        <f>MAX(0,D49-5%)</f>
        <v>0.22000000000000003</v>
      </c>
      <c r="C49" s="283">
        <f>MIN(98%,D49+5%)</f>
        <v>0.32</v>
      </c>
      <c r="D49" s="283">
        <f>VLOOKUP(A49,'Asset Allocations'!A:C,2,FALSE)</f>
        <v>0.27</v>
      </c>
      <c r="E49" s="284">
        <f>VLOOKUP(A49,'Asset Allocations'!A:C,3,FALSE)</f>
        <v>0.27</v>
      </c>
      <c r="F49" s="285">
        <f t="shared" si="5"/>
        <v>0</v>
      </c>
      <c r="G49" s="317">
        <f>SUM(G42:G48)</f>
        <v>0.43500000000000005</v>
      </c>
      <c r="H49" s="317">
        <f>SUM(H42:H48)</f>
        <v>0.27</v>
      </c>
      <c r="I49" s="286">
        <f t="shared" ref="I49:I56" si="9">IFERROR(IF(H49=0,"",H49-D49),"")</f>
        <v>0</v>
      </c>
      <c r="J49" s="287"/>
    </row>
    <row r="50" spans="1:10" x14ac:dyDescent="0.2">
      <c r="A50" s="288" t="s">
        <v>40</v>
      </c>
      <c r="B50" s="258">
        <f>MAX(0,IF(D50&lt;10%,D50-3%,IF(AND(D50&gt;=10%,D50&lt;20%),D50-5%,D50-8%)))</f>
        <v>0.05</v>
      </c>
      <c r="C50" s="256">
        <f t="shared" si="4"/>
        <v>0.15000000000000002</v>
      </c>
      <c r="D50" s="289">
        <f>VLOOKUP(A50,'Asset Allocations'!A:C,2,FALSE)</f>
        <v>0.1</v>
      </c>
      <c r="E50" s="271">
        <f>VLOOKUP(A50,'Asset Allocations'!A:C,3,FALSE)</f>
        <v>0.1</v>
      </c>
      <c r="F50" s="272">
        <f t="shared" si="5"/>
        <v>0</v>
      </c>
      <c r="G50" s="639">
        <f t="shared" si="6"/>
        <v>0.11</v>
      </c>
      <c r="H50" s="261">
        <f t="shared" si="7"/>
        <v>0.1</v>
      </c>
      <c r="I50" s="257">
        <f t="shared" si="8"/>
        <v>0</v>
      </c>
      <c r="J50" s="290"/>
    </row>
    <row r="51" spans="1:10" x14ac:dyDescent="0.2">
      <c r="A51" s="291" t="s">
        <v>9529</v>
      </c>
      <c r="B51" s="258">
        <f t="shared" ref="B51:B55" si="10">MAX(0,IF(D51&lt;10%,D51-3%,IF(AND(D51&gt;=10%,D51&lt;20%),D51-5%,D51-8%)))</f>
        <v>0.05</v>
      </c>
      <c r="C51" s="256">
        <f t="shared" si="4"/>
        <v>0.11</v>
      </c>
      <c r="D51" s="275">
        <f>VLOOKUP(A51,'Asset Allocations'!A:C,2,FALSE)</f>
        <v>0.08</v>
      </c>
      <c r="E51" s="271">
        <f>VLOOKUP(A51,'Asset Allocations'!A:C,3,FALSE)</f>
        <v>0.08</v>
      </c>
      <c r="F51" s="276">
        <f t="shared" si="5"/>
        <v>0</v>
      </c>
      <c r="G51" s="637">
        <f t="shared" si="6"/>
        <v>0</v>
      </c>
      <c r="H51" s="261">
        <f t="shared" si="7"/>
        <v>0.08</v>
      </c>
      <c r="I51" s="259">
        <f t="shared" si="8"/>
        <v>0</v>
      </c>
      <c r="J51" s="277"/>
    </row>
    <row r="52" spans="1:10" x14ac:dyDescent="0.2">
      <c r="A52" s="291" t="s">
        <v>9528</v>
      </c>
      <c r="B52" s="258">
        <f t="shared" si="10"/>
        <v>0.13</v>
      </c>
      <c r="C52" s="256">
        <f t="shared" si="4"/>
        <v>0.22999999999999998</v>
      </c>
      <c r="D52" s="275">
        <f>VLOOKUP(A52,'Asset Allocations'!A:C,2,FALSE)</f>
        <v>0.18</v>
      </c>
      <c r="E52" s="271">
        <f>VLOOKUP(A52,'Asset Allocations'!A:C,3,FALSE)</f>
        <v>0.18</v>
      </c>
      <c r="F52" s="276">
        <f t="shared" si="5"/>
        <v>0</v>
      </c>
      <c r="G52" s="637">
        <f t="shared" si="6"/>
        <v>3.5000000000000003E-2</v>
      </c>
      <c r="H52" s="261">
        <f t="shared" si="7"/>
        <v>0.18</v>
      </c>
      <c r="I52" s="259">
        <f t="shared" si="8"/>
        <v>0</v>
      </c>
      <c r="J52" s="277"/>
    </row>
    <row r="53" spans="1:10" x14ac:dyDescent="0.2">
      <c r="A53" s="291" t="s">
        <v>9530</v>
      </c>
      <c r="B53" s="258">
        <f t="shared" si="10"/>
        <v>9.9999999999999992E-2</v>
      </c>
      <c r="C53" s="256">
        <f t="shared" si="4"/>
        <v>0.2</v>
      </c>
      <c r="D53" s="275">
        <f>VLOOKUP(A53,'Asset Allocations'!A:C,2,FALSE)</f>
        <v>0.15</v>
      </c>
      <c r="E53" s="271">
        <f>VLOOKUP(A53,'Asset Allocations'!A:C,3,FALSE)</f>
        <v>0.15</v>
      </c>
      <c r="F53" s="276">
        <f t="shared" si="5"/>
        <v>0</v>
      </c>
      <c r="G53" s="637">
        <f t="shared" si="6"/>
        <v>0.21000000000000002</v>
      </c>
      <c r="H53" s="261">
        <f t="shared" si="7"/>
        <v>0.15</v>
      </c>
      <c r="I53" s="259">
        <f t="shared" si="8"/>
        <v>0</v>
      </c>
      <c r="J53" s="277"/>
    </row>
    <row r="54" spans="1:10" x14ac:dyDescent="0.2">
      <c r="A54" s="292" t="s">
        <v>9531</v>
      </c>
      <c r="B54" s="258">
        <f t="shared" si="10"/>
        <v>0</v>
      </c>
      <c r="C54" s="256">
        <f t="shared" si="4"/>
        <v>0.03</v>
      </c>
      <c r="D54" s="279">
        <f>VLOOKUP(A54,'Asset Allocations'!A:C,2,FALSE)</f>
        <v>0</v>
      </c>
      <c r="E54" s="271">
        <f>VLOOKUP(A54,'Asset Allocations'!A:C,3,FALSE)</f>
        <v>0</v>
      </c>
      <c r="F54" s="280">
        <f t="shared" si="5"/>
        <v>0</v>
      </c>
      <c r="G54" s="638">
        <f t="shared" si="6"/>
        <v>0</v>
      </c>
      <c r="H54" s="261">
        <f t="shared" si="7"/>
        <v>0</v>
      </c>
      <c r="I54" s="260">
        <f t="shared" si="8"/>
        <v>0</v>
      </c>
      <c r="J54" s="281"/>
    </row>
    <row r="55" spans="1:10" x14ac:dyDescent="0.2">
      <c r="A55" s="293" t="s">
        <v>45</v>
      </c>
      <c r="B55" s="258">
        <f t="shared" si="10"/>
        <v>0</v>
      </c>
      <c r="C55" s="256">
        <f t="shared" si="4"/>
        <v>0.03</v>
      </c>
      <c r="D55" s="294">
        <f>VLOOKUP(A55,'Asset Allocations'!A:C,2,FALSE)</f>
        <v>0</v>
      </c>
      <c r="E55" s="271">
        <f>VLOOKUP(A55,'Asset Allocations'!A:C,3,FALSE)</f>
        <v>0</v>
      </c>
      <c r="F55" s="295">
        <f t="shared" si="5"/>
        <v>0</v>
      </c>
      <c r="G55" s="640">
        <f t="shared" si="6"/>
        <v>0.03</v>
      </c>
      <c r="H55" s="261">
        <f t="shared" si="7"/>
        <v>0</v>
      </c>
      <c r="I55" s="296">
        <f t="shared" si="8"/>
        <v>0</v>
      </c>
      <c r="J55" s="297"/>
    </row>
    <row r="56" spans="1:10" ht="15" x14ac:dyDescent="0.25">
      <c r="A56" s="298" t="s">
        <v>46</v>
      </c>
      <c r="B56" s="299">
        <f>MAX(0,$D$56-5%)</f>
        <v>0.46</v>
      </c>
      <c r="C56" s="299">
        <f>MIN(100%,$D$56+5%)</f>
        <v>0.56000000000000005</v>
      </c>
      <c r="D56" s="299">
        <f>VLOOKUP(A56,'Asset Allocations'!A:C,2,FALSE)</f>
        <v>0.51</v>
      </c>
      <c r="E56" s="300">
        <f>VLOOKUP(A56,'Asset Allocations'!A:C,3,FALSE)</f>
        <v>0.51</v>
      </c>
      <c r="F56" s="301">
        <f t="shared" si="5"/>
        <v>0</v>
      </c>
      <c r="G56" s="317">
        <f>SUM(G50:G55)</f>
        <v>0.38500000000000001</v>
      </c>
      <c r="H56" s="317">
        <f>SUM(H50:H55)</f>
        <v>0.51</v>
      </c>
      <c r="I56" s="302">
        <f t="shared" si="9"/>
        <v>0</v>
      </c>
      <c r="J56" s="303"/>
    </row>
    <row r="57" spans="1:10" s="310" customFormat="1" x14ac:dyDescent="0.2">
      <c r="A57" s="311" t="s">
        <v>11</v>
      </c>
      <c r="B57" s="258">
        <f>MAX(0,IF(D57&lt;10%,D57-3%,IF(AND(D57&gt;=10%,D57&lt;20%),D57-5%,D57-8%)))</f>
        <v>0.12000000000000001</v>
      </c>
      <c r="C57" s="256">
        <f t="shared" si="4"/>
        <v>0.22000000000000003</v>
      </c>
      <c r="D57" s="312">
        <f>VLOOKUP(A57,'Asset Allocations'!A:C,2,FALSE)</f>
        <v>0.17</v>
      </c>
      <c r="E57" s="271">
        <f>VLOOKUP(A57,'Asset Allocations'!A:C,3,FALSE)</f>
        <v>0.17</v>
      </c>
      <c r="F57" s="276">
        <f t="shared" si="5"/>
        <v>0</v>
      </c>
      <c r="G57" s="641">
        <f t="shared" si="6"/>
        <v>0.08</v>
      </c>
      <c r="H57" s="261">
        <f t="shared" si="7"/>
        <v>0.17</v>
      </c>
      <c r="I57" s="259">
        <f t="shared" si="8"/>
        <v>0</v>
      </c>
      <c r="J57" s="309"/>
    </row>
    <row r="58" spans="1:10" s="310" customFormat="1" ht="15" x14ac:dyDescent="0.25">
      <c r="A58" s="308" t="s">
        <v>9534</v>
      </c>
      <c r="B58" s="315">
        <f t="shared" ref="B58:B62" si="11">MAX(0,IF(D58&lt;10%,D58-3%,IF(AND(D58&gt;=10%,D58&lt;20%),D58-5%,D58-8%)))</f>
        <v>0.12000000000000001</v>
      </c>
      <c r="C58" s="300">
        <f t="shared" si="4"/>
        <v>0.22000000000000003</v>
      </c>
      <c r="D58" s="315">
        <f>VLOOKUP(A58,'Asset Allocations'!A:C,2,FALSE)</f>
        <v>0.17</v>
      </c>
      <c r="E58" s="315">
        <f>VLOOKUP(A58,'Asset Allocations'!A:C,3,FALSE)</f>
        <v>0.17</v>
      </c>
      <c r="F58" s="301">
        <f t="shared" si="5"/>
        <v>0</v>
      </c>
      <c r="G58" s="317">
        <f>SUM(G57)</f>
        <v>0.08</v>
      </c>
      <c r="H58" s="317">
        <f>SUM(H57)</f>
        <v>0.17</v>
      </c>
      <c r="I58" s="313"/>
      <c r="J58" s="314"/>
    </row>
    <row r="59" spans="1:10" s="310" customFormat="1" x14ac:dyDescent="0.2">
      <c r="A59" s="311" t="s">
        <v>49</v>
      </c>
      <c r="B59" s="258">
        <f t="shared" si="11"/>
        <v>2.0000000000000004E-2</v>
      </c>
      <c r="C59" s="256">
        <f t="shared" si="4"/>
        <v>0.08</v>
      </c>
      <c r="D59" s="312">
        <f>VLOOKUP(A59,'Asset Allocations'!A:C,2,FALSE)</f>
        <v>0.05</v>
      </c>
      <c r="E59" s="271">
        <f>VLOOKUP(A59,'Asset Allocations'!A:C,3,FALSE)</f>
        <v>0.05</v>
      </c>
      <c r="F59" s="276">
        <f t="shared" ref="F59" si="12">IFERROR(E59-D59,"")</f>
        <v>0</v>
      </c>
      <c r="G59" s="641">
        <f t="shared" si="6"/>
        <v>0</v>
      </c>
      <c r="H59" s="261">
        <f t="shared" si="7"/>
        <v>0.05</v>
      </c>
      <c r="I59" s="259">
        <f t="shared" ref="I59" si="13">IFERROR(H59-D59,"")</f>
        <v>0</v>
      </c>
      <c r="J59" s="309"/>
    </row>
    <row r="60" spans="1:10" s="310" customFormat="1" ht="15" x14ac:dyDescent="0.25">
      <c r="A60" s="308" t="s">
        <v>9535</v>
      </c>
      <c r="B60" s="315">
        <f t="shared" si="11"/>
        <v>2.0000000000000004E-2</v>
      </c>
      <c r="C60" s="300">
        <f t="shared" si="4"/>
        <v>0.08</v>
      </c>
      <c r="D60" s="300">
        <f>VLOOKUP(A60,'Asset Allocations'!A:C,2,FALSE)</f>
        <v>0.05</v>
      </c>
      <c r="E60" s="300">
        <f>VLOOKUP(A60,'Asset Allocations'!A:C,3,FALSE)</f>
        <v>0.05</v>
      </c>
      <c r="F60" s="301">
        <f t="shared" si="5"/>
        <v>0</v>
      </c>
      <c r="G60" s="317">
        <f>SUM(G59)</f>
        <v>0</v>
      </c>
      <c r="H60" s="317">
        <f>SUM(H59)</f>
        <v>0.05</v>
      </c>
      <c r="I60" s="313"/>
      <c r="J60" s="314"/>
    </row>
    <row r="61" spans="1:10" x14ac:dyDescent="0.2">
      <c r="A61" s="291" t="s">
        <v>47</v>
      </c>
      <c r="B61" s="258">
        <f t="shared" si="11"/>
        <v>0</v>
      </c>
      <c r="C61" s="256">
        <f t="shared" si="4"/>
        <v>0.03</v>
      </c>
      <c r="D61" s="275">
        <f>VLOOKUP(A61,'Asset Allocations'!A:C,2,FALSE)</f>
        <v>0</v>
      </c>
      <c r="E61" s="271">
        <f>VLOOKUP(A61,'Asset Allocations'!A:C,3,FALSE)</f>
        <v>0</v>
      </c>
      <c r="F61" s="276">
        <f t="shared" si="5"/>
        <v>0</v>
      </c>
      <c r="G61" s="637">
        <f t="shared" si="6"/>
        <v>0.05</v>
      </c>
      <c r="H61" s="261">
        <f t="shared" si="7"/>
        <v>0</v>
      </c>
      <c r="I61" s="259">
        <f t="shared" si="8"/>
        <v>0</v>
      </c>
      <c r="J61" s="277"/>
    </row>
    <row r="62" spans="1:10" x14ac:dyDescent="0.2">
      <c r="A62" s="291" t="s">
        <v>48</v>
      </c>
      <c r="B62" s="258">
        <f t="shared" si="11"/>
        <v>0</v>
      </c>
      <c r="C62" s="256">
        <f t="shared" si="4"/>
        <v>0.03</v>
      </c>
      <c r="D62" s="275">
        <f>VLOOKUP(A62,'Asset Allocations'!A:C,2,FALSE)</f>
        <v>0</v>
      </c>
      <c r="E62" s="271">
        <f>VLOOKUP(A62,'Asset Allocations'!A:C,3,FALSE)</f>
        <v>0</v>
      </c>
      <c r="F62" s="276">
        <f t="shared" si="5"/>
        <v>0</v>
      </c>
      <c r="G62" s="637">
        <f t="shared" si="6"/>
        <v>0.05</v>
      </c>
      <c r="H62" s="261">
        <f t="shared" si="7"/>
        <v>0</v>
      </c>
      <c r="I62" s="259">
        <f t="shared" si="8"/>
        <v>0</v>
      </c>
      <c r="J62" s="277"/>
    </row>
    <row r="63" spans="1:10" ht="15.75" thickBot="1" x14ac:dyDescent="0.3">
      <c r="A63" s="316" t="s">
        <v>9536</v>
      </c>
      <c r="B63" s="304">
        <v>0</v>
      </c>
      <c r="C63" s="304">
        <v>0</v>
      </c>
      <c r="D63" s="304">
        <f>VLOOKUP(A63,'Asset Allocations'!A:C,2,FALSE)</f>
        <v>0</v>
      </c>
      <c r="E63" s="284">
        <f>SUM(E61:E62)</f>
        <v>0</v>
      </c>
      <c r="F63" s="305">
        <f t="shared" si="5"/>
        <v>0</v>
      </c>
      <c r="G63" s="317">
        <f>SUM(G61:G62)</f>
        <v>0.1</v>
      </c>
      <c r="H63" s="317">
        <f>SUM(H61:H62)</f>
        <v>0</v>
      </c>
      <c r="I63" s="306" t="str">
        <f>IFERROR(IF(H63=0,"",H63-D63),"")</f>
        <v/>
      </c>
      <c r="J63" s="307"/>
    </row>
    <row r="64" spans="1:10" ht="15.75" thickTop="1" x14ac:dyDescent="0.25">
      <c r="A64" s="247" t="s">
        <v>9532</v>
      </c>
      <c r="B64" s="248"/>
      <c r="C64" s="249"/>
      <c r="D64" s="248">
        <f>D49+D56+D58+D60+D63</f>
        <v>1</v>
      </c>
      <c r="E64" s="248">
        <f>E49+E56+E58+E60+E63</f>
        <v>1</v>
      </c>
      <c r="F64" s="250"/>
      <c r="G64" s="251"/>
      <c r="H64" s="248">
        <f>H49+H56+H58+H60+H63</f>
        <v>1</v>
      </c>
      <c r="I64" s="252"/>
      <c r="J64" s="253"/>
    </row>
    <row r="65" spans="1:10" ht="15" thickBot="1" x14ac:dyDescent="0.25">
      <c r="A65" s="33"/>
      <c r="J65" s="34"/>
    </row>
    <row r="66" spans="1:10" ht="15" x14ac:dyDescent="0.25">
      <c r="A66" s="241" t="s">
        <v>50</v>
      </c>
      <c r="B66" s="54"/>
      <c r="C66" s="54"/>
      <c r="D66" s="54"/>
      <c r="E66" s="54"/>
      <c r="F66" s="54"/>
      <c r="G66" s="54"/>
      <c r="H66" s="54"/>
      <c r="I66" s="54"/>
      <c r="J66" s="55"/>
    </row>
    <row r="67" spans="1:10" x14ac:dyDescent="0.2">
      <c r="A67" s="113"/>
      <c r="B67" s="57"/>
      <c r="C67" s="57"/>
      <c r="D67" s="57"/>
      <c r="E67" s="57"/>
      <c r="F67" s="57"/>
      <c r="G67" s="57"/>
      <c r="H67" s="57"/>
      <c r="I67" s="57"/>
      <c r="J67" s="58"/>
    </row>
    <row r="68" spans="1:10" x14ac:dyDescent="0.2">
      <c r="A68" s="113" t="s">
        <v>9527</v>
      </c>
      <c r="B68" s="113"/>
      <c r="C68" s="57"/>
      <c r="D68" s="57"/>
      <c r="E68" s="57"/>
      <c r="F68" s="57"/>
      <c r="G68" s="57"/>
      <c r="H68" s="57"/>
      <c r="I68" s="57"/>
      <c r="J68" s="58"/>
    </row>
    <row r="69" spans="1:10" x14ac:dyDescent="0.2">
      <c r="A69" s="56" t="s">
        <v>8876</v>
      </c>
      <c r="B69" s="56"/>
      <c r="C69" s="57"/>
      <c r="D69" s="57"/>
      <c r="E69" s="57"/>
      <c r="F69" s="57"/>
      <c r="G69" s="57"/>
      <c r="H69" s="57"/>
      <c r="I69" s="57"/>
      <c r="J69" s="58"/>
    </row>
    <row r="70" spans="1:10" x14ac:dyDescent="0.2">
      <c r="A70" s="56"/>
      <c r="B70" s="562"/>
      <c r="C70" s="57"/>
      <c r="D70" s="57"/>
      <c r="E70" s="57"/>
      <c r="F70" s="57"/>
      <c r="G70" s="57"/>
      <c r="H70" s="57"/>
      <c r="I70" s="57"/>
      <c r="J70" s="58"/>
    </row>
    <row r="71" spans="1:10" x14ac:dyDescent="0.2">
      <c r="A71" s="56"/>
      <c r="B71" s="562"/>
      <c r="C71" s="57"/>
      <c r="D71" s="57"/>
      <c r="E71" s="57"/>
      <c r="F71" s="57"/>
      <c r="G71" s="57"/>
      <c r="H71" s="57"/>
      <c r="I71" s="57"/>
      <c r="J71" s="58"/>
    </row>
    <row r="72" spans="1:10" x14ac:dyDescent="0.2">
      <c r="A72" s="56"/>
      <c r="B72" s="562"/>
      <c r="C72" s="57"/>
      <c r="D72" s="57"/>
      <c r="E72" s="57"/>
      <c r="F72" s="57"/>
      <c r="G72" s="57"/>
      <c r="H72" s="57"/>
      <c r="I72" s="57"/>
      <c r="J72" s="58"/>
    </row>
    <row r="73" spans="1:10" x14ac:dyDescent="0.2">
      <c r="A73" s="56"/>
      <c r="B73" s="57"/>
      <c r="C73" s="57"/>
      <c r="D73" s="57"/>
      <c r="E73" s="57"/>
      <c r="F73" s="57"/>
      <c r="G73" s="57"/>
      <c r="H73" s="57"/>
      <c r="I73" s="57"/>
      <c r="J73" s="58"/>
    </row>
    <row r="74" spans="1:10" x14ac:dyDescent="0.2">
      <c r="A74" s="56"/>
      <c r="B74" s="57"/>
      <c r="C74" s="57"/>
      <c r="D74" s="57"/>
      <c r="E74" s="57"/>
      <c r="F74" s="57"/>
      <c r="G74" s="57"/>
      <c r="H74" s="57"/>
      <c r="I74" s="57"/>
      <c r="J74" s="58"/>
    </row>
    <row r="75" spans="1:10" x14ac:dyDescent="0.2">
      <c r="A75" s="56"/>
      <c r="B75" s="57"/>
      <c r="C75" s="57"/>
      <c r="D75" s="57"/>
      <c r="E75" s="57"/>
      <c r="F75" s="57"/>
      <c r="G75" s="57"/>
      <c r="H75" s="57"/>
      <c r="I75" s="57"/>
      <c r="J75" s="58"/>
    </row>
    <row r="76" spans="1:10" x14ac:dyDescent="0.2">
      <c r="A76" s="56"/>
      <c r="B76" s="57"/>
      <c r="C76" s="57"/>
      <c r="D76" s="57"/>
      <c r="E76" s="57"/>
      <c r="F76" s="57"/>
      <c r="G76" s="57"/>
      <c r="H76" s="57"/>
      <c r="I76" s="57"/>
      <c r="J76" s="58"/>
    </row>
    <row r="77" spans="1:10" x14ac:dyDescent="0.2">
      <c r="A77" s="56"/>
      <c r="B77" s="57"/>
      <c r="C77" s="57"/>
      <c r="D77" s="57"/>
      <c r="E77" s="57"/>
      <c r="F77" s="57"/>
      <c r="G77" s="57"/>
      <c r="H77" s="57"/>
      <c r="I77" s="57"/>
      <c r="J77" s="58"/>
    </row>
    <row r="78" spans="1:10" x14ac:dyDescent="0.2">
      <c r="A78" s="56"/>
      <c r="B78" s="57"/>
      <c r="C78" s="57"/>
      <c r="D78" s="57"/>
      <c r="E78" s="57"/>
      <c r="F78" s="57"/>
      <c r="G78" s="57"/>
      <c r="H78" s="57"/>
      <c r="I78" s="57"/>
      <c r="J78" s="58"/>
    </row>
    <row r="79" spans="1:10" x14ac:dyDescent="0.2">
      <c r="A79" s="56"/>
      <c r="B79" s="57"/>
      <c r="C79" s="57"/>
      <c r="D79" s="57"/>
      <c r="E79" s="57"/>
      <c r="F79" s="57"/>
      <c r="G79" s="57"/>
      <c r="H79" s="57"/>
      <c r="I79" s="57"/>
      <c r="J79" s="58"/>
    </row>
    <row r="80" spans="1:10" x14ac:dyDescent="0.2">
      <c r="A80" s="56"/>
      <c r="B80" s="57"/>
      <c r="C80" s="57"/>
      <c r="D80" s="57"/>
      <c r="E80" s="57"/>
      <c r="F80" s="57"/>
      <c r="G80" s="57"/>
      <c r="H80" s="57"/>
      <c r="I80" s="57"/>
      <c r="J80" s="58"/>
    </row>
    <row r="81" spans="1:10" x14ac:dyDescent="0.2">
      <c r="A81" s="113"/>
      <c r="B81" s="57"/>
      <c r="C81" s="57"/>
      <c r="D81" s="57"/>
      <c r="E81" s="57"/>
      <c r="F81" s="57"/>
      <c r="G81" s="57"/>
      <c r="H81" s="57"/>
      <c r="I81" s="57"/>
      <c r="J81" s="58"/>
    </row>
    <row r="82" spans="1:10" x14ac:dyDescent="0.2">
      <c r="A82" s="113"/>
      <c r="B82" s="57"/>
      <c r="C82" s="57"/>
      <c r="D82" s="57"/>
      <c r="E82" s="57"/>
      <c r="F82" s="57"/>
      <c r="G82" s="57"/>
      <c r="H82" s="57"/>
      <c r="I82" s="57"/>
      <c r="J82" s="58"/>
    </row>
    <row r="83" spans="1:10" x14ac:dyDescent="0.2">
      <c r="A83" s="113"/>
      <c r="B83" s="57"/>
      <c r="C83" s="57"/>
      <c r="D83" s="57"/>
      <c r="E83" s="57"/>
      <c r="F83" s="57"/>
      <c r="G83" s="57"/>
      <c r="H83" s="57"/>
      <c r="I83" s="57"/>
      <c r="J83" s="58"/>
    </row>
    <row r="84" spans="1:10" x14ac:dyDescent="0.2">
      <c r="A84" s="113"/>
      <c r="B84" s="57"/>
      <c r="C84" s="57"/>
      <c r="D84" s="57"/>
      <c r="E84" s="57"/>
      <c r="F84" s="57"/>
      <c r="G84" s="57"/>
      <c r="H84" s="57"/>
      <c r="I84" s="57"/>
      <c r="J84" s="58"/>
    </row>
    <row r="85" spans="1:10" x14ac:dyDescent="0.2">
      <c r="A85" s="113"/>
      <c r="B85" s="57"/>
      <c r="C85" s="57"/>
      <c r="D85" s="57"/>
      <c r="E85" s="57"/>
      <c r="F85" s="57"/>
      <c r="G85" s="57"/>
      <c r="H85" s="57"/>
      <c r="I85" s="57"/>
      <c r="J85" s="58"/>
    </row>
    <row r="86" spans="1:10" x14ac:dyDescent="0.2">
      <c r="A86" s="56"/>
      <c r="B86" s="57"/>
      <c r="C86" s="57"/>
      <c r="D86" s="57"/>
      <c r="E86" s="57"/>
      <c r="F86" s="57"/>
      <c r="G86" s="57"/>
      <c r="H86" s="57"/>
      <c r="I86" s="57"/>
      <c r="J86" s="58"/>
    </row>
    <row r="87" spans="1:10" x14ac:dyDescent="0.2">
      <c r="A87" s="56"/>
      <c r="B87" s="57"/>
      <c r="C87" s="57"/>
      <c r="D87" s="57"/>
      <c r="E87" s="57"/>
      <c r="F87" s="57"/>
      <c r="G87" s="57"/>
      <c r="H87" s="57"/>
      <c r="I87" s="57"/>
      <c r="J87" s="58"/>
    </row>
    <row r="88" spans="1:10" x14ac:dyDescent="0.2">
      <c r="A88" s="56"/>
      <c r="B88" s="57"/>
      <c r="C88" s="57"/>
      <c r="D88" s="57"/>
      <c r="E88" s="57"/>
      <c r="F88" s="57"/>
      <c r="G88" s="57"/>
      <c r="H88" s="57"/>
      <c r="I88" s="57"/>
      <c r="J88" s="58"/>
    </row>
    <row r="89" spans="1:10" x14ac:dyDescent="0.2">
      <c r="A89" s="56"/>
      <c r="B89" s="57"/>
      <c r="C89" s="57"/>
      <c r="D89" s="57"/>
      <c r="E89" s="57"/>
      <c r="F89" s="57"/>
      <c r="G89" s="57"/>
      <c r="H89" s="57"/>
      <c r="I89" s="57"/>
      <c r="J89" s="58"/>
    </row>
    <row r="90" spans="1:10" x14ac:dyDescent="0.2">
      <c r="A90" s="56"/>
      <c r="B90" s="57"/>
      <c r="C90" s="57"/>
      <c r="D90" s="57"/>
      <c r="E90" s="57"/>
      <c r="F90" s="57"/>
      <c r="G90" s="57"/>
      <c r="H90" s="57"/>
      <c r="I90" s="57"/>
      <c r="J90" s="58"/>
    </row>
    <row r="91" spans="1:10" x14ac:dyDescent="0.2">
      <c r="A91" s="56"/>
      <c r="B91" s="57"/>
      <c r="C91" s="57"/>
      <c r="D91" s="57"/>
      <c r="E91" s="57"/>
      <c r="F91" s="57"/>
      <c r="G91" s="57"/>
      <c r="H91" s="57"/>
      <c r="I91" s="57"/>
      <c r="J91" s="58"/>
    </row>
    <row r="92" spans="1:10" x14ac:dyDescent="0.2">
      <c r="A92" s="56"/>
      <c r="B92" s="57"/>
      <c r="C92" s="57"/>
      <c r="D92" s="57"/>
      <c r="E92" s="57"/>
      <c r="F92" s="57"/>
      <c r="G92" s="57"/>
      <c r="H92" s="57"/>
      <c r="I92" s="57"/>
      <c r="J92" s="58"/>
    </row>
    <row r="93" spans="1:10" x14ac:dyDescent="0.2">
      <c r="A93" s="56"/>
      <c r="B93" s="57"/>
      <c r="C93" s="57"/>
      <c r="D93" s="57"/>
      <c r="E93" s="57"/>
      <c r="F93" s="57"/>
      <c r="G93" s="57"/>
      <c r="H93" s="57"/>
      <c r="I93" s="57"/>
      <c r="J93" s="58"/>
    </row>
    <row r="94" spans="1:10" x14ac:dyDescent="0.2">
      <c r="A94" s="56"/>
      <c r="B94" s="57"/>
      <c r="C94" s="57"/>
      <c r="D94" s="57"/>
      <c r="E94" s="57"/>
      <c r="F94" s="57"/>
      <c r="G94" s="57"/>
      <c r="H94" s="57"/>
      <c r="I94" s="57"/>
      <c r="J94" s="58"/>
    </row>
    <row r="95" spans="1:10" x14ac:dyDescent="0.2">
      <c r="A95" s="56"/>
      <c r="B95" s="57"/>
      <c r="C95" s="57"/>
      <c r="D95" s="57"/>
      <c r="E95" s="57"/>
      <c r="F95" s="57"/>
      <c r="G95" s="57"/>
      <c r="H95" s="57"/>
      <c r="I95" s="57"/>
      <c r="J95" s="58"/>
    </row>
    <row r="96" spans="1:10" x14ac:dyDescent="0.2">
      <c r="A96" s="56"/>
      <c r="B96" s="57"/>
      <c r="C96" s="57"/>
      <c r="D96" s="57"/>
      <c r="E96" s="57"/>
      <c r="F96" s="57"/>
      <c r="G96" s="57"/>
      <c r="H96" s="57"/>
      <c r="I96" s="57"/>
      <c r="J96" s="58"/>
    </row>
    <row r="97" spans="1:10" x14ac:dyDescent="0.2">
      <c r="A97" s="56"/>
      <c r="B97" s="57"/>
      <c r="C97" s="57"/>
      <c r="D97" s="57"/>
      <c r="E97" s="57"/>
      <c r="F97" s="57"/>
      <c r="G97" s="57"/>
      <c r="H97" s="57"/>
      <c r="I97" s="57"/>
      <c r="J97" s="58"/>
    </row>
    <row r="98" spans="1:10" x14ac:dyDescent="0.2">
      <c r="A98" s="56"/>
      <c r="B98" s="57"/>
      <c r="C98" s="57"/>
      <c r="D98" s="57"/>
      <c r="E98" s="57"/>
      <c r="F98" s="57"/>
      <c r="G98" s="57"/>
      <c r="H98" s="57"/>
      <c r="I98" s="57"/>
      <c r="J98" s="58"/>
    </row>
    <row r="99" spans="1:10" x14ac:dyDescent="0.2">
      <c r="A99" s="56"/>
      <c r="B99" s="57"/>
      <c r="C99" s="57"/>
      <c r="D99" s="57"/>
      <c r="E99" s="57"/>
      <c r="F99" s="57"/>
      <c r="G99" s="57"/>
      <c r="H99" s="57"/>
      <c r="I99" s="57"/>
      <c r="J99" s="58"/>
    </row>
    <row r="100" spans="1:10" ht="15" thickBot="1" x14ac:dyDescent="0.25">
      <c r="A100" s="59"/>
      <c r="B100" s="60"/>
      <c r="C100" s="60"/>
      <c r="D100" s="60"/>
      <c r="E100" s="60"/>
      <c r="F100" s="60"/>
      <c r="G100" s="60"/>
      <c r="H100" s="60"/>
      <c r="I100" s="60"/>
      <c r="J100" s="61"/>
    </row>
  </sheetData>
  <sheetProtection selectLockedCells="1"/>
  <sortState xmlns:xlrd2="http://schemas.microsoft.com/office/spreadsheetml/2017/richdata2" ref="A5:J31">
    <sortCondition ref="E5:E31"/>
    <sortCondition ref="B5:B31"/>
  </sortState>
  <mergeCells count="2">
    <mergeCell ref="A1:J1"/>
    <mergeCell ref="B2:J2"/>
  </mergeCells>
  <phoneticPr fontId="9" type="noConversion"/>
  <conditionalFormatting sqref="H5:J19 B5:E20 G20:J20 G17:G19 F20:G29 B21:J38">
    <cfRule type="expression" dxfId="383" priority="191">
      <formula>AND($F5&lt;&gt;"",$F5=0%)</formula>
    </cfRule>
  </conditionalFormatting>
  <conditionalFormatting sqref="H5:J19 B5:E20 G20:J20 G17:G19 F20:G29 B21:J38">
    <cfRule type="expression" dxfId="382" priority="192">
      <formula>AND($G5&lt;&gt;"",$G5=0%)</formula>
    </cfRule>
  </conditionalFormatting>
  <conditionalFormatting sqref="H5:H38">
    <cfRule type="iconSet" priority="193">
      <iconSet iconSet="3Arrows">
        <cfvo type="percent" val="0"/>
        <cfvo type="num" val="0"/>
        <cfvo type="num" val="0" gte="0"/>
      </iconSet>
    </cfRule>
  </conditionalFormatting>
  <conditionalFormatting sqref="A4:E4 H4:J4 A22:A38">
    <cfRule type="expression" dxfId="381" priority="186">
      <formula>AND($F4&lt;&gt;"",$F4=0%)</formula>
    </cfRule>
  </conditionalFormatting>
  <conditionalFormatting sqref="A4:E4 H4:J4 A22:A38">
    <cfRule type="expression" dxfId="380" priority="187">
      <formula>AND($G4&lt;&gt;"",$G4=0%)</formula>
    </cfRule>
  </conditionalFormatting>
  <conditionalFormatting sqref="H4">
    <cfRule type="iconSet" priority="190">
      <iconSet iconSet="3Arrows">
        <cfvo type="percent" val="0"/>
        <cfvo type="num" val="0"/>
        <cfvo type="num" val="0" gte="0"/>
      </iconSet>
    </cfRule>
  </conditionalFormatting>
  <conditionalFormatting sqref="A4 A22:A38">
    <cfRule type="expression" dxfId="379" priority="188">
      <formula>$A4=""</formula>
    </cfRule>
    <cfRule type="expression" dxfId="378" priority="189">
      <formula>$A4&lt;&gt;""</formula>
    </cfRule>
  </conditionalFormatting>
  <conditionalFormatting sqref="G4">
    <cfRule type="expression" dxfId="377" priority="120">
      <formula>AND($F4&lt;&gt;"",$F4=0%)</formula>
    </cfRule>
  </conditionalFormatting>
  <conditionalFormatting sqref="G4">
    <cfRule type="expression" dxfId="376" priority="121">
      <formula>AND($G4&lt;&gt;"",$G4=0%)</formula>
    </cfRule>
  </conditionalFormatting>
  <conditionalFormatting sqref="G4">
    <cfRule type="expression" dxfId="375" priority="122">
      <formula>$A4=""</formula>
    </cfRule>
    <cfRule type="expression" dxfId="374" priority="123">
      <formula>$A4&lt;&gt;""</formula>
    </cfRule>
  </conditionalFormatting>
  <conditionalFormatting sqref="G17:G18">
    <cfRule type="expression" dxfId="373" priority="118">
      <formula>AND($F17&lt;&gt;"",$F17=0%)</formula>
    </cfRule>
  </conditionalFormatting>
  <conditionalFormatting sqref="G17:G18">
    <cfRule type="expression" dxfId="372" priority="119">
      <formula>AND($G17&lt;&gt;"",$G17=0%)</formula>
    </cfRule>
  </conditionalFormatting>
  <conditionalFormatting sqref="H42:H63 G63 G60 G58 G56 G49">
    <cfRule type="cellIs" dxfId="371" priority="69" operator="lessThan">
      <formula>$B42</formula>
    </cfRule>
    <cfRule type="cellIs" dxfId="370" priority="70" operator="greaterThan">
      <formula>$C42</formula>
    </cfRule>
  </conditionalFormatting>
  <conditionalFormatting sqref="G49:H49">
    <cfRule type="expression" priority="68" stopIfTrue="1">
      <formula>$G$39=0</formula>
    </cfRule>
  </conditionalFormatting>
  <conditionalFormatting sqref="G56:H56">
    <cfRule type="expression" priority="67" stopIfTrue="1">
      <formula>$G$39=0</formula>
    </cfRule>
  </conditionalFormatting>
  <conditionalFormatting sqref="G58:H58">
    <cfRule type="expression" priority="66" stopIfTrue="1">
      <formula>$G$39=0</formula>
    </cfRule>
  </conditionalFormatting>
  <conditionalFormatting sqref="G60:H60">
    <cfRule type="expression" priority="65" stopIfTrue="1">
      <formula>$G$39=0</formula>
    </cfRule>
  </conditionalFormatting>
  <conditionalFormatting sqref="G15:G18">
    <cfRule type="expression" dxfId="369" priority="51">
      <formula>AND($F15&lt;&gt;"",$F15=0%)</formula>
    </cfRule>
  </conditionalFormatting>
  <conditionalFormatting sqref="G15:G18">
    <cfRule type="expression" dxfId="368" priority="52">
      <formula>AND($G15&lt;&gt;"",$G15=0%)</formula>
    </cfRule>
  </conditionalFormatting>
  <conditionalFormatting sqref="G5:G17">
    <cfRule type="expression" dxfId="367" priority="49">
      <formula>AND($F5&lt;&gt;"",$F5=0%)</formula>
    </cfRule>
  </conditionalFormatting>
  <conditionalFormatting sqref="G5:G17">
    <cfRule type="expression" dxfId="366" priority="50">
      <formula>AND($G5&lt;&gt;"",$G5=0%)</formula>
    </cfRule>
  </conditionalFormatting>
  <conditionalFormatting sqref="A5:A19">
    <cfRule type="expression" dxfId="365" priority="37">
      <formula>AND($F5&lt;&gt;"",$F5=0%)</formula>
    </cfRule>
  </conditionalFormatting>
  <conditionalFormatting sqref="A5:A19">
    <cfRule type="expression" dxfId="364" priority="38">
      <formula>AND($G5&lt;&gt;"",$G5=0%)</formula>
    </cfRule>
  </conditionalFormatting>
  <conditionalFormatting sqref="A5:A19">
    <cfRule type="expression" dxfId="363" priority="39">
      <formula>$A5=""</formula>
    </cfRule>
    <cfRule type="expression" dxfId="362" priority="40">
      <formula>$A5&lt;&gt;""</formula>
    </cfRule>
  </conditionalFormatting>
  <conditionalFormatting sqref="F19:F20">
    <cfRule type="expression" dxfId="361" priority="35">
      <formula>AND($F19&lt;&gt;"",$F19=0%)</formula>
    </cfRule>
  </conditionalFormatting>
  <conditionalFormatting sqref="F19:F20">
    <cfRule type="expression" dxfId="360" priority="36">
      <formula>AND($G19&lt;&gt;"",$G19=0%)</formula>
    </cfRule>
  </conditionalFormatting>
  <conditionalFormatting sqref="F18:F19">
    <cfRule type="expression" dxfId="359" priority="23">
      <formula>AND($F18&lt;&gt;"",$F18=0%)</formula>
    </cfRule>
  </conditionalFormatting>
  <conditionalFormatting sqref="F18:F19">
    <cfRule type="expression" dxfId="358" priority="24">
      <formula>AND($G18&lt;&gt;"",$G18=0%)</formula>
    </cfRule>
  </conditionalFormatting>
  <conditionalFormatting sqref="F4">
    <cfRule type="expression" dxfId="357" priority="19">
      <formula>AND($F4&lt;&gt;"",$F4=0%)</formula>
    </cfRule>
  </conditionalFormatting>
  <conditionalFormatting sqref="F4">
    <cfRule type="expression" dxfId="356" priority="20">
      <formula>AND($G4&lt;&gt;"",$G4=0%)</formula>
    </cfRule>
  </conditionalFormatting>
  <conditionalFormatting sqref="F4">
    <cfRule type="expression" dxfId="355" priority="21">
      <formula>$A4=""</formula>
    </cfRule>
    <cfRule type="expression" dxfId="354" priority="22">
      <formula>$A4&lt;&gt;""</formula>
    </cfRule>
  </conditionalFormatting>
  <conditionalFormatting sqref="F17:F18">
    <cfRule type="expression" dxfId="353" priority="17">
      <formula>AND($F17&lt;&gt;"",$F17=0%)</formula>
    </cfRule>
  </conditionalFormatting>
  <conditionalFormatting sqref="F17:F18">
    <cfRule type="expression" dxfId="352" priority="18">
      <formula>AND($G17&lt;&gt;"",$G17=0%)</formula>
    </cfRule>
  </conditionalFormatting>
  <conditionalFormatting sqref="F15:F18">
    <cfRule type="expression" dxfId="351" priority="15">
      <formula>AND($F15&lt;&gt;"",$F15=0%)</formula>
    </cfRule>
  </conditionalFormatting>
  <conditionalFormatting sqref="F15:F18">
    <cfRule type="expression" dxfId="350" priority="16">
      <formula>AND($G15&lt;&gt;"",$G15=0%)</formula>
    </cfRule>
  </conditionalFormatting>
  <conditionalFormatting sqref="F5:F17">
    <cfRule type="expression" dxfId="349" priority="13">
      <formula>AND($F5&lt;&gt;"",$F5=0%)</formula>
    </cfRule>
  </conditionalFormatting>
  <conditionalFormatting sqref="F5:F17">
    <cfRule type="expression" dxfId="348" priority="14">
      <formula>AND($G5&lt;&gt;"",$G5=0%)</formula>
    </cfRule>
  </conditionalFormatting>
  <conditionalFormatting sqref="A19:A22">
    <cfRule type="expression" dxfId="347" priority="9">
      <formula>AND($F19&lt;&gt;"",$F19=0%)</formula>
    </cfRule>
  </conditionalFormatting>
  <conditionalFormatting sqref="A19:A22">
    <cfRule type="expression" dxfId="346" priority="10">
      <formula>AND($G19&lt;&gt;"",$G19=0%)</formula>
    </cfRule>
  </conditionalFormatting>
  <conditionalFormatting sqref="A19:A22">
    <cfRule type="expression" dxfId="345" priority="11">
      <formula>$A19=""</formula>
    </cfRule>
    <cfRule type="expression" dxfId="344" priority="12">
      <formula>$A19&lt;&gt;""</formula>
    </cfRule>
  </conditionalFormatting>
  <conditionalFormatting sqref="A24:A25">
    <cfRule type="expression" dxfId="343" priority="5">
      <formula>AND($F24&lt;&gt;"",$F24=0%)</formula>
    </cfRule>
  </conditionalFormatting>
  <conditionalFormatting sqref="A24:A25">
    <cfRule type="expression" dxfId="342" priority="6">
      <formula>AND($G24&lt;&gt;"",$G24=0%)</formula>
    </cfRule>
  </conditionalFormatting>
  <conditionalFormatting sqref="A24:A25">
    <cfRule type="expression" dxfId="341" priority="7">
      <formula>$A24=""</formula>
    </cfRule>
    <cfRule type="expression" dxfId="340" priority="8">
      <formula>$A24&lt;&gt;""</formula>
    </cfRule>
  </conditionalFormatting>
  <conditionalFormatting sqref="A27:A28">
    <cfRule type="expression" dxfId="339" priority="1">
      <formula>AND($F27&lt;&gt;"",$F27=0%)</formula>
    </cfRule>
  </conditionalFormatting>
  <conditionalFormatting sqref="A27:A28">
    <cfRule type="expression" dxfId="338" priority="2">
      <formula>AND($G27&lt;&gt;"",$G27=0%)</formula>
    </cfRule>
  </conditionalFormatting>
  <conditionalFormatting sqref="A27:A28">
    <cfRule type="expression" dxfId="337" priority="3">
      <formula>$A27=""</formula>
    </cfRule>
    <cfRule type="expression" dxfId="336" priority="4">
      <formula>$A27&lt;&gt;""</formula>
    </cfRule>
  </conditionalFormatting>
  <pageMargins left="0.25" right="0.25" top="0.75" bottom="0.75" header="0.3" footer="0.3"/>
  <pageSetup paperSize="9" scale="51" orientation="portrait" r:id="rId1"/>
  <ignoredErrors>
    <ignoredError sqref="H49 H60 H56 H58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7" id="{4DBF8750-D80C-4E95-BD7F-865FCBDAB75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79" id="{064E730C-D23E-4A34-B3AE-29BE6B30E5C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78" id="{D27814E3-4E20-4FB5-A6F8-B78736B1D9C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355" id="{C7A46DD0-DB9F-4877-B1FD-7BABAEACE4A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357" id="{FF7A3B4E-1BB3-437A-8BF0-EF425BEDEA3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I57:I62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B602-62B5-4592-B1D1-F98A505E34D3}">
  <dimension ref="A1"/>
  <sheetViews>
    <sheetView workbookViewId="0">
      <selection activeCell="C37" sqref="C37"/>
    </sheetView>
  </sheetViews>
  <sheetFormatPr defaultRowHeight="14.25" x14ac:dyDescent="0.2"/>
  <sheetData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B6BB-E552-43D1-ADAD-756A4573B7B2}">
  <dimension ref="A1:AZ68"/>
  <sheetViews>
    <sheetView tabSelected="1" zoomScale="90" zoomScaleNormal="90" workbookViewId="0">
      <selection activeCell="G22" sqref="G22"/>
    </sheetView>
  </sheetViews>
  <sheetFormatPr defaultRowHeight="14.25" x14ac:dyDescent="0.2"/>
  <cols>
    <col min="1" max="1" width="15.5" customWidth="1"/>
    <col min="2" max="2" width="64.25" bestFit="1" customWidth="1"/>
    <col min="3" max="3" width="15.875" customWidth="1"/>
    <col min="4" max="4" width="23.75" hidden="1" customWidth="1"/>
    <col min="5" max="5" width="16.625" customWidth="1"/>
    <col min="6" max="6" width="11.75" bestFit="1" customWidth="1"/>
    <col min="7" max="7" width="13.75" bestFit="1" customWidth="1"/>
    <col min="9" max="9" width="20.25" bestFit="1" customWidth="1"/>
    <col min="10" max="10" width="11.75" bestFit="1" customWidth="1"/>
    <col min="11" max="11" width="14" customWidth="1"/>
    <col min="13" max="13" width="15.875" bestFit="1" customWidth="1"/>
    <col min="14" max="14" width="12" customWidth="1"/>
    <col min="15" max="15" width="13.875" customWidth="1"/>
    <col min="16" max="16" width="12" customWidth="1"/>
    <col min="17" max="17" width="15.875" bestFit="1" customWidth="1"/>
    <col min="18" max="18" width="12" customWidth="1"/>
    <col min="19" max="19" width="13.625" customWidth="1"/>
    <col min="20" max="20" width="11" customWidth="1"/>
    <col min="35" max="35" width="14.25" bestFit="1" customWidth="1"/>
    <col min="36" max="37" width="14.25" customWidth="1"/>
    <col min="38" max="38" width="14" bestFit="1" customWidth="1"/>
    <col min="39" max="40" width="14" customWidth="1"/>
    <col min="41" max="41" width="13.75" bestFit="1" customWidth="1"/>
    <col min="42" max="43" width="13.75" customWidth="1"/>
    <col min="44" max="44" width="13.75" bestFit="1" customWidth="1"/>
    <col min="45" max="45" width="13.75" customWidth="1"/>
    <col min="46" max="46" width="9.625" bestFit="1" customWidth="1"/>
    <col min="48" max="48" width="13.125" bestFit="1" customWidth="1"/>
    <col min="49" max="49" width="17.125" bestFit="1" customWidth="1"/>
    <col min="52" max="52" width="13.125" bestFit="1" customWidth="1"/>
    <col min="54" max="54" width="10.875" bestFit="1" customWidth="1"/>
  </cols>
  <sheetData>
    <row r="1" spans="1:52" ht="15" thickBot="1" x14ac:dyDescent="0.25"/>
    <row r="2" spans="1:52" ht="15" x14ac:dyDescent="0.25">
      <c r="F2" s="813" t="s">
        <v>78</v>
      </c>
      <c r="G2" s="814"/>
      <c r="H2" s="815"/>
      <c r="I2" s="140"/>
      <c r="J2" s="813" t="s">
        <v>79</v>
      </c>
      <c r="K2" s="814"/>
      <c r="L2" s="815"/>
      <c r="N2" s="813" t="s">
        <v>79</v>
      </c>
      <c r="O2" s="814"/>
      <c r="P2" s="815"/>
      <c r="R2" s="813" t="s">
        <v>81</v>
      </c>
      <c r="S2" s="814"/>
      <c r="T2" s="815"/>
      <c r="AI2" s="774">
        <v>13000000</v>
      </c>
      <c r="AJ2" s="774"/>
      <c r="AK2" s="774"/>
      <c r="AL2" s="774">
        <v>39000000</v>
      </c>
      <c r="AM2" s="774"/>
      <c r="AN2" s="774"/>
      <c r="AO2" s="774">
        <v>75000000</v>
      </c>
      <c r="AP2" s="774"/>
      <c r="AQ2" s="774"/>
      <c r="AR2" s="774">
        <v>53000000</v>
      </c>
      <c r="AS2" s="774"/>
    </row>
    <row r="3" spans="1:52" ht="15" x14ac:dyDescent="0.25">
      <c r="A3" s="771" t="s">
        <v>8870</v>
      </c>
      <c r="B3" s="771" t="s">
        <v>9583</v>
      </c>
      <c r="C3" s="771" t="s">
        <v>9586</v>
      </c>
      <c r="D3" s="771" t="s">
        <v>5</v>
      </c>
      <c r="E3" s="771" t="s">
        <v>8740</v>
      </c>
      <c r="F3" s="783" t="s">
        <v>9587</v>
      </c>
      <c r="G3" s="784" t="s">
        <v>9588</v>
      </c>
      <c r="H3" s="785" t="s">
        <v>9589</v>
      </c>
      <c r="J3" s="783" t="s">
        <v>9587</v>
      </c>
      <c r="K3" s="784" t="s">
        <v>9588</v>
      </c>
      <c r="L3" s="785" t="s">
        <v>9589</v>
      </c>
      <c r="N3" s="783" t="s">
        <v>9587</v>
      </c>
      <c r="O3" s="784" t="s">
        <v>9588</v>
      </c>
      <c r="P3" s="785" t="s">
        <v>9589</v>
      </c>
      <c r="R3" s="783" t="s">
        <v>9587</v>
      </c>
      <c r="S3" s="784" t="s">
        <v>9588</v>
      </c>
      <c r="T3" s="785" t="s">
        <v>9589</v>
      </c>
      <c r="AI3" t="s">
        <v>51</v>
      </c>
      <c r="AL3" t="s">
        <v>57</v>
      </c>
      <c r="AO3" t="s">
        <v>61</v>
      </c>
      <c r="AR3" t="s">
        <v>63</v>
      </c>
      <c r="AV3" t="s">
        <v>9584</v>
      </c>
      <c r="AW3" t="s">
        <v>9590</v>
      </c>
    </row>
    <row r="4" spans="1:52" x14ac:dyDescent="0.2">
      <c r="A4" s="767" t="s">
        <v>564</v>
      </c>
      <c r="B4" s="768" t="str">
        <f>IFERROR(VLOOKUP(A4,NoviaFunds[],2,FALSE),"")</f>
        <v>ASI Asia Pacific Equity Enhanced Index B Acc in GB</v>
      </c>
      <c r="C4" s="778">
        <f>_xll.MSDP(A4,$C$3)</f>
        <v>3</v>
      </c>
      <c r="D4" s="768" t="str">
        <f>IFERROR(VLOOKUP(A4,NoviaFunds[],6,FALSE),"")</f>
        <v>Asia Pacific</v>
      </c>
      <c r="E4" s="768" t="s">
        <v>35</v>
      </c>
      <c r="F4" s="786">
        <f>IFERROR(INDEX('DT04 Prudence'!F:F,MATCH('Day 1'!A4,'DT04 Prudence'!A:A,0)),"")</f>
        <v>0</v>
      </c>
      <c r="G4" s="850">
        <f>IFERROR(ROUND(AK4*AZ4,-3),"")</f>
        <v>72000</v>
      </c>
      <c r="H4" s="788">
        <f>IFERROR(F4+G4/$AI$2,"")</f>
        <v>5.5384615384615381E-3</v>
      </c>
      <c r="I4" s="589" t="str">
        <f>IFERROR(IF(INDEX('DT04 Prudence'!$G$4:$G$34,MATCH('Day 1'!A4,'DT04 Prudence'!$A$4:$A$34,0))='Day 1'!H4,"Yes","No"),"")</f>
        <v>No</v>
      </c>
      <c r="J4" s="804">
        <f>IFERROR(INDEX('DT05 Navigator'!F:F,MATCH('Day 1'!A4,'DT05 Navigator'!A:A,0)),"")</f>
        <v>0</v>
      </c>
      <c r="K4" s="787">
        <f>IFERROR(ROUND(AN4*AZ4,-3),"")</f>
        <v>217000</v>
      </c>
      <c r="L4" s="788">
        <f>IFERROR(J4+K4/$AL$2,"")</f>
        <v>5.5641025641025637E-3</v>
      </c>
      <c r="M4" s="589" t="str">
        <f>IFERROR(IF(INDEX('DT05 Navigator'!$G$4:$G$37,MATCH('Day 1'!A4,'DT05 Navigator'!$A$4:$A$37,0))='Day 1'!L4,"Yes","No"),"")</f>
        <v>No</v>
      </c>
      <c r="N4" s="804">
        <f>IFERROR(INDEX('DT06 Meridian'!F:F,MATCH('Day 1'!A4,'DT06 Meridian'!A:A,0)),"")</f>
        <v>0</v>
      </c>
      <c r="O4" s="787">
        <f>IFERROR(ROUND(AQ4*AZ4,-3),"")</f>
        <v>313000</v>
      </c>
      <c r="P4" s="788">
        <f>IFERROR(N4+O4/$AO$2,"")</f>
        <v>4.1733333333333336E-3</v>
      </c>
      <c r="Q4" s="589" t="str">
        <f>IFERROR(IF(INDEX('DT06 Meridian'!$G$4:$G$37,MATCH('Day 1'!A4,'DT06 Meridian'!$A$4:$A$37,0))='Day 1'!P4,"Yes","No"),"")</f>
        <v>No</v>
      </c>
      <c r="R4" s="804">
        <f>IFERROR(INDEX('DT07 Explorer'!F:F,MATCH('Day 1'!A4,'DT07 Explorer'!A:A,0)),"")</f>
        <v>0</v>
      </c>
      <c r="S4" s="787">
        <f>IFERROR(ROUND(AT4*AZ4,-3),"")</f>
        <v>243000</v>
      </c>
      <c r="T4" s="788">
        <f>IFERROR(R4+S4/$AR$2,"")</f>
        <v>4.5849056603773581E-3</v>
      </c>
      <c r="U4" s="589" t="str">
        <f>IFERROR(IF(INDEX('DT07 Explorer'!$G$4:$G$37,MATCH('Day 1'!A4,'DT07 Explorer'!$A$4:$A$37,0))='Day 1'!T4,"Yes","No"),"")</f>
        <v>No</v>
      </c>
      <c r="AI4" s="773">
        <f>IFERROR(INDEX('DT04 Prudence'!H:H,MATCH('Day 1'!A4,'DT04 Prudence'!A:A,0)),"")</f>
        <v>0.04</v>
      </c>
      <c r="AJ4" s="782">
        <f>IFERROR(AI4*AI$2,"")</f>
        <v>520000</v>
      </c>
      <c r="AK4" s="780">
        <f>IFERROR(AJ4/$AV4,"")</f>
        <v>8.5540384931732188E-2</v>
      </c>
      <c r="AL4" s="602">
        <f>IFERROR(INDEX('DT05 Navigator'!H:H,MATCH('Day 1'!A4,'DT05 Navigator'!A:A,0)),"")</f>
        <v>0.04</v>
      </c>
      <c r="AM4" s="782">
        <f>IFERROR(AL4*AL$2,"")</f>
        <v>1560000</v>
      </c>
      <c r="AN4" s="780">
        <f>IFERROR(AM4/$AV4,"")</f>
        <v>0.25662115479519659</v>
      </c>
      <c r="AO4" s="602">
        <f>IFERROR(INDEX('DT06 Meridian'!H:H,MATCH('Day 1'!A4,'DT06 Meridian'!A:A,0)),"")</f>
        <v>0.03</v>
      </c>
      <c r="AP4" s="782">
        <f>IFERROR(AO4*AO$2,"")</f>
        <v>2250000</v>
      </c>
      <c r="AQ4" s="780">
        <f>IFERROR(AP4/$AV4,"")</f>
        <v>0.37012666556999507</v>
      </c>
      <c r="AR4" s="602">
        <f>IFERROR(INDEX('DT07 Explorer'!H:H,MATCH('Day 1'!A4,'DT07 Explorer'!A:A,0)),"")</f>
        <v>3.3000000000000002E-2</v>
      </c>
      <c r="AS4" s="782">
        <f>IFERROR(AR4*$AR$2,"")</f>
        <v>1749000</v>
      </c>
      <c r="AT4" s="7">
        <f>IFERROR(AS4/AV4,"")</f>
        <v>0.28771179470307617</v>
      </c>
      <c r="AV4" s="775">
        <v>6079000</v>
      </c>
      <c r="AW4" s="776">
        <v>168879858</v>
      </c>
      <c r="AX4" s="7">
        <f>AV4/AW4</f>
        <v>3.5996003738942038E-2</v>
      </c>
      <c r="AZ4" s="775">
        <f>IF(OR(AX4&gt;0.005,AX4&lt;-0.005),AV4/(ABS(AX4)/0.005),AV4)</f>
        <v>844399.28999999992</v>
      </c>
    </row>
    <row r="5" spans="1:52" x14ac:dyDescent="0.2">
      <c r="A5" s="767" t="s">
        <v>52</v>
      </c>
      <c r="B5" s="768" t="str">
        <f>IFERROR(VLOOKUP(A5,NoviaFunds[],2,FALSE),"")</f>
        <v>Stewart Investors Asia Pacific Leaders Sustainability B Acc GBP in GB</v>
      </c>
      <c r="C5" s="778">
        <f>_xll.MSDP(A5,$C$3)</f>
        <v>4</v>
      </c>
      <c r="D5" s="768" t="str">
        <f>IFERROR(VLOOKUP(A5,NoviaFunds[],6,FALSE),"")</f>
        <v>Asia Pacific</v>
      </c>
      <c r="E5" s="768" t="s">
        <v>35</v>
      </c>
      <c r="F5" s="786">
        <f>IFERROR(INDEX('DT04 Prudence'!F:F,MATCH('Day 1'!A5,'DT04 Prudence'!A:A,0)),"")</f>
        <v>0.05</v>
      </c>
      <c r="G5" s="850">
        <v>-90000</v>
      </c>
      <c r="H5" s="788">
        <f t="shared" ref="H5:H42" si="0">IFERROR(F5+G5/$AI$2,"")</f>
        <v>4.3076923076923082E-2</v>
      </c>
      <c r="I5" s="589" t="str">
        <f>IFERROR(IF(INDEX('DT04 Prudence'!$G$4:$G$34,MATCH('Day 1'!A5,'DT04 Prudence'!$A$4:$A$34,0))='Day 1'!H5,"Yes","No"),"")</f>
        <v>No</v>
      </c>
      <c r="J5" s="804">
        <f>IFERROR(INDEX('DT05 Navigator'!F:F,MATCH('Day 1'!A5,'DT05 Navigator'!A:A,0)),"")</f>
        <v>4.4999999999999998E-2</v>
      </c>
      <c r="K5" s="787">
        <v>-220000</v>
      </c>
      <c r="L5" s="788">
        <f t="shared" ref="L5:L43" si="1">IFERROR(J5+K5/$AL$2,"")</f>
        <v>3.9358974358974355E-2</v>
      </c>
      <c r="M5" s="589" t="str">
        <f>IFERROR(IF(INDEX('DT05 Navigator'!$G$4:$G$37,MATCH('Day 1'!A5,'DT05 Navigator'!$A$4:$A$37,0))='Day 1'!L5,"Yes","No"),"")</f>
        <v>No</v>
      </c>
      <c r="N5" s="804">
        <f>IFERROR(INDEX('DT06 Meridian'!F:F,MATCH('Day 1'!A5,'DT06 Meridian'!A:A,0)),"")</f>
        <v>0.05</v>
      </c>
      <c r="O5" s="787">
        <f t="shared" ref="O5:O43" si="2">IFERROR(ROUND(AQ5*AZ5,-3),"")</f>
        <v>-3750000</v>
      </c>
      <c r="P5" s="788">
        <f t="shared" ref="P5:P43" si="3">IFERROR(N5+O5/$AO$2,"")</f>
        <v>0</v>
      </c>
      <c r="Q5" s="589" t="str">
        <f>IFERROR(IF(INDEX('DT06 Meridian'!$G$4:$G$37,MATCH('Day 1'!A5,'DT06 Meridian'!$A$4:$A$37,0))='Day 1'!P5,"Yes","No"),"")</f>
        <v>Yes</v>
      </c>
      <c r="R5" s="804">
        <f>IFERROR(INDEX('DT07 Explorer'!F:F,MATCH('Day 1'!A5,'DT07 Explorer'!A:A,0)),"")</f>
        <v>0.04</v>
      </c>
      <c r="S5" s="787">
        <f t="shared" ref="S5:S43" si="4">IFERROR(ROUND(AT5*AZ5,-3),"")</f>
        <v>-2120000</v>
      </c>
      <c r="T5" s="788">
        <f t="shared" ref="T5:T43" si="5">IFERROR(R5+S5/$AR$2,"")</f>
        <v>0</v>
      </c>
      <c r="U5" s="589" t="str">
        <f>IFERROR(IF(INDEX('DT07 Explorer'!$G$4:$G$37,MATCH('Day 1'!A5,'DT07 Explorer'!$A$4:$A$37,0))='Day 1'!T5,"Yes","No"),"")</f>
        <v>Yes</v>
      </c>
      <c r="AI5" s="773">
        <f>IFERROR(INDEX('DT04 Prudence'!H:H,MATCH('Day 1'!A5,'DT04 Prudence'!A:A,0)),"")</f>
        <v>-0.05</v>
      </c>
      <c r="AJ5" s="782">
        <f t="shared" ref="AJ5:AJ44" si="6">IFERROR(AI5*AI$2,"")</f>
        <v>-650000</v>
      </c>
      <c r="AK5" s="780">
        <f t="shared" ref="AK5:AK44" si="7">IFERROR(AJ5/$AV5,"")</f>
        <v>7.8549848942598186E-2</v>
      </c>
      <c r="AL5" s="602">
        <f>IFERROR(INDEX('DT05 Navigator'!H:H,MATCH('Day 1'!A5,'DT05 Navigator'!A:A,0)),"")</f>
        <v>-4.4999999999999998E-2</v>
      </c>
      <c r="AM5" s="782">
        <f t="shared" ref="AM5:AM44" si="8">IFERROR(AL5*AL$2,"")</f>
        <v>-1755000</v>
      </c>
      <c r="AN5" s="780">
        <f t="shared" ref="AN5:AN44" si="9">IFERROR(AM5/$AV5,"")</f>
        <v>0.2120845921450151</v>
      </c>
      <c r="AO5" s="602">
        <f>IFERROR(INDEX('DT06 Meridian'!H:H,MATCH('Day 1'!A5,'DT06 Meridian'!A:A,0)),"")</f>
        <v>-0.05</v>
      </c>
      <c r="AP5" s="782">
        <f t="shared" ref="AP5:AP44" si="10">IFERROR(AO5*AO$2,"")</f>
        <v>-3750000</v>
      </c>
      <c r="AQ5" s="780">
        <f t="shared" ref="AQ5:AQ44" si="11">IFERROR(AP5/$AV5,"")</f>
        <v>0.45317220543806647</v>
      </c>
      <c r="AR5" s="602">
        <f>IFERROR(INDEX('DT07 Explorer'!H:H,MATCH('Day 1'!A5,'DT07 Explorer'!A:A,0)),"")</f>
        <v>-0.04</v>
      </c>
      <c r="AS5" s="782">
        <f t="shared" ref="AS5:AS44" si="12">IFERROR(AR5*$AR$2,"")</f>
        <v>-2120000</v>
      </c>
      <c r="AT5" s="7">
        <f t="shared" ref="AT5:AT42" si="13">IFERROR(AS5/AV5,"")</f>
        <v>0.25619335347432026</v>
      </c>
      <c r="AV5" s="775">
        <v>-8275000</v>
      </c>
      <c r="AW5" s="776">
        <v>6668188030</v>
      </c>
      <c r="AX5" s="7">
        <f t="shared" ref="AX5:AX42" si="14">AV5/AW5</f>
        <v>-1.240966805790568E-3</v>
      </c>
      <c r="AZ5" s="775">
        <f t="shared" ref="AZ5:AZ42" si="15">IF(OR(AX5&gt;0.005,AX5&lt;-0.005),AV5/(ABS(AX5)/0.005),AV5)</f>
        <v>-8275000</v>
      </c>
    </row>
    <row r="6" spans="1:52" x14ac:dyDescent="0.2">
      <c r="A6" s="695" t="s">
        <v>58</v>
      </c>
      <c r="B6" s="768" t="s">
        <v>2600</v>
      </c>
      <c r="C6" s="778">
        <f>_xll.MSDP(A6,$C$3)</f>
        <v>3</v>
      </c>
      <c r="D6" s="696" t="s">
        <v>35</v>
      </c>
      <c r="E6" s="768" t="s">
        <v>35</v>
      </c>
      <c r="F6" s="786" t="str">
        <f>IFERROR(INDEX('DT04 Prudence'!F:F,MATCH('Day 1'!A6,'DT04 Prudence'!A:A,0)),"")</f>
        <v/>
      </c>
      <c r="G6" s="787" t="str">
        <f t="shared" ref="G6:G43" si="16">IFERROR(ROUND(AK6*AZ6,-3),"")</f>
        <v/>
      </c>
      <c r="H6" s="788" t="str">
        <f t="shared" si="0"/>
        <v/>
      </c>
      <c r="I6" s="589" t="str">
        <f>IFERROR(IF(INDEX('DT04 Prudence'!$G$4:$G$34,MATCH('Day 1'!A6,'DT04 Prudence'!$A$4:$A$34,0))='Day 1'!H6,"Yes","No"),"")</f>
        <v/>
      </c>
      <c r="J6" s="804">
        <f>IFERROR(INDEX('DT05 Navigator'!F:F,MATCH('Day 1'!A6,'DT05 Navigator'!A:A,0)),"")</f>
        <v>4.4999999999999998E-2</v>
      </c>
      <c r="K6" s="787">
        <v>-220000</v>
      </c>
      <c r="L6" s="788">
        <f t="shared" si="1"/>
        <v>3.9358974358974355E-2</v>
      </c>
      <c r="M6" s="589" t="str">
        <f>IFERROR(IF(INDEX('DT05 Navigator'!$G$4:$G$37,MATCH('Day 1'!A6,'DT05 Navigator'!$A$4:$A$37,0))='Day 1'!L6,"Yes","No"),"")</f>
        <v>No</v>
      </c>
      <c r="N6" s="804">
        <f>IFERROR(INDEX('DT06 Meridian'!F:F,MATCH('Day 1'!A6,'DT06 Meridian'!A:A,0)),"")</f>
        <v>7.0000000000000007E-2</v>
      </c>
      <c r="O6" s="787"/>
      <c r="P6" s="788">
        <f t="shared" si="3"/>
        <v>7.0000000000000007E-2</v>
      </c>
      <c r="Q6" s="589" t="str">
        <f>IFERROR(IF(INDEX('DT06 Meridian'!$G$4:$G$37,MATCH('Day 1'!A6,'DT06 Meridian'!$A$4:$A$37,0))='Day 1'!P6,"Yes","No"),"")</f>
        <v>No</v>
      </c>
      <c r="R6" s="804">
        <f>IFERROR(INDEX('DT07 Explorer'!F:F,MATCH('Day 1'!A6,'DT07 Explorer'!A:A,0)),"")</f>
        <v>0.05</v>
      </c>
      <c r="S6" s="787"/>
      <c r="T6" s="788">
        <f t="shared" si="5"/>
        <v>0.05</v>
      </c>
      <c r="U6" s="589" t="str">
        <f>IFERROR(IF(INDEX('DT07 Explorer'!$G$4:$G$37,MATCH('Day 1'!A6,'DT07 Explorer'!$A$4:$A$37,0))='Day 1'!T6,"Yes","No"),"")</f>
        <v>No</v>
      </c>
      <c r="AI6" s="773" t="str">
        <f>IFERROR(INDEX('DT04 Prudence'!H:H,MATCH('Day 1'!A6,'DT04 Prudence'!A:A,0)),"")</f>
        <v/>
      </c>
      <c r="AJ6" s="782" t="str">
        <f t="shared" si="6"/>
        <v/>
      </c>
      <c r="AK6" s="780" t="str">
        <f t="shared" si="7"/>
        <v/>
      </c>
      <c r="AL6" s="602">
        <f>IFERROR(INDEX('DT05 Navigator'!H:H,MATCH('Day 1'!A6,'DT05 Navigator'!A:A,0)),"")</f>
        <v>-4.4999999999999998E-2</v>
      </c>
      <c r="AM6" s="782">
        <f t="shared" si="8"/>
        <v>-1755000</v>
      </c>
      <c r="AN6" s="780">
        <f t="shared" si="9"/>
        <v>0.18177110305541169</v>
      </c>
      <c r="AO6" s="602">
        <f>IFERROR(INDEX('DT06 Meridian'!H:H,MATCH('Day 1'!A6,'DT06 Meridian'!A:A,0)),"")</f>
        <v>-7.0000000000000007E-2</v>
      </c>
      <c r="AP6" s="782">
        <f t="shared" si="10"/>
        <v>-5250000.0000000009</v>
      </c>
      <c r="AQ6" s="780">
        <f t="shared" si="11"/>
        <v>0.54375970999482148</v>
      </c>
      <c r="AR6" s="602">
        <f>IFERROR(INDEX('DT07 Explorer'!H:H,MATCH('Day 1'!A6,'DT07 Explorer'!A:A,0)),"")</f>
        <v>-0.05</v>
      </c>
      <c r="AS6" s="782">
        <f t="shared" si="12"/>
        <v>-2650000</v>
      </c>
      <c r="AT6" s="7">
        <f t="shared" si="13"/>
        <v>0.27446918694976696</v>
      </c>
      <c r="AV6" s="775">
        <v>-9655000</v>
      </c>
      <c r="AW6" s="776">
        <v>3424993855</v>
      </c>
      <c r="AX6" s="7">
        <f t="shared" si="14"/>
        <v>-2.8189831598982532E-3</v>
      </c>
      <c r="AZ6" s="775">
        <f t="shared" si="15"/>
        <v>-9655000</v>
      </c>
    </row>
    <row r="7" spans="1:52" x14ac:dyDescent="0.2">
      <c r="A7" s="695" t="s">
        <v>1461</v>
      </c>
      <c r="B7" s="768" t="s">
        <v>1462</v>
      </c>
      <c r="C7" s="778">
        <f>_xll.MSDP(A7,$C$3)</f>
        <v>3</v>
      </c>
      <c r="D7" s="696" t="s">
        <v>35</v>
      </c>
      <c r="E7" s="768" t="s">
        <v>35</v>
      </c>
      <c r="F7" s="786" t="str">
        <f>IFERROR(INDEX('DT04 Prudence'!F:F,MATCH('Day 1'!A7,'DT04 Prudence'!A:A,0)),"")</f>
        <v/>
      </c>
      <c r="G7" s="787" t="str">
        <f t="shared" si="16"/>
        <v/>
      </c>
      <c r="H7" s="788" t="str">
        <f t="shared" si="0"/>
        <v/>
      </c>
      <c r="I7" s="589" t="str">
        <f>IFERROR(IF(INDEX('DT04 Prudence'!$G$4:$G$34,MATCH('Day 1'!A7,'DT04 Prudence'!$A$4:$A$34,0))='Day 1'!H7,"Yes","No"),"")</f>
        <v/>
      </c>
      <c r="J7" s="804" t="str">
        <f>IFERROR(INDEX('DT05 Navigator'!F:F,MATCH('Day 1'!A7,'DT05 Navigator'!A:A,0)),"")</f>
        <v/>
      </c>
      <c r="K7" s="787" t="str">
        <f>IFERROR(ROUND(AN7*AZ7,-3),"")</f>
        <v/>
      </c>
      <c r="L7" s="788" t="str">
        <f t="shared" si="1"/>
        <v/>
      </c>
      <c r="M7" s="589" t="str">
        <f>IFERROR(IF(INDEX('DT05 Navigator'!$G$4:$G$37,MATCH('Day 1'!A7,'DT05 Navigator'!$A$4:$A$37,0))='Day 1'!L7,"Yes","No"),"")</f>
        <v/>
      </c>
      <c r="N7" s="804">
        <f>IFERROR(INDEX('DT06 Meridian'!F:F,MATCH('Day 1'!A7,'DT06 Meridian'!A:A,0)),"")</f>
        <v>0</v>
      </c>
      <c r="O7" s="787">
        <f t="shared" si="2"/>
        <v>2250000</v>
      </c>
      <c r="P7" s="788">
        <f t="shared" si="3"/>
        <v>0.03</v>
      </c>
      <c r="Q7" s="589" t="str">
        <f>IFERROR(IF(INDEX('DT06 Meridian'!$G$4:$G$37,MATCH('Day 1'!A7,'DT06 Meridian'!$A$4:$A$37,0))='Day 1'!P7,"Yes","No"),"")</f>
        <v>Yes</v>
      </c>
      <c r="R7" s="804">
        <f>IFERROR(INDEX('DT07 Explorer'!F:F,MATCH('Day 1'!A7,'DT07 Explorer'!A:A,0)),"")</f>
        <v>0</v>
      </c>
      <c r="S7" s="787">
        <f t="shared" si="4"/>
        <v>1749000</v>
      </c>
      <c r="T7" s="788">
        <f t="shared" si="5"/>
        <v>3.3000000000000002E-2</v>
      </c>
      <c r="U7" s="589" t="str">
        <f>IFERROR(IF(INDEX('DT07 Explorer'!$G$4:$G$37,MATCH('Day 1'!A7,'DT07 Explorer'!$A$4:$A$37,0))='Day 1'!T7,"Yes","No"),"")</f>
        <v>Yes</v>
      </c>
      <c r="AI7" s="773" t="str">
        <f>IFERROR(INDEX('DT04 Prudence'!H:H,MATCH('Day 1'!A7,'DT04 Prudence'!A:A,0)),"")</f>
        <v/>
      </c>
      <c r="AJ7" s="782" t="str">
        <f t="shared" si="6"/>
        <v/>
      </c>
      <c r="AK7" s="780" t="str">
        <f t="shared" si="7"/>
        <v/>
      </c>
      <c r="AL7" s="602" t="str">
        <f>IFERROR(INDEX('DT05 Navigator'!H:H,MATCH('Day 1'!A7,'DT05 Navigator'!A:A,0)),"")</f>
        <v/>
      </c>
      <c r="AM7" s="782" t="str">
        <f t="shared" si="8"/>
        <v/>
      </c>
      <c r="AN7" s="780" t="str">
        <f t="shared" si="9"/>
        <v/>
      </c>
      <c r="AO7" s="602">
        <f>IFERROR(INDEX('DT06 Meridian'!H:H,MATCH('Day 1'!A7,'DT06 Meridian'!A:A,0)),"")</f>
        <v>0.03</v>
      </c>
      <c r="AP7" s="782">
        <f t="shared" si="10"/>
        <v>2250000</v>
      </c>
      <c r="AQ7" s="780">
        <f t="shared" si="11"/>
        <v>0.56264066016504122</v>
      </c>
      <c r="AR7" s="602">
        <f>IFERROR(INDEX('DT07 Explorer'!H:H,MATCH('Day 1'!A7,'DT07 Explorer'!A:A,0)),"")</f>
        <v>3.3000000000000002E-2</v>
      </c>
      <c r="AS7" s="782">
        <f t="shared" si="12"/>
        <v>1749000</v>
      </c>
      <c r="AT7" s="7">
        <f t="shared" si="13"/>
        <v>0.43735933983495873</v>
      </c>
      <c r="AV7" s="775">
        <v>3999000</v>
      </c>
      <c r="AW7" s="776">
        <v>3113603403</v>
      </c>
      <c r="AX7" s="7">
        <f t="shared" si="14"/>
        <v>1.2843639611091471E-3</v>
      </c>
      <c r="AZ7" s="775">
        <f t="shared" si="15"/>
        <v>3999000</v>
      </c>
    </row>
    <row r="8" spans="1:52" x14ac:dyDescent="0.2">
      <c r="A8" s="695" t="s">
        <v>64</v>
      </c>
      <c r="B8" s="768" t="s">
        <v>7177</v>
      </c>
      <c r="C8" s="778">
        <f>_xll.MSDP(A8,$C$3)</f>
        <v>4</v>
      </c>
      <c r="D8" s="696" t="s">
        <v>35</v>
      </c>
      <c r="E8" s="768" t="s">
        <v>35</v>
      </c>
      <c r="F8" s="786" t="str">
        <f>IFERROR(INDEX('DT04 Prudence'!F:F,MATCH('Day 1'!A8,'DT04 Prudence'!A:A,0)),"")</f>
        <v/>
      </c>
      <c r="G8" s="787" t="str">
        <f t="shared" si="16"/>
        <v/>
      </c>
      <c r="H8" s="788" t="str">
        <f t="shared" si="0"/>
        <v/>
      </c>
      <c r="I8" s="589" t="str">
        <f>IFERROR(IF(INDEX('DT04 Prudence'!$G$4:$G$34,MATCH('Day 1'!A8,'DT04 Prudence'!$A$4:$A$34,0))='Day 1'!H8,"Yes","No"),"")</f>
        <v/>
      </c>
      <c r="J8" s="804" t="str">
        <f>IFERROR(INDEX('DT05 Navigator'!F:F,MATCH('Day 1'!A8,'DT05 Navigator'!A:A,0)),"")</f>
        <v/>
      </c>
      <c r="K8" s="787" t="str">
        <f>IFERROR(ROUND(AN8*AZ8,-3),"")</f>
        <v/>
      </c>
      <c r="L8" s="788" t="str">
        <f t="shared" si="1"/>
        <v/>
      </c>
      <c r="M8" s="589" t="str">
        <f>IFERROR(IF(INDEX('DT05 Navigator'!$G$4:$G$37,MATCH('Day 1'!A8,'DT05 Navigator'!$A$4:$A$37,0))='Day 1'!L8,"Yes","No"),"")</f>
        <v/>
      </c>
      <c r="N8" s="804">
        <f>IFERROR(INDEX('DT06 Meridian'!F:F,MATCH('Day 1'!A8,'DT06 Meridian'!A:A,0)),"")</f>
        <v>0</v>
      </c>
      <c r="O8" s="787">
        <f t="shared" si="2"/>
        <v>1500000</v>
      </c>
      <c r="P8" s="788">
        <f t="shared" si="3"/>
        <v>0.02</v>
      </c>
      <c r="Q8" s="589" t="str">
        <f>IFERROR(IF(INDEX('DT06 Meridian'!$G$4:$G$37,MATCH('Day 1'!A8,'DT06 Meridian'!$A$4:$A$37,0))='Day 1'!P8,"Yes","No"),"")</f>
        <v>Yes</v>
      </c>
      <c r="R8" s="804">
        <f>IFERROR(INDEX('DT07 Explorer'!F:F,MATCH('Day 1'!A8,'DT07 Explorer'!A:A,0)),"")</f>
        <v>0.05</v>
      </c>
      <c r="S8" s="787">
        <f t="shared" si="4"/>
        <v>-1484000</v>
      </c>
      <c r="T8" s="788">
        <f t="shared" si="5"/>
        <v>2.2000000000000002E-2</v>
      </c>
      <c r="U8" s="589" t="str">
        <f>IFERROR(IF(INDEX('DT07 Explorer'!$G$4:$G$37,MATCH('Day 1'!A8,'DT07 Explorer'!$A$4:$A$37,0))='Day 1'!T8,"Yes","No"),"")</f>
        <v>Yes</v>
      </c>
      <c r="AI8" s="773" t="str">
        <f>IFERROR(INDEX('DT04 Prudence'!H:H,MATCH('Day 1'!A8,'DT04 Prudence'!A:A,0)),"")</f>
        <v/>
      </c>
      <c r="AJ8" s="782" t="str">
        <f t="shared" si="6"/>
        <v/>
      </c>
      <c r="AK8" s="780" t="str">
        <f t="shared" si="7"/>
        <v/>
      </c>
      <c r="AL8" s="602" t="str">
        <f>IFERROR(INDEX('DT05 Navigator'!H:H,MATCH('Day 1'!A8,'DT05 Navigator'!A:A,0)),"")</f>
        <v/>
      </c>
      <c r="AM8" s="782" t="str">
        <f t="shared" si="8"/>
        <v/>
      </c>
      <c r="AN8" s="780" t="str">
        <f t="shared" si="9"/>
        <v/>
      </c>
      <c r="AO8" s="602">
        <f>IFERROR(INDEX('DT06 Meridian'!H:H,MATCH('Day 1'!A8,'DT06 Meridian'!A:A,0)),"")</f>
        <v>0.02</v>
      </c>
      <c r="AP8" s="782">
        <f>IFERROR(AO8*AO$2,"")</f>
        <v>1500000</v>
      </c>
      <c r="AQ8" s="780">
        <f t="shared" si="11"/>
        <v>93.750000000001364</v>
      </c>
      <c r="AR8" s="602">
        <f>IFERROR(INDEX('DT07 Explorer'!H:H,MATCH('Day 1'!A8,'DT07 Explorer'!A:A,0)),"")</f>
        <v>-2.8000000000000004E-2</v>
      </c>
      <c r="AS8" s="782">
        <f t="shared" si="12"/>
        <v>-1484000.0000000002</v>
      </c>
      <c r="AT8" s="7">
        <f>IFERROR(AS8/AV8,"")</f>
        <v>-92.750000000001364</v>
      </c>
      <c r="AV8" s="775">
        <v>15999.999999999767</v>
      </c>
      <c r="AW8" s="776">
        <v>1264290433</v>
      </c>
      <c r="AX8" s="7">
        <f t="shared" si="14"/>
        <v>1.2655319997980059E-5</v>
      </c>
      <c r="AZ8" s="775">
        <f t="shared" si="15"/>
        <v>15999.999999999767</v>
      </c>
    </row>
    <row r="9" spans="1:52" x14ac:dyDescent="0.2">
      <c r="A9" s="695" t="s">
        <v>65</v>
      </c>
      <c r="B9" s="768" t="s">
        <v>7332</v>
      </c>
      <c r="C9" s="778">
        <f>_xll.MSDP(A9,$C$3)</f>
        <v>4</v>
      </c>
      <c r="D9" s="696" t="s">
        <v>35</v>
      </c>
      <c r="E9" s="768" t="s">
        <v>35</v>
      </c>
      <c r="F9" s="786" t="str">
        <f>IFERROR(INDEX('DT04 Prudence'!F:F,MATCH('Day 1'!A9,'DT04 Prudence'!A:A,0)),"")</f>
        <v/>
      </c>
      <c r="G9" s="787" t="str">
        <f t="shared" si="16"/>
        <v/>
      </c>
      <c r="H9" s="788" t="str">
        <f t="shared" si="0"/>
        <v/>
      </c>
      <c r="I9" s="589" t="str">
        <f>IFERROR(IF(INDEX('DT04 Prudence'!$G$4:$G$34,MATCH('Day 1'!A9,'DT04 Prudence'!$A$4:$A$34,0))='Day 1'!H9,"Yes","No"),"")</f>
        <v/>
      </c>
      <c r="J9" s="804" t="str">
        <f>IFERROR(INDEX('DT05 Navigator'!F:F,MATCH('Day 1'!A9,'DT05 Navigator'!A:A,0)),"")</f>
        <v/>
      </c>
      <c r="K9" s="787" t="str">
        <f>IFERROR(ROUND(AN9*AZ9,-3),"")</f>
        <v/>
      </c>
      <c r="L9" s="788" t="str">
        <f t="shared" si="1"/>
        <v/>
      </c>
      <c r="M9" s="589" t="str">
        <f>IFERROR(IF(INDEX('DT05 Navigator'!$G$4:$G$37,MATCH('Day 1'!A9,'DT05 Navigator'!$A$4:$A$37,0))='Day 1'!L9,"Yes","No"),"")</f>
        <v/>
      </c>
      <c r="N9" s="804">
        <f>IFERROR(INDEX('DT06 Meridian'!F:F,MATCH('Day 1'!A9,'DT06 Meridian'!A:A,0)),"")</f>
        <v>0</v>
      </c>
      <c r="O9" s="787">
        <f t="shared" si="2"/>
        <v>1500000</v>
      </c>
      <c r="P9" s="788">
        <f t="shared" si="3"/>
        <v>0.02</v>
      </c>
      <c r="Q9" s="589" t="str">
        <f>IFERROR(IF(INDEX('DT06 Meridian'!$G$4:$G$37,MATCH('Day 1'!A9,'DT06 Meridian'!$A$4:$A$37,0))='Day 1'!P9,"Yes","No"),"")</f>
        <v>Yes</v>
      </c>
      <c r="R9" s="804">
        <f>IFERROR(INDEX('DT07 Explorer'!F:F,MATCH('Day 1'!A9,'DT07 Explorer'!A:A,0)),"")</f>
        <v>0.05</v>
      </c>
      <c r="S9" s="787">
        <f t="shared" si="4"/>
        <v>-1484000</v>
      </c>
      <c r="T9" s="788">
        <f t="shared" si="5"/>
        <v>2.2000000000000002E-2</v>
      </c>
      <c r="U9" s="589" t="str">
        <f>IFERROR(IF(INDEX('DT07 Explorer'!$G$4:$G$37,MATCH('Day 1'!A9,'DT07 Explorer'!$A$4:$A$37,0))='Day 1'!T9,"Yes","No"),"")</f>
        <v>Yes</v>
      </c>
      <c r="AI9" s="773" t="str">
        <f>IFERROR(INDEX('DT04 Prudence'!H:H,MATCH('Day 1'!A9,'DT04 Prudence'!A:A,0)),"")</f>
        <v/>
      </c>
      <c r="AJ9" s="782" t="str">
        <f t="shared" si="6"/>
        <v/>
      </c>
      <c r="AK9" s="780" t="str">
        <f t="shared" si="7"/>
        <v/>
      </c>
      <c r="AL9" s="602" t="str">
        <f>IFERROR(INDEX('DT05 Navigator'!H:H,MATCH('Day 1'!A9,'DT05 Navigator'!A:A,0)),"")</f>
        <v/>
      </c>
      <c r="AM9" s="782" t="str">
        <f t="shared" si="8"/>
        <v/>
      </c>
      <c r="AN9" s="780" t="str">
        <f t="shared" si="9"/>
        <v/>
      </c>
      <c r="AO9" s="602">
        <f>IFERROR(INDEX('DT06 Meridian'!H:H,MATCH('Day 1'!A9,'DT06 Meridian'!A:A,0)),"")</f>
        <v>0.02</v>
      </c>
      <c r="AP9" s="782">
        <f t="shared" si="10"/>
        <v>1500000</v>
      </c>
      <c r="AQ9" s="780">
        <f t="shared" si="11"/>
        <v>93.750000000001364</v>
      </c>
      <c r="AR9" s="602">
        <f>IFERROR(INDEX('DT07 Explorer'!H:H,MATCH('Day 1'!A9,'DT07 Explorer'!A:A,0)),"")</f>
        <v>-2.8000000000000004E-2</v>
      </c>
      <c r="AS9" s="782">
        <f t="shared" si="12"/>
        <v>-1484000.0000000002</v>
      </c>
      <c r="AT9" s="7">
        <f t="shared" si="13"/>
        <v>-92.750000000001364</v>
      </c>
      <c r="AV9" s="775">
        <v>15999.999999999767</v>
      </c>
      <c r="AW9" s="776">
        <v>393078382</v>
      </c>
      <c r="AX9" s="7">
        <f t="shared" si="14"/>
        <v>4.0704349902406401E-5</v>
      </c>
      <c r="AZ9" s="775">
        <f t="shared" si="15"/>
        <v>15999.999999999767</v>
      </c>
    </row>
    <row r="10" spans="1:52" x14ac:dyDescent="0.2">
      <c r="A10" s="767" t="s">
        <v>12</v>
      </c>
      <c r="B10" s="768" t="str">
        <f>IFERROR(VLOOKUP(A10,NoviaFunds[],2,FALSE),"")</f>
        <v>Artemis Target Return Bond Fund F Acc</v>
      </c>
      <c r="C10" s="778">
        <f>_xll.MSDP(A10,$C$3)</f>
        <v>4</v>
      </c>
      <c r="D10" s="768" t="str">
        <f>IFERROR(VLOOKUP(A10,NoviaFunds[],6,FALSE),"")</f>
        <v>Absolute Return</v>
      </c>
      <c r="E10" s="768" t="s">
        <v>9585</v>
      </c>
      <c r="F10" s="786">
        <f>IFERROR(INDEX('DT04 Prudence'!F:F,MATCH('Day 1'!A10,'DT04 Prudence'!A:A,0)),"")</f>
        <v>0.06</v>
      </c>
      <c r="G10" s="850">
        <f>IFERROR(ROUND(AK10*AZ10,-3),"")</f>
        <v>-143000</v>
      </c>
      <c r="H10" s="788">
        <f>IFERROR(F10+G10/$AI$2,"")</f>
        <v>4.9000000000000002E-2</v>
      </c>
      <c r="I10" s="589" t="str">
        <f>IFERROR(IF(INDEX('DT04 Prudence'!$G$4:$G$34,MATCH('Day 1'!A10,'DT04 Prudence'!$A$4:$A$34,0))='Day 1'!H10,"Yes","No"),"")</f>
        <v>No</v>
      </c>
      <c r="J10" s="804">
        <f>IFERROR(INDEX('DT05 Navigator'!F:F,MATCH('Day 1'!A10,'DT05 Navigator'!A:A,0)),"")</f>
        <v>0.05</v>
      </c>
      <c r="K10" s="787">
        <f>IFERROR(ROUND(AN10*AZ10,-3),"")</f>
        <v>-359000</v>
      </c>
      <c r="L10" s="788">
        <f t="shared" si="1"/>
        <v>4.0794871794871797E-2</v>
      </c>
      <c r="M10" s="589" t="str">
        <f>IFERROR(IF(INDEX('DT05 Navigator'!$G$4:$G$37,MATCH('Day 1'!A10,'DT05 Navigator'!$A$4:$A$37,0))='Day 1'!L10,"Yes","No"),"")</f>
        <v>No</v>
      </c>
      <c r="N10" s="804">
        <f>IFERROR(INDEX('DT06 Meridian'!F:F,MATCH('Day 1'!A10,'DT06 Meridian'!A:A,0)),"")</f>
        <v>0.04</v>
      </c>
      <c r="O10" s="787">
        <f t="shared" si="2"/>
        <v>-552000</v>
      </c>
      <c r="P10" s="788">
        <f t="shared" si="3"/>
        <v>3.2640000000000002E-2</v>
      </c>
      <c r="Q10" s="589" t="str">
        <f>IFERROR(IF(INDEX('DT06 Meridian'!$G$4:$G$37,MATCH('Day 1'!A10,'DT06 Meridian'!$A$4:$A$37,0))='Day 1'!P10,"Yes","No"),"")</f>
        <v>No</v>
      </c>
      <c r="R10" s="804">
        <f>IFERROR(INDEX('DT07 Explorer'!F:F,MATCH('Day 1'!A10,'DT07 Explorer'!A:A,0)),"")</f>
        <v>0.03</v>
      </c>
      <c r="S10" s="787">
        <f t="shared" si="4"/>
        <v>-292000</v>
      </c>
      <c r="T10" s="788">
        <f t="shared" si="5"/>
        <v>2.4490566037735848E-2</v>
      </c>
      <c r="U10" s="589" t="str">
        <f>IFERROR(IF(INDEX('DT07 Explorer'!$G$4:$G$37,MATCH('Day 1'!A10,'DT07 Explorer'!$A$4:$A$37,0))='Day 1'!T10,"Yes","No"),"")</f>
        <v>No</v>
      </c>
      <c r="AI10" s="773">
        <f>IFERROR(INDEX('DT04 Prudence'!H:H,MATCH('Day 1'!A10,'DT04 Prudence'!A:A,0)),"")</f>
        <v>-0.06</v>
      </c>
      <c r="AJ10" s="782">
        <f t="shared" si="6"/>
        <v>-780000</v>
      </c>
      <c r="AK10" s="780">
        <f t="shared" si="7"/>
        <v>0.10655737704918032</v>
      </c>
      <c r="AL10" s="602">
        <f>IFERROR(INDEX('DT05 Navigator'!H:H,MATCH('Day 1'!A10,'DT05 Navigator'!A:A,0)),"")</f>
        <v>-0.05</v>
      </c>
      <c r="AM10" s="782">
        <f t="shared" si="8"/>
        <v>-1950000</v>
      </c>
      <c r="AN10" s="780">
        <f t="shared" si="9"/>
        <v>0.26639344262295084</v>
      </c>
      <c r="AO10" s="602">
        <f>IFERROR(INDEX('DT06 Meridian'!H:H,MATCH('Day 1'!A10,'DT06 Meridian'!A:A,0)),"")</f>
        <v>-0.04</v>
      </c>
      <c r="AP10" s="782">
        <f t="shared" si="10"/>
        <v>-3000000</v>
      </c>
      <c r="AQ10" s="780">
        <f t="shared" si="11"/>
        <v>0.4098360655737705</v>
      </c>
      <c r="AR10" s="602">
        <f>IFERROR(INDEX('DT07 Explorer'!H:H,MATCH('Day 1'!A10,'DT07 Explorer'!A:A,0)),"")</f>
        <v>-0.03</v>
      </c>
      <c r="AS10" s="782">
        <f t="shared" si="12"/>
        <v>-1590000</v>
      </c>
      <c r="AT10" s="7">
        <f t="shared" si="13"/>
        <v>0.21721311475409835</v>
      </c>
      <c r="AV10" s="775">
        <v>-7320000</v>
      </c>
      <c r="AW10" s="776">
        <v>269174297</v>
      </c>
      <c r="AX10" s="7">
        <f t="shared" si="14"/>
        <v>-2.7194275536642342E-2</v>
      </c>
      <c r="AZ10" s="775">
        <f t="shared" si="15"/>
        <v>-1345871.4850000001</v>
      </c>
    </row>
    <row r="11" spans="1:52" x14ac:dyDescent="0.2">
      <c r="A11" s="767" t="s">
        <v>8877</v>
      </c>
      <c r="B11" s="768" t="str">
        <f>IFERROR(VLOOKUP(A11,NoviaFunds[],2,FALSE),"")</f>
        <v>Atlantic House Defined Returns B Acc in GB</v>
      </c>
      <c r="C11" s="779">
        <v>3</v>
      </c>
      <c r="D11" s="768" t="str">
        <f>IFERROR(VLOOKUP(A11,NoviaFunds[],6,FALSE),"")</f>
        <v>Gilts</v>
      </c>
      <c r="E11" s="768" t="s">
        <v>9585</v>
      </c>
      <c r="F11" s="786">
        <f>IFERROR(INDEX('DT04 Prudence'!F:F,MATCH('Day 1'!A11,'DT04 Prudence'!A:A,0)),"")</f>
        <v>0.05</v>
      </c>
      <c r="G11" s="850">
        <v>-325000</v>
      </c>
      <c r="H11" s="788">
        <f t="shared" si="0"/>
        <v>2.5000000000000001E-2</v>
      </c>
      <c r="I11" s="589" t="str">
        <f>IFERROR(IF(INDEX('DT04 Prudence'!$G$4:$G$34,MATCH('Day 1'!A11,'DT04 Prudence'!$A$4:$A$34,0))='Day 1'!H11,"Yes","No"),"")</f>
        <v>No</v>
      </c>
      <c r="J11" s="804">
        <f>IFERROR(INDEX('DT05 Navigator'!F:F,MATCH('Day 1'!A11,'DT05 Navigator'!A:A,0)),"")</f>
        <v>0.05</v>
      </c>
      <c r="K11" s="787">
        <v>-975000</v>
      </c>
      <c r="L11" s="788">
        <f t="shared" si="1"/>
        <v>2.5000000000000001E-2</v>
      </c>
      <c r="M11" s="589" t="str">
        <f>IFERROR(IF(INDEX('DT05 Navigator'!$G$4:$G$37,MATCH('Day 1'!A11,'DT05 Navigator'!$A$4:$A$37,0))='Day 1'!L11,"Yes","No"),"")</f>
        <v>No</v>
      </c>
      <c r="N11" s="804">
        <f>IFERROR(INDEX('DT06 Meridian'!F:F,MATCH('Day 1'!A11,'DT06 Meridian'!A:A,0)),"")</f>
        <v>0.05</v>
      </c>
      <c r="O11" s="787">
        <v>-1875000</v>
      </c>
      <c r="P11" s="788">
        <f t="shared" si="3"/>
        <v>2.5000000000000001E-2</v>
      </c>
      <c r="Q11" s="589" t="str">
        <f>IFERROR(IF(INDEX('DT06 Meridian'!$G$4:$G$37,MATCH('Day 1'!A11,'DT06 Meridian'!$A$4:$A$37,0))='Day 1'!P11,"Yes","No"),"")</f>
        <v>No</v>
      </c>
      <c r="R11" s="804" t="str">
        <f>IFERROR(INDEX('DT07 Explorer'!F:F,MATCH('Day 1'!A11,'DT07 Explorer'!A:A,0)),"")</f>
        <v/>
      </c>
      <c r="S11" s="787" t="str">
        <f t="shared" si="4"/>
        <v/>
      </c>
      <c r="T11" s="788" t="str">
        <f t="shared" si="5"/>
        <v/>
      </c>
      <c r="U11" s="589" t="str">
        <f>IFERROR(IF(INDEX('DT07 Explorer'!$G$4:$G$37,MATCH('Day 1'!A11,'DT07 Explorer'!$A$4:$A$37,0))='Day 1'!T11,"Yes","No"),"")</f>
        <v/>
      </c>
      <c r="AI11" s="773">
        <f>IFERROR(INDEX('DT04 Prudence'!H:H,MATCH('Day 1'!A11,'DT04 Prudence'!A:A,0)),"")</f>
        <v>-0.05</v>
      </c>
      <c r="AJ11" s="782">
        <f t="shared" si="6"/>
        <v>-650000</v>
      </c>
      <c r="AK11" s="780">
        <f t="shared" si="7"/>
        <v>0.10236220472440945</v>
      </c>
      <c r="AL11" s="602">
        <f>IFERROR(INDEX('DT05 Navigator'!H:H,MATCH('Day 1'!A11,'DT05 Navigator'!A:A,0)),"")</f>
        <v>-0.05</v>
      </c>
      <c r="AM11" s="782">
        <f t="shared" si="8"/>
        <v>-1950000</v>
      </c>
      <c r="AN11" s="780">
        <f t="shared" si="9"/>
        <v>0.30708661417322836</v>
      </c>
      <c r="AO11" s="602">
        <f>IFERROR(INDEX('DT06 Meridian'!H:H,MATCH('Day 1'!A11,'DT06 Meridian'!A:A,0)),"")</f>
        <v>-0.05</v>
      </c>
      <c r="AP11" s="782">
        <f t="shared" si="10"/>
        <v>-3750000</v>
      </c>
      <c r="AQ11" s="780">
        <f t="shared" si="11"/>
        <v>0.59055118110236215</v>
      </c>
      <c r="AR11" s="602" t="str">
        <f>IFERROR(INDEX('DT07 Explorer'!H:H,MATCH('Day 1'!A11,'DT07 Explorer'!A:A,0)),"")</f>
        <v/>
      </c>
      <c r="AS11" s="782" t="str">
        <f t="shared" si="12"/>
        <v/>
      </c>
      <c r="AT11" s="7" t="str">
        <f t="shared" si="13"/>
        <v/>
      </c>
      <c r="AV11" s="775">
        <v>-6350000</v>
      </c>
      <c r="AW11" s="776">
        <v>1445593241</v>
      </c>
      <c r="AX11" s="7">
        <f t="shared" si="14"/>
        <v>-4.3926602725448136E-3</v>
      </c>
      <c r="AZ11" s="775">
        <f t="shared" si="15"/>
        <v>-6350000</v>
      </c>
    </row>
    <row r="12" spans="1:52" x14ac:dyDescent="0.2">
      <c r="A12" s="767" t="s">
        <v>9558</v>
      </c>
      <c r="B12" s="768" t="str">
        <f>IFERROR(VLOOKUP(A12,NoviaFunds[],2,FALSE),"")</f>
        <v>iShares UK Gilts 0-5yr UCITS ETF</v>
      </c>
      <c r="C12" s="778">
        <f>_xll.MSDP(A12,$C$3)</f>
        <v>4</v>
      </c>
      <c r="D12" s="768" t="str">
        <f>IFERROR(VLOOKUP(A12,NoviaFunds[],6,FALSE),"")</f>
        <v>Gilts</v>
      </c>
      <c r="E12" s="768" t="s">
        <v>9585</v>
      </c>
      <c r="F12" s="786">
        <f>IFERROR(INDEX('DT04 Prudence'!F:F,MATCH('Day 1'!A12,'DT04 Prudence'!A:A,0)),"")</f>
        <v>0</v>
      </c>
      <c r="G12" s="850">
        <f t="shared" si="16"/>
        <v>650000</v>
      </c>
      <c r="H12" s="788">
        <f t="shared" si="0"/>
        <v>0.05</v>
      </c>
      <c r="I12" s="589" t="str">
        <f>IFERROR(IF(INDEX('DT04 Prudence'!$G$4:$G$34,MATCH('Day 1'!A12,'DT04 Prudence'!$A$4:$A$34,0))='Day 1'!H12,"Yes","No"),"")</f>
        <v>Yes</v>
      </c>
      <c r="J12" s="804">
        <f>IFERROR(INDEX('DT05 Navigator'!F:F,MATCH('Day 1'!A12,'DT05 Navigator'!A:A,0)),"")</f>
        <v>0</v>
      </c>
      <c r="K12" s="787"/>
      <c r="L12" s="788">
        <f t="shared" si="1"/>
        <v>0</v>
      </c>
      <c r="M12" s="589" t="str">
        <f>IFERROR(IF(INDEX('DT05 Navigator'!$G$4:$G$37,MATCH('Day 1'!A12,'DT05 Navigator'!$A$4:$A$37,0))='Day 1'!L12,"Yes","No"),"")</f>
        <v>No</v>
      </c>
      <c r="N12" s="804" t="str">
        <f>IFERROR(INDEX('DT06 Meridian'!F:F,MATCH('Day 1'!A12,'DT06 Meridian'!A:A,0)),"")</f>
        <v/>
      </c>
      <c r="O12" s="787" t="str">
        <f t="shared" si="2"/>
        <v/>
      </c>
      <c r="P12" s="788" t="str">
        <f t="shared" si="3"/>
        <v/>
      </c>
      <c r="Q12" s="589" t="str">
        <f>IFERROR(IF(INDEX('DT06 Meridian'!$G$4:$G$37,MATCH('Day 1'!A12,'DT06 Meridian'!$A$4:$A$37,0))='Day 1'!P12,"Yes","No"),"")</f>
        <v/>
      </c>
      <c r="R12" s="804" t="str">
        <f>IFERROR(INDEX('DT07 Explorer'!F:F,MATCH('Day 1'!A12,'DT07 Explorer'!A:A,0)),"")</f>
        <v/>
      </c>
      <c r="S12" s="787" t="str">
        <f t="shared" si="4"/>
        <v/>
      </c>
      <c r="T12" s="788" t="str">
        <f t="shared" si="5"/>
        <v/>
      </c>
      <c r="U12" s="589" t="str">
        <f>IFERROR(IF(INDEX('DT07 Explorer'!$G$4:$G$37,MATCH('Day 1'!A12,'DT07 Explorer'!$A$4:$A$37,0))='Day 1'!T12,"Yes","No"),"")</f>
        <v/>
      </c>
      <c r="AI12" s="773">
        <f>IFERROR(INDEX('DT04 Prudence'!H:H,MATCH('Day 1'!A12,'DT04 Prudence'!A:A,0)),"")</f>
        <v>0.05</v>
      </c>
      <c r="AJ12" s="782">
        <f t="shared" si="6"/>
        <v>650000</v>
      </c>
      <c r="AK12" s="780">
        <f t="shared" si="7"/>
        <v>0.35714285714285715</v>
      </c>
      <c r="AL12" s="602">
        <f>IFERROR(INDEX('DT05 Navigator'!H:H,MATCH('Day 1'!A12,'DT05 Navigator'!A:A,0)),"")</f>
        <v>0.03</v>
      </c>
      <c r="AM12" s="782">
        <f t="shared" si="8"/>
        <v>1170000</v>
      </c>
      <c r="AN12" s="780">
        <f t="shared" si="9"/>
        <v>0.6428571428571429</v>
      </c>
      <c r="AO12" s="602" t="str">
        <f>IFERROR(INDEX('DT06 Meridian'!H:H,MATCH('Day 1'!A12,'DT06 Meridian'!A:A,0)),"")</f>
        <v/>
      </c>
      <c r="AP12" s="782" t="str">
        <f t="shared" si="10"/>
        <v/>
      </c>
      <c r="AQ12" s="780" t="str">
        <f t="shared" si="11"/>
        <v/>
      </c>
      <c r="AR12" s="602" t="str">
        <f>IFERROR(INDEX('DT07 Explorer'!H:H,MATCH('Day 1'!A12,'DT07 Explorer'!A:A,0)),"")</f>
        <v/>
      </c>
      <c r="AS12" s="782" t="str">
        <f t="shared" si="12"/>
        <v/>
      </c>
      <c r="AT12" s="7" t="str">
        <f t="shared" si="13"/>
        <v/>
      </c>
      <c r="AV12" s="775">
        <v>1820000</v>
      </c>
      <c r="AW12" s="776">
        <v>1226206451</v>
      </c>
      <c r="AX12" s="7">
        <f t="shared" si="14"/>
        <v>1.4842525078185224E-3</v>
      </c>
      <c r="AZ12" s="775">
        <f t="shared" si="15"/>
        <v>1820000</v>
      </c>
    </row>
    <row r="13" spans="1:52" x14ac:dyDescent="0.2">
      <c r="A13" s="767" t="s">
        <v>9557</v>
      </c>
      <c r="B13" s="768" t="str">
        <f>IFERROR(VLOOKUP(A13,NoviaFunds[],2,FALSE),"")</f>
        <v>ASI Short Dated Global Corporate Bond Tracker B Acc</v>
      </c>
      <c r="C13" s="778">
        <f>_xll.MSDP(A13,$C$3)</f>
        <v>3</v>
      </c>
      <c r="D13" s="768" t="str">
        <f>IFERROR(VLOOKUP(A13,NoviaFunds[],6,FALSE),"")</f>
        <v>Global Investment Grade</v>
      </c>
      <c r="E13" s="768" t="s">
        <v>9585</v>
      </c>
      <c r="F13" s="786">
        <f>IFERROR(INDEX('DT04 Prudence'!F:F,MATCH('Day 1'!A13,'DT04 Prudence'!A:A,0)),"")</f>
        <v>0</v>
      </c>
      <c r="G13" s="850">
        <f t="shared" si="16"/>
        <v>216000</v>
      </c>
      <c r="H13" s="788">
        <f t="shared" si="0"/>
        <v>1.6615384615384615E-2</v>
      </c>
      <c r="I13" s="589" t="str">
        <f>IFERROR(IF(INDEX('DT04 Prudence'!$G$4:$G$34,MATCH('Day 1'!A13,'DT04 Prudence'!$A$4:$A$34,0))='Day 1'!H13,"Yes","No"),"")</f>
        <v>No</v>
      </c>
      <c r="J13" s="804">
        <f>IFERROR(INDEX('DT05 Navigator'!F:F,MATCH('Day 1'!A13,'DT05 Navigator'!A:A,0)),"")</f>
        <v>0</v>
      </c>
      <c r="K13" s="787">
        <f>IFERROR(ROUND(AN13*AZ13,-3),"")</f>
        <v>260000</v>
      </c>
      <c r="L13" s="788">
        <f t="shared" si="1"/>
        <v>6.6666666666666671E-3</v>
      </c>
      <c r="M13" s="589" t="str">
        <f>IFERROR(IF(INDEX('DT05 Navigator'!$G$4:$G$37,MATCH('Day 1'!A13,'DT05 Navigator'!$A$4:$A$37,0))='Day 1'!L13,"Yes","No"),"")</f>
        <v>No</v>
      </c>
      <c r="N13" s="804">
        <f>IFERROR(INDEX('DT06 Meridian'!F:F,MATCH('Day 1'!A13,'DT06 Meridian'!A:A,0)),"")</f>
        <v>0</v>
      </c>
      <c r="O13" s="787">
        <f t="shared" si="2"/>
        <v>499000</v>
      </c>
      <c r="P13" s="788">
        <f t="shared" si="3"/>
        <v>6.6533333333333331E-3</v>
      </c>
      <c r="Q13" s="589" t="str">
        <f>IFERROR(IF(INDEX('DT06 Meridian'!$G$4:$G$37,MATCH('Day 1'!A13,'DT06 Meridian'!$A$4:$A$37,0))='Day 1'!P13,"Yes","No"),"")</f>
        <v>No</v>
      </c>
      <c r="R13" s="804" t="str">
        <f>IFERROR(INDEX('DT07 Explorer'!F:F,MATCH('Day 1'!A13,'DT07 Explorer'!A:A,0)),"")</f>
        <v/>
      </c>
      <c r="S13" s="787" t="str">
        <f t="shared" si="4"/>
        <v/>
      </c>
      <c r="T13" s="788" t="str">
        <f t="shared" si="5"/>
        <v/>
      </c>
      <c r="U13" s="589" t="str">
        <f>IFERROR(IF(INDEX('DT07 Explorer'!$G$4:$G$37,MATCH('Day 1'!A13,'DT07 Explorer'!$A$4:$A$37,0))='Day 1'!T13,"Yes","No"),"")</f>
        <v/>
      </c>
      <c r="AI13" s="773">
        <f>IFERROR(INDEX('DT04 Prudence'!H:H,MATCH('Day 1'!A13,'DT04 Prudence'!A:A,0)),"")</f>
        <v>0.05</v>
      </c>
      <c r="AJ13" s="782">
        <f t="shared" si="6"/>
        <v>650000</v>
      </c>
      <c r="AK13" s="780">
        <f t="shared" si="7"/>
        <v>0.22184300341296928</v>
      </c>
      <c r="AL13" s="602">
        <f>IFERROR(INDEX('DT05 Navigator'!H:H,MATCH('Day 1'!A13,'DT05 Navigator'!A:A,0)),"")</f>
        <v>0.02</v>
      </c>
      <c r="AM13" s="782">
        <f t="shared" si="8"/>
        <v>780000</v>
      </c>
      <c r="AN13" s="780">
        <f t="shared" si="9"/>
        <v>0.26621160409556316</v>
      </c>
      <c r="AO13" s="602">
        <f>IFERROR(INDEX('DT06 Meridian'!H:H,MATCH('Day 1'!A13,'DT06 Meridian'!A:A,0)),"")</f>
        <v>0.02</v>
      </c>
      <c r="AP13" s="782">
        <f t="shared" si="10"/>
        <v>1500000</v>
      </c>
      <c r="AQ13" s="780">
        <f t="shared" si="11"/>
        <v>0.51194539249146753</v>
      </c>
      <c r="AR13" s="602" t="str">
        <f>IFERROR(INDEX('DT07 Explorer'!H:H,MATCH('Day 1'!A13,'DT07 Explorer'!A:A,0)),"")</f>
        <v/>
      </c>
      <c r="AS13" s="782" t="str">
        <f t="shared" si="12"/>
        <v/>
      </c>
      <c r="AT13" s="7" t="str">
        <f t="shared" si="13"/>
        <v/>
      </c>
      <c r="AV13" s="775">
        <v>2930000</v>
      </c>
      <c r="AW13" s="776">
        <v>195126595</v>
      </c>
      <c r="AX13" s="7">
        <f t="shared" si="14"/>
        <v>1.5015892631140311E-2</v>
      </c>
      <c r="AZ13" s="775">
        <f t="shared" si="15"/>
        <v>975632.97500000009</v>
      </c>
    </row>
    <row r="14" spans="1:52" x14ac:dyDescent="0.2">
      <c r="A14" s="767" t="s">
        <v>3624</v>
      </c>
      <c r="B14" s="768" t="str">
        <f>IFERROR(VLOOKUP(A14,NoviaFunds[],2,FALSE),"")</f>
        <v>iShares Overseas Corporate Bond Index (UK) D Acc in GB</v>
      </c>
      <c r="C14" s="778">
        <f>_xll.MSDP(A14,$C$3)</f>
        <v>3</v>
      </c>
      <c r="D14" s="768" t="str">
        <f>IFERROR(VLOOKUP(A14,NoviaFunds[],6,FALSE),"")</f>
        <v>Global Investment Grade</v>
      </c>
      <c r="E14" s="768" t="s">
        <v>9585</v>
      </c>
      <c r="F14" s="786">
        <f>IFERROR(INDEX('DT04 Prudence'!F:F,MATCH('Day 1'!A14,'DT04 Prudence'!A:A,0)),"")</f>
        <v>0</v>
      </c>
      <c r="G14" s="850">
        <f t="shared" si="16"/>
        <v>650000</v>
      </c>
      <c r="H14" s="788">
        <f t="shared" si="0"/>
        <v>0.05</v>
      </c>
      <c r="I14" s="589" t="str">
        <f>IFERROR(IF(INDEX('DT04 Prudence'!$G$4:$G$34,MATCH('Day 1'!A14,'DT04 Prudence'!$A$4:$A$34,0))='Day 1'!H14,"Yes","No"),"")</f>
        <v>Yes</v>
      </c>
      <c r="J14" s="804">
        <f>IFERROR(INDEX('DT05 Navigator'!F:F,MATCH('Day 1'!A14,'DT05 Navigator'!A:A,0)),"")</f>
        <v>0</v>
      </c>
      <c r="K14" s="787"/>
      <c r="L14" s="788">
        <f t="shared" si="1"/>
        <v>0</v>
      </c>
      <c r="M14" s="589" t="str">
        <f>IFERROR(IF(INDEX('DT05 Navigator'!$G$4:$G$37,MATCH('Day 1'!A14,'DT05 Navigator'!$A$4:$A$37,0))='Day 1'!L14,"Yes","No"),"")</f>
        <v>No</v>
      </c>
      <c r="N14" s="804">
        <f>IFERROR(INDEX('DT06 Meridian'!F:F,MATCH('Day 1'!A14,'DT06 Meridian'!A:A,0)),"")</f>
        <v>0</v>
      </c>
      <c r="O14" s="787">
        <f t="shared" si="2"/>
        <v>1500000</v>
      </c>
      <c r="P14" s="788">
        <f t="shared" si="3"/>
        <v>0.02</v>
      </c>
      <c r="Q14" s="589" t="str">
        <f>IFERROR(IF(INDEX('DT06 Meridian'!$G$4:$G$37,MATCH('Day 1'!A14,'DT06 Meridian'!$A$4:$A$37,0))='Day 1'!P14,"Yes","No"),"")</f>
        <v>Yes</v>
      </c>
      <c r="R14" s="804">
        <f>IFERROR(INDEX('DT07 Explorer'!F:F,MATCH('Day 1'!A14,'DT07 Explorer'!A:A,0)),"")</f>
        <v>0</v>
      </c>
      <c r="S14" s="787">
        <f t="shared" si="4"/>
        <v>1060000</v>
      </c>
      <c r="T14" s="788">
        <f t="shared" si="5"/>
        <v>0.02</v>
      </c>
      <c r="U14" s="589" t="str">
        <f>IFERROR(IF(INDEX('DT07 Explorer'!$G$4:$G$37,MATCH('Day 1'!A14,'DT07 Explorer'!$A$4:$A$37,0))='Day 1'!T14,"Yes","No"),"")</f>
        <v>Yes</v>
      </c>
      <c r="AI14" s="773">
        <f>IFERROR(INDEX('DT04 Prudence'!H:H,MATCH('Day 1'!A14,'DT04 Prudence'!A:A,0)),"")</f>
        <v>0.05</v>
      </c>
      <c r="AJ14" s="782">
        <f t="shared" si="6"/>
        <v>650000</v>
      </c>
      <c r="AK14" s="780">
        <f t="shared" si="7"/>
        <v>0.16290726817042606</v>
      </c>
      <c r="AL14" s="602">
        <f>IFERROR(INDEX('DT05 Navigator'!H:H,MATCH('Day 1'!A14,'DT05 Navigator'!A:A,0)),"")</f>
        <v>0.02</v>
      </c>
      <c r="AM14" s="782">
        <f t="shared" si="8"/>
        <v>780000</v>
      </c>
      <c r="AN14" s="780">
        <f>IFERROR(AM14/$AV14,"")</f>
        <v>0.19548872180451127</v>
      </c>
      <c r="AO14" s="602">
        <f>IFERROR(INDEX('DT06 Meridian'!H:H,MATCH('Day 1'!A14,'DT06 Meridian'!A:A,0)),"")</f>
        <v>0.02</v>
      </c>
      <c r="AP14" s="782">
        <f t="shared" si="10"/>
        <v>1500000</v>
      </c>
      <c r="AQ14" s="780">
        <f t="shared" si="11"/>
        <v>0.37593984962406013</v>
      </c>
      <c r="AR14" s="602">
        <f>IFERROR(INDEX('DT07 Explorer'!H:H,MATCH('Day 1'!A14,'DT07 Explorer'!A:A,0)),"")</f>
        <v>0.02</v>
      </c>
      <c r="AS14" s="782">
        <f t="shared" si="12"/>
        <v>1060000</v>
      </c>
      <c r="AT14" s="7">
        <f>IFERROR(AS14/AV14,"")</f>
        <v>0.26566416040100249</v>
      </c>
      <c r="AV14" s="775">
        <v>3990000</v>
      </c>
      <c r="AW14" s="776">
        <v>2735145468</v>
      </c>
      <c r="AX14" s="7">
        <f t="shared" si="14"/>
        <v>1.4587889553521912E-3</v>
      </c>
      <c r="AZ14" s="775">
        <f t="shared" si="15"/>
        <v>3990000</v>
      </c>
    </row>
    <row r="15" spans="1:52" x14ac:dyDescent="0.2">
      <c r="A15" s="767" t="s">
        <v>13</v>
      </c>
      <c r="B15" s="768" t="str">
        <f>IFERROR(VLOOKUP(A15,NoviaFunds[],2,FALSE),"")</f>
        <v>Royal London Global Index Linked M Inc TR in GB</v>
      </c>
      <c r="C15" s="778">
        <f>_xll.MSDP(A15,$C$3)</f>
        <v>3</v>
      </c>
      <c r="D15" s="768" t="str">
        <f>IFERROR(VLOOKUP(A15,NoviaFunds[],6,FALSE),"")</f>
        <v>Global Investment Grade</v>
      </c>
      <c r="E15" s="768" t="s">
        <v>9585</v>
      </c>
      <c r="F15" s="786">
        <f>IFERROR(INDEX('DT04 Prudence'!F:F,MATCH('Day 1'!A15,'DT04 Prudence'!A:A,0)),"")</f>
        <v>0.06</v>
      </c>
      <c r="G15" s="850">
        <f t="shared" si="16"/>
        <v>-460000</v>
      </c>
      <c r="H15" s="788">
        <f t="shared" si="0"/>
        <v>2.4615384615384615E-2</v>
      </c>
      <c r="I15" s="589" t="str">
        <f>IFERROR(IF(INDEX('DT04 Prudence'!$G$4:$G$34,MATCH('Day 1'!A15,'DT04 Prudence'!$A$4:$A$34,0))='Day 1'!H15,"Yes","No"),"")</f>
        <v>No</v>
      </c>
      <c r="J15" s="804">
        <f>IFERROR(INDEX('DT05 Navigator'!F:F,MATCH('Day 1'!A15,'DT05 Navigator'!A:A,0)),"")</f>
        <v>0.05</v>
      </c>
      <c r="K15" s="787">
        <f>IFERROR(ROUND(AN15*AZ15,-3),"")</f>
        <v>-1151000</v>
      </c>
      <c r="L15" s="788">
        <f t="shared" si="1"/>
        <v>2.0487179487179489E-2</v>
      </c>
      <c r="M15" s="589" t="str">
        <f>IFERROR(IF(INDEX('DT05 Navigator'!$G$4:$G$37,MATCH('Day 1'!A15,'DT05 Navigator'!$A$4:$A$37,0))='Day 1'!L15,"Yes","No"),"")</f>
        <v>No</v>
      </c>
      <c r="N15" s="804" t="str">
        <f>IFERROR(INDEX('DT06 Meridian'!F:F,MATCH('Day 1'!A15,'DT06 Meridian'!A:A,0)),"")</f>
        <v/>
      </c>
      <c r="O15" s="787" t="str">
        <f t="shared" si="2"/>
        <v/>
      </c>
      <c r="P15" s="788" t="str">
        <f t="shared" si="3"/>
        <v/>
      </c>
      <c r="Q15" s="589" t="str">
        <f>IFERROR(IF(INDEX('DT06 Meridian'!$G$4:$G$37,MATCH('Day 1'!A15,'DT06 Meridian'!$A$4:$A$37,0))='Day 1'!P15,"Yes","No"),"")</f>
        <v/>
      </c>
      <c r="R15" s="804" t="str">
        <f>IFERROR(INDEX('DT07 Explorer'!F:F,MATCH('Day 1'!A15,'DT07 Explorer'!A:A,0)),"")</f>
        <v/>
      </c>
      <c r="S15" s="787" t="str">
        <f t="shared" si="4"/>
        <v/>
      </c>
      <c r="T15" s="788" t="str">
        <f t="shared" si="5"/>
        <v/>
      </c>
      <c r="U15" s="589" t="str">
        <f>IFERROR(IF(INDEX('DT07 Explorer'!$G$4:$G$37,MATCH('Day 1'!A15,'DT07 Explorer'!$A$4:$A$37,0))='Day 1'!T15,"Yes","No"),"")</f>
        <v/>
      </c>
      <c r="AI15" s="773">
        <f>IFERROR(INDEX('DT04 Prudence'!H:H,MATCH('Day 1'!A15,'DT04 Prudence'!A:A,0)),"")</f>
        <v>-0.06</v>
      </c>
      <c r="AJ15" s="782">
        <f t="shared" si="6"/>
        <v>-780000</v>
      </c>
      <c r="AK15" s="780">
        <f t="shared" si="7"/>
        <v>0.2857142857142857</v>
      </c>
      <c r="AL15" s="602">
        <f>IFERROR(INDEX('DT05 Navigator'!H:H,MATCH('Day 1'!A15,'DT05 Navigator'!A:A,0)),"")</f>
        <v>-0.05</v>
      </c>
      <c r="AM15" s="782">
        <f t="shared" si="8"/>
        <v>-1950000</v>
      </c>
      <c r="AN15" s="780">
        <f t="shared" si="9"/>
        <v>0.7142857142857143</v>
      </c>
      <c r="AO15" s="602" t="str">
        <f>IFERROR(INDEX('DT06 Meridian'!H:H,MATCH('Day 1'!A15,'DT06 Meridian'!A:A,0)),"")</f>
        <v/>
      </c>
      <c r="AP15" s="782" t="str">
        <f t="shared" si="10"/>
        <v/>
      </c>
      <c r="AQ15" s="780" t="str">
        <f t="shared" si="11"/>
        <v/>
      </c>
      <c r="AR15" s="602" t="str">
        <f>IFERROR(INDEX('DT07 Explorer'!H:H,MATCH('Day 1'!A15,'DT07 Explorer'!A:A,0)),"")</f>
        <v/>
      </c>
      <c r="AS15" s="782" t="str">
        <f t="shared" si="12"/>
        <v/>
      </c>
      <c r="AT15" s="7" t="str">
        <f t="shared" si="13"/>
        <v/>
      </c>
      <c r="AV15" s="775">
        <v>-2730000</v>
      </c>
      <c r="AW15" s="776">
        <v>322184160</v>
      </c>
      <c r="AX15" s="7">
        <f t="shared" si="14"/>
        <v>-8.4734147079111519E-3</v>
      </c>
      <c r="AZ15" s="775">
        <f t="shared" si="15"/>
        <v>-1610920.8</v>
      </c>
    </row>
    <row r="16" spans="1:52" x14ac:dyDescent="0.2">
      <c r="A16" s="767" t="s">
        <v>3527</v>
      </c>
      <c r="B16" s="768" t="str">
        <f>IFERROR(VLOOKUP(A16,NoviaFunds[],2,FALSE),"")</f>
        <v>Invesco Tactical Bond (UK) Z Acc TR in GB</v>
      </c>
      <c r="C16" s="778">
        <f>_xll.MSDP(A16,$C$3)</f>
        <v>3</v>
      </c>
      <c r="D16" s="768" t="str">
        <f>IFERROR(VLOOKUP(A16,NoviaFunds[],6,FALSE),"")</f>
        <v>Other Bonds</v>
      </c>
      <c r="E16" s="768" t="s">
        <v>9585</v>
      </c>
      <c r="F16" s="786">
        <f>IFERROR(INDEX('DT04 Prudence'!F:F,MATCH('Day 1'!A16,'DT04 Prudence'!A:A,0)),"")</f>
        <v>0.09</v>
      </c>
      <c r="G16" s="850">
        <f t="shared" si="16"/>
        <v>-1170000</v>
      </c>
      <c r="H16" s="788">
        <f t="shared" si="0"/>
        <v>0</v>
      </c>
      <c r="I16" s="589" t="str">
        <f>IFERROR(IF(INDEX('DT04 Prudence'!$G$4:$G$34,MATCH('Day 1'!A16,'DT04 Prudence'!$A$4:$A$34,0))='Day 1'!H16,"Yes","No"),"")</f>
        <v>Yes</v>
      </c>
      <c r="J16" s="804" t="str">
        <f>IFERROR(INDEX('DT05 Navigator'!F:F,MATCH('Day 1'!A16,'DT05 Navigator'!A:A,0)),"")</f>
        <v/>
      </c>
      <c r="K16" s="787" t="str">
        <f>IFERROR(ROUND(AN16*AZ16,-3),"")</f>
        <v/>
      </c>
      <c r="L16" s="788" t="str">
        <f t="shared" si="1"/>
        <v/>
      </c>
      <c r="M16" s="589" t="str">
        <f>IFERROR(IF(INDEX('DT05 Navigator'!$G$4:$G$37,MATCH('Day 1'!A16,'DT05 Navigator'!$A$4:$A$37,0))='Day 1'!L16,"Yes","No"),"")</f>
        <v/>
      </c>
      <c r="N16" s="804" t="str">
        <f>IFERROR(INDEX('DT06 Meridian'!F:F,MATCH('Day 1'!A16,'DT06 Meridian'!A:A,0)),"")</f>
        <v/>
      </c>
      <c r="O16" s="787" t="str">
        <f t="shared" si="2"/>
        <v/>
      </c>
      <c r="P16" s="788" t="str">
        <f t="shared" si="3"/>
        <v/>
      </c>
      <c r="Q16" s="589" t="str">
        <f>IFERROR(IF(INDEX('DT06 Meridian'!$G$4:$G$37,MATCH('Day 1'!A16,'DT06 Meridian'!$A$4:$A$37,0))='Day 1'!P16,"Yes","No"),"")</f>
        <v/>
      </c>
      <c r="R16" s="804" t="str">
        <f>IFERROR(INDEX('DT07 Explorer'!F:F,MATCH('Day 1'!A16,'DT07 Explorer'!A:A,0)),"")</f>
        <v/>
      </c>
      <c r="S16" s="787" t="str">
        <f t="shared" si="4"/>
        <v/>
      </c>
      <c r="T16" s="788" t="str">
        <f t="shared" si="5"/>
        <v/>
      </c>
      <c r="U16" s="589" t="str">
        <f>IFERROR(IF(INDEX('DT07 Explorer'!$G$4:$G$37,MATCH('Day 1'!A16,'DT07 Explorer'!$A$4:$A$37,0))='Day 1'!T16,"Yes","No"),"")</f>
        <v/>
      </c>
      <c r="AI16" s="773">
        <f>IFERROR(INDEX('DT04 Prudence'!H:H,MATCH('Day 1'!A16,'DT04 Prudence'!A:A,0)),"")</f>
        <v>-0.09</v>
      </c>
      <c r="AJ16" s="782">
        <f t="shared" si="6"/>
        <v>-1170000</v>
      </c>
      <c r="AK16" s="780">
        <f t="shared" si="7"/>
        <v>1</v>
      </c>
      <c r="AL16" s="602" t="str">
        <f>IFERROR(INDEX('DT05 Navigator'!H:H,MATCH('Day 1'!A16,'DT05 Navigator'!A:A,0)),"")</f>
        <v/>
      </c>
      <c r="AM16" s="782" t="str">
        <f t="shared" si="8"/>
        <v/>
      </c>
      <c r="AN16" s="780" t="str">
        <f t="shared" si="9"/>
        <v/>
      </c>
      <c r="AO16" s="602" t="str">
        <f>IFERROR(INDEX('DT06 Meridian'!H:H,MATCH('Day 1'!A16,'DT06 Meridian'!A:A,0)),"")</f>
        <v/>
      </c>
      <c r="AP16" s="782" t="str">
        <f t="shared" si="10"/>
        <v/>
      </c>
      <c r="AQ16" s="780" t="str">
        <f t="shared" si="11"/>
        <v/>
      </c>
      <c r="AR16" s="602" t="str">
        <f>IFERROR(INDEX('DT07 Explorer'!H:H,MATCH('Day 1'!A16,'DT07 Explorer'!A:A,0)),"")</f>
        <v/>
      </c>
      <c r="AS16" s="782" t="str">
        <f t="shared" si="12"/>
        <v/>
      </c>
      <c r="AT16" s="7" t="str">
        <f t="shared" si="13"/>
        <v/>
      </c>
      <c r="AV16" s="775">
        <v>-1170000</v>
      </c>
      <c r="AW16" s="776">
        <v>952602662</v>
      </c>
      <c r="AX16" s="7">
        <f t="shared" si="14"/>
        <v>-1.2282140777809417E-3</v>
      </c>
      <c r="AZ16" s="775">
        <f t="shared" si="15"/>
        <v>-1170000</v>
      </c>
    </row>
    <row r="17" spans="1:52" x14ac:dyDescent="0.2">
      <c r="A17" s="767" t="s">
        <v>15</v>
      </c>
      <c r="B17" s="768" t="str">
        <f>IFERROR(VLOOKUP(A17,NoviaFunds[],2,FALSE),"")</f>
        <v>L&amp;G Short Dated Sterling Corporate Bond Index I Acc in GB</v>
      </c>
      <c r="C17" s="778">
        <f>_xll.MSDP(A17,$C$3)</f>
        <v>4</v>
      </c>
      <c r="D17" s="768" t="str">
        <f>IFERROR(VLOOKUP(A17,NoviaFunds[],6,FALSE),"")</f>
        <v>Sterling Corporate Bonds</v>
      </c>
      <c r="E17" s="768" t="s">
        <v>9585</v>
      </c>
      <c r="F17" s="786">
        <f>IFERROR(INDEX('DT04 Prudence'!F:F,MATCH('Day 1'!A17,'DT04 Prudence'!A:A,0)),"")</f>
        <v>8.5000000000000006E-2</v>
      </c>
      <c r="G17" s="850">
        <f t="shared" si="16"/>
        <v>-520000</v>
      </c>
      <c r="H17" s="788">
        <f t="shared" si="0"/>
        <v>4.5000000000000005E-2</v>
      </c>
      <c r="I17" s="589" t="str">
        <f>IFERROR(IF(INDEX('DT04 Prudence'!$G$4:$G$34,MATCH('Day 1'!A17,'DT04 Prudence'!$A$4:$A$34,0))='Day 1'!H17,"Yes","No"),"")</f>
        <v>Yes</v>
      </c>
      <c r="J17" s="804">
        <f>IFERROR(INDEX('DT05 Navigator'!F:F,MATCH('Day 1'!A17,'DT05 Navigator'!A:A,0)),"")</f>
        <v>0.06</v>
      </c>
      <c r="K17" s="787">
        <f>IFERROR(ROUND(AN17*AZ17,-3),"")</f>
        <v>-1170000</v>
      </c>
      <c r="L17" s="788">
        <f t="shared" si="1"/>
        <v>0.03</v>
      </c>
      <c r="M17" s="589" t="str">
        <f>IFERROR(IF(INDEX('DT05 Navigator'!$G$4:$G$37,MATCH('Day 1'!A17,'DT05 Navigator'!$A$4:$A$37,0))='Day 1'!L17,"Yes","No"),"")</f>
        <v>Yes</v>
      </c>
      <c r="N17" s="804">
        <f>IFERROR(INDEX('DT06 Meridian'!F:F,MATCH('Day 1'!A17,'DT06 Meridian'!A:A,0)),"")</f>
        <v>0</v>
      </c>
      <c r="O17" s="787">
        <f t="shared" si="2"/>
        <v>1800000</v>
      </c>
      <c r="P17" s="788">
        <f t="shared" si="3"/>
        <v>2.4E-2</v>
      </c>
      <c r="Q17" s="589" t="str">
        <f>IFERROR(IF(INDEX('DT06 Meridian'!$G$4:$G$37,MATCH('Day 1'!A17,'DT06 Meridian'!$A$4:$A$37,0))='Day 1'!P17,"Yes","No"),"")</f>
        <v>Yes</v>
      </c>
      <c r="R17" s="804" t="str">
        <f>IFERROR(INDEX('DT07 Explorer'!F:F,MATCH('Day 1'!A17,'DT07 Explorer'!A:A,0)),"")</f>
        <v/>
      </c>
      <c r="S17" s="787" t="str">
        <f t="shared" si="4"/>
        <v/>
      </c>
      <c r="T17" s="788" t="str">
        <f t="shared" si="5"/>
        <v/>
      </c>
      <c r="U17" s="589" t="str">
        <f>IFERROR(IF(INDEX('DT07 Explorer'!$G$4:$G$37,MATCH('Day 1'!A17,'DT07 Explorer'!$A$4:$A$37,0))='Day 1'!T17,"Yes","No"),"")</f>
        <v/>
      </c>
      <c r="AI17" s="773">
        <f>IFERROR(INDEX('DT04 Prudence'!H:H,MATCH('Day 1'!A17,'DT04 Prudence'!A:A,0)),"")</f>
        <v>-4.0000000000000008E-2</v>
      </c>
      <c r="AJ17" s="782">
        <f t="shared" si="6"/>
        <v>-520000.00000000012</v>
      </c>
      <c r="AK17" s="780">
        <f t="shared" si="7"/>
        <v>-4.7272727272727284</v>
      </c>
      <c r="AL17" s="602">
        <f>IFERROR(INDEX('DT05 Navigator'!H:H,MATCH('Day 1'!A17,'DT05 Navigator'!A:A,0)),"")</f>
        <v>-0.03</v>
      </c>
      <c r="AM17" s="782">
        <f t="shared" si="8"/>
        <v>-1170000</v>
      </c>
      <c r="AN17" s="780">
        <f t="shared" si="9"/>
        <v>-10.636363636363637</v>
      </c>
      <c r="AO17" s="602">
        <f>IFERROR(INDEX('DT06 Meridian'!H:H,MATCH('Day 1'!A17,'DT06 Meridian'!A:A,0)),"")</f>
        <v>2.4E-2</v>
      </c>
      <c r="AP17" s="782">
        <f t="shared" si="10"/>
        <v>1800000</v>
      </c>
      <c r="AQ17" s="780">
        <f t="shared" si="11"/>
        <v>16.363636363636363</v>
      </c>
      <c r="AR17" s="602" t="str">
        <f>IFERROR(INDEX('DT07 Explorer'!H:H,MATCH('Day 1'!A17,'DT07 Explorer'!A:A,0)),"")</f>
        <v/>
      </c>
      <c r="AS17" s="782" t="str">
        <f t="shared" si="12"/>
        <v/>
      </c>
      <c r="AT17" s="7" t="str">
        <f t="shared" si="13"/>
        <v/>
      </c>
      <c r="AV17" s="775">
        <v>110000</v>
      </c>
      <c r="AW17" s="776">
        <v>2800587955</v>
      </c>
      <c r="AX17" s="7">
        <f t="shared" si="14"/>
        <v>3.9277466648963005E-5</v>
      </c>
      <c r="AZ17" s="775">
        <f t="shared" si="15"/>
        <v>110000</v>
      </c>
    </row>
    <row r="18" spans="1:52" x14ac:dyDescent="0.2">
      <c r="A18" s="769" t="s">
        <v>6914</v>
      </c>
      <c r="B18" s="768" t="str">
        <f>IFERROR(VLOOKUP(A18,NoviaFunds[],2,FALSE),"")</f>
        <v>Royal London Sterling Credit Z Inc TR in GB</v>
      </c>
      <c r="C18" s="778">
        <f>_xll.MSDP(A18,$C$3)</f>
        <v>3</v>
      </c>
      <c r="D18" s="770" t="str">
        <f>IFERROR(VLOOKUP(A18,NoviaFunds[],6,FALSE),"")</f>
        <v>Sterling Corporate Bonds</v>
      </c>
      <c r="E18" s="768" t="s">
        <v>9585</v>
      </c>
      <c r="F18" s="786">
        <f>IFERROR(INDEX('DT04 Prudence'!F:F,MATCH('Day 1'!A18,'DT04 Prudence'!A:A,0)),"")</f>
        <v>6.5000000000000002E-2</v>
      </c>
      <c r="G18" s="850">
        <f t="shared" si="16"/>
        <v>-260000</v>
      </c>
      <c r="H18" s="788">
        <f t="shared" si="0"/>
        <v>4.4999999999999998E-2</v>
      </c>
      <c r="I18" s="589" t="str">
        <f>IFERROR(IF(INDEX('DT04 Prudence'!$G$4:$G$34,MATCH('Day 1'!A18,'DT04 Prudence'!$A$4:$A$34,0))='Day 1'!H18,"Yes","No"),"")</f>
        <v>Yes</v>
      </c>
      <c r="J18" s="804">
        <f>IFERROR(INDEX('DT05 Navigator'!F:F,MATCH('Day 1'!A18,'DT05 Navigator'!A:A,0)),"")</f>
        <v>0.04</v>
      </c>
      <c r="K18" s="787">
        <f>IFERROR(ROUND(AN18*AZ18,-3),"")</f>
        <v>-390000</v>
      </c>
      <c r="L18" s="788">
        <f t="shared" si="1"/>
        <v>0.03</v>
      </c>
      <c r="M18" s="589" t="str">
        <f>IFERROR(IF(INDEX('DT05 Navigator'!$G$4:$G$37,MATCH('Day 1'!A18,'DT05 Navigator'!$A$4:$A$37,0))='Day 1'!L18,"Yes","No"),"")</f>
        <v>Yes</v>
      </c>
      <c r="N18" s="804">
        <f>IFERROR(INDEX('DT06 Meridian'!F:F,MATCH('Day 1'!A18,'DT06 Meridian'!A:A,0)),"")</f>
        <v>0.04</v>
      </c>
      <c r="O18" s="787">
        <f t="shared" si="2"/>
        <v>-1200000</v>
      </c>
      <c r="P18" s="788">
        <f t="shared" si="3"/>
        <v>2.4E-2</v>
      </c>
      <c r="Q18" s="589" t="str">
        <f>IFERROR(IF(INDEX('DT06 Meridian'!$G$4:$G$37,MATCH('Day 1'!A18,'DT06 Meridian'!$A$4:$A$37,0))='Day 1'!P18,"Yes","No"),"")</f>
        <v>Yes</v>
      </c>
      <c r="R18" s="804" t="str">
        <f>IFERROR(INDEX('DT07 Explorer'!F:F,MATCH('Day 1'!A18,'DT07 Explorer'!A:A,0)),"")</f>
        <v/>
      </c>
      <c r="S18" s="787" t="str">
        <f t="shared" si="4"/>
        <v/>
      </c>
      <c r="T18" s="788" t="str">
        <f t="shared" si="5"/>
        <v/>
      </c>
      <c r="U18" s="589" t="str">
        <f>IFERROR(IF(INDEX('DT07 Explorer'!$G$4:$G$37,MATCH('Day 1'!A18,'DT07 Explorer'!$A$4:$A$37,0))='Day 1'!T18,"Yes","No"),"")</f>
        <v/>
      </c>
      <c r="AI18" s="773">
        <f>IFERROR(INDEX('DT04 Prudence'!H:H,MATCH('Day 1'!A18,'DT04 Prudence'!A:A,0)),"")</f>
        <v>-2.0000000000000004E-2</v>
      </c>
      <c r="AJ18" s="782">
        <f t="shared" si="6"/>
        <v>-260000.00000000006</v>
      </c>
      <c r="AK18" s="780">
        <f t="shared" si="7"/>
        <v>0.14054054054054058</v>
      </c>
      <c r="AL18" s="602">
        <f>IFERROR(INDEX('DT05 Navigator'!H:H,MATCH('Day 1'!A18,'DT05 Navigator'!A:A,0)),"")</f>
        <v>-1.0000000000000002E-2</v>
      </c>
      <c r="AM18" s="782">
        <f t="shared" si="8"/>
        <v>-390000.00000000006</v>
      </c>
      <c r="AN18" s="780">
        <f t="shared" si="9"/>
        <v>0.21081081081081085</v>
      </c>
      <c r="AO18" s="602">
        <f>IFERROR(INDEX('DT06 Meridian'!H:H,MATCH('Day 1'!A18,'DT06 Meridian'!A:A,0)),"")</f>
        <v>-1.6E-2</v>
      </c>
      <c r="AP18" s="782">
        <f t="shared" si="10"/>
        <v>-1200000</v>
      </c>
      <c r="AQ18" s="780">
        <f t="shared" si="11"/>
        <v>0.64864864864864868</v>
      </c>
      <c r="AR18" s="602" t="str">
        <f>IFERROR(INDEX('DT07 Explorer'!H:H,MATCH('Day 1'!A18,'DT07 Explorer'!A:A,0)),"")</f>
        <v/>
      </c>
      <c r="AS18" s="782" t="str">
        <f t="shared" si="12"/>
        <v/>
      </c>
      <c r="AT18" s="7" t="str">
        <f t="shared" si="13"/>
        <v/>
      </c>
      <c r="AV18" s="775">
        <v>-1850000</v>
      </c>
      <c r="AW18" s="776">
        <v>2201730777</v>
      </c>
      <c r="AX18" s="7">
        <f t="shared" si="14"/>
        <v>-8.402480536338526E-4</v>
      </c>
      <c r="AZ18" s="775">
        <f t="shared" si="15"/>
        <v>-1850000</v>
      </c>
    </row>
    <row r="19" spans="1:52" x14ac:dyDescent="0.2">
      <c r="A19" s="767" t="s">
        <v>17</v>
      </c>
      <c r="B19" s="777" t="str">
        <f>IFERROR(VLOOKUP(A19,NoviaFunds[],2,FALSE),"")</f>
        <v>Vanguard UK Short-Term Investment Grade Bond Index Acc</v>
      </c>
      <c r="C19" s="778">
        <f>_xll.MSDP(A19,$C$3)</f>
        <v>2</v>
      </c>
      <c r="D19" s="768" t="str">
        <f>IFERROR(VLOOKUP(A19,NoviaFunds[],6,FALSE),"")</f>
        <v>Sterling Corporate Bonds</v>
      </c>
      <c r="E19" s="768" t="s">
        <v>9585</v>
      </c>
      <c r="F19" s="786">
        <f>IFERROR(INDEX('DT04 Prudence'!F:F,MATCH('Day 1'!A19,'DT04 Prudence'!A:A,0)),"")</f>
        <v>0</v>
      </c>
      <c r="G19" s="787"/>
      <c r="H19" s="788">
        <f t="shared" si="0"/>
        <v>0</v>
      </c>
      <c r="I19" s="589" t="str">
        <f>IFERROR(IF(INDEX('DT04 Prudence'!$G$4:$G$34,MATCH('Day 1'!A19,'DT04 Prudence'!$A$4:$A$34,0))='Day 1'!H19,"Yes","No"),"")</f>
        <v>No</v>
      </c>
      <c r="J19" s="804">
        <f>IFERROR(INDEX('DT05 Navigator'!F:F,MATCH('Day 1'!A19,'DT05 Navigator'!A:A,0)),"")</f>
        <v>0</v>
      </c>
      <c r="K19" s="787"/>
      <c r="L19" s="788">
        <f t="shared" si="1"/>
        <v>0</v>
      </c>
      <c r="M19" s="589" t="str">
        <f>IFERROR(IF(INDEX('DT05 Navigator'!$G$4:$G$37,MATCH('Day 1'!A19,'DT05 Navigator'!$A$4:$A$37,0))='Day 1'!L19,"Yes","No"),"")</f>
        <v>No</v>
      </c>
      <c r="N19" s="804">
        <f>IFERROR(INDEX('DT06 Meridian'!F:F,MATCH('Day 1'!A19,'DT06 Meridian'!A:A,0)),"")</f>
        <v>0</v>
      </c>
      <c r="O19" s="787"/>
      <c r="P19" s="788">
        <f t="shared" si="3"/>
        <v>0</v>
      </c>
      <c r="Q19" s="589" t="str">
        <f>IFERROR(IF(INDEX('DT06 Meridian'!$G$4:$G$37,MATCH('Day 1'!A19,'DT06 Meridian'!$A$4:$A$37,0))='Day 1'!P19,"Yes","No"),"")</f>
        <v>No</v>
      </c>
      <c r="R19" s="804" t="str">
        <f>IFERROR(INDEX('DT07 Explorer'!F:F,MATCH('Day 1'!A19,'DT07 Explorer'!A:A,0)),"")</f>
        <v/>
      </c>
      <c r="S19" s="787" t="str">
        <f t="shared" si="4"/>
        <v/>
      </c>
      <c r="T19" s="788" t="str">
        <f t="shared" si="5"/>
        <v/>
      </c>
      <c r="U19" s="589" t="str">
        <f>IFERROR(IF(INDEX('DT07 Explorer'!$G$4:$G$37,MATCH('Day 1'!A19,'DT07 Explorer'!$A$4:$A$37,0))='Day 1'!T19,"Yes","No"),"")</f>
        <v/>
      </c>
      <c r="AI19" s="773">
        <f>IFERROR(INDEX('DT04 Prudence'!H:H,MATCH('Day 1'!A19,'DT04 Prudence'!A:A,0)),"")</f>
        <v>0.06</v>
      </c>
      <c r="AJ19" s="782">
        <f t="shared" si="6"/>
        <v>780000</v>
      </c>
      <c r="AK19" s="780">
        <f t="shared" si="7"/>
        <v>0.16455696202531644</v>
      </c>
      <c r="AL19" s="602">
        <f>IFERROR(INDEX('DT05 Navigator'!H:H,MATCH('Day 1'!A19,'DT05 Navigator'!A:A,0)),"")</f>
        <v>0.04</v>
      </c>
      <c r="AM19" s="782">
        <f t="shared" si="8"/>
        <v>1560000</v>
      </c>
      <c r="AN19" s="780">
        <f t="shared" si="9"/>
        <v>0.32911392405063289</v>
      </c>
      <c r="AO19" s="602">
        <f>IFERROR(INDEX('DT06 Meridian'!H:H,MATCH('Day 1'!A19,'DT06 Meridian'!A:A,0)),"")</f>
        <v>3.2000000000000001E-2</v>
      </c>
      <c r="AP19" s="782">
        <f t="shared" si="10"/>
        <v>2400000</v>
      </c>
      <c r="AQ19" s="780">
        <f t="shared" si="11"/>
        <v>0.50632911392405067</v>
      </c>
      <c r="AR19" s="602" t="str">
        <f>IFERROR(INDEX('DT07 Explorer'!H:H,MATCH('Day 1'!A19,'DT07 Explorer'!A:A,0)),"")</f>
        <v/>
      </c>
      <c r="AS19" s="782" t="str">
        <f t="shared" si="12"/>
        <v/>
      </c>
      <c r="AT19" s="7" t="str">
        <f t="shared" si="13"/>
        <v/>
      </c>
      <c r="AV19" s="775">
        <v>4740000</v>
      </c>
      <c r="AW19" s="776">
        <v>2395742067</v>
      </c>
      <c r="AX19" s="7">
        <f t="shared" si="14"/>
        <v>1.9785101515270927E-3</v>
      </c>
      <c r="AZ19" s="775">
        <f t="shared" si="15"/>
        <v>4740000</v>
      </c>
    </row>
    <row r="20" spans="1:52" x14ac:dyDescent="0.2">
      <c r="A20" s="767" t="s">
        <v>9544</v>
      </c>
      <c r="B20" s="768" t="str">
        <f>IFERROR(VLOOKUP(A20,NoviaFunds[],2,FALSE),"")</f>
        <v>iShares £ Index-Linked Gilts UCITS ETF</v>
      </c>
      <c r="C20" s="778">
        <f>_xll.MSDP(A20,$C$3)</f>
        <v>4</v>
      </c>
      <c r="D20" s="768" t="str">
        <f>IFERROR(VLOOKUP(A20,NoviaFunds[],6,FALSE),"")</f>
        <v>UK Index Linked Gilts</v>
      </c>
      <c r="E20" s="768" t="s">
        <v>9585</v>
      </c>
      <c r="F20" s="786">
        <f>IFERROR(INDEX('DT04 Prudence'!F:F,MATCH('Day 1'!A20,'DT04 Prudence'!A:A,0)),"")</f>
        <v>0</v>
      </c>
      <c r="G20" s="850">
        <f t="shared" si="16"/>
        <v>1040000</v>
      </c>
      <c r="H20" s="788">
        <f t="shared" si="0"/>
        <v>0.08</v>
      </c>
      <c r="I20" s="589" t="str">
        <f>IFERROR(IF(INDEX('DT04 Prudence'!$G$4:$G$34,MATCH('Day 1'!A20,'DT04 Prudence'!$A$4:$A$34,0))='Day 1'!H20,"Yes","No"),"")</f>
        <v>Yes</v>
      </c>
      <c r="J20" s="804">
        <f>IFERROR(INDEX('DT05 Navigator'!F:F,MATCH('Day 1'!A20,'DT05 Navigator'!A:A,0)),"")</f>
        <v>0</v>
      </c>
      <c r="K20" s="787">
        <f>IFERROR(ROUND(AN20*AZ20,-3),"")</f>
        <v>1560000</v>
      </c>
      <c r="L20" s="788">
        <f t="shared" si="1"/>
        <v>0.04</v>
      </c>
      <c r="M20" s="589" t="str">
        <f>IFERROR(IF(INDEX('DT05 Navigator'!$G$4:$G$37,MATCH('Day 1'!A20,'DT05 Navigator'!$A$4:$A$37,0))='Day 1'!L20,"Yes","No"),"")</f>
        <v>Yes</v>
      </c>
      <c r="N20" s="804" t="str">
        <f>IFERROR(INDEX('DT06 Meridian'!F:F,MATCH('Day 1'!A20,'DT06 Meridian'!A:A,0)),"")</f>
        <v/>
      </c>
      <c r="O20" s="787" t="str">
        <f t="shared" si="2"/>
        <v/>
      </c>
      <c r="P20" s="788" t="str">
        <f t="shared" si="3"/>
        <v/>
      </c>
      <c r="Q20" s="589" t="str">
        <f>IFERROR(IF(INDEX('DT06 Meridian'!$G$4:$G$37,MATCH('Day 1'!A20,'DT06 Meridian'!$A$4:$A$37,0))='Day 1'!P20,"Yes","No"),"")</f>
        <v/>
      </c>
      <c r="R20" s="804" t="str">
        <f>IFERROR(INDEX('DT07 Explorer'!F:F,MATCH('Day 1'!A20,'DT07 Explorer'!A:A,0)),"")</f>
        <v/>
      </c>
      <c r="S20" s="787" t="str">
        <f t="shared" si="4"/>
        <v/>
      </c>
      <c r="T20" s="788" t="str">
        <f t="shared" si="5"/>
        <v/>
      </c>
      <c r="U20" s="589" t="str">
        <f>IFERROR(IF(INDEX('DT07 Explorer'!$G$4:$G$37,MATCH('Day 1'!A20,'DT07 Explorer'!$A$4:$A$37,0))='Day 1'!T20,"Yes","No"),"")</f>
        <v/>
      </c>
      <c r="AI20" s="773">
        <f>IFERROR(INDEX('DT04 Prudence'!H:H,MATCH('Day 1'!A20,'DT04 Prudence'!A:A,0)),"")</f>
        <v>0.08</v>
      </c>
      <c r="AJ20" s="782">
        <f t="shared" si="6"/>
        <v>1040000</v>
      </c>
      <c r="AK20" s="780">
        <f t="shared" si="7"/>
        <v>0.4</v>
      </c>
      <c r="AL20" s="602">
        <f>IFERROR(INDEX('DT05 Navigator'!H:H,MATCH('Day 1'!A20,'DT05 Navigator'!A:A,0)),"")</f>
        <v>0.04</v>
      </c>
      <c r="AM20" s="782">
        <f t="shared" si="8"/>
        <v>1560000</v>
      </c>
      <c r="AN20" s="780">
        <f t="shared" si="9"/>
        <v>0.6</v>
      </c>
      <c r="AO20" s="602" t="str">
        <f>IFERROR(INDEX('DT06 Meridian'!H:H,MATCH('Day 1'!A20,'DT06 Meridian'!A:A,0)),"")</f>
        <v/>
      </c>
      <c r="AP20" s="782" t="str">
        <f t="shared" si="10"/>
        <v/>
      </c>
      <c r="AQ20" s="780" t="str">
        <f t="shared" si="11"/>
        <v/>
      </c>
      <c r="AR20" s="602" t="str">
        <f>IFERROR(INDEX('DT07 Explorer'!H:H,MATCH('Day 1'!A20,'DT07 Explorer'!A:A,0)),"")</f>
        <v/>
      </c>
      <c r="AS20" s="782" t="str">
        <f t="shared" si="12"/>
        <v/>
      </c>
      <c r="AT20" s="7" t="str">
        <f t="shared" si="13"/>
        <v/>
      </c>
      <c r="AV20" s="775">
        <v>2600000</v>
      </c>
      <c r="AW20" s="776">
        <v>775623734</v>
      </c>
      <c r="AX20" s="7">
        <f t="shared" si="14"/>
        <v>3.3521408461696196E-3</v>
      </c>
      <c r="AZ20" s="775">
        <f t="shared" si="15"/>
        <v>2600000</v>
      </c>
    </row>
    <row r="21" spans="1:52" x14ac:dyDescent="0.2">
      <c r="A21" s="767" t="s">
        <v>11</v>
      </c>
      <c r="B21" s="696" t="s">
        <v>11</v>
      </c>
      <c r="C21" s="696">
        <v>0</v>
      </c>
      <c r="D21" s="696"/>
      <c r="E21" s="768" t="s">
        <v>11</v>
      </c>
      <c r="F21" s="786">
        <f>IFERROR(INDEX('DT04 Prudence'!F:F,MATCH('Day 1'!A21,'DT04 Prudence'!A:A,0)),"")</f>
        <v>0.02</v>
      </c>
      <c r="G21" s="787">
        <v>942499.99999999988</v>
      </c>
      <c r="H21" s="788">
        <v>0.1135</v>
      </c>
      <c r="I21" s="589" t="str">
        <f>IFERROR(IF(INDEX('DT04 Prudence'!$G$4:$G$34,MATCH('Day 1'!A21,'DT04 Prudence'!$A$4:$A$34,0))='Day 1'!H21,"Yes","No"),"")</f>
        <v>No</v>
      </c>
      <c r="J21" s="804">
        <f>IFERROR(INDEX('DT05 Navigator'!F:F,MATCH('Day 1'!A21,'DT05 Navigator'!A:A,0)),"")</f>
        <v>0.02</v>
      </c>
      <c r="K21" s="787"/>
      <c r="L21" s="788">
        <v>6.1699999999999998E-2</v>
      </c>
      <c r="M21" s="589" t="str">
        <f>IFERROR(IF(INDEX('DT05 Navigator'!$G$4:$G$37,MATCH('Day 1'!A21,'DT05 Navigator'!$A$4:$A$37,0))='Day 1'!L21,"Yes","No"),"")</f>
        <v>No</v>
      </c>
      <c r="N21" s="804">
        <f>IFERROR(INDEX('DT06 Meridian'!F:F,MATCH('Day 1'!A21,'DT06 Meridian'!A:A,0)),"")</f>
        <v>0.02</v>
      </c>
      <c r="O21" s="787"/>
      <c r="P21" s="788">
        <v>5.5899999999999998E-2</v>
      </c>
      <c r="Q21" s="589" t="str">
        <f>IFERROR(IF(INDEX('DT06 Meridian'!$G$4:$G$37,MATCH('Day 1'!A21,'DT06 Meridian'!$A$4:$A$37,0))='Day 1'!P21,"Yes","No"),"")</f>
        <v>No</v>
      </c>
      <c r="R21" s="804">
        <f>IFERROR(INDEX('DT07 Explorer'!F:F,MATCH('Day 1'!A21,'DT07 Explorer'!A:A,0)),"")</f>
        <v>0.02</v>
      </c>
      <c r="S21" s="787">
        <f t="shared" si="4"/>
        <v>0</v>
      </c>
      <c r="T21" s="788">
        <v>1.44E-2</v>
      </c>
      <c r="U21" s="589" t="str">
        <f>IFERROR(IF(INDEX('DT07 Explorer'!$G$4:$G$37,MATCH('Day 1'!A21,'DT07 Explorer'!$A$4:$A$37,0))='Day 1'!T21,"Yes","No"),"")</f>
        <v>No</v>
      </c>
      <c r="AI21" s="773">
        <f>IFERROR(INDEX('DT04 Prudence'!H:H,MATCH('Day 1'!A21,'DT04 Prudence'!A:A,0)),"")</f>
        <v>9.9999999999999992E-2</v>
      </c>
      <c r="AJ21" s="782">
        <f t="shared" si="6"/>
        <v>1300000</v>
      </c>
      <c r="AK21" s="780">
        <f t="shared" si="7"/>
        <v>0.17520215633423181</v>
      </c>
      <c r="AL21" s="602">
        <f>IFERROR(INDEX('DT05 Navigator'!H:H,MATCH('Day 1'!A21,'DT05 Navigator'!A:A,0)),"")</f>
        <v>0.08</v>
      </c>
      <c r="AM21" s="782">
        <f t="shared" si="8"/>
        <v>3120000</v>
      </c>
      <c r="AN21" s="780">
        <f t="shared" si="9"/>
        <v>0.42048517520215634</v>
      </c>
      <c r="AO21" s="602">
        <f>IFERROR(INDEX('DT06 Meridian'!H:H,MATCH('Day 1'!A21,'DT06 Meridian'!A:A,0)),"")</f>
        <v>3.9999999999999994E-2</v>
      </c>
      <c r="AP21" s="782">
        <f t="shared" si="10"/>
        <v>2999999.9999999995</v>
      </c>
      <c r="AQ21" s="780">
        <f t="shared" si="11"/>
        <v>0.4043126684636118</v>
      </c>
      <c r="AR21" s="602">
        <f>IFERROR(INDEX('DT07 Explorer'!H:H,MATCH('Day 1'!A21,'DT07 Explorer'!A:A,0)),"")</f>
        <v>0</v>
      </c>
      <c r="AS21" s="782">
        <f t="shared" si="12"/>
        <v>0</v>
      </c>
      <c r="AT21" s="7">
        <f t="shared" si="13"/>
        <v>0</v>
      </c>
      <c r="AV21" s="775">
        <v>7420000</v>
      </c>
      <c r="AW21" s="776">
        <v>10000000000</v>
      </c>
      <c r="AX21" s="7">
        <f t="shared" si="14"/>
        <v>7.4200000000000004E-4</v>
      </c>
      <c r="AZ21" s="775">
        <f t="shared" si="15"/>
        <v>7420000</v>
      </c>
    </row>
    <row r="22" spans="1:52" x14ac:dyDescent="0.2">
      <c r="A22" s="767" t="s">
        <v>53</v>
      </c>
      <c r="B22" s="768" t="str">
        <f>IFERROR(VLOOKUP(A22,NoviaFunds[],2,FALSE),"")</f>
        <v>Federated Hermes Global Emerging Markets F Acc</v>
      </c>
      <c r="C22" s="778">
        <f>_xll.MSDP(A22,$C$3)</f>
        <v>4</v>
      </c>
      <c r="D22" s="768" t="str">
        <f>IFERROR(VLOOKUP(A22,NoviaFunds[],6,FALSE),"")</f>
        <v>Emerging Markets</v>
      </c>
      <c r="E22" s="768" t="s">
        <v>36</v>
      </c>
      <c r="F22" s="786">
        <f>IFERROR(INDEX('DT04 Prudence'!F:F,MATCH('Day 1'!A22,'DT04 Prudence'!A:A,0)),"")</f>
        <v>0.04</v>
      </c>
      <c r="G22" s="850">
        <f t="shared" si="16"/>
        <v>-520000</v>
      </c>
      <c r="H22" s="788">
        <f t="shared" si="0"/>
        <v>0</v>
      </c>
      <c r="I22" s="589" t="str">
        <f>IFERROR(IF(INDEX('DT04 Prudence'!$G$4:$G$34,MATCH('Day 1'!A22,'DT04 Prudence'!$A$4:$A$34,0))='Day 1'!H22,"Yes","No"),"")</f>
        <v>Yes</v>
      </c>
      <c r="J22" s="804">
        <f>IFERROR(INDEX('DT05 Navigator'!F:F,MATCH('Day 1'!A22,'DT05 Navigator'!A:A,0)),"")</f>
        <v>3.5000000000000003E-2</v>
      </c>
      <c r="K22" s="787">
        <f>IFERROR(ROUND(AN22*AZ22,-3),"")</f>
        <v>-1365000</v>
      </c>
      <c r="L22" s="788">
        <f t="shared" si="1"/>
        <v>0</v>
      </c>
      <c r="M22" s="589" t="str">
        <f>IFERROR(IF(INDEX('DT05 Navigator'!$G$4:$G$37,MATCH('Day 1'!A22,'DT05 Navigator'!$A$4:$A$37,0))='Day 1'!L22,"Yes","No"),"")</f>
        <v>Yes</v>
      </c>
      <c r="N22" s="804">
        <f>IFERROR(INDEX('DT06 Meridian'!F:F,MATCH('Day 1'!A22,'DT06 Meridian'!A:A,0)),"")</f>
        <v>0.06</v>
      </c>
      <c r="O22" s="787">
        <f t="shared" si="2"/>
        <v>-3000000</v>
      </c>
      <c r="P22" s="788">
        <f t="shared" si="3"/>
        <v>1.9999999999999997E-2</v>
      </c>
      <c r="Q22" s="589" t="str">
        <f>IFERROR(IF(INDEX('DT06 Meridian'!$G$4:$G$37,MATCH('Day 1'!A22,'DT06 Meridian'!$A$4:$A$37,0))='Day 1'!P22,"Yes","No"),"")</f>
        <v>Yes</v>
      </c>
      <c r="R22" s="804">
        <f>IFERROR(INDEX('DT07 Explorer'!F:F,MATCH('Day 1'!A22,'DT07 Explorer'!A:A,0)),"")</f>
        <v>0.05</v>
      </c>
      <c r="S22" s="787">
        <f t="shared" si="4"/>
        <v>-1272000</v>
      </c>
      <c r="T22" s="788">
        <f t="shared" si="5"/>
        <v>2.6000000000000002E-2</v>
      </c>
      <c r="U22" s="589" t="str">
        <f>IFERROR(IF(INDEX('DT07 Explorer'!$G$4:$G$37,MATCH('Day 1'!A22,'DT07 Explorer'!$A$4:$A$37,0))='Day 1'!T22,"Yes","No"),"")</f>
        <v>Yes</v>
      </c>
      <c r="AI22" s="773">
        <f>IFERROR(INDEX('DT04 Prudence'!H:H,MATCH('Day 1'!A22,'DT04 Prudence'!A:A,0)),"")</f>
        <v>-0.04</v>
      </c>
      <c r="AJ22" s="782">
        <f t="shared" si="6"/>
        <v>-520000</v>
      </c>
      <c r="AK22" s="780">
        <f t="shared" si="7"/>
        <v>8.4456715933084292E-2</v>
      </c>
      <c r="AL22" s="602">
        <f>IFERROR(INDEX('DT05 Navigator'!H:H,MATCH('Day 1'!A22,'DT05 Navigator'!A:A,0)),"")</f>
        <v>-3.5000000000000003E-2</v>
      </c>
      <c r="AM22" s="782">
        <f t="shared" si="8"/>
        <v>-1365000.0000000002</v>
      </c>
      <c r="AN22" s="780">
        <f t="shared" si="9"/>
        <v>0.22169887932434632</v>
      </c>
      <c r="AO22" s="602">
        <f>IFERROR(INDEX('DT06 Meridian'!H:H,MATCH('Day 1'!A22,'DT06 Meridian'!A:A,0)),"")</f>
        <v>-3.9999999999999994E-2</v>
      </c>
      <c r="AP22" s="782">
        <f t="shared" si="10"/>
        <v>-2999999.9999999995</v>
      </c>
      <c r="AQ22" s="780">
        <f t="shared" si="11"/>
        <v>0.48725028422933236</v>
      </c>
      <c r="AR22" s="602">
        <f>IFERROR(INDEX('DT07 Explorer'!H:H,MATCH('Day 1'!A22,'DT07 Explorer'!A:A,0)),"")</f>
        <v>-2.4000000000000004E-2</v>
      </c>
      <c r="AS22" s="782">
        <f t="shared" si="12"/>
        <v>-1272000.0000000002</v>
      </c>
      <c r="AT22" s="7">
        <f t="shared" si="13"/>
        <v>0.206594120513237</v>
      </c>
      <c r="AV22" s="775">
        <v>-6157000</v>
      </c>
      <c r="AW22" s="776">
        <v>3805656021</v>
      </c>
      <c r="AX22" s="7">
        <f t="shared" si="14"/>
        <v>-1.6178550993639579E-3</v>
      </c>
      <c r="AZ22" s="775">
        <f t="shared" si="15"/>
        <v>-6157000</v>
      </c>
    </row>
    <row r="23" spans="1:52" x14ac:dyDescent="0.2">
      <c r="A23" s="695" t="s">
        <v>59</v>
      </c>
      <c r="B23" s="768" t="s">
        <v>8915</v>
      </c>
      <c r="C23" s="778">
        <f>_xll.MSDP(A23,$C$3)</f>
        <v>3</v>
      </c>
      <c r="D23" s="696" t="s">
        <v>36</v>
      </c>
      <c r="E23" s="768" t="s">
        <v>36</v>
      </c>
      <c r="F23" s="786" t="str">
        <f>IFERROR(INDEX('DT04 Prudence'!F:F,MATCH('Day 1'!A23,'DT04 Prudence'!A:A,0)),"")</f>
        <v/>
      </c>
      <c r="G23" s="787" t="str">
        <f t="shared" si="16"/>
        <v/>
      </c>
      <c r="H23" s="788" t="str">
        <f t="shared" si="0"/>
        <v/>
      </c>
      <c r="I23" s="589" t="str">
        <f>IFERROR(IF(INDEX('DT04 Prudence'!$G$4:$G$34,MATCH('Day 1'!A23,'DT04 Prudence'!$A$4:$A$34,0))='Day 1'!H23,"Yes","No"),"")</f>
        <v/>
      </c>
      <c r="J23" s="804">
        <f>IFERROR(INDEX('DT05 Navigator'!F:F,MATCH('Day 1'!A23,'DT05 Navigator'!A:A,0)),"")</f>
        <v>3.5000000000000003E-2</v>
      </c>
      <c r="K23" s="787">
        <f>IFERROR(ROUND(AN23*AZ23,-3),"")</f>
        <v>-585000</v>
      </c>
      <c r="L23" s="788">
        <f t="shared" si="1"/>
        <v>2.0000000000000004E-2</v>
      </c>
      <c r="M23" s="589" t="str">
        <f>IFERROR(IF(INDEX('DT05 Navigator'!$G$4:$G$37,MATCH('Day 1'!A23,'DT05 Navigator'!$A$4:$A$37,0))='Day 1'!L23,"Yes","No"),"")</f>
        <v>Yes</v>
      </c>
      <c r="N23" s="804">
        <f>IFERROR(INDEX('DT06 Meridian'!F:F,MATCH('Day 1'!A23,'DT06 Meridian'!A:A,0)),"")</f>
        <v>0.06</v>
      </c>
      <c r="O23" s="787">
        <f t="shared" si="2"/>
        <v>-2250000</v>
      </c>
      <c r="P23" s="788">
        <f t="shared" si="3"/>
        <v>0.03</v>
      </c>
      <c r="Q23" s="589" t="str">
        <f>IFERROR(IF(INDEX('DT06 Meridian'!$G$4:$G$37,MATCH('Day 1'!A23,'DT06 Meridian'!$A$4:$A$37,0))='Day 1'!P23,"Yes","No"),"")</f>
        <v>Yes</v>
      </c>
      <c r="R23" s="804">
        <f>IFERROR(INDEX('DT07 Explorer'!F:F,MATCH('Day 1'!A23,'DT07 Explorer'!A:A,0)),"")</f>
        <v>0.05</v>
      </c>
      <c r="S23" s="787">
        <f t="shared" si="4"/>
        <v>-583000</v>
      </c>
      <c r="T23" s="788">
        <f t="shared" si="5"/>
        <v>3.9000000000000007E-2</v>
      </c>
      <c r="U23" s="589" t="str">
        <f>IFERROR(IF(INDEX('DT07 Explorer'!$G$4:$G$37,MATCH('Day 1'!A23,'DT07 Explorer'!$A$4:$A$37,0))='Day 1'!T23,"Yes","No"),"")</f>
        <v>Yes</v>
      </c>
      <c r="AI23" s="773" t="str">
        <f>IFERROR(INDEX('DT04 Prudence'!H:H,MATCH('Day 1'!A23,'DT04 Prudence'!A:A,0)),"")</f>
        <v/>
      </c>
      <c r="AJ23" s="782" t="str">
        <f t="shared" si="6"/>
        <v/>
      </c>
      <c r="AK23" s="780" t="str">
        <f t="shared" si="7"/>
        <v/>
      </c>
      <c r="AL23" s="602">
        <f>IFERROR(INDEX('DT05 Navigator'!H:H,MATCH('Day 1'!A23,'DT05 Navigator'!A:A,0)),"")</f>
        <v>-1.5000000000000003E-2</v>
      </c>
      <c r="AM23" s="782">
        <f t="shared" si="8"/>
        <v>-585000.00000000012</v>
      </c>
      <c r="AN23" s="780">
        <f t="shared" si="9"/>
        <v>0.17115272088940905</v>
      </c>
      <c r="AO23" s="602">
        <f>IFERROR(INDEX('DT06 Meridian'!H:H,MATCH('Day 1'!A23,'DT06 Meridian'!A:A,0)),"")</f>
        <v>-0.03</v>
      </c>
      <c r="AP23" s="782">
        <f t="shared" si="10"/>
        <v>-2250000</v>
      </c>
      <c r="AQ23" s="780">
        <f t="shared" si="11"/>
        <v>0.65827969572849621</v>
      </c>
      <c r="AR23" s="602">
        <f>IFERROR(INDEX('DT07 Explorer'!H:H,MATCH('Day 1'!A23,'DT07 Explorer'!A:A,0)),"")</f>
        <v>-1.1000000000000003E-2</v>
      </c>
      <c r="AS23" s="782">
        <f t="shared" si="12"/>
        <v>-583000.00000000012</v>
      </c>
      <c r="AT23" s="7">
        <f t="shared" si="13"/>
        <v>0.17056758338209482</v>
      </c>
      <c r="AV23" s="775">
        <v>-3418000</v>
      </c>
      <c r="AW23" s="776">
        <v>792001903</v>
      </c>
      <c r="AX23" s="7">
        <f t="shared" si="14"/>
        <v>-4.3156461961177889E-3</v>
      </c>
      <c r="AZ23" s="775">
        <f t="shared" si="15"/>
        <v>-3418000</v>
      </c>
    </row>
    <row r="24" spans="1:52" x14ac:dyDescent="0.2">
      <c r="A24" s="695" t="s">
        <v>66</v>
      </c>
      <c r="B24" s="768" t="s">
        <v>3968</v>
      </c>
      <c r="C24" s="778">
        <v>3</v>
      </c>
      <c r="D24" s="696" t="s">
        <v>36</v>
      </c>
      <c r="E24" s="768" t="s">
        <v>36</v>
      </c>
      <c r="F24" s="786" t="str">
        <f>IFERROR(INDEX('DT04 Prudence'!F:F,MATCH('Day 1'!A24,'DT04 Prudence'!A:A,0)),"")</f>
        <v/>
      </c>
      <c r="G24" s="787" t="str">
        <f t="shared" si="16"/>
        <v/>
      </c>
      <c r="H24" s="788" t="str">
        <f t="shared" si="0"/>
        <v/>
      </c>
      <c r="I24" s="589" t="str">
        <f>IFERROR(IF(INDEX('DT04 Prudence'!$G$4:$G$34,MATCH('Day 1'!A24,'DT04 Prudence'!$A$4:$A$34,0))='Day 1'!H24,"Yes","No"),"")</f>
        <v/>
      </c>
      <c r="J24" s="804">
        <f>IFERROR(INDEX('DT05 Navigator'!F:F,MATCH('Day 1'!A24,'DT05 Navigator'!A:A,0)),"")</f>
        <v>0</v>
      </c>
      <c r="K24" s="787">
        <f>IFERROR(ROUND(AN24*AZ24,-3),"")</f>
        <v>780000</v>
      </c>
      <c r="L24" s="788">
        <f t="shared" si="1"/>
        <v>0.02</v>
      </c>
      <c r="M24" s="589" t="str">
        <f>IFERROR(IF(INDEX('DT05 Navigator'!$G$4:$G$37,MATCH('Day 1'!A24,'DT05 Navigator'!$A$4:$A$37,0))='Day 1'!L24,"Yes","No"),"")</f>
        <v>Yes</v>
      </c>
      <c r="N24" s="804">
        <f>IFERROR(INDEX('DT06 Meridian'!F:F,MATCH('Day 1'!A24,'DT06 Meridian'!A:A,0)),"")</f>
        <v>0</v>
      </c>
      <c r="O24" s="787">
        <f t="shared" si="2"/>
        <v>2250000</v>
      </c>
      <c r="P24" s="788">
        <f t="shared" si="3"/>
        <v>0.03</v>
      </c>
      <c r="Q24" s="589" t="str">
        <f>IFERROR(IF(INDEX('DT06 Meridian'!$G$4:$G$37,MATCH('Day 1'!A24,'DT06 Meridian'!$A$4:$A$37,0))='Day 1'!P24,"Yes","No"),"")</f>
        <v>Yes</v>
      </c>
      <c r="R24" s="804">
        <f>IFERROR(INDEX('DT07 Explorer'!F:F,MATCH('Day 1'!A24,'DT07 Explorer'!A:A,0)),"")</f>
        <v>0.05</v>
      </c>
      <c r="S24" s="787">
        <f t="shared" si="4"/>
        <v>-583000</v>
      </c>
      <c r="T24" s="788">
        <f t="shared" si="5"/>
        <v>3.9000000000000007E-2</v>
      </c>
      <c r="U24" s="589" t="str">
        <f>IFERROR(IF(INDEX('DT07 Explorer'!$G$4:$G$37,MATCH('Day 1'!A24,'DT07 Explorer'!$A$4:$A$37,0))='Day 1'!T24,"Yes","No"),"")</f>
        <v>Yes</v>
      </c>
      <c r="AI24" s="773" t="str">
        <f>IFERROR(INDEX('DT04 Prudence'!H:H,MATCH('Day 1'!A24,'DT04 Prudence'!A:A,0)),"")</f>
        <v/>
      </c>
      <c r="AJ24" s="782" t="str">
        <f t="shared" si="6"/>
        <v/>
      </c>
      <c r="AK24" s="780" t="str">
        <f t="shared" si="7"/>
        <v/>
      </c>
      <c r="AL24" s="602">
        <f>IFERROR(INDEX('DT05 Navigator'!H:H,MATCH('Day 1'!A24,'DT05 Navigator'!A:A,0)),"")</f>
        <v>0.02</v>
      </c>
      <c r="AM24" s="782">
        <f t="shared" si="8"/>
        <v>780000</v>
      </c>
      <c r="AN24" s="780">
        <f t="shared" si="9"/>
        <v>0.31875766244380876</v>
      </c>
      <c r="AO24" s="602">
        <f>IFERROR(INDEX('DT06 Meridian'!H:H,MATCH('Day 1'!A24,'DT06 Meridian'!A:A,0)),"")</f>
        <v>0.03</v>
      </c>
      <c r="AP24" s="782">
        <f t="shared" si="10"/>
        <v>2250000</v>
      </c>
      <c r="AQ24" s="780">
        <f t="shared" si="11"/>
        <v>0.91949325704944829</v>
      </c>
      <c r="AR24" s="602">
        <f>IFERROR(INDEX('DT07 Explorer'!H:H,MATCH('Day 1'!A24,'DT07 Explorer'!A:A,0)),"")</f>
        <v>-1.1000000000000003E-2</v>
      </c>
      <c r="AS24" s="782">
        <f t="shared" si="12"/>
        <v>-583000.00000000012</v>
      </c>
      <c r="AT24" s="7">
        <f t="shared" si="13"/>
        <v>-0.23825091949325711</v>
      </c>
      <c r="AV24" s="775">
        <v>2447000</v>
      </c>
      <c r="AW24" s="776">
        <v>608757586</v>
      </c>
      <c r="AX24" s="7">
        <f t="shared" si="14"/>
        <v>4.0196624342353571E-3</v>
      </c>
      <c r="AZ24" s="775">
        <f t="shared" si="15"/>
        <v>2447000</v>
      </c>
    </row>
    <row r="25" spans="1:52" x14ac:dyDescent="0.2">
      <c r="A25" s="695" t="s">
        <v>67</v>
      </c>
      <c r="B25" s="777" t="s">
        <v>8302</v>
      </c>
      <c r="C25" s="778">
        <f>_xll.MSDP(A25,$C$3)</f>
        <v>4</v>
      </c>
      <c r="D25" s="696" t="s">
        <v>36</v>
      </c>
      <c r="E25" s="768" t="s">
        <v>36</v>
      </c>
      <c r="F25" s="786" t="str">
        <f>IFERROR(INDEX('DT04 Prudence'!F:F,MATCH('Day 1'!A25,'DT04 Prudence'!A:A,0)),"")</f>
        <v/>
      </c>
      <c r="G25" s="787" t="str">
        <f t="shared" si="16"/>
        <v/>
      </c>
      <c r="H25" s="788" t="str">
        <f t="shared" si="0"/>
        <v/>
      </c>
      <c r="I25" s="589" t="str">
        <f>IFERROR(IF(INDEX('DT04 Prudence'!$G$4:$G$34,MATCH('Day 1'!A25,'DT04 Prudence'!$A$4:$A$34,0))='Day 1'!H25,"Yes","No"),"")</f>
        <v/>
      </c>
      <c r="J25" s="804" t="str">
        <f>IFERROR(INDEX('DT05 Navigator'!F:F,MATCH('Day 1'!A25,'DT05 Navigator'!A:A,0)),"")</f>
        <v/>
      </c>
      <c r="K25" s="787" t="str">
        <f>IFERROR(ROUND(AN25*AZ25,-3),"")</f>
        <v/>
      </c>
      <c r="L25" s="788" t="str">
        <f t="shared" si="1"/>
        <v/>
      </c>
      <c r="M25" s="589" t="str">
        <f>IFERROR(IF(INDEX('DT05 Navigator'!$G$4:$G$37,MATCH('Day 1'!A25,'DT05 Navigator'!$A$4:$A$37,0))='Day 1'!L25,"Yes","No"),"")</f>
        <v/>
      </c>
      <c r="N25" s="804">
        <f>IFERROR(INDEX('DT06 Meridian'!F:F,MATCH('Day 1'!A25,'DT06 Meridian'!A:A,0)),"")</f>
        <v>0</v>
      </c>
      <c r="O25" s="787"/>
      <c r="P25" s="788">
        <f t="shared" si="3"/>
        <v>0</v>
      </c>
      <c r="Q25" s="589" t="str">
        <f>IFERROR(IF(INDEX('DT06 Meridian'!$G$4:$G$37,MATCH('Day 1'!A25,'DT06 Meridian'!$A$4:$A$37,0))='Day 1'!P25,"Yes","No"),"")</f>
        <v>No</v>
      </c>
      <c r="R25" s="804">
        <f>IFERROR(INDEX('DT07 Explorer'!F:F,MATCH('Day 1'!A25,'DT07 Explorer'!A:A,0)),"")</f>
        <v>0.04</v>
      </c>
      <c r="S25" s="787">
        <f t="shared" si="4"/>
        <v>-742000</v>
      </c>
      <c r="T25" s="788">
        <f t="shared" si="5"/>
        <v>2.6000000000000002E-2</v>
      </c>
      <c r="U25" s="589" t="str">
        <f>IFERROR(IF(INDEX('DT07 Explorer'!$G$4:$G$37,MATCH('Day 1'!A25,'DT07 Explorer'!$A$4:$A$37,0))='Day 1'!T25,"Yes","No"),"")</f>
        <v>Yes</v>
      </c>
      <c r="AI25" s="773" t="str">
        <f>IFERROR(INDEX('DT04 Prudence'!H:H,MATCH('Day 1'!A25,'DT04 Prudence'!A:A,0)),"")</f>
        <v/>
      </c>
      <c r="AJ25" s="782" t="str">
        <f t="shared" si="6"/>
        <v/>
      </c>
      <c r="AK25" s="780" t="str">
        <f t="shared" si="7"/>
        <v/>
      </c>
      <c r="AL25" s="602" t="str">
        <f>IFERROR(INDEX('DT05 Navigator'!H:H,MATCH('Day 1'!A25,'DT05 Navigator'!A:A,0)),"")</f>
        <v/>
      </c>
      <c r="AM25" s="782" t="str">
        <f t="shared" si="8"/>
        <v/>
      </c>
      <c r="AN25" s="780" t="str">
        <f t="shared" si="9"/>
        <v/>
      </c>
      <c r="AO25" s="602">
        <f>IFERROR(INDEX('DT06 Meridian'!H:H,MATCH('Day 1'!A25,'DT06 Meridian'!A:A,0)),"")</f>
        <v>0.02</v>
      </c>
      <c r="AP25" s="782">
        <f t="shared" si="10"/>
        <v>1500000</v>
      </c>
      <c r="AQ25" s="780">
        <f t="shared" si="11"/>
        <v>1.9788918205804753</v>
      </c>
      <c r="AR25" s="602">
        <f>IFERROR(INDEX('DT07 Explorer'!H:H,MATCH('Day 1'!A25,'DT07 Explorer'!A:A,0)),"")</f>
        <v>-1.4000000000000002E-2</v>
      </c>
      <c r="AS25" s="782">
        <f t="shared" si="12"/>
        <v>-742000.00000000012</v>
      </c>
      <c r="AT25" s="7">
        <f t="shared" si="13"/>
        <v>-0.97889182058047519</v>
      </c>
      <c r="AV25" s="775">
        <v>757999.99999999988</v>
      </c>
      <c r="AW25" s="776">
        <v>894794003</v>
      </c>
      <c r="AX25" s="7">
        <f t="shared" si="14"/>
        <v>8.4712235157883588E-4</v>
      </c>
      <c r="AZ25" s="775">
        <f t="shared" si="15"/>
        <v>757999.99999999988</v>
      </c>
    </row>
    <row r="26" spans="1:52" x14ac:dyDescent="0.2">
      <c r="A26" s="767" t="s">
        <v>54</v>
      </c>
      <c r="B26" s="768" t="str">
        <f>IFERROR(VLOOKUP(A26,NoviaFunds[],2,FALSE),"")</f>
        <v>BlackRock Continental European D Acc in GB</v>
      </c>
      <c r="C26" s="778">
        <f>_xll.MSDP(A26,$C$3)</f>
        <v>3</v>
      </c>
      <c r="D26" s="768" t="str">
        <f>IFERROR(VLOOKUP(A26,NoviaFunds[],6,FALSE),"")</f>
        <v>European Equities</v>
      </c>
      <c r="E26" s="768" t="s">
        <v>9591</v>
      </c>
      <c r="F26" s="786">
        <f>IFERROR(INDEX('DT04 Prudence'!F:F,MATCH('Day 1'!A26,'DT04 Prudence'!A:A,0)),"")</f>
        <v>0.03</v>
      </c>
      <c r="G26" s="787"/>
      <c r="H26" s="788">
        <f t="shared" si="0"/>
        <v>0.03</v>
      </c>
      <c r="I26" s="589" t="str">
        <f>IFERROR(IF(INDEX('DT04 Prudence'!$G$4:$G$34,MATCH('Day 1'!A26,'DT04 Prudence'!$A$4:$A$34,0))='Day 1'!H26,"Yes","No"),"")</f>
        <v>No</v>
      </c>
      <c r="J26" s="804">
        <f>IFERROR(INDEX('DT05 Navigator'!F:F,MATCH('Day 1'!A26,'DT05 Navigator'!A:A,0)),"")</f>
        <v>0.04</v>
      </c>
      <c r="K26" s="787"/>
      <c r="L26" s="788">
        <f t="shared" si="1"/>
        <v>0.04</v>
      </c>
      <c r="M26" s="589" t="str">
        <f>IFERROR(IF(INDEX('DT05 Navigator'!$G$4:$G$37,MATCH('Day 1'!A26,'DT05 Navigator'!$A$4:$A$37,0))='Day 1'!L26,"Yes","No"),"")</f>
        <v>No</v>
      </c>
      <c r="N26" s="804">
        <f>IFERROR(INDEX('DT06 Meridian'!F:F,MATCH('Day 1'!A26,'DT06 Meridian'!A:A,0)),"")</f>
        <v>0.05</v>
      </c>
      <c r="O26" s="787"/>
      <c r="P26" s="788">
        <f t="shared" si="3"/>
        <v>0.05</v>
      </c>
      <c r="Q26" s="589" t="str">
        <f>IFERROR(IF(INDEX('DT06 Meridian'!$G$4:$G$37,MATCH('Day 1'!A26,'DT06 Meridian'!$A$4:$A$37,0))='Day 1'!P26,"Yes","No"),"")</f>
        <v>No</v>
      </c>
      <c r="R26" s="804">
        <f>IFERROR(INDEX('DT07 Explorer'!F:F,MATCH('Day 1'!A26,'DT07 Explorer'!A:A,0)),"")</f>
        <v>7.0000000000000007E-2</v>
      </c>
      <c r="S26" s="787"/>
      <c r="T26" s="788">
        <f t="shared" si="5"/>
        <v>7.0000000000000007E-2</v>
      </c>
      <c r="U26" s="589" t="str">
        <f>IFERROR(IF(INDEX('DT07 Explorer'!$G$4:$G$37,MATCH('Day 1'!A26,'DT07 Explorer'!$A$4:$A$37,0))='Day 1'!T26,"Yes","No"),"")</f>
        <v>No</v>
      </c>
      <c r="AI26" s="773">
        <f>IFERROR(INDEX('DT04 Prudence'!H:H,MATCH('Day 1'!A26,'DT04 Prudence'!A:A,0)),"")</f>
        <v>-0.03</v>
      </c>
      <c r="AJ26" s="782">
        <f t="shared" si="6"/>
        <v>-390000</v>
      </c>
      <c r="AK26" s="780">
        <f t="shared" si="7"/>
        <v>4.1445270988310308E-2</v>
      </c>
      <c r="AL26" s="602">
        <f>IFERROR(INDEX('DT05 Navigator'!H:H,MATCH('Day 1'!A26,'DT05 Navigator'!A:A,0)),"")</f>
        <v>-0.04</v>
      </c>
      <c r="AM26" s="782">
        <f t="shared" si="8"/>
        <v>-1560000</v>
      </c>
      <c r="AN26" s="780">
        <f t="shared" si="9"/>
        <v>0.16578108395324123</v>
      </c>
      <c r="AO26" s="602">
        <f>IFERROR(INDEX('DT06 Meridian'!H:H,MATCH('Day 1'!A26,'DT06 Meridian'!A:A,0)),"")</f>
        <v>-0.05</v>
      </c>
      <c r="AP26" s="782">
        <f t="shared" si="10"/>
        <v>-3750000</v>
      </c>
      <c r="AQ26" s="780">
        <f t="shared" si="11"/>
        <v>0.39851222104144529</v>
      </c>
      <c r="AR26" s="602">
        <f>IFERROR(INDEX('DT07 Explorer'!H:H,MATCH('Day 1'!A26,'DT07 Explorer'!A:A,0)),"")</f>
        <v>-7.0000000000000007E-2</v>
      </c>
      <c r="AS26" s="782">
        <f t="shared" si="12"/>
        <v>-3710000.0000000005</v>
      </c>
      <c r="AT26" s="7">
        <f t="shared" si="13"/>
        <v>0.39426142401700326</v>
      </c>
      <c r="AV26" s="775">
        <v>-9410000</v>
      </c>
      <c r="AW26" s="776">
        <v>1085446048</v>
      </c>
      <c r="AX26" s="7">
        <f t="shared" si="14"/>
        <v>-8.6692470964710722E-3</v>
      </c>
      <c r="AZ26" s="775">
        <f t="shared" si="15"/>
        <v>-5427230.2400000002</v>
      </c>
    </row>
    <row r="27" spans="1:52" x14ac:dyDescent="0.2">
      <c r="A27" s="767" t="s">
        <v>3087</v>
      </c>
      <c r="B27" s="777" t="str">
        <f>IFERROR(VLOOKUP(A27,NoviaFunds[],2,FALSE),"")</f>
        <v>HSBC European Index C Acc in GB</v>
      </c>
      <c r="C27" s="778">
        <f>_xll.MSDP(A27,$C$3)</f>
        <v>3</v>
      </c>
      <c r="D27" s="768" t="str">
        <f>IFERROR(VLOOKUP(A27,NoviaFunds[],6,FALSE),"")</f>
        <v>European Equities</v>
      </c>
      <c r="E27" s="768" t="s">
        <v>9591</v>
      </c>
      <c r="F27" s="786">
        <f>IFERROR(INDEX('DT04 Prudence'!F:F,MATCH('Day 1'!A27,'DT04 Prudence'!A:A,0)),"")</f>
        <v>0</v>
      </c>
      <c r="G27" s="787"/>
      <c r="H27" s="788">
        <f t="shared" si="0"/>
        <v>0</v>
      </c>
      <c r="I27" s="589" t="str">
        <f>IFERROR(IF(INDEX('DT04 Prudence'!$G$4:$G$34,MATCH('Day 1'!A27,'DT04 Prudence'!$A$4:$A$34,0))='Day 1'!H27,"Yes","No"),"")</f>
        <v>No</v>
      </c>
      <c r="J27" s="804">
        <f>IFERROR(INDEX('DT05 Navigator'!F:F,MATCH('Day 1'!A27,'DT05 Navigator'!A:A,0)),"")</f>
        <v>0</v>
      </c>
      <c r="K27" s="787"/>
      <c r="L27" s="788">
        <f t="shared" si="1"/>
        <v>0</v>
      </c>
      <c r="M27" s="589" t="str">
        <f>IFERROR(IF(INDEX('DT05 Navigator'!$G$4:$G$37,MATCH('Day 1'!A27,'DT05 Navigator'!$A$4:$A$37,0))='Day 1'!L27,"Yes","No"),"")</f>
        <v>No</v>
      </c>
      <c r="N27" s="804">
        <f>IFERROR(INDEX('DT06 Meridian'!F:F,MATCH('Day 1'!A27,'DT06 Meridian'!A:A,0)),"")</f>
        <v>0</v>
      </c>
      <c r="O27" s="787"/>
      <c r="P27" s="788">
        <f t="shared" si="3"/>
        <v>0</v>
      </c>
      <c r="Q27" s="589" t="str">
        <f>IFERROR(IF(INDEX('DT06 Meridian'!$G$4:$G$37,MATCH('Day 1'!A27,'DT06 Meridian'!$A$4:$A$37,0))='Day 1'!P27,"Yes","No"),"")</f>
        <v>No</v>
      </c>
      <c r="R27" s="804">
        <f>IFERROR(INDEX('DT07 Explorer'!F:F,MATCH('Day 1'!A27,'DT07 Explorer'!A:A,0)),"")</f>
        <v>0</v>
      </c>
      <c r="S27" s="787"/>
      <c r="T27" s="788">
        <f t="shared" si="5"/>
        <v>0</v>
      </c>
      <c r="U27" s="589" t="str">
        <f>IFERROR(IF(INDEX('DT07 Explorer'!$G$4:$G$37,MATCH('Day 1'!A27,'DT07 Explorer'!$A$4:$A$37,0))='Day 1'!T27,"Yes","No"),"")</f>
        <v>No</v>
      </c>
      <c r="AI27" s="773">
        <f>IFERROR(INDEX('DT04 Prudence'!H:H,MATCH('Day 1'!A27,'DT04 Prudence'!A:A,0)),"")</f>
        <v>0.05</v>
      </c>
      <c r="AJ27" s="782">
        <f t="shared" si="6"/>
        <v>650000</v>
      </c>
      <c r="AK27" s="780">
        <f t="shared" si="7"/>
        <v>6.8205666316894023E-2</v>
      </c>
      <c r="AL27" s="602">
        <f>IFERROR(INDEX('DT05 Navigator'!H:H,MATCH('Day 1'!A27,'DT05 Navigator'!A:A,0)),"")</f>
        <v>0.05</v>
      </c>
      <c r="AM27" s="782">
        <f t="shared" si="8"/>
        <v>1950000</v>
      </c>
      <c r="AN27" s="780">
        <f t="shared" si="9"/>
        <v>0.20461699895068206</v>
      </c>
      <c r="AO27" s="602">
        <f>IFERROR(INDEX('DT06 Meridian'!H:H,MATCH('Day 1'!A27,'DT06 Meridian'!A:A,0)),"")</f>
        <v>0.05</v>
      </c>
      <c r="AP27" s="782">
        <f t="shared" si="10"/>
        <v>3750000</v>
      </c>
      <c r="AQ27" s="780">
        <f t="shared" si="11"/>
        <v>0.39349422875131163</v>
      </c>
      <c r="AR27" s="602">
        <f>IFERROR(INDEX('DT07 Explorer'!H:H,MATCH('Day 1'!A27,'DT07 Explorer'!A:A,0)),"")</f>
        <v>0.06</v>
      </c>
      <c r="AS27" s="782">
        <f t="shared" si="12"/>
        <v>3180000</v>
      </c>
      <c r="AT27" s="7">
        <f t="shared" si="13"/>
        <v>0.33368310598111228</v>
      </c>
      <c r="AV27" s="775">
        <v>9530000</v>
      </c>
      <c r="AW27" s="776">
        <v>2588244864</v>
      </c>
      <c r="AX27" s="7">
        <f t="shared" si="14"/>
        <v>3.6820318404000899E-3</v>
      </c>
      <c r="AZ27" s="775">
        <f t="shared" si="15"/>
        <v>9530000</v>
      </c>
    </row>
    <row r="28" spans="1:52" x14ac:dyDescent="0.2">
      <c r="A28" s="767" t="s">
        <v>56</v>
      </c>
      <c r="B28" s="768" t="str">
        <f>IFERROR(VLOOKUP(A28,NoviaFunds[],2,FALSE),"")</f>
        <v>Baillie Gifford Japanese B Acc in GB**</v>
      </c>
      <c r="C28" s="778">
        <f>_xll.MSDP(A28,$C$3)</f>
        <v>3</v>
      </c>
      <c r="D28" s="768" t="str">
        <f>IFERROR(VLOOKUP(A28,NoviaFunds[],6,FALSE),"")</f>
        <v>Japanese Equities</v>
      </c>
      <c r="E28" s="768" t="s">
        <v>37</v>
      </c>
      <c r="F28" s="786">
        <f>IFERROR(INDEX('DT04 Prudence'!F:F,MATCH('Day 1'!A28,'DT04 Prudence'!A:A,0)),"")</f>
        <v>0.05</v>
      </c>
      <c r="G28" s="787">
        <f t="shared" si="16"/>
        <v>0</v>
      </c>
      <c r="H28" s="788">
        <f t="shared" si="0"/>
        <v>0.05</v>
      </c>
      <c r="I28" s="589" t="str">
        <f>IFERROR(IF(INDEX('DT04 Prudence'!$G$4:$G$34,MATCH('Day 1'!A28,'DT04 Prudence'!$A$4:$A$34,0))='Day 1'!H28,"Yes","No"),"")</f>
        <v>Yes</v>
      </c>
      <c r="J28" s="804">
        <f>IFERROR(INDEX('DT05 Navigator'!F:F,MATCH('Day 1'!A28,'DT05 Navigator'!A:A,0)),"")</f>
        <v>0.06</v>
      </c>
      <c r="K28" s="787">
        <f>IFERROR(ROUND(AN28*AZ28,-3),"")</f>
        <v>0</v>
      </c>
      <c r="L28" s="788">
        <f t="shared" si="1"/>
        <v>0.06</v>
      </c>
      <c r="M28" s="589" t="str">
        <f>IFERROR(IF(INDEX('DT05 Navigator'!$G$4:$G$37,MATCH('Day 1'!A28,'DT05 Navigator'!$A$4:$A$37,0))='Day 1'!L28,"Yes","No"),"")</f>
        <v>Yes</v>
      </c>
      <c r="N28" s="804">
        <f>IFERROR(INDEX('DT06 Meridian'!F:F,MATCH('Day 1'!A28,'DT06 Meridian'!A:A,0)),"")</f>
        <v>7.0000000000000007E-2</v>
      </c>
      <c r="O28" s="787">
        <f t="shared" si="2"/>
        <v>0</v>
      </c>
      <c r="P28" s="788">
        <f t="shared" si="3"/>
        <v>7.0000000000000007E-2</v>
      </c>
      <c r="Q28" s="589" t="str">
        <f>IFERROR(IF(INDEX('DT06 Meridian'!$G$4:$G$37,MATCH('Day 1'!A28,'DT06 Meridian'!$A$4:$A$37,0))='Day 1'!P28,"Yes","No"),"")</f>
        <v>Yes</v>
      </c>
      <c r="R28" s="804">
        <f>IFERROR(INDEX('DT07 Explorer'!F:F,MATCH('Day 1'!A28,'DT07 Explorer'!A:A,0)),"")</f>
        <v>0.04</v>
      </c>
      <c r="S28" s="787">
        <f t="shared" si="4"/>
        <v>2120000</v>
      </c>
      <c r="T28" s="788">
        <f t="shared" si="5"/>
        <v>0.08</v>
      </c>
      <c r="U28" s="589" t="str">
        <f>IFERROR(IF(INDEX('DT07 Explorer'!$G$4:$G$37,MATCH('Day 1'!A28,'DT07 Explorer'!$A$4:$A$37,0))='Day 1'!T28,"Yes","No"),"")</f>
        <v>Yes</v>
      </c>
      <c r="AI28" s="773">
        <f>IFERROR(INDEX('DT04 Prudence'!H:H,MATCH('Day 1'!A28,'DT04 Prudence'!A:A,0)),"")</f>
        <v>0</v>
      </c>
      <c r="AJ28" s="782">
        <f t="shared" si="6"/>
        <v>0</v>
      </c>
      <c r="AK28" s="780">
        <f t="shared" si="7"/>
        <v>0</v>
      </c>
      <c r="AL28" s="602">
        <f>IFERROR(INDEX('DT05 Navigator'!H:H,MATCH('Day 1'!A28,'DT05 Navigator'!A:A,0)),"")</f>
        <v>0</v>
      </c>
      <c r="AM28" s="782">
        <f t="shared" si="8"/>
        <v>0</v>
      </c>
      <c r="AN28" s="780">
        <f t="shared" si="9"/>
        <v>0</v>
      </c>
      <c r="AO28" s="602">
        <f>IFERROR(INDEX('DT06 Meridian'!H:H,MATCH('Day 1'!A28,'DT06 Meridian'!A:A,0)),"")</f>
        <v>0</v>
      </c>
      <c r="AP28" s="782">
        <f t="shared" si="10"/>
        <v>0</v>
      </c>
      <c r="AQ28" s="780">
        <f t="shared" si="11"/>
        <v>0</v>
      </c>
      <c r="AR28" s="602">
        <f>IFERROR(INDEX('DT07 Explorer'!H:H,MATCH('Day 1'!A28,'DT07 Explorer'!A:A,0)),"")</f>
        <v>0.04</v>
      </c>
      <c r="AS28" s="782">
        <f t="shared" si="12"/>
        <v>2120000</v>
      </c>
      <c r="AT28" s="7">
        <f t="shared" si="13"/>
        <v>1</v>
      </c>
      <c r="AV28" s="775">
        <v>2120000</v>
      </c>
      <c r="AW28" s="776">
        <v>3066899573</v>
      </c>
      <c r="AX28" s="7">
        <f t="shared" si="14"/>
        <v>6.9125184882602611E-4</v>
      </c>
      <c r="AZ28" s="775">
        <f t="shared" si="15"/>
        <v>2120000</v>
      </c>
    </row>
    <row r="29" spans="1:52" x14ac:dyDescent="0.2">
      <c r="A29" s="695" t="s">
        <v>68</v>
      </c>
      <c r="B29" s="768" t="s">
        <v>4060</v>
      </c>
      <c r="C29" s="778">
        <v>3</v>
      </c>
      <c r="D29" s="696" t="s">
        <v>37</v>
      </c>
      <c r="E29" s="768" t="s">
        <v>37</v>
      </c>
      <c r="F29" s="786" t="str">
        <f>IFERROR(INDEX('DT04 Prudence'!F:F,MATCH('Day 1'!A29,'DT04 Prudence'!A:A,0)),"")</f>
        <v/>
      </c>
      <c r="G29" s="787" t="str">
        <f t="shared" si="16"/>
        <v/>
      </c>
      <c r="H29" s="788" t="str">
        <f t="shared" si="0"/>
        <v/>
      </c>
      <c r="I29" s="589" t="str">
        <f>IFERROR(IF(INDEX('DT04 Prudence'!$G$4:$G$34,MATCH('Day 1'!A29,'DT04 Prudence'!$A$4:$A$34,0))='Day 1'!H29,"Yes","No"),"")</f>
        <v/>
      </c>
      <c r="J29" s="804" t="str">
        <f>IFERROR(INDEX('DT05 Navigator'!F:F,MATCH('Day 1'!A29,'DT05 Navigator'!A:A,0)),"")</f>
        <v/>
      </c>
      <c r="K29" s="787" t="str">
        <f>IFERROR(ROUND(AN29*AZ29,-3),"")</f>
        <v/>
      </c>
      <c r="L29" s="788" t="str">
        <f t="shared" si="1"/>
        <v/>
      </c>
      <c r="M29" s="589" t="str">
        <f>IFERROR(IF(INDEX('DT05 Navigator'!$G$4:$G$37,MATCH('Day 1'!A29,'DT05 Navigator'!$A$4:$A$37,0))='Day 1'!L29,"Yes","No"),"")</f>
        <v/>
      </c>
      <c r="N29" s="804" t="str">
        <f>IFERROR(INDEX('DT06 Meridian'!F:F,MATCH('Day 1'!A29,'DT06 Meridian'!A:A,0)),"")</f>
        <v/>
      </c>
      <c r="O29" s="787" t="str">
        <f t="shared" si="2"/>
        <v/>
      </c>
      <c r="P29" s="788" t="str">
        <f t="shared" si="3"/>
        <v/>
      </c>
      <c r="Q29" s="589" t="str">
        <f>IFERROR(IF(INDEX('DT06 Meridian'!$G$4:$G$37,MATCH('Day 1'!A29,'DT06 Meridian'!$A$4:$A$37,0))='Day 1'!P29,"Yes","No"),"")</f>
        <v/>
      </c>
      <c r="R29" s="804">
        <f>IFERROR(INDEX('DT07 Explorer'!F:F,MATCH('Day 1'!A29,'DT07 Explorer'!A:A,0)),"")</f>
        <v>0.04</v>
      </c>
      <c r="S29" s="787">
        <f t="shared" si="4"/>
        <v>-2120000</v>
      </c>
      <c r="T29" s="788">
        <f t="shared" si="5"/>
        <v>0</v>
      </c>
      <c r="U29" s="589" t="str">
        <f>IFERROR(IF(INDEX('DT07 Explorer'!$G$4:$G$37,MATCH('Day 1'!A29,'DT07 Explorer'!$A$4:$A$37,0))='Day 1'!T29,"Yes","No"),"")</f>
        <v>Yes</v>
      </c>
      <c r="AI29" s="773" t="str">
        <f>IFERROR(INDEX('DT04 Prudence'!H:H,MATCH('Day 1'!A29,'DT04 Prudence'!A:A,0)),"")</f>
        <v/>
      </c>
      <c r="AJ29" s="782" t="str">
        <f t="shared" si="6"/>
        <v/>
      </c>
      <c r="AK29" s="780" t="str">
        <f t="shared" si="7"/>
        <v/>
      </c>
      <c r="AL29" s="602" t="str">
        <f>IFERROR(INDEX('DT05 Navigator'!H:H,MATCH('Day 1'!A29,'DT05 Navigator'!A:A,0)),"")</f>
        <v/>
      </c>
      <c r="AM29" s="782" t="str">
        <f t="shared" si="8"/>
        <v/>
      </c>
      <c r="AN29" s="780" t="str">
        <f t="shared" si="9"/>
        <v/>
      </c>
      <c r="AO29" s="602" t="str">
        <f>IFERROR(INDEX('DT06 Meridian'!H:H,MATCH('Day 1'!A29,'DT06 Meridian'!A:A,0)),"")</f>
        <v/>
      </c>
      <c r="AP29" s="782" t="str">
        <f t="shared" si="10"/>
        <v/>
      </c>
      <c r="AQ29" s="780" t="str">
        <f t="shared" si="11"/>
        <v/>
      </c>
      <c r="AR29" s="602">
        <f>IFERROR(INDEX('DT07 Explorer'!H:H,MATCH('Day 1'!A29,'DT07 Explorer'!A:A,0)),"")</f>
        <v>-0.04</v>
      </c>
      <c r="AS29" s="782">
        <f t="shared" si="12"/>
        <v>-2120000</v>
      </c>
      <c r="AT29" s="7">
        <f t="shared" si="13"/>
        <v>1</v>
      </c>
      <c r="AV29" s="775">
        <v>-2120000</v>
      </c>
      <c r="AW29" s="776">
        <v>1187251022</v>
      </c>
      <c r="AX29" s="7">
        <f t="shared" si="14"/>
        <v>-1.7856375448123219E-3</v>
      </c>
      <c r="AZ29" s="775">
        <f t="shared" si="15"/>
        <v>-2120000</v>
      </c>
    </row>
    <row r="30" spans="1:52" x14ac:dyDescent="0.2">
      <c r="A30" s="767" t="s">
        <v>18</v>
      </c>
      <c r="B30" s="768" t="str">
        <f>IFERROR(VLOOKUP(A30,NoviaFunds[],2,FALSE),"")</f>
        <v>Artemis Global Select I Acc in GB</v>
      </c>
      <c r="C30" s="778">
        <f>_xll.MSDP(A30,$C$3)</f>
        <v>4</v>
      </c>
      <c r="D30" s="768" t="str">
        <f>IFERROR(VLOOKUP(A30,NoviaFunds[],6,FALSE),"")</f>
        <v>Other Equities</v>
      </c>
      <c r="E30" s="768" t="s">
        <v>38</v>
      </c>
      <c r="F30" s="786">
        <f>IFERROR(INDEX('DT04 Prudence'!F:F,MATCH('Day 1'!A30,'DT04 Prudence'!A:A,0)),"")</f>
        <v>0.05</v>
      </c>
      <c r="G30" s="850">
        <v>-325000</v>
      </c>
      <c r="H30" s="788">
        <f t="shared" si="0"/>
        <v>2.5000000000000001E-2</v>
      </c>
      <c r="I30" s="589" t="str">
        <f>IFERROR(IF(INDEX('DT04 Prudence'!$G$4:$G$34,MATCH('Day 1'!A30,'DT04 Prudence'!$A$4:$A$34,0))='Day 1'!H30,"Yes","No"),"")</f>
        <v>No</v>
      </c>
      <c r="J30" s="804">
        <f>IFERROR(INDEX('DT05 Navigator'!F:F,MATCH('Day 1'!A30,'DT05 Navigator'!A:A,0)),"")</f>
        <v>0.05</v>
      </c>
      <c r="K30" s="787">
        <v>-875000</v>
      </c>
      <c r="L30" s="788">
        <f t="shared" si="1"/>
        <v>2.7564102564102567E-2</v>
      </c>
      <c r="M30" s="589" t="str">
        <f>IFERROR(IF(INDEX('DT05 Navigator'!$G$4:$G$37,MATCH('Day 1'!A30,'DT05 Navigator'!$A$4:$A$37,0))='Day 1'!L30,"Yes","No"),"")</f>
        <v>No</v>
      </c>
      <c r="N30" s="804">
        <f>IFERROR(INDEX('DT06 Meridian'!F:F,MATCH('Day 1'!A30,'DT06 Meridian'!A:A,0)),"")</f>
        <v>0.05</v>
      </c>
      <c r="O30" s="787">
        <v>-1825000</v>
      </c>
      <c r="P30" s="788">
        <f t="shared" si="3"/>
        <v>2.5666666666666671E-2</v>
      </c>
      <c r="Q30" s="589" t="str">
        <f>IFERROR(IF(INDEX('DT06 Meridian'!$G$4:$G$37,MATCH('Day 1'!A30,'DT06 Meridian'!$A$4:$A$37,0))='Day 1'!P30,"Yes","No"),"")</f>
        <v>No</v>
      </c>
      <c r="R30" s="804">
        <f>IFERROR(INDEX('DT07 Explorer'!F:F,MATCH('Day 1'!A30,'DT07 Explorer'!A:A,0)),"")</f>
        <v>0.05</v>
      </c>
      <c r="S30" s="787"/>
      <c r="T30" s="788">
        <f t="shared" si="5"/>
        <v>0.05</v>
      </c>
      <c r="U30" s="589" t="str">
        <f>IFERROR(IF(INDEX('DT07 Explorer'!$G$4:$G$37,MATCH('Day 1'!A30,'DT07 Explorer'!$A$4:$A$37,0))='Day 1'!T30,"Yes","No"),"")</f>
        <v>No</v>
      </c>
      <c r="AI30" s="773">
        <f>IFERROR(INDEX('DT04 Prudence'!H:H,MATCH('Day 1'!A30,'DT04 Prudence'!A:A,0)),"")</f>
        <v>-0.05</v>
      </c>
      <c r="AJ30" s="782">
        <f t="shared" si="6"/>
        <v>-650000</v>
      </c>
      <c r="AK30" s="780">
        <f t="shared" si="7"/>
        <v>7.2222222222222215E-2</v>
      </c>
      <c r="AL30" s="602">
        <f>IFERROR(INDEX('DT05 Navigator'!H:H,MATCH('Day 1'!A30,'DT05 Navigator'!A:A,0)),"")</f>
        <v>-0.05</v>
      </c>
      <c r="AM30" s="782">
        <f t="shared" si="8"/>
        <v>-1950000</v>
      </c>
      <c r="AN30" s="780">
        <f t="shared" si="9"/>
        <v>0.21666666666666667</v>
      </c>
      <c r="AO30" s="602">
        <f>IFERROR(INDEX('DT06 Meridian'!H:H,MATCH('Day 1'!A30,'DT06 Meridian'!A:A,0)),"")</f>
        <v>-0.05</v>
      </c>
      <c r="AP30" s="782">
        <f t="shared" si="10"/>
        <v>-3750000</v>
      </c>
      <c r="AQ30" s="780">
        <f t="shared" si="11"/>
        <v>0.41666666666666669</v>
      </c>
      <c r="AR30" s="602">
        <f>IFERROR(INDEX('DT07 Explorer'!H:H,MATCH('Day 1'!A30,'DT07 Explorer'!A:A,0)),"")</f>
        <v>-0.05</v>
      </c>
      <c r="AS30" s="782">
        <f t="shared" si="12"/>
        <v>-2650000</v>
      </c>
      <c r="AT30" s="7">
        <f t="shared" si="13"/>
        <v>0.29444444444444445</v>
      </c>
      <c r="AV30" s="775">
        <v>-9000000</v>
      </c>
      <c r="AW30" s="776">
        <v>426118351</v>
      </c>
      <c r="AX30" s="7">
        <f t="shared" si="14"/>
        <v>-2.1120892772815598E-2</v>
      </c>
      <c r="AZ30" s="775">
        <f t="shared" si="15"/>
        <v>-2130591.7550000004</v>
      </c>
    </row>
    <row r="31" spans="1:52" x14ac:dyDescent="0.2">
      <c r="A31" s="767" t="s">
        <v>19</v>
      </c>
      <c r="B31" s="768" t="str">
        <f>IFERROR(VLOOKUP(A31,NoviaFunds[],2,FALSE),"")</f>
        <v>LF Blue Whale Growth I Acc GBP in GB</v>
      </c>
      <c r="C31" s="779">
        <v>4</v>
      </c>
      <c r="D31" s="768" t="str">
        <f>IFERROR(VLOOKUP(A31,NoviaFunds[],6,FALSE),"")</f>
        <v>Other Equities</v>
      </c>
      <c r="E31" s="768" t="s">
        <v>38</v>
      </c>
      <c r="F31" s="786">
        <f>IFERROR(INDEX('DT04 Prudence'!F:F,MATCH('Day 1'!A31,'DT04 Prudence'!A:A,0)),"")</f>
        <v>0.05</v>
      </c>
      <c r="G31" s="850">
        <v>-325000</v>
      </c>
      <c r="H31" s="788">
        <f t="shared" si="0"/>
        <v>2.5000000000000001E-2</v>
      </c>
      <c r="I31" s="589" t="str">
        <f>IFERROR(IF(INDEX('DT04 Prudence'!$G$4:$G$34,MATCH('Day 1'!A31,'DT04 Prudence'!$A$4:$A$34,0))='Day 1'!H31,"Yes","No"),"")</f>
        <v>No</v>
      </c>
      <c r="J31" s="804">
        <f>IFERROR(INDEX('DT05 Navigator'!F:F,MATCH('Day 1'!A31,'DT05 Navigator'!A:A,0)),"")</f>
        <v>0.05</v>
      </c>
      <c r="K31" s="787">
        <v>-875000</v>
      </c>
      <c r="L31" s="788">
        <f t="shared" si="1"/>
        <v>2.7564102564102567E-2</v>
      </c>
      <c r="M31" s="589" t="str">
        <f>IFERROR(IF(INDEX('DT05 Navigator'!$G$4:$G$37,MATCH('Day 1'!A31,'DT05 Navigator'!$A$4:$A$37,0))='Day 1'!L31,"Yes","No"),"")</f>
        <v>No</v>
      </c>
      <c r="N31" s="804">
        <f>IFERROR(INDEX('DT06 Meridian'!F:F,MATCH('Day 1'!A31,'DT06 Meridian'!A:A,0)),"")</f>
        <v>0.05</v>
      </c>
      <c r="O31" s="787">
        <v>-1825000</v>
      </c>
      <c r="P31" s="788">
        <f t="shared" si="3"/>
        <v>2.5666666666666671E-2</v>
      </c>
      <c r="Q31" s="589" t="str">
        <f>IFERROR(IF(INDEX('DT06 Meridian'!$G$4:$G$37,MATCH('Day 1'!A31,'DT06 Meridian'!$A$4:$A$37,0))='Day 1'!P31,"Yes","No"),"")</f>
        <v>No</v>
      </c>
      <c r="R31" s="804">
        <f>IFERROR(INDEX('DT07 Explorer'!F:F,MATCH('Day 1'!A31,'DT07 Explorer'!A:A,0)),"")</f>
        <v>0.05</v>
      </c>
      <c r="S31" s="787"/>
      <c r="T31" s="788">
        <f t="shared" si="5"/>
        <v>0.05</v>
      </c>
      <c r="U31" s="589" t="str">
        <f>IFERROR(IF(INDEX('DT07 Explorer'!$G$4:$G$37,MATCH('Day 1'!A31,'DT07 Explorer'!$A$4:$A$37,0))='Day 1'!T31,"Yes","No"),"")</f>
        <v>No</v>
      </c>
      <c r="AI31" s="773">
        <f>IFERROR(INDEX('DT04 Prudence'!H:H,MATCH('Day 1'!A31,'DT04 Prudence'!A:A,0)),"")</f>
        <v>-0.05</v>
      </c>
      <c r="AJ31" s="782">
        <f t="shared" si="6"/>
        <v>-650000</v>
      </c>
      <c r="AK31" s="780">
        <f t="shared" si="7"/>
        <v>7.2222222222222215E-2</v>
      </c>
      <c r="AL31" s="602">
        <f>IFERROR(INDEX('DT05 Navigator'!H:H,MATCH('Day 1'!A31,'DT05 Navigator'!A:A,0)),"")</f>
        <v>-0.05</v>
      </c>
      <c r="AM31" s="782">
        <f t="shared" si="8"/>
        <v>-1950000</v>
      </c>
      <c r="AN31" s="780">
        <f t="shared" si="9"/>
        <v>0.21666666666666667</v>
      </c>
      <c r="AO31" s="602">
        <f>IFERROR(INDEX('DT06 Meridian'!H:H,MATCH('Day 1'!A31,'DT06 Meridian'!A:A,0)),"")</f>
        <v>-0.05</v>
      </c>
      <c r="AP31" s="782">
        <f t="shared" si="10"/>
        <v>-3750000</v>
      </c>
      <c r="AQ31" s="780">
        <f t="shared" si="11"/>
        <v>0.41666666666666669</v>
      </c>
      <c r="AR31" s="602">
        <f>IFERROR(INDEX('DT07 Explorer'!H:H,MATCH('Day 1'!A31,'DT07 Explorer'!A:A,0)),"")</f>
        <v>-0.05</v>
      </c>
      <c r="AS31" s="782">
        <f t="shared" si="12"/>
        <v>-2650000</v>
      </c>
      <c r="AT31" s="7">
        <f t="shared" si="13"/>
        <v>0.29444444444444445</v>
      </c>
      <c r="AV31" s="775">
        <v>-9000000</v>
      </c>
      <c r="AW31" s="776">
        <v>816080135</v>
      </c>
      <c r="AX31" s="7">
        <f t="shared" si="14"/>
        <v>-1.1028328731467038E-2</v>
      </c>
      <c r="AZ31" s="775">
        <f t="shared" si="15"/>
        <v>-4080400.6750000003</v>
      </c>
    </row>
    <row r="32" spans="1:52" x14ac:dyDescent="0.2">
      <c r="A32" s="767" t="s">
        <v>9540</v>
      </c>
      <c r="B32" s="768" t="str">
        <f>IFERROR(VLOOKUP(A32,NoviaFunds[],2,FALSE),"")</f>
        <v>iShares MSCI Target UK Real Estate UCITS ETF GBP</v>
      </c>
      <c r="C32" s="778">
        <f>_xll.MSDP(A32,$C$3)</f>
        <v>4</v>
      </c>
      <c r="D32" s="768" t="str">
        <f>IFERROR(VLOOKUP(A32,NoviaFunds[],6,FALSE),"")</f>
        <v>Property</v>
      </c>
      <c r="E32" s="768" t="s">
        <v>49</v>
      </c>
      <c r="F32" s="786">
        <f>IFERROR(INDEX('DT04 Prudence'!F:F,MATCH('Day 1'!A32,'DT04 Prudence'!A:A,0)),"")</f>
        <v>0</v>
      </c>
      <c r="G32" s="787">
        <f t="shared" si="16"/>
        <v>112000</v>
      </c>
      <c r="H32" s="788">
        <f t="shared" si="0"/>
        <v>8.615384615384615E-3</v>
      </c>
      <c r="I32" s="589" t="str">
        <f>IFERROR(IF(INDEX('DT04 Prudence'!$G$4:$G$34,MATCH('Day 1'!A32,'DT04 Prudence'!$A$4:$A$34,0))='Day 1'!H32,"Yes","No"),"")</f>
        <v>No</v>
      </c>
      <c r="J32" s="804">
        <f>IFERROR(INDEX('DT05 Navigator'!F:F,MATCH('Day 1'!A32,'DT05 Navigator'!A:A,0)),"")</f>
        <v>0</v>
      </c>
      <c r="K32" s="787">
        <f>IFERROR(ROUND(AN32*AZ32,-3),"")</f>
        <v>337000</v>
      </c>
      <c r="L32" s="788">
        <f t="shared" si="1"/>
        <v>8.6410256410256406E-3</v>
      </c>
      <c r="M32" s="589" t="str">
        <f>IFERROR(IF(INDEX('DT05 Navigator'!$G$4:$G$37,MATCH('Day 1'!A32,'DT05 Navigator'!$A$4:$A$37,0))='Day 1'!L32,"Yes","No"),"")</f>
        <v>No</v>
      </c>
      <c r="N32" s="804">
        <f>IFERROR(INDEX('DT06 Meridian'!F:F,MATCH('Day 1'!A32,'DT06 Meridian'!A:A,0)),"")</f>
        <v>0</v>
      </c>
      <c r="O32" s="787">
        <f t="shared" si="2"/>
        <v>648000</v>
      </c>
      <c r="P32" s="788">
        <f t="shared" si="3"/>
        <v>8.6400000000000001E-3</v>
      </c>
      <c r="Q32" s="589" t="str">
        <f>IFERROR(IF(INDEX('DT06 Meridian'!$G$4:$G$37,MATCH('Day 1'!A32,'DT06 Meridian'!$A$4:$A$37,0))='Day 1'!P32,"Yes","No"),"")</f>
        <v>No</v>
      </c>
      <c r="R32" s="804">
        <f>IFERROR(INDEX('DT07 Explorer'!F:F,MATCH('Day 1'!A32,'DT07 Explorer'!A:A,0)),"")</f>
        <v>0</v>
      </c>
      <c r="S32" s="787">
        <f t="shared" si="4"/>
        <v>458000</v>
      </c>
      <c r="T32" s="788">
        <f t="shared" si="5"/>
        <v>8.641509433962264E-3</v>
      </c>
      <c r="U32" s="589" t="str">
        <f>IFERROR(IF(INDEX('DT07 Explorer'!$G$4:$G$37,MATCH('Day 1'!A32,'DT07 Explorer'!$A$4:$A$37,0))='Day 1'!T32,"Yes","No"),"")</f>
        <v>No</v>
      </c>
      <c r="AI32" s="773">
        <f>IFERROR(INDEX('DT04 Prudence'!H:H,MATCH('Day 1'!A32,'DT04 Prudence'!A:A,0)),"")</f>
        <v>0.05</v>
      </c>
      <c r="AJ32" s="782">
        <f t="shared" si="6"/>
        <v>650000</v>
      </c>
      <c r="AK32" s="780">
        <f t="shared" si="7"/>
        <v>7.2222222222222215E-2</v>
      </c>
      <c r="AL32" s="602">
        <f>IFERROR(INDEX('DT05 Navigator'!H:H,MATCH('Day 1'!A32,'DT05 Navigator'!A:A,0)),"")</f>
        <v>0.05</v>
      </c>
      <c r="AM32" s="782">
        <f t="shared" si="8"/>
        <v>1950000</v>
      </c>
      <c r="AN32" s="780">
        <f t="shared" si="9"/>
        <v>0.21666666666666667</v>
      </c>
      <c r="AO32" s="602">
        <f>IFERROR(INDEX('DT06 Meridian'!H:H,MATCH('Day 1'!A32,'DT06 Meridian'!A:A,0)),"")</f>
        <v>0.05</v>
      </c>
      <c r="AP32" s="782">
        <f t="shared" si="10"/>
        <v>3750000</v>
      </c>
      <c r="AQ32" s="780">
        <f t="shared" si="11"/>
        <v>0.41666666666666669</v>
      </c>
      <c r="AR32" s="602">
        <f>IFERROR(INDEX('DT07 Explorer'!H:H,MATCH('Day 1'!A32,'DT07 Explorer'!A:A,0)),"")</f>
        <v>0.05</v>
      </c>
      <c r="AS32" s="782">
        <f t="shared" si="12"/>
        <v>2650000</v>
      </c>
      <c r="AT32" s="7">
        <f t="shared" si="13"/>
        <v>0.29444444444444445</v>
      </c>
      <c r="AV32" s="775">
        <v>9000000</v>
      </c>
      <c r="AW32" s="776">
        <v>77753508</v>
      </c>
      <c r="AX32" s="7">
        <f t="shared" si="14"/>
        <v>0.11575040447049668</v>
      </c>
      <c r="AZ32" s="775">
        <f>IF(OR(AX32&gt;0.005,AX32&lt;-0.005),AV32/(ABS(AX32)/0.02),AV32)</f>
        <v>1555070.1600000001</v>
      </c>
    </row>
    <row r="33" spans="1:52" x14ac:dyDescent="0.2">
      <c r="A33" s="767" t="s">
        <v>20</v>
      </c>
      <c r="B33" s="768" t="str">
        <f>IFERROR(VLOOKUP(A33,NoviaFunds[],2,FALSE),"")</f>
        <v>Jupiter Gold &amp; Silver I Acc</v>
      </c>
      <c r="C33" s="778">
        <f>_xll.MSDP(A33,$C$3)</f>
        <v>4</v>
      </c>
      <c r="D33" s="768" t="str">
        <f>IFERROR(VLOOKUP(A33,NoviaFunds[],6,FALSE),"")</f>
        <v>Specialist</v>
      </c>
      <c r="E33" s="768" t="s">
        <v>47</v>
      </c>
      <c r="F33" s="786">
        <f>IFERROR(INDEX('DT04 Prudence'!F:F,MATCH('Day 1'!A33,'DT04 Prudence'!A:A,0)),"")</f>
        <v>0.05</v>
      </c>
      <c r="G33" s="850">
        <f t="shared" si="16"/>
        <v>-271000</v>
      </c>
      <c r="H33" s="788">
        <f t="shared" si="0"/>
        <v>2.9153846153846155E-2</v>
      </c>
      <c r="I33" s="589" t="str">
        <f>IFERROR(IF(INDEX('DT04 Prudence'!$G$4:$G$34,MATCH('Day 1'!A33,'DT04 Prudence'!$A$4:$A$34,0))='Day 1'!H33,"Yes","No"),"")</f>
        <v>No</v>
      </c>
      <c r="J33" s="804">
        <f>IFERROR(INDEX('DT05 Navigator'!F:F,MATCH('Day 1'!A33,'DT05 Navigator'!A:A,0)),"")</f>
        <v>0.05</v>
      </c>
      <c r="K33" s="787">
        <f>IFERROR(ROUND(AN33*AZ33,-3),"")</f>
        <v>-812000</v>
      </c>
      <c r="L33" s="788">
        <f t="shared" si="1"/>
        <v>2.9179487179487183E-2</v>
      </c>
      <c r="M33" s="589" t="str">
        <f>IFERROR(IF(INDEX('DT05 Navigator'!$G$4:$G$37,MATCH('Day 1'!A33,'DT05 Navigator'!$A$4:$A$37,0))='Day 1'!L33,"Yes","No"),"")</f>
        <v>No</v>
      </c>
      <c r="N33" s="804">
        <f>IFERROR(INDEX('DT06 Meridian'!F:F,MATCH('Day 1'!A33,'DT06 Meridian'!A:A,0)),"")</f>
        <v>0.05</v>
      </c>
      <c r="O33" s="787">
        <f t="shared" si="2"/>
        <v>-1562000</v>
      </c>
      <c r="P33" s="788">
        <f t="shared" si="3"/>
        <v>2.9173333333333336E-2</v>
      </c>
      <c r="Q33" s="589" t="str">
        <f>IFERROR(IF(INDEX('DT06 Meridian'!$G$4:$G$37,MATCH('Day 1'!A33,'DT06 Meridian'!$A$4:$A$37,0))='Day 1'!P33,"Yes","No"),"")</f>
        <v>No</v>
      </c>
      <c r="R33" s="804">
        <f>IFERROR(INDEX('DT07 Explorer'!F:F,MATCH('Day 1'!A33,'DT07 Explorer'!A:A,0)),"")</f>
        <v>0.05</v>
      </c>
      <c r="S33" s="787">
        <f t="shared" si="4"/>
        <v>-1104000</v>
      </c>
      <c r="T33" s="788">
        <f t="shared" si="5"/>
        <v>2.9169811320754718E-2</v>
      </c>
      <c r="U33" s="589" t="str">
        <f>IFERROR(IF(INDEX('DT07 Explorer'!$G$4:$G$37,MATCH('Day 1'!A33,'DT07 Explorer'!$A$4:$A$37,0))='Day 1'!T33,"Yes","No"),"")</f>
        <v>No</v>
      </c>
      <c r="AI33" s="773">
        <f>IFERROR(INDEX('DT04 Prudence'!H:H,MATCH('Day 1'!A33,'DT04 Prudence'!A:A,0)),"")</f>
        <v>-0.05</v>
      </c>
      <c r="AJ33" s="782">
        <f t="shared" si="6"/>
        <v>-650000</v>
      </c>
      <c r="AK33" s="780">
        <f t="shared" si="7"/>
        <v>7.2222222222222215E-2</v>
      </c>
      <c r="AL33" s="602">
        <f>IFERROR(INDEX('DT05 Navigator'!H:H,MATCH('Day 1'!A33,'DT05 Navigator'!A:A,0)),"")</f>
        <v>-0.05</v>
      </c>
      <c r="AM33" s="782">
        <f t="shared" si="8"/>
        <v>-1950000</v>
      </c>
      <c r="AN33" s="780">
        <f t="shared" si="9"/>
        <v>0.21666666666666667</v>
      </c>
      <c r="AO33" s="602">
        <f>IFERROR(INDEX('DT06 Meridian'!H:H,MATCH('Day 1'!A33,'DT06 Meridian'!A:A,0)),"")</f>
        <v>-0.05</v>
      </c>
      <c r="AP33" s="782">
        <f t="shared" si="10"/>
        <v>-3750000</v>
      </c>
      <c r="AQ33" s="780">
        <f t="shared" si="11"/>
        <v>0.41666666666666669</v>
      </c>
      <c r="AR33" s="602">
        <f>IFERROR(INDEX('DT07 Explorer'!H:H,MATCH('Day 1'!A33,'DT07 Explorer'!A:A,0)),"")</f>
        <v>-0.05</v>
      </c>
      <c r="AS33" s="782">
        <f t="shared" si="12"/>
        <v>-2650000</v>
      </c>
      <c r="AT33" s="7">
        <f t="shared" si="13"/>
        <v>0.29444444444444445</v>
      </c>
      <c r="AV33" s="775">
        <v>-9000000</v>
      </c>
      <c r="AW33" s="776">
        <v>749560857</v>
      </c>
      <c r="AX33" s="7">
        <f t="shared" si="14"/>
        <v>-1.2007030404470547E-2</v>
      </c>
      <c r="AZ33" s="775">
        <f t="shared" si="15"/>
        <v>-3747804.2850000001</v>
      </c>
    </row>
    <row r="34" spans="1:52" x14ac:dyDescent="0.2">
      <c r="A34" s="772" t="s">
        <v>23</v>
      </c>
      <c r="B34" s="768" t="str">
        <f>IFERROR(VLOOKUP(A34,NoviaFunds[],2,FALSE),"")</f>
        <v>Allianz UK Listed Equity Income E Inc GBP</v>
      </c>
      <c r="C34" s="778">
        <f>_xll.MSDP(A34,$C$3)</f>
        <v>4</v>
      </c>
      <c r="D34" s="772" t="str">
        <f>IFERROR(VLOOKUP(A34,NoviaFunds[],6,FALSE),"")</f>
        <v>UK Equities</v>
      </c>
      <c r="E34" s="768" t="s">
        <v>32</v>
      </c>
      <c r="F34" s="786">
        <f>IFERROR(INDEX('DT04 Prudence'!F:F,MATCH('Day 1'!A34,'DT04 Prudence'!A:A,0)),"")</f>
        <v>0.06</v>
      </c>
      <c r="G34" s="850">
        <f t="shared" si="16"/>
        <v>-260000</v>
      </c>
      <c r="H34" s="788">
        <f t="shared" si="0"/>
        <v>3.9999999999999994E-2</v>
      </c>
      <c r="I34" s="589" t="str">
        <f>IFERROR(IF(INDEX('DT04 Prudence'!$G$4:$G$34,MATCH('Day 1'!A34,'DT04 Prudence'!$A$4:$A$34,0))='Day 1'!H34,"Yes","No"),"")</f>
        <v>Yes</v>
      </c>
      <c r="J34" s="804">
        <f>IFERROR(INDEX('DT05 Navigator'!F:F,MATCH('Day 1'!A34,'DT05 Navigator'!A:A,0)),"")</f>
        <v>0.06</v>
      </c>
      <c r="K34" s="787">
        <f>IFERROR(ROUND(AN34*AZ34,-3),"")</f>
        <v>-97000</v>
      </c>
      <c r="L34" s="788">
        <f t="shared" si="1"/>
        <v>5.7512820512820508E-2</v>
      </c>
      <c r="M34" s="589" t="str">
        <f>IFERROR(IF(INDEX('DT05 Navigator'!$G$4:$G$37,MATCH('Day 1'!A34,'DT05 Navigator'!$A$4:$A$37,0))='Day 1'!L34,"Yes","No"),"")</f>
        <v>No</v>
      </c>
      <c r="N34" s="804">
        <f>IFERROR(INDEX('DT06 Meridian'!F:F,MATCH('Day 1'!A34,'DT06 Meridian'!A:A,0)),"")</f>
        <v>0.06</v>
      </c>
      <c r="O34" s="787">
        <f t="shared" si="2"/>
        <v>-188000</v>
      </c>
      <c r="P34" s="788">
        <f t="shared" si="3"/>
        <v>5.7493333333333334E-2</v>
      </c>
      <c r="Q34" s="589" t="str">
        <f>IFERROR(IF(INDEX('DT06 Meridian'!$G$4:$G$37,MATCH('Day 1'!A34,'DT06 Meridian'!$A$4:$A$37,0))='Day 1'!P34,"Yes","No"),"")</f>
        <v>No</v>
      </c>
      <c r="R34" s="804">
        <f>IFERROR(INDEX('DT07 Explorer'!F:F,MATCH('Day 1'!A34,'DT07 Explorer'!A:A,0)),"")</f>
        <v>0.05</v>
      </c>
      <c r="S34" s="787">
        <f t="shared" si="4"/>
        <v>1855000</v>
      </c>
      <c r="T34" s="788">
        <f t="shared" si="5"/>
        <v>8.5000000000000006E-2</v>
      </c>
      <c r="U34" s="589" t="str">
        <f>IFERROR(IF(INDEX('DT07 Explorer'!$G$4:$G$37,MATCH('Day 1'!A34,'DT07 Explorer'!$A$4:$A$37,0))='Day 1'!T34,"Yes","No"),"")</f>
        <v>Yes</v>
      </c>
      <c r="AI34" s="773">
        <f>IFERROR(INDEX('DT04 Prudence'!H:H,MATCH('Day 1'!A34,'DT04 Prudence'!A:A,0)),"")</f>
        <v>-1.9999999999999997E-2</v>
      </c>
      <c r="AJ34" s="782">
        <f t="shared" si="6"/>
        <v>-259999.99999999997</v>
      </c>
      <c r="AK34" s="780">
        <f t="shared" si="7"/>
        <v>-0.19847328244274792</v>
      </c>
      <c r="AL34" s="602">
        <f>IFERROR(INDEX('DT05 Navigator'!H:H,MATCH('Day 1'!A34,'DT05 Navigator'!A:A,0)),"")</f>
        <v>-2.4999999999999953E-3</v>
      </c>
      <c r="AM34" s="782">
        <f t="shared" si="8"/>
        <v>-97499.999999999811</v>
      </c>
      <c r="AN34" s="780">
        <f t="shared" si="9"/>
        <v>-7.4427480916030339E-2</v>
      </c>
      <c r="AO34" s="602">
        <f>IFERROR(INDEX('DT06 Meridian'!H:H,MATCH('Day 1'!A34,'DT06 Meridian'!A:A,0)),"")</f>
        <v>-2.4999999999999953E-3</v>
      </c>
      <c r="AP34" s="782">
        <f t="shared" si="10"/>
        <v>-187499.99999999965</v>
      </c>
      <c r="AQ34" s="780">
        <f t="shared" si="11"/>
        <v>-0.14312977099236604</v>
      </c>
      <c r="AR34" s="602">
        <f>IFERROR(INDEX('DT07 Explorer'!H:H,MATCH('Day 1'!A34,'DT07 Explorer'!A:A,0)),"")</f>
        <v>3.5000000000000003E-2</v>
      </c>
      <c r="AS34" s="782">
        <f t="shared" si="12"/>
        <v>1855000.0000000002</v>
      </c>
      <c r="AT34" s="7">
        <f t="shared" si="13"/>
        <v>1.4160305343511441</v>
      </c>
      <c r="AV34" s="775">
        <v>1310000.0000000009</v>
      </c>
      <c r="AW34" s="776">
        <v>317761384</v>
      </c>
      <c r="AX34" s="7">
        <f t="shared" si="14"/>
        <v>4.1225903019103194E-3</v>
      </c>
      <c r="AZ34" s="775">
        <f t="shared" si="15"/>
        <v>1310000.0000000009</v>
      </c>
    </row>
    <row r="35" spans="1:52" x14ac:dyDescent="0.2">
      <c r="A35" s="772" t="s">
        <v>442</v>
      </c>
      <c r="B35" s="768" t="str">
        <f>IFERROR(VLOOKUP(A35,NoviaFunds[],2,FALSE),"")</f>
        <v>Artemis Income I Acc TR in GB</v>
      </c>
      <c r="C35" s="778">
        <f>_xll.MSDP(A35,$C$3)</f>
        <v>4</v>
      </c>
      <c r="D35" s="772" t="str">
        <f>IFERROR(VLOOKUP(A35,NoviaFunds[],6,FALSE),"")</f>
        <v>UK Equities</v>
      </c>
      <c r="E35" s="768" t="s">
        <v>32</v>
      </c>
      <c r="F35" s="786">
        <f>IFERROR(INDEX('DT04 Prudence'!F:F,MATCH('Day 1'!A35,'DT04 Prudence'!A:A,0)),"")</f>
        <v>0.05</v>
      </c>
      <c r="G35" s="850">
        <f t="shared" si="16"/>
        <v>-650000</v>
      </c>
      <c r="H35" s="788">
        <f t="shared" si="0"/>
        <v>0</v>
      </c>
      <c r="I35" s="589" t="str">
        <f>IFERROR(IF(INDEX('DT04 Prudence'!$G$4:$G$34,MATCH('Day 1'!A35,'DT04 Prudence'!$A$4:$A$34,0))='Day 1'!H35,"Yes","No"),"")</f>
        <v>Yes</v>
      </c>
      <c r="J35" s="804">
        <f>IFERROR(INDEX('DT05 Navigator'!F:F,MATCH('Day 1'!A35,'DT05 Navigator'!A:A,0)),"")</f>
        <v>0.05</v>
      </c>
      <c r="K35" s="787">
        <f>IFERROR(ROUND(AN35*AZ35,-3),"")</f>
        <v>-1950000</v>
      </c>
      <c r="L35" s="788">
        <f t="shared" si="1"/>
        <v>0</v>
      </c>
      <c r="M35" s="589" t="str">
        <f>IFERROR(IF(INDEX('DT05 Navigator'!$G$4:$G$37,MATCH('Day 1'!A35,'DT05 Navigator'!$A$4:$A$37,0))='Day 1'!L35,"Yes","No"),"")</f>
        <v>Yes</v>
      </c>
      <c r="N35" s="804" t="str">
        <f>IFERROR(INDEX('DT06 Meridian'!F:F,MATCH('Day 1'!A35,'DT06 Meridian'!A:A,0)),"")</f>
        <v/>
      </c>
      <c r="O35" s="787" t="str">
        <f t="shared" si="2"/>
        <v/>
      </c>
      <c r="P35" s="788" t="str">
        <f t="shared" si="3"/>
        <v/>
      </c>
      <c r="Q35" s="589" t="str">
        <f>IFERROR(IF(INDEX('DT06 Meridian'!$G$4:$G$37,MATCH('Day 1'!A35,'DT06 Meridian'!$A$4:$A$37,0))='Day 1'!P35,"Yes","No"),"")</f>
        <v/>
      </c>
      <c r="R35" s="804" t="str">
        <f>IFERROR(INDEX('DT07 Explorer'!F:F,MATCH('Day 1'!A35,'DT07 Explorer'!A:A,0)),"")</f>
        <v/>
      </c>
      <c r="S35" s="787" t="str">
        <f t="shared" si="4"/>
        <v/>
      </c>
      <c r="T35" s="788" t="str">
        <f t="shared" si="5"/>
        <v/>
      </c>
      <c r="U35" s="589" t="str">
        <f>IFERROR(IF(INDEX('DT07 Explorer'!$G$4:$G$37,MATCH('Day 1'!A35,'DT07 Explorer'!$A$4:$A$37,0))='Day 1'!T35,"Yes","No"),"")</f>
        <v/>
      </c>
      <c r="AI35" s="773">
        <f>IFERROR(INDEX('DT04 Prudence'!H:H,MATCH('Day 1'!A35,'DT04 Prudence'!A:A,0)),"")</f>
        <v>-0.05</v>
      </c>
      <c r="AJ35" s="782">
        <f t="shared" si="6"/>
        <v>-650000</v>
      </c>
      <c r="AK35" s="780">
        <f t="shared" si="7"/>
        <v>0.25</v>
      </c>
      <c r="AL35" s="602">
        <f>IFERROR(INDEX('DT05 Navigator'!H:H,MATCH('Day 1'!A35,'DT05 Navigator'!A:A,0)),"")</f>
        <v>-0.05</v>
      </c>
      <c r="AM35" s="782">
        <f t="shared" si="8"/>
        <v>-1950000</v>
      </c>
      <c r="AN35" s="780">
        <f t="shared" si="9"/>
        <v>0.75</v>
      </c>
      <c r="AO35" s="602" t="str">
        <f>IFERROR(INDEX('DT06 Meridian'!H:H,MATCH('Day 1'!A35,'DT06 Meridian'!A:A,0)),"")</f>
        <v/>
      </c>
      <c r="AP35" s="782" t="str">
        <f t="shared" si="10"/>
        <v/>
      </c>
      <c r="AQ35" s="780" t="str">
        <f t="shared" si="11"/>
        <v/>
      </c>
      <c r="AR35" s="602" t="str">
        <f>IFERROR(INDEX('DT07 Explorer'!H:H,MATCH('Day 1'!A35,'DT07 Explorer'!A:A,0)),"")</f>
        <v/>
      </c>
      <c r="AS35" s="782" t="str">
        <f t="shared" si="12"/>
        <v/>
      </c>
      <c r="AT35" s="7" t="str">
        <f t="shared" si="13"/>
        <v/>
      </c>
      <c r="AV35" s="775">
        <v>-2600000</v>
      </c>
      <c r="AW35" s="776">
        <v>4664664781</v>
      </c>
      <c r="AX35" s="7">
        <f t="shared" si="14"/>
        <v>-5.5738196034798844E-4</v>
      </c>
      <c r="AZ35" s="775">
        <f t="shared" si="15"/>
        <v>-2600000</v>
      </c>
    </row>
    <row r="36" spans="1:52" x14ac:dyDescent="0.2">
      <c r="A36" s="772" t="s">
        <v>21</v>
      </c>
      <c r="B36" s="768" t="str">
        <f>IFERROR(VLOOKUP(A36,NoviaFunds[],2,FALSE),"")</f>
        <v>BlackRock UK Equity D Acc TR in GB**</v>
      </c>
      <c r="C36" s="778">
        <f>_xll.MSDP(A36,$C$3)</f>
        <v>3</v>
      </c>
      <c r="D36" s="772" t="str">
        <f>IFERROR(VLOOKUP(A36,NoviaFunds[],6,FALSE),"")</f>
        <v>UK Equities</v>
      </c>
      <c r="E36" s="768" t="s">
        <v>32</v>
      </c>
      <c r="F36" s="786">
        <f>IFERROR(INDEX('DT04 Prudence'!F:F,MATCH('Day 1'!A36,'DT04 Prudence'!A:A,0)),"")</f>
        <v>0.04</v>
      </c>
      <c r="G36" s="850">
        <v>-520000</v>
      </c>
      <c r="H36" s="788">
        <f t="shared" si="0"/>
        <v>0</v>
      </c>
      <c r="I36" s="589" t="str">
        <f>IFERROR(IF(INDEX('DT04 Prudence'!$G$4:$G$34,MATCH('Day 1'!A36,'DT04 Prudence'!$A$4:$A$34,0))='Day 1'!H36,"Yes","No"),"")</f>
        <v>Yes</v>
      </c>
      <c r="J36" s="804">
        <f>IFERROR(INDEX('DT05 Navigator'!F:F,MATCH('Day 1'!A36,'DT05 Navigator'!A:A,0)),"")</f>
        <v>0.05</v>
      </c>
      <c r="K36" s="787">
        <v>-1950000</v>
      </c>
      <c r="L36" s="788">
        <f t="shared" si="1"/>
        <v>0</v>
      </c>
      <c r="M36" s="589" t="str">
        <f>IFERROR(IF(INDEX('DT05 Navigator'!$G$4:$G$37,MATCH('Day 1'!A36,'DT05 Navigator'!$A$4:$A$37,0))='Day 1'!L36,"Yes","No"),"")</f>
        <v>Yes</v>
      </c>
      <c r="N36" s="804">
        <f>IFERROR(INDEX('DT06 Meridian'!F:F,MATCH('Day 1'!A36,'DT06 Meridian'!A:A,0)),"")</f>
        <v>0.05</v>
      </c>
      <c r="O36" s="787">
        <v>-3750000</v>
      </c>
      <c r="P36" s="788">
        <f t="shared" si="3"/>
        <v>0</v>
      </c>
      <c r="Q36" s="589" t="str">
        <f>IFERROR(IF(INDEX('DT06 Meridian'!$G$4:$G$37,MATCH('Day 1'!A36,'DT06 Meridian'!$A$4:$A$37,0))='Day 1'!P36,"Yes","No"),"")</f>
        <v>Yes</v>
      </c>
      <c r="R36" s="804">
        <f>IFERROR(INDEX('DT07 Explorer'!F:F,MATCH('Day 1'!A36,'DT07 Explorer'!A:A,0)),"")</f>
        <v>0.05</v>
      </c>
      <c r="S36" s="787">
        <f t="shared" si="4"/>
        <v>-677000</v>
      </c>
      <c r="T36" s="788">
        <f t="shared" si="5"/>
        <v>3.7226415094339625E-2</v>
      </c>
      <c r="U36" s="589" t="str">
        <f>IFERROR(IF(INDEX('DT07 Explorer'!$G$4:$G$37,MATCH('Day 1'!A36,'DT07 Explorer'!$A$4:$A$37,0))='Day 1'!T36,"Yes","No"),"")</f>
        <v>No</v>
      </c>
      <c r="AI36" s="773">
        <f>IFERROR(INDEX('DT04 Prudence'!H:H,MATCH('Day 1'!A36,'DT04 Prudence'!A:A,0)),"")</f>
        <v>-0.04</v>
      </c>
      <c r="AJ36" s="782">
        <f t="shared" si="6"/>
        <v>-520000</v>
      </c>
      <c r="AK36" s="780">
        <f t="shared" si="7"/>
        <v>5.8624577226606536E-2</v>
      </c>
      <c r="AL36" s="602">
        <f>IFERROR(INDEX('DT05 Navigator'!H:H,MATCH('Day 1'!A36,'DT05 Navigator'!A:A,0)),"")</f>
        <v>-0.05</v>
      </c>
      <c r="AM36" s="782">
        <f t="shared" si="8"/>
        <v>-1950000</v>
      </c>
      <c r="AN36" s="780">
        <f t="shared" si="9"/>
        <v>0.21984216459977451</v>
      </c>
      <c r="AO36" s="602">
        <f>IFERROR(INDEX('DT06 Meridian'!H:H,MATCH('Day 1'!A36,'DT06 Meridian'!A:A,0)),"")</f>
        <v>-0.05</v>
      </c>
      <c r="AP36" s="782">
        <f t="shared" si="10"/>
        <v>-3750000</v>
      </c>
      <c r="AQ36" s="780">
        <f t="shared" si="11"/>
        <v>0.42277339346110487</v>
      </c>
      <c r="AR36" s="602">
        <f>IFERROR(INDEX('DT07 Explorer'!H:H,MATCH('Day 1'!A36,'DT07 Explorer'!A:A,0)),"")</f>
        <v>-0.05</v>
      </c>
      <c r="AS36" s="782">
        <f t="shared" si="12"/>
        <v>-2650000</v>
      </c>
      <c r="AT36" s="7">
        <f t="shared" si="13"/>
        <v>0.29875986471251409</v>
      </c>
      <c r="AV36" s="775">
        <v>-8870000</v>
      </c>
      <c r="AW36" s="776">
        <v>452901173</v>
      </c>
      <c r="AX36" s="7">
        <f t="shared" si="14"/>
        <v>-1.958484660405152E-2</v>
      </c>
      <c r="AZ36" s="775">
        <f t="shared" si="15"/>
        <v>-2264505.8650000002</v>
      </c>
    </row>
    <row r="37" spans="1:52" x14ac:dyDescent="0.2">
      <c r="A37" s="772" t="s">
        <v>25</v>
      </c>
      <c r="B37" s="777" t="str">
        <f>IFERROR(VLOOKUP(A37,NoviaFunds[],2,FALSE),"")</f>
        <v>FTF Franklin UK Equity Income W Acc TR in GB</v>
      </c>
      <c r="C37" s="778">
        <f>_xll.MSDP(A37,$C$3)</f>
        <v>3</v>
      </c>
      <c r="D37" s="772" t="str">
        <f>IFERROR(VLOOKUP(A37,NoviaFunds[],6,FALSE),"")</f>
        <v>UK Equities</v>
      </c>
      <c r="E37" s="768" t="s">
        <v>32</v>
      </c>
      <c r="F37" s="786">
        <f>IFERROR(INDEX('DT04 Prudence'!F:F,MATCH('Day 1'!A37,'DT04 Prudence'!A:A,0)),"")</f>
        <v>0.06</v>
      </c>
      <c r="G37" s="850">
        <f t="shared" si="16"/>
        <v>-260000</v>
      </c>
      <c r="H37" s="788">
        <f t="shared" si="0"/>
        <v>3.9999999999999994E-2</v>
      </c>
      <c r="I37" s="589" t="str">
        <f>IFERROR(IF(INDEX('DT04 Prudence'!$G$4:$G$34,MATCH('Day 1'!A37,'DT04 Prudence'!$A$4:$A$34,0))='Day 1'!H37,"Yes","No"),"")</f>
        <v>Yes</v>
      </c>
      <c r="J37" s="804">
        <f>IFERROR(INDEX('DT05 Navigator'!F:F,MATCH('Day 1'!A37,'DT05 Navigator'!A:A,0)),"")</f>
        <v>0.06</v>
      </c>
      <c r="K37" s="787">
        <f t="shared" ref="K37:K43" si="17">IFERROR(ROUND(AN37*AZ37,-3),"")</f>
        <v>-97000</v>
      </c>
      <c r="L37" s="788">
        <f t="shared" si="1"/>
        <v>5.7512820512820508E-2</v>
      </c>
      <c r="M37" s="589" t="str">
        <f>IFERROR(IF(INDEX('DT05 Navigator'!$G$4:$G$37,MATCH('Day 1'!A37,'DT05 Navigator'!$A$4:$A$37,0))='Day 1'!L37,"Yes","No"),"")</f>
        <v>No</v>
      </c>
      <c r="N37" s="804">
        <f>IFERROR(INDEX('DT06 Meridian'!F:F,MATCH('Day 1'!A37,'DT06 Meridian'!A:A,0)),"")</f>
        <v>0.06</v>
      </c>
      <c r="O37" s="787">
        <f t="shared" si="2"/>
        <v>-188000</v>
      </c>
      <c r="P37" s="788">
        <f t="shared" si="3"/>
        <v>5.7493333333333334E-2</v>
      </c>
      <c r="Q37" s="589" t="str">
        <f>IFERROR(IF(INDEX('DT06 Meridian'!$G$4:$G$37,MATCH('Day 1'!A37,'DT06 Meridian'!$A$4:$A$37,0))='Day 1'!P37,"Yes","No"),"")</f>
        <v>No</v>
      </c>
      <c r="R37" s="804">
        <f>IFERROR(INDEX('DT07 Explorer'!F:F,MATCH('Day 1'!A37,'DT07 Explorer'!A:A,0)),"")</f>
        <v>0</v>
      </c>
      <c r="S37" s="787"/>
      <c r="T37" s="788">
        <f t="shared" si="5"/>
        <v>0</v>
      </c>
      <c r="U37" s="589" t="str">
        <f>IFERROR(IF(INDEX('DT07 Explorer'!$G$4:$G$37,MATCH('Day 1'!A37,'DT07 Explorer'!$A$4:$A$37,0))='Day 1'!T37,"Yes","No"),"")</f>
        <v>No</v>
      </c>
      <c r="AI37" s="773">
        <f>IFERROR(INDEX('DT04 Prudence'!H:H,MATCH('Day 1'!A37,'DT04 Prudence'!A:A,0)),"")</f>
        <v>-1.9999999999999997E-2</v>
      </c>
      <c r="AJ37" s="782">
        <f t="shared" si="6"/>
        <v>-259999.99999999997</v>
      </c>
      <c r="AK37" s="780">
        <f t="shared" si="7"/>
        <v>-6.5656565656565635E-2</v>
      </c>
      <c r="AL37" s="602">
        <f>IFERROR(INDEX('DT05 Navigator'!H:H,MATCH('Day 1'!A37,'DT05 Navigator'!A:A,0)),"")</f>
        <v>-2.4999999999999953E-3</v>
      </c>
      <c r="AM37" s="782">
        <f t="shared" si="8"/>
        <v>-97499.999999999811</v>
      </c>
      <c r="AN37" s="780">
        <f t="shared" si="9"/>
        <v>-2.4621212121212072E-2</v>
      </c>
      <c r="AO37" s="602">
        <f>IFERROR(INDEX('DT06 Meridian'!H:H,MATCH('Day 1'!A37,'DT06 Meridian'!A:A,0)),"")</f>
        <v>-2.4999999999999953E-3</v>
      </c>
      <c r="AP37" s="782">
        <f t="shared" si="10"/>
        <v>-187499.99999999965</v>
      </c>
      <c r="AQ37" s="780">
        <f t="shared" si="11"/>
        <v>-4.7348484848484758E-2</v>
      </c>
      <c r="AR37" s="602">
        <f>IFERROR(INDEX('DT07 Explorer'!H:H,MATCH('Day 1'!A37,'DT07 Explorer'!A:A,0)),"")</f>
        <v>8.5000000000000006E-2</v>
      </c>
      <c r="AS37" s="782">
        <f t="shared" si="12"/>
        <v>4505000</v>
      </c>
      <c r="AT37" s="7">
        <f t="shared" si="13"/>
        <v>1.1376262626262625</v>
      </c>
      <c r="AV37" s="775">
        <v>3960000.0000000005</v>
      </c>
      <c r="AW37" s="776">
        <v>863362971</v>
      </c>
      <c r="AX37" s="7">
        <f t="shared" si="14"/>
        <v>4.5867151279528296E-3</v>
      </c>
      <c r="AZ37" s="775">
        <f t="shared" si="15"/>
        <v>3960000.0000000005</v>
      </c>
    </row>
    <row r="38" spans="1:52" x14ac:dyDescent="0.2">
      <c r="A38" s="772" t="s">
        <v>22</v>
      </c>
      <c r="B38" s="768" t="str">
        <f>IFERROR(VLOOKUP(A38,NoviaFunds[],2,FALSE),"")</f>
        <v>Slater Growth P Acc in GB</v>
      </c>
      <c r="C38" s="778">
        <f>_xll.MSDP(A38,$C$3)</f>
        <v>4</v>
      </c>
      <c r="D38" s="772" t="str">
        <f>IFERROR(VLOOKUP(A38,NoviaFunds[],6,FALSE),"")</f>
        <v>UK Equities</v>
      </c>
      <c r="E38" s="772" t="s">
        <v>32</v>
      </c>
      <c r="F38" s="786">
        <f>IFERROR(INDEX('DT04 Prudence'!F:F,MATCH('Day 1'!A38,'DT04 Prudence'!A:A,0)),"")</f>
        <v>0.04</v>
      </c>
      <c r="G38" s="850">
        <f t="shared" si="16"/>
        <v>-104000</v>
      </c>
      <c r="H38" s="788">
        <f t="shared" si="0"/>
        <v>3.2000000000000001E-2</v>
      </c>
      <c r="I38" s="589" t="str">
        <f>IFERROR(IF(INDEX('DT04 Prudence'!$G$4:$G$34,MATCH('Day 1'!A38,'DT04 Prudence'!$A$4:$A$34,0))='Day 1'!H38,"Yes","No"),"")</f>
        <v>Yes</v>
      </c>
      <c r="J38" s="804">
        <f>IFERROR(INDEX('DT05 Navigator'!F:F,MATCH('Day 1'!A38,'DT05 Navigator'!A:A,0)),"")</f>
        <v>0.05</v>
      </c>
      <c r="K38" s="787">
        <f t="shared" si="17"/>
        <v>-156000</v>
      </c>
      <c r="L38" s="788">
        <f t="shared" si="1"/>
        <v>4.5999999999999999E-2</v>
      </c>
      <c r="M38" s="589" t="str">
        <f>IFERROR(IF(INDEX('DT05 Navigator'!$G$4:$G$37,MATCH('Day 1'!A38,'DT05 Navigator'!$A$4:$A$37,0))='Day 1'!L38,"Yes","No"),"")</f>
        <v>Yes</v>
      </c>
      <c r="N38" s="804">
        <f>IFERROR(INDEX('DT06 Meridian'!F:F,MATCH('Day 1'!A38,'DT06 Meridian'!A:A,0)),"")</f>
        <v>0.05</v>
      </c>
      <c r="O38" s="787">
        <f t="shared" si="2"/>
        <v>-300000</v>
      </c>
      <c r="P38" s="788">
        <f t="shared" si="3"/>
        <v>4.5999999999999999E-2</v>
      </c>
      <c r="Q38" s="589" t="str">
        <f>IFERROR(IF(INDEX('DT06 Meridian'!$G$4:$G$37,MATCH('Day 1'!A38,'DT06 Meridian'!$A$4:$A$37,0))='Day 1'!P38,"Yes","No"),"")</f>
        <v>Yes</v>
      </c>
      <c r="R38" s="804">
        <f>IFERROR(INDEX('DT07 Explorer'!F:F,MATCH('Day 1'!A38,'DT07 Explorer'!A:A,0)),"")</f>
        <v>0.05</v>
      </c>
      <c r="S38" s="787">
        <f t="shared" si="4"/>
        <v>954000</v>
      </c>
      <c r="T38" s="788">
        <f t="shared" si="5"/>
        <v>6.8000000000000005E-2</v>
      </c>
      <c r="U38" s="589" t="str">
        <f>IFERROR(IF(INDEX('DT07 Explorer'!$G$4:$G$37,MATCH('Day 1'!A38,'DT07 Explorer'!$A$4:$A$37,0))='Day 1'!T38,"Yes","No"),"")</f>
        <v>Yes</v>
      </c>
      <c r="AI38" s="773">
        <f>IFERROR(INDEX('DT04 Prudence'!H:H,MATCH('Day 1'!A38,'DT04 Prudence'!A:A,0)),"")</f>
        <v>-8.0000000000000002E-3</v>
      </c>
      <c r="AJ38" s="782">
        <f t="shared" si="6"/>
        <v>-104000</v>
      </c>
      <c r="AK38" s="780">
        <f t="shared" si="7"/>
        <v>-0.2639593908629444</v>
      </c>
      <c r="AL38" s="602">
        <f>IFERROR(INDEX('DT05 Navigator'!H:H,MATCH('Day 1'!A38,'DT05 Navigator'!A:A,0)),"")</f>
        <v>-4.0000000000000036E-3</v>
      </c>
      <c r="AM38" s="782">
        <f t="shared" si="8"/>
        <v>-156000.00000000015</v>
      </c>
      <c r="AN38" s="780">
        <f t="shared" si="9"/>
        <v>-0.39593908629441699</v>
      </c>
      <c r="AO38" s="602">
        <f>IFERROR(INDEX('DT06 Meridian'!H:H,MATCH('Day 1'!A38,'DT06 Meridian'!A:A,0)),"")</f>
        <v>-4.0000000000000036E-3</v>
      </c>
      <c r="AP38" s="782">
        <f t="shared" si="10"/>
        <v>-300000.00000000029</v>
      </c>
      <c r="AQ38" s="780">
        <f t="shared" si="11"/>
        <v>-0.76142131979695571</v>
      </c>
      <c r="AR38" s="602">
        <f>IFERROR(INDEX('DT07 Explorer'!H:H,MATCH('Day 1'!A38,'DT07 Explorer'!A:A,0)),"")</f>
        <v>1.8000000000000002E-2</v>
      </c>
      <c r="AS38" s="782">
        <f t="shared" si="12"/>
        <v>954000.00000000012</v>
      </c>
      <c r="AT38" s="7">
        <f t="shared" si="13"/>
        <v>2.4213197969543172</v>
      </c>
      <c r="AV38" s="775">
        <v>393999.99999999965</v>
      </c>
      <c r="AW38" s="776">
        <v>1489902327</v>
      </c>
      <c r="AX38" s="7">
        <f t="shared" si="14"/>
        <v>2.6444686531454733E-4</v>
      </c>
      <c r="AZ38" s="775">
        <f t="shared" si="15"/>
        <v>393999.99999999965</v>
      </c>
    </row>
    <row r="39" spans="1:52" x14ac:dyDescent="0.2">
      <c r="A39" s="772" t="s">
        <v>8389</v>
      </c>
      <c r="B39" s="768" t="str">
        <f>IFERROR(VLOOKUP(A39,NoviaFunds[],2,FALSE),"")</f>
        <v>Vanguard FTSE U.K. All Share Index Unit Trust A Acc GBP in GB</v>
      </c>
      <c r="C39" s="778">
        <f>_xll.MSDP(A39,$C$3)</f>
        <v>2</v>
      </c>
      <c r="D39" s="772" t="str">
        <f>IFERROR(VLOOKUP(A39,NoviaFunds[],6,FALSE),"")</f>
        <v>UK Equities</v>
      </c>
      <c r="E39" s="772" t="s">
        <v>32</v>
      </c>
      <c r="F39" s="786">
        <f>IFERROR(INDEX('DT04 Prudence'!F:F,MATCH('Day 1'!A39,'DT04 Prudence'!A:A,0)),"")</f>
        <v>0</v>
      </c>
      <c r="G39" s="787">
        <f t="shared" si="16"/>
        <v>624000</v>
      </c>
      <c r="H39" s="788">
        <f t="shared" si="0"/>
        <v>4.8000000000000001E-2</v>
      </c>
      <c r="I39" s="589" t="str">
        <f>IFERROR(IF(INDEX('DT04 Prudence'!$G$4:$G$34,MATCH('Day 1'!A39,'DT04 Prudence'!$A$4:$A$34,0))='Day 1'!H39,"Yes","No"),"")</f>
        <v>Yes</v>
      </c>
      <c r="J39" s="804">
        <f>IFERROR(INDEX('DT05 Navigator'!F:F,MATCH('Day 1'!A39,'DT05 Navigator'!A:A,0)),"")</f>
        <v>0</v>
      </c>
      <c r="K39" s="787">
        <f t="shared" si="17"/>
        <v>2691000</v>
      </c>
      <c r="L39" s="788">
        <f t="shared" si="1"/>
        <v>6.9000000000000006E-2</v>
      </c>
      <c r="M39" s="589" t="str">
        <f>IFERROR(IF(INDEX('DT05 Navigator'!$G$4:$G$37,MATCH('Day 1'!A39,'DT05 Navigator'!$A$4:$A$37,0))='Day 1'!L39,"Yes","No"),"")</f>
        <v>Yes</v>
      </c>
      <c r="N39" s="804">
        <f>IFERROR(INDEX('DT06 Meridian'!F:F,MATCH('Day 1'!A39,'DT06 Meridian'!A:A,0)),"")</f>
        <v>0</v>
      </c>
      <c r="O39" s="787">
        <f t="shared" si="2"/>
        <v>5175000</v>
      </c>
      <c r="P39" s="788">
        <f t="shared" si="3"/>
        <v>6.9000000000000006E-2</v>
      </c>
      <c r="Q39" s="589" t="str">
        <f>IFERROR(IF(INDEX('DT06 Meridian'!$G$4:$G$37,MATCH('Day 1'!A39,'DT06 Meridian'!$A$4:$A$37,0))='Day 1'!P39,"Yes","No"),"")</f>
        <v>Yes</v>
      </c>
      <c r="R39" s="804">
        <f>IFERROR(INDEX('DT07 Explorer'!F:F,MATCH('Day 1'!A39,'DT07 Explorer'!A:A,0)),"")</f>
        <v>0</v>
      </c>
      <c r="S39" s="787">
        <f t="shared" si="4"/>
        <v>5406000</v>
      </c>
      <c r="T39" s="788">
        <f t="shared" si="5"/>
        <v>0.10199999999999999</v>
      </c>
      <c r="U39" s="589" t="str">
        <f>IFERROR(IF(INDEX('DT07 Explorer'!$G$4:$G$37,MATCH('Day 1'!A39,'DT07 Explorer'!$A$4:$A$37,0))='Day 1'!T39,"Yes","No"),"")</f>
        <v>Yes</v>
      </c>
      <c r="AI39" s="773">
        <f>IFERROR(INDEX('DT04 Prudence'!H:H,MATCH('Day 1'!A39,'DT04 Prudence'!A:A,0)),"")</f>
        <v>4.8000000000000001E-2</v>
      </c>
      <c r="AJ39" s="782">
        <f t="shared" si="6"/>
        <v>624000</v>
      </c>
      <c r="AK39" s="780">
        <f t="shared" si="7"/>
        <v>4.4905008635578586E-2</v>
      </c>
      <c r="AL39" s="602">
        <f>IFERROR(INDEX('DT05 Navigator'!H:H,MATCH('Day 1'!A39,'DT05 Navigator'!A:A,0)),"")</f>
        <v>6.9000000000000006E-2</v>
      </c>
      <c r="AM39" s="782">
        <f t="shared" si="8"/>
        <v>2691000</v>
      </c>
      <c r="AN39" s="780">
        <f t="shared" si="9"/>
        <v>0.19365284974093264</v>
      </c>
      <c r="AO39" s="602">
        <f>IFERROR(INDEX('DT06 Meridian'!H:H,MATCH('Day 1'!A39,'DT06 Meridian'!A:A,0)),"")</f>
        <v>6.9000000000000006E-2</v>
      </c>
      <c r="AP39" s="782">
        <f t="shared" si="10"/>
        <v>5175000</v>
      </c>
      <c r="AQ39" s="780">
        <f t="shared" si="11"/>
        <v>0.37240932642487046</v>
      </c>
      <c r="AR39" s="602">
        <f>IFERROR(INDEX('DT07 Explorer'!H:H,MATCH('Day 1'!A39,'DT07 Explorer'!A:A,0)),"")</f>
        <v>0.10199999999999999</v>
      </c>
      <c r="AS39" s="782">
        <f t="shared" si="12"/>
        <v>5406000</v>
      </c>
      <c r="AT39" s="7">
        <f t="shared" si="13"/>
        <v>0.38903281519861832</v>
      </c>
      <c r="AV39" s="775">
        <v>13896000</v>
      </c>
      <c r="AW39" s="776">
        <v>13653605750</v>
      </c>
      <c r="AX39" s="7">
        <f t="shared" si="14"/>
        <v>1.0177531308899848E-3</v>
      </c>
      <c r="AZ39" s="775">
        <f t="shared" si="15"/>
        <v>13896000</v>
      </c>
    </row>
    <row r="40" spans="1:52" x14ac:dyDescent="0.2">
      <c r="A40" s="772" t="s">
        <v>62</v>
      </c>
      <c r="B40" s="768" t="str">
        <f>IFERROR(VLOOKUP(A40,NoviaFunds[],2,FALSE),"")</f>
        <v>Artemis US Smaller Companies I Acc GBP in GB</v>
      </c>
      <c r="C40" s="778">
        <f>_xll.MSDP(A40,$C$3)</f>
        <v>4</v>
      </c>
      <c r="D40" s="772" t="str">
        <f>IFERROR(VLOOKUP(A40,NoviaFunds[],6,FALSE),"")</f>
        <v>USA Equities</v>
      </c>
      <c r="E40" s="772" t="s">
        <v>33</v>
      </c>
      <c r="F40" s="786">
        <f>IFERROR(INDEX('DT04 Prudence'!F:F,MATCH('Day 1'!A40,'DT04 Prudence'!A:A,0)),"")</f>
        <v>0</v>
      </c>
      <c r="G40" s="787">
        <f t="shared" si="16"/>
        <v>488000</v>
      </c>
      <c r="H40" s="788">
        <f t="shared" si="0"/>
        <v>3.7538461538461541E-2</v>
      </c>
      <c r="I40" s="589" t="str">
        <f>IFERROR(IF(INDEX('DT04 Prudence'!$G$4:$G$34,MATCH('Day 1'!A40,'DT04 Prudence'!$A$4:$A$34,0))='Day 1'!H40,"Yes","No"),"")</f>
        <v>No</v>
      </c>
      <c r="J40" s="804">
        <f>IFERROR(INDEX('DT05 Navigator'!F:F,MATCH('Day 1'!A40,'DT05 Navigator'!A:A,0)),"")</f>
        <v>0</v>
      </c>
      <c r="K40" s="787">
        <f t="shared" si="17"/>
        <v>2145000</v>
      </c>
      <c r="L40" s="788">
        <f t="shared" si="1"/>
        <v>5.5E-2</v>
      </c>
      <c r="M40" s="589" t="str">
        <f>IFERROR(IF(INDEX('DT05 Navigator'!$G$4:$G$37,MATCH('Day 1'!A40,'DT05 Navigator'!$A$4:$A$37,0))='Day 1'!L40,"Yes","No"),"")</f>
        <v>Yes</v>
      </c>
      <c r="N40" s="804">
        <f>IFERROR(INDEX('DT06 Meridian'!F:F,MATCH('Day 1'!A40,'DT06 Meridian'!A:A,0)),"")</f>
        <v>0.06</v>
      </c>
      <c r="O40" s="787">
        <f t="shared" si="2"/>
        <v>-375000</v>
      </c>
      <c r="P40" s="788">
        <f t="shared" si="3"/>
        <v>5.5E-2</v>
      </c>
      <c r="Q40" s="589" t="str">
        <f>IFERROR(IF(INDEX('DT06 Meridian'!$G$4:$G$37,MATCH('Day 1'!A40,'DT06 Meridian'!$A$4:$A$37,0))='Day 1'!P40,"Yes","No"),"")</f>
        <v>Yes</v>
      </c>
      <c r="R40" s="804">
        <f>IFERROR(INDEX('DT07 Explorer'!F:F,MATCH('Day 1'!A40,'DT07 Explorer'!A:A,0)),"")</f>
        <v>0.06</v>
      </c>
      <c r="S40" s="787">
        <f t="shared" si="4"/>
        <v>-663000</v>
      </c>
      <c r="T40" s="788">
        <f t="shared" si="5"/>
        <v>4.7490566037735847E-2</v>
      </c>
      <c r="U40" s="589" t="str">
        <f>IFERROR(IF(INDEX('DT07 Explorer'!$G$4:$G$37,MATCH('Day 1'!A40,'DT07 Explorer'!$A$4:$A$37,0))='Day 1'!T40,"Yes","No"),"")</f>
        <v>No</v>
      </c>
      <c r="AI40" s="773">
        <f>IFERROR(INDEX('DT04 Prudence'!H:H,MATCH('Day 1'!A40,'DT04 Prudence'!A:A,0)),"")</f>
        <v>3.7499999999999999E-2</v>
      </c>
      <c r="AJ40" s="782">
        <f t="shared" si="6"/>
        <v>487500</v>
      </c>
      <c r="AK40" s="780">
        <f t="shared" si="7"/>
        <v>0.30564263322884011</v>
      </c>
      <c r="AL40" s="602">
        <f>IFERROR(INDEX('DT05 Navigator'!H:H,MATCH('Day 1'!A40,'DT05 Navigator'!A:A,0)),"")</f>
        <v>5.5E-2</v>
      </c>
      <c r="AM40" s="782">
        <f t="shared" si="8"/>
        <v>2145000</v>
      </c>
      <c r="AN40" s="780">
        <f t="shared" si="9"/>
        <v>1.3448275862068966</v>
      </c>
      <c r="AO40" s="602">
        <f>IFERROR(INDEX('DT06 Meridian'!H:H,MATCH('Day 1'!A40,'DT06 Meridian'!A:A,0)),"")</f>
        <v>-4.9999999999999975E-3</v>
      </c>
      <c r="AP40" s="782">
        <f t="shared" si="10"/>
        <v>-374999.99999999983</v>
      </c>
      <c r="AQ40" s="780">
        <f t="shared" si="11"/>
        <v>-0.23510971786833845</v>
      </c>
      <c r="AR40" s="602">
        <f>IFERROR(INDEX('DT07 Explorer'!H:H,MATCH('Day 1'!A40,'DT07 Explorer'!A:A,0)),"")</f>
        <v>-1.2499999999999997E-2</v>
      </c>
      <c r="AS40" s="782">
        <f t="shared" si="12"/>
        <v>-662499.99999999988</v>
      </c>
      <c r="AT40" s="7">
        <f t="shared" si="13"/>
        <v>-0.41536050156739807</v>
      </c>
      <c r="AV40" s="775">
        <v>1595000</v>
      </c>
      <c r="AW40" s="776">
        <v>1111310619</v>
      </c>
      <c r="AX40" s="7">
        <f t="shared" si="14"/>
        <v>1.4352422920562409E-3</v>
      </c>
      <c r="AZ40" s="775">
        <f t="shared" si="15"/>
        <v>1595000</v>
      </c>
    </row>
    <row r="41" spans="1:52" x14ac:dyDescent="0.2">
      <c r="A41" s="772" t="s">
        <v>2706</v>
      </c>
      <c r="B41" s="768" t="str">
        <f>IFERROR(VLOOKUP(A41,NoviaFunds[],2,FALSE),"")</f>
        <v>Fidelity Index US P in GB</v>
      </c>
      <c r="C41" s="778">
        <f>_xll.MSDP(A41,$C$3)</f>
        <v>3</v>
      </c>
      <c r="D41" s="772" t="str">
        <f>IFERROR(VLOOKUP(A41,NoviaFunds[],6,FALSE),"")</f>
        <v>USA Equities</v>
      </c>
      <c r="E41" s="772" t="s">
        <v>33</v>
      </c>
      <c r="F41" s="786">
        <f>IFERROR(INDEX('DT04 Prudence'!F:F,MATCH('Day 1'!A41,'DT04 Prudence'!A:A,0)),"")</f>
        <v>0</v>
      </c>
      <c r="G41" s="787">
        <f t="shared" si="16"/>
        <v>975000</v>
      </c>
      <c r="H41" s="788">
        <f t="shared" si="0"/>
        <v>7.4999999999999997E-2</v>
      </c>
      <c r="I41" s="589" t="str">
        <f>IFERROR(IF(INDEX('DT04 Prudence'!$G$4:$G$34,MATCH('Day 1'!A41,'DT04 Prudence'!$A$4:$A$34,0))='Day 1'!H41,"Yes","No"),"")</f>
        <v>Yes</v>
      </c>
      <c r="J41" s="804">
        <f>IFERROR(INDEX('DT05 Navigator'!F:F,MATCH('Day 1'!A41,'DT05 Navigator'!A:A,0)),"")</f>
        <v>0</v>
      </c>
      <c r="K41" s="787">
        <f t="shared" si="17"/>
        <v>4290000</v>
      </c>
      <c r="L41" s="788">
        <f t="shared" si="1"/>
        <v>0.11</v>
      </c>
      <c r="M41" s="589" t="str">
        <f>IFERROR(IF(INDEX('DT05 Navigator'!$G$4:$G$37,MATCH('Day 1'!A41,'DT05 Navigator'!$A$4:$A$37,0))='Day 1'!L41,"Yes","No"),"")</f>
        <v>Yes</v>
      </c>
      <c r="N41" s="804">
        <f>IFERROR(INDEX('DT06 Meridian'!F:F,MATCH('Day 1'!A41,'DT06 Meridian'!A:A,0)),"")</f>
        <v>0</v>
      </c>
      <c r="O41" s="787">
        <f t="shared" si="2"/>
        <v>8250000</v>
      </c>
      <c r="P41" s="788">
        <f t="shared" si="3"/>
        <v>0.11</v>
      </c>
      <c r="Q41" s="589" t="str">
        <f>IFERROR(IF(INDEX('DT06 Meridian'!$G$4:$G$37,MATCH('Day 1'!A41,'DT06 Meridian'!$A$4:$A$37,0))='Day 1'!P41,"Yes","No"),"")</f>
        <v>Yes</v>
      </c>
      <c r="R41" s="804">
        <f>IFERROR(INDEX('DT07 Explorer'!F:F,MATCH('Day 1'!A41,'DT07 Explorer'!A:A,0)),"")</f>
        <v>0</v>
      </c>
      <c r="S41" s="787"/>
      <c r="T41" s="788">
        <f t="shared" si="5"/>
        <v>0</v>
      </c>
      <c r="U41" s="589" t="str">
        <f>IFERROR(IF(INDEX('DT07 Explorer'!$G$4:$G$37,MATCH('Day 1'!A41,'DT07 Explorer'!$A$4:$A$37,0))='Day 1'!T41,"Yes","No"),"")</f>
        <v>No</v>
      </c>
      <c r="AI41" s="773">
        <f>IFERROR(INDEX('DT04 Prudence'!H:H,MATCH('Day 1'!A41,'DT04 Prudence'!A:A,0)),"")</f>
        <v>7.4999999999999997E-2</v>
      </c>
      <c r="AJ41" s="782">
        <f t="shared" si="6"/>
        <v>975000</v>
      </c>
      <c r="AK41" s="780">
        <f t="shared" si="7"/>
        <v>5.2560646900269542E-2</v>
      </c>
      <c r="AL41" s="602">
        <f>IFERROR(INDEX('DT05 Navigator'!H:H,MATCH('Day 1'!A41,'DT05 Navigator'!A:A,0)),"")</f>
        <v>0.11</v>
      </c>
      <c r="AM41" s="782">
        <f t="shared" si="8"/>
        <v>4290000</v>
      </c>
      <c r="AN41" s="780">
        <f t="shared" si="9"/>
        <v>0.231266846361186</v>
      </c>
      <c r="AO41" s="602">
        <f>IFERROR(INDEX('DT06 Meridian'!H:H,MATCH('Day 1'!A41,'DT06 Meridian'!A:A,0)),"")</f>
        <v>0.11</v>
      </c>
      <c r="AP41" s="782">
        <f t="shared" si="10"/>
        <v>8250000</v>
      </c>
      <c r="AQ41" s="780">
        <f t="shared" si="11"/>
        <v>0.44474393530997303</v>
      </c>
      <c r="AR41" s="602">
        <f>IFERROR(INDEX('DT07 Explorer'!H:H,MATCH('Day 1'!A41,'DT07 Explorer'!A:A,0)),"")</f>
        <v>9.5000000000000001E-2</v>
      </c>
      <c r="AS41" s="782">
        <f t="shared" si="12"/>
        <v>5035000</v>
      </c>
      <c r="AT41" s="7">
        <f t="shared" si="13"/>
        <v>0.27142857142857141</v>
      </c>
      <c r="AV41" s="775">
        <v>18550000</v>
      </c>
      <c r="AW41" s="776">
        <v>3061702640</v>
      </c>
      <c r="AX41" s="7">
        <f t="shared" si="14"/>
        <v>6.0587203204031598E-3</v>
      </c>
      <c r="AZ41" s="775">
        <v>18550000</v>
      </c>
    </row>
    <row r="42" spans="1:52" x14ac:dyDescent="0.2">
      <c r="A42" s="772" t="s">
        <v>9539</v>
      </c>
      <c r="B42" s="768" t="str">
        <f>IFERROR(VLOOKUP(A42,NoviaFunds[],2,FALSE),"")</f>
        <v>Xtrackers S&amp;P 500 Equal Weight UCITS ETF</v>
      </c>
      <c r="C42" s="779">
        <v>4</v>
      </c>
      <c r="D42" s="772" t="str">
        <f>IFERROR(VLOOKUP(A42,NoviaFunds[],6,FALSE),"")</f>
        <v>USA Equities</v>
      </c>
      <c r="E42" s="772" t="s">
        <v>33</v>
      </c>
      <c r="F42" s="786">
        <f>IFERROR(INDEX('DT04 Prudence'!F:F,MATCH('Day 1'!A42,'DT04 Prudence'!A:A,0)),"")</f>
        <v>0</v>
      </c>
      <c r="G42" s="787">
        <f t="shared" si="16"/>
        <v>488000</v>
      </c>
      <c r="H42" s="788">
        <f t="shared" si="0"/>
        <v>3.7538461538461541E-2</v>
      </c>
      <c r="I42" s="589" t="str">
        <f>IFERROR(IF(INDEX('DT04 Prudence'!$G$4:$G$34,MATCH('Day 1'!A42,'DT04 Prudence'!$A$4:$A$34,0))='Day 1'!H42,"Yes","No"),"")</f>
        <v>No</v>
      </c>
      <c r="J42" s="804">
        <f>IFERROR(INDEX('DT05 Navigator'!F:F,MATCH('Day 1'!A42,'DT05 Navigator'!A:A,0)),"")</f>
        <v>0</v>
      </c>
      <c r="K42" s="787">
        <v>1000000</v>
      </c>
      <c r="L42" s="788">
        <f t="shared" si="1"/>
        <v>2.564102564102564E-2</v>
      </c>
      <c r="M42" s="589" t="str">
        <f>IFERROR(IF(INDEX('DT05 Navigator'!$G$4:$G$37,MATCH('Day 1'!A42,'DT05 Navigator'!$A$4:$A$37,0))='Day 1'!L42,"Yes","No"),"")</f>
        <v>No</v>
      </c>
      <c r="N42" s="804">
        <f>IFERROR(INDEX('DT06 Meridian'!F:F,MATCH('Day 1'!A42,'DT06 Meridian'!A:A,0)),"")</f>
        <v>0</v>
      </c>
      <c r="O42" s="787">
        <v>2000000</v>
      </c>
      <c r="P42" s="788">
        <f t="shared" si="3"/>
        <v>2.6666666666666668E-2</v>
      </c>
      <c r="Q42" s="589" t="str">
        <f>IFERROR(IF(INDEX('DT06 Meridian'!$G$4:$G$37,MATCH('Day 1'!A42,'DT06 Meridian'!$A$4:$A$37,0))='Day 1'!P42,"Yes","No"),"")</f>
        <v>No</v>
      </c>
      <c r="R42" s="804">
        <f>IFERROR(INDEX('DT07 Explorer'!F:F,MATCH('Day 1'!A42,'DT07 Explorer'!A:A,0)),"")</f>
        <v>0</v>
      </c>
      <c r="S42" s="787">
        <f t="shared" si="4"/>
        <v>2518000</v>
      </c>
      <c r="T42" s="788">
        <f t="shared" si="5"/>
        <v>4.7509433962264154E-2</v>
      </c>
      <c r="U42" s="589" t="str">
        <f>IFERROR(IF(INDEX('DT07 Explorer'!$G$4:$G$37,MATCH('Day 1'!A42,'DT07 Explorer'!$A$4:$A$37,0))='Day 1'!T42,"Yes","No"),"")</f>
        <v>No</v>
      </c>
      <c r="AI42" s="773">
        <f>IFERROR(INDEX('DT04 Prudence'!H:H,MATCH('Day 1'!A42,'DT04 Prudence'!A:A,0)),"")</f>
        <v>3.7499999999999999E-2</v>
      </c>
      <c r="AJ42" s="782">
        <f t="shared" si="6"/>
        <v>487500</v>
      </c>
      <c r="AK42" s="780">
        <f t="shared" si="7"/>
        <v>5.2560646900269542E-2</v>
      </c>
      <c r="AL42" s="602">
        <f>IFERROR(INDEX('DT05 Navigator'!H:H,MATCH('Day 1'!A42,'DT05 Navigator'!A:A,0)),"")</f>
        <v>5.5E-2</v>
      </c>
      <c r="AM42" s="782">
        <f t="shared" si="8"/>
        <v>2145000</v>
      </c>
      <c r="AN42" s="780">
        <f t="shared" si="9"/>
        <v>0.231266846361186</v>
      </c>
      <c r="AO42" s="602">
        <f>IFERROR(INDEX('DT06 Meridian'!H:H,MATCH('Day 1'!A42,'DT06 Meridian'!A:A,0)),"")</f>
        <v>5.5E-2</v>
      </c>
      <c r="AP42" s="782">
        <f t="shared" si="10"/>
        <v>4125000</v>
      </c>
      <c r="AQ42" s="780">
        <f t="shared" si="11"/>
        <v>0.44474393530997303</v>
      </c>
      <c r="AR42" s="602">
        <f>IFERROR(INDEX('DT07 Explorer'!H:H,MATCH('Day 1'!A42,'DT07 Explorer'!A:A,0)),"")</f>
        <v>4.7500000000000001E-2</v>
      </c>
      <c r="AS42" s="782">
        <f t="shared" si="12"/>
        <v>2517500</v>
      </c>
      <c r="AT42" s="7">
        <f t="shared" si="13"/>
        <v>0.27142857142857141</v>
      </c>
      <c r="AV42" s="775">
        <v>9275000</v>
      </c>
      <c r="AW42" s="776">
        <v>4476110355</v>
      </c>
      <c r="AX42" s="7">
        <f t="shared" si="14"/>
        <v>2.072111557669583E-3</v>
      </c>
      <c r="AZ42" s="775">
        <f t="shared" si="15"/>
        <v>9275000</v>
      </c>
    </row>
    <row r="43" spans="1:52" ht="15" thickBot="1" x14ac:dyDescent="0.25">
      <c r="A43" t="s">
        <v>60</v>
      </c>
      <c r="B43" s="772" t="s">
        <v>8444</v>
      </c>
      <c r="C43" s="781">
        <f>_xll.MSDP(A43,$C$3)</f>
        <v>2</v>
      </c>
      <c r="D43" t="s">
        <v>33</v>
      </c>
      <c r="E43" s="772" t="s">
        <v>33</v>
      </c>
      <c r="F43" s="789" t="str">
        <f>IFERROR(INDEX('DT04 Prudence'!F:F,MATCH('Day 1'!A43,'DT04 Prudence'!A:A,0)),"")</f>
        <v/>
      </c>
      <c r="G43" s="790" t="str">
        <f t="shared" si="16"/>
        <v/>
      </c>
      <c r="H43" s="791" t="str">
        <f>IFERROR(F43+G43/$AI$2,"")</f>
        <v/>
      </c>
      <c r="I43" s="589" t="str">
        <f>IFERROR(IF(INDEX('DT04 Prudence'!$G$4:$G$34,MATCH('Day 1'!A43,'DT04 Prudence'!$A$4:$A$34,0))='Day 1'!H43,"Yes","No"),"")</f>
        <v/>
      </c>
      <c r="J43" s="805">
        <f>IFERROR(INDEX('DT05 Navigator'!F:F,MATCH('Day 1'!A43,'DT05 Navigator'!A:A,0)),"")</f>
        <v>0.05</v>
      </c>
      <c r="K43" s="790">
        <f t="shared" si="17"/>
        <v>-1950000</v>
      </c>
      <c r="L43" s="791">
        <f t="shared" si="1"/>
        <v>0</v>
      </c>
      <c r="M43" s="589" t="str">
        <f>IFERROR(IF(INDEX('DT05 Navigator'!$G$4:$G$37,MATCH('Day 1'!A43,'DT05 Navigator'!$A$4:$A$37,0))='Day 1'!L43,"Yes","No"),"")</f>
        <v>Yes</v>
      </c>
      <c r="N43" s="805">
        <f>IFERROR(INDEX('DT06 Meridian'!F:F,MATCH('Day 1'!A43,'DT06 Meridian'!A:A,0)),"")</f>
        <v>0.06</v>
      </c>
      <c r="O43" s="790">
        <f t="shared" si="2"/>
        <v>-4500000</v>
      </c>
      <c r="P43" s="791">
        <f t="shared" si="3"/>
        <v>0</v>
      </c>
      <c r="Q43" s="589" t="str">
        <f>IFERROR(IF(INDEX('DT06 Meridian'!$G$4:$G$37,MATCH('Day 1'!A43,'DT06 Meridian'!$A$4:$A$37,0))='Day 1'!P43,"Yes","No"),"")</f>
        <v>Yes</v>
      </c>
      <c r="R43" s="805">
        <f>IFERROR(INDEX('DT07 Explorer'!F:F,MATCH('Day 1'!A43,'DT07 Explorer'!A:A,0)),"")</f>
        <v>0.06</v>
      </c>
      <c r="S43" s="790">
        <f t="shared" si="4"/>
        <v>-3180000</v>
      </c>
      <c r="T43" s="791">
        <f t="shared" si="5"/>
        <v>0</v>
      </c>
      <c r="U43" s="589" t="str">
        <f>IFERROR(IF(INDEX('DT07 Explorer'!$G$4:$G$37,MATCH('Day 1'!A43,'DT07 Explorer'!$A$4:$A$37,0))='Day 1'!T43,"Yes","No"),"")</f>
        <v>Yes</v>
      </c>
      <c r="AI43" s="773" t="str">
        <f>IFERROR(INDEX('DT04 Prudence'!H:H,MATCH('Day 1'!A43,'DT04 Prudence'!A:A,0)),"")</f>
        <v/>
      </c>
      <c r="AJ43" s="782" t="str">
        <f t="shared" si="6"/>
        <v/>
      </c>
      <c r="AK43" s="780" t="str">
        <f t="shared" si="7"/>
        <v/>
      </c>
      <c r="AL43" s="602">
        <f>IFERROR(INDEX('DT05 Navigator'!H:H,MATCH('Day 1'!A43,'DT05 Navigator'!A:A,0)),"")</f>
        <v>-0.05</v>
      </c>
      <c r="AM43" s="782">
        <f t="shared" si="8"/>
        <v>-1950000</v>
      </c>
      <c r="AN43" s="780">
        <f t="shared" si="9"/>
        <v>-0.21024256493341617</v>
      </c>
      <c r="AO43" s="602">
        <f>IFERROR(INDEX('DT06 Meridian'!H:H,MATCH('Day 1'!A43,'DT06 Meridian'!A:A,0)),"")</f>
        <v>-0.06</v>
      </c>
      <c r="AP43" s="782">
        <f t="shared" si="10"/>
        <v>-4500000</v>
      </c>
      <c r="AQ43" s="780">
        <f t="shared" si="11"/>
        <v>-0.48517514984634502</v>
      </c>
      <c r="AR43" s="602">
        <f>IFERROR(INDEX('DT07 Explorer'!H:H,MATCH('Day 1'!A43,'DT07 Explorer'!A:A,0)),"")</f>
        <v>-0.06</v>
      </c>
      <c r="AS43" s="782">
        <f t="shared" si="12"/>
        <v>-3180000</v>
      </c>
      <c r="AT43" s="7">
        <f t="shared" ref="AT43:AT44" si="18">IFERROR(AS43/AV43,"")</f>
        <v>-0.34285710589141716</v>
      </c>
      <c r="AV43" s="775">
        <v>9275001</v>
      </c>
      <c r="AW43" s="776">
        <v>11794564782</v>
      </c>
      <c r="AX43" s="7">
        <f t="shared" ref="AX43" si="19">AV43/AW43</f>
        <v>7.8637924937720695E-4</v>
      </c>
      <c r="AZ43" s="775">
        <f t="shared" ref="AZ43" si="20">IF(OR(AX43&gt;0.005,AX43&lt;-0.005),AV43/(ABS(AX43)/0.005),AV43)</f>
        <v>9275001</v>
      </c>
    </row>
    <row r="44" spans="1:52" x14ac:dyDescent="0.2">
      <c r="H44" s="7"/>
      <c r="AI44" s="773" t="str">
        <f>IFERROR(INDEX('DT04 Prudence'!H:H,MATCH('Day 1'!A44,'DT04 Prudence'!A:A,0)),"")</f>
        <v/>
      </c>
      <c r="AJ44" s="782" t="str">
        <f t="shared" si="6"/>
        <v/>
      </c>
      <c r="AK44" s="780" t="str">
        <f t="shared" si="7"/>
        <v/>
      </c>
      <c r="AL44" s="602" t="str">
        <f>IFERROR(INDEX('DT05 Navigator'!H:H,MATCH('Day 1'!A44,'DT05 Navigator'!A:A,0)),"")</f>
        <v/>
      </c>
      <c r="AM44" s="782" t="str">
        <f t="shared" si="8"/>
        <v/>
      </c>
      <c r="AN44" s="780" t="str">
        <f t="shared" si="9"/>
        <v/>
      </c>
      <c r="AO44" s="602" t="str">
        <f>IFERROR(INDEX('DT06 Meridian'!H:H,MATCH('Day 1'!A44,'DT06 Meridian'!A:A,0)),"")</f>
        <v/>
      </c>
      <c r="AP44" s="782" t="str">
        <f t="shared" si="10"/>
        <v/>
      </c>
      <c r="AQ44" s="780" t="str">
        <f t="shared" si="11"/>
        <v/>
      </c>
      <c r="AR44" s="602" t="str">
        <f>IFERROR(INDEX('DT07 Explorer'!H:H,MATCH('Day 1'!A44,'DT07 Explorer'!A:A,0)),"")</f>
        <v/>
      </c>
      <c r="AS44" s="782" t="str">
        <f t="shared" si="12"/>
        <v/>
      </c>
      <c r="AT44" s="7" t="str">
        <f t="shared" si="18"/>
        <v/>
      </c>
      <c r="AV44" s="775"/>
      <c r="AW44" s="776"/>
      <c r="AX44" s="7"/>
      <c r="AZ44" s="775"/>
    </row>
    <row r="45" spans="1:52" x14ac:dyDescent="0.2">
      <c r="F45" s="7">
        <f>SUM(F4:F43)</f>
        <v>1.0000000000000004</v>
      </c>
      <c r="H45" s="7">
        <f>SUM(H4:H43)</f>
        <v>1.025192307692308</v>
      </c>
      <c r="L45" s="7">
        <f>SUM(L4:L43)</f>
        <v>0.99254615384615386</v>
      </c>
    </row>
    <row r="48" spans="1:52" ht="15" thickBot="1" x14ac:dyDescent="0.25"/>
    <row r="49" spans="2:20" x14ac:dyDescent="0.2">
      <c r="E49" s="792" t="s">
        <v>35</v>
      </c>
      <c r="F49" s="793">
        <f>SUMIF($E$4:$E$43,$E49,F$4:F$43)</f>
        <v>0.05</v>
      </c>
      <c r="G49" s="794">
        <f>SUMIF($E$4:$E$43,$E49,G$4:G$43)</f>
        <v>-18000</v>
      </c>
      <c r="H49" s="795">
        <f t="shared" ref="H49:H58" si="21">SUMIF($E$4:$E$43,$E49,H$4:H$43)</f>
        <v>4.8615384615384623E-2</v>
      </c>
      <c r="I49" s="792" t="s">
        <v>35</v>
      </c>
      <c r="J49" s="793">
        <f>SUMIF($E$4:$E$43,$E49,J$4:J$43)</f>
        <v>0.09</v>
      </c>
      <c r="K49" s="794">
        <f>SUMIF($E$4:$E$43,$E49,K$4:K$43)</f>
        <v>-223000</v>
      </c>
      <c r="L49" s="795">
        <f>SUMIF($E$4:$E$43,$E49,L$4:L$43)</f>
        <v>8.4282051282051268E-2</v>
      </c>
      <c r="M49" s="792" t="s">
        <v>35</v>
      </c>
      <c r="N49" s="793">
        <f>SUMIF($E$4:$E$43,$E49,N$4:N$43)</f>
        <v>0.12000000000000001</v>
      </c>
      <c r="O49" s="794">
        <f>SUMIF($E$4:$E$43,$E49,O$4:O$43)</f>
        <v>1813000</v>
      </c>
      <c r="P49" s="795">
        <f>SUMIF($E$4:$E$43,$E49,P$4:P$43)</f>
        <v>0.14417333333333335</v>
      </c>
      <c r="Q49" s="792" t="s">
        <v>35</v>
      </c>
      <c r="R49" s="793">
        <f>SUMIF($E$4:$E$43,$E49,R$4:R$43)</f>
        <v>0.19</v>
      </c>
      <c r="S49" s="794">
        <f>SUMIF($E$4:$E$43,$E49,S$4:S$43)</f>
        <v>-3096000</v>
      </c>
      <c r="T49" s="795">
        <f>SUMIF($E$4:$E$43,$E49,T$4:T$43)</f>
        <v>0.13158490566037737</v>
      </c>
    </row>
    <row r="50" spans="2:20" x14ac:dyDescent="0.2">
      <c r="E50" s="796" t="s">
        <v>9585</v>
      </c>
      <c r="F50" s="797">
        <f t="shared" ref="F50:F59" si="22">SUMIF($E$4:$E$43,$E50,F$4:F$43)</f>
        <v>0.41000000000000003</v>
      </c>
      <c r="G50" s="787">
        <f t="shared" ref="G50:G59" si="23">SUMIF($E$4:$E$43,$E50,G$4:G$43)</f>
        <v>-322000</v>
      </c>
      <c r="H50" s="788">
        <f t="shared" si="21"/>
        <v>0.38523076923076927</v>
      </c>
      <c r="I50" s="796" t="s">
        <v>9585</v>
      </c>
      <c r="J50" s="797">
        <f t="shared" ref="J50:K59" si="24">SUMIF($E$4:$E$43,$E50,J$4:J$43)</f>
        <v>0.25</v>
      </c>
      <c r="K50" s="787">
        <f t="shared" si="24"/>
        <v>-2225000</v>
      </c>
      <c r="L50" s="788">
        <f t="shared" ref="L50:L58" si="25">SUMIF($E$4:$E$43,$E50,L$4:L$43)</f>
        <v>0.19294871794871796</v>
      </c>
      <c r="M50" s="796" t="s">
        <v>9585</v>
      </c>
      <c r="N50" s="797">
        <f t="shared" ref="N50:T59" si="26">SUMIF($E$4:$E$43,$E50,N$4:N$43)</f>
        <v>0.13</v>
      </c>
      <c r="O50" s="787">
        <f t="shared" si="26"/>
        <v>172000</v>
      </c>
      <c r="P50" s="788">
        <f t="shared" si="26"/>
        <v>0.13229333333333335</v>
      </c>
      <c r="Q50" s="796" t="s">
        <v>9585</v>
      </c>
      <c r="R50" s="797">
        <f t="shared" si="26"/>
        <v>0.03</v>
      </c>
      <c r="S50" s="787">
        <f t="shared" si="26"/>
        <v>768000</v>
      </c>
      <c r="T50" s="788">
        <f t="shared" si="26"/>
        <v>4.4490566037735851E-2</v>
      </c>
    </row>
    <row r="51" spans="2:20" x14ac:dyDescent="0.2">
      <c r="E51" s="796" t="s">
        <v>36</v>
      </c>
      <c r="F51" s="797">
        <f t="shared" si="22"/>
        <v>0.04</v>
      </c>
      <c r="G51" s="787">
        <f t="shared" si="23"/>
        <v>-520000</v>
      </c>
      <c r="H51" s="788">
        <f t="shared" si="21"/>
        <v>0</v>
      </c>
      <c r="I51" s="796" t="s">
        <v>36</v>
      </c>
      <c r="J51" s="797">
        <f t="shared" si="24"/>
        <v>7.0000000000000007E-2</v>
      </c>
      <c r="K51" s="787">
        <f t="shared" si="24"/>
        <v>-1170000</v>
      </c>
      <c r="L51" s="788">
        <f t="shared" si="25"/>
        <v>4.0000000000000008E-2</v>
      </c>
      <c r="M51" s="796" t="s">
        <v>36</v>
      </c>
      <c r="N51" s="797">
        <f t="shared" si="26"/>
        <v>0.12</v>
      </c>
      <c r="O51" s="787">
        <f t="shared" si="26"/>
        <v>-3000000</v>
      </c>
      <c r="P51" s="788">
        <f t="shared" si="26"/>
        <v>7.9999999999999988E-2</v>
      </c>
      <c r="Q51" s="796" t="s">
        <v>36</v>
      </c>
      <c r="R51" s="797">
        <f t="shared" si="26"/>
        <v>0.19000000000000003</v>
      </c>
      <c r="S51" s="787">
        <f t="shared" si="26"/>
        <v>-3180000</v>
      </c>
      <c r="T51" s="788">
        <f t="shared" si="26"/>
        <v>0.13</v>
      </c>
    </row>
    <row r="52" spans="2:20" x14ac:dyDescent="0.2">
      <c r="B52" s="768" t="s">
        <v>9591</v>
      </c>
      <c r="E52" s="796" t="s">
        <v>37</v>
      </c>
      <c r="F52" s="797">
        <f t="shared" si="22"/>
        <v>0.05</v>
      </c>
      <c r="G52" s="787">
        <f t="shared" si="23"/>
        <v>0</v>
      </c>
      <c r="H52" s="788">
        <f t="shared" si="21"/>
        <v>0.05</v>
      </c>
      <c r="I52" s="796" t="s">
        <v>37</v>
      </c>
      <c r="J52" s="797">
        <f t="shared" si="24"/>
        <v>0.06</v>
      </c>
      <c r="K52" s="787">
        <f t="shared" si="24"/>
        <v>0</v>
      </c>
      <c r="L52" s="788">
        <f t="shared" si="25"/>
        <v>0.06</v>
      </c>
      <c r="M52" s="796" t="s">
        <v>37</v>
      </c>
      <c r="N52" s="797">
        <f t="shared" si="26"/>
        <v>7.0000000000000007E-2</v>
      </c>
      <c r="O52" s="787">
        <f t="shared" si="26"/>
        <v>0</v>
      </c>
      <c r="P52" s="788">
        <f t="shared" si="26"/>
        <v>7.0000000000000007E-2</v>
      </c>
      <c r="Q52" s="796" t="s">
        <v>37</v>
      </c>
      <c r="R52" s="797">
        <f t="shared" si="26"/>
        <v>0.08</v>
      </c>
      <c r="S52" s="787">
        <f t="shared" si="26"/>
        <v>0</v>
      </c>
      <c r="T52" s="788">
        <f t="shared" si="26"/>
        <v>0.08</v>
      </c>
    </row>
    <row r="53" spans="2:20" x14ac:dyDescent="0.2">
      <c r="E53" s="796" t="s">
        <v>38</v>
      </c>
      <c r="F53" s="797">
        <f t="shared" si="22"/>
        <v>0.1</v>
      </c>
      <c r="G53" s="787">
        <f t="shared" si="23"/>
        <v>-650000</v>
      </c>
      <c r="H53" s="788">
        <f t="shared" si="21"/>
        <v>0.05</v>
      </c>
      <c r="I53" s="796" t="s">
        <v>38</v>
      </c>
      <c r="J53" s="797">
        <f t="shared" si="24"/>
        <v>0.1</v>
      </c>
      <c r="K53" s="787">
        <f t="shared" si="24"/>
        <v>-1750000</v>
      </c>
      <c r="L53" s="788">
        <f t="shared" si="25"/>
        <v>5.5128205128205134E-2</v>
      </c>
      <c r="M53" s="796" t="s">
        <v>38</v>
      </c>
      <c r="N53" s="797">
        <f t="shared" si="26"/>
        <v>0.1</v>
      </c>
      <c r="O53" s="787">
        <f t="shared" si="26"/>
        <v>-3650000</v>
      </c>
      <c r="P53" s="788">
        <f t="shared" si="26"/>
        <v>5.1333333333333342E-2</v>
      </c>
      <c r="Q53" s="796" t="s">
        <v>38</v>
      </c>
      <c r="R53" s="797">
        <f t="shared" si="26"/>
        <v>0.1</v>
      </c>
      <c r="S53" s="787">
        <f t="shared" si="26"/>
        <v>0</v>
      </c>
      <c r="T53" s="788">
        <f t="shared" si="26"/>
        <v>0.1</v>
      </c>
    </row>
    <row r="54" spans="2:20" x14ac:dyDescent="0.2">
      <c r="E54" s="796" t="s">
        <v>49</v>
      </c>
      <c r="F54" s="797">
        <f t="shared" si="22"/>
        <v>0</v>
      </c>
      <c r="G54" s="787">
        <f t="shared" si="23"/>
        <v>112000</v>
      </c>
      <c r="H54" s="788">
        <f t="shared" si="21"/>
        <v>8.615384615384615E-3</v>
      </c>
      <c r="I54" s="796" t="s">
        <v>49</v>
      </c>
      <c r="J54" s="797">
        <f t="shared" si="24"/>
        <v>0</v>
      </c>
      <c r="K54" s="787">
        <f t="shared" si="24"/>
        <v>337000</v>
      </c>
      <c r="L54" s="788">
        <f t="shared" si="25"/>
        <v>8.6410256410256406E-3</v>
      </c>
      <c r="M54" s="796" t="s">
        <v>49</v>
      </c>
      <c r="N54" s="797">
        <f t="shared" si="26"/>
        <v>0</v>
      </c>
      <c r="O54" s="787">
        <f t="shared" si="26"/>
        <v>648000</v>
      </c>
      <c r="P54" s="788">
        <f t="shared" si="26"/>
        <v>8.6400000000000001E-3</v>
      </c>
      <c r="Q54" s="796" t="s">
        <v>49</v>
      </c>
      <c r="R54" s="797">
        <f t="shared" si="26"/>
        <v>0</v>
      </c>
      <c r="S54" s="787">
        <f t="shared" si="26"/>
        <v>458000</v>
      </c>
      <c r="T54" s="788">
        <f t="shared" si="26"/>
        <v>8.641509433962264E-3</v>
      </c>
    </row>
    <row r="55" spans="2:20" x14ac:dyDescent="0.2">
      <c r="E55" s="796" t="s">
        <v>47</v>
      </c>
      <c r="F55" s="797">
        <f t="shared" si="22"/>
        <v>0.05</v>
      </c>
      <c r="G55" s="787">
        <f t="shared" si="23"/>
        <v>-271000</v>
      </c>
      <c r="H55" s="788">
        <f t="shared" si="21"/>
        <v>2.9153846153846155E-2</v>
      </c>
      <c r="I55" s="796" t="s">
        <v>47</v>
      </c>
      <c r="J55" s="797">
        <f t="shared" si="24"/>
        <v>0.05</v>
      </c>
      <c r="K55" s="787">
        <f t="shared" si="24"/>
        <v>-812000</v>
      </c>
      <c r="L55" s="788">
        <f t="shared" si="25"/>
        <v>2.9179487179487183E-2</v>
      </c>
      <c r="M55" s="796" t="s">
        <v>47</v>
      </c>
      <c r="N55" s="797">
        <f t="shared" si="26"/>
        <v>0.05</v>
      </c>
      <c r="O55" s="787">
        <f t="shared" si="26"/>
        <v>-1562000</v>
      </c>
      <c r="P55" s="788">
        <f t="shared" si="26"/>
        <v>2.9173333333333336E-2</v>
      </c>
      <c r="Q55" s="796" t="s">
        <v>47</v>
      </c>
      <c r="R55" s="797">
        <f t="shared" si="26"/>
        <v>0.05</v>
      </c>
      <c r="S55" s="787">
        <f t="shared" si="26"/>
        <v>-1104000</v>
      </c>
      <c r="T55" s="788">
        <f t="shared" si="26"/>
        <v>2.9169811320754718E-2</v>
      </c>
    </row>
    <row r="56" spans="2:20" x14ac:dyDescent="0.2">
      <c r="E56" s="796" t="s">
        <v>32</v>
      </c>
      <c r="F56" s="797">
        <f t="shared" si="22"/>
        <v>0.25</v>
      </c>
      <c r="G56" s="787">
        <f t="shared" si="23"/>
        <v>-1170000</v>
      </c>
      <c r="H56" s="788">
        <f t="shared" si="21"/>
        <v>0.15999999999999998</v>
      </c>
      <c r="I56" s="796" t="s">
        <v>32</v>
      </c>
      <c r="J56" s="797">
        <f t="shared" si="24"/>
        <v>0.27</v>
      </c>
      <c r="K56" s="787">
        <f t="shared" si="24"/>
        <v>-1559000</v>
      </c>
      <c r="L56" s="788">
        <f t="shared" si="25"/>
        <v>0.23002564102564102</v>
      </c>
      <c r="M56" s="796" t="s">
        <v>32</v>
      </c>
      <c r="N56" s="797">
        <f t="shared" si="26"/>
        <v>0.21999999999999997</v>
      </c>
      <c r="O56" s="787">
        <f t="shared" si="26"/>
        <v>749000</v>
      </c>
      <c r="P56" s="788">
        <f t="shared" si="26"/>
        <v>0.22998666666666667</v>
      </c>
      <c r="Q56" s="796" t="s">
        <v>32</v>
      </c>
      <c r="R56" s="797">
        <f t="shared" si="26"/>
        <v>0.15000000000000002</v>
      </c>
      <c r="S56" s="787">
        <f t="shared" si="26"/>
        <v>7538000</v>
      </c>
      <c r="T56" s="788">
        <f t="shared" si="26"/>
        <v>0.29222641509433961</v>
      </c>
    </row>
    <row r="57" spans="2:20" x14ac:dyDescent="0.2">
      <c r="E57" s="796" t="s">
        <v>33</v>
      </c>
      <c r="F57" s="797">
        <f t="shared" si="22"/>
        <v>0</v>
      </c>
      <c r="G57" s="787">
        <f t="shared" si="23"/>
        <v>1951000</v>
      </c>
      <c r="H57" s="788">
        <f t="shared" si="21"/>
        <v>0.15007692307692308</v>
      </c>
      <c r="I57" s="796" t="s">
        <v>33</v>
      </c>
      <c r="J57" s="797">
        <f t="shared" si="24"/>
        <v>0.05</v>
      </c>
      <c r="K57" s="787">
        <f t="shared" si="24"/>
        <v>5485000</v>
      </c>
      <c r="L57" s="788">
        <f t="shared" si="25"/>
        <v>0.19064102564102564</v>
      </c>
      <c r="M57" s="796" t="s">
        <v>33</v>
      </c>
      <c r="N57" s="797">
        <f t="shared" si="26"/>
        <v>0.12</v>
      </c>
      <c r="O57" s="787">
        <f t="shared" si="26"/>
        <v>5375000</v>
      </c>
      <c r="P57" s="788">
        <f t="shared" si="26"/>
        <v>0.19166666666666668</v>
      </c>
      <c r="Q57" s="796" t="s">
        <v>33</v>
      </c>
      <c r="R57" s="797">
        <f t="shared" si="26"/>
        <v>0.12</v>
      </c>
      <c r="S57" s="787">
        <f t="shared" si="26"/>
        <v>-1325000</v>
      </c>
      <c r="T57" s="788">
        <f t="shared" si="26"/>
        <v>9.5000000000000001E-2</v>
      </c>
    </row>
    <row r="58" spans="2:20" x14ac:dyDescent="0.2">
      <c r="E58" s="798" t="s">
        <v>9591</v>
      </c>
      <c r="F58" s="797">
        <f t="shared" si="22"/>
        <v>0.03</v>
      </c>
      <c r="G58" s="787">
        <f t="shared" si="23"/>
        <v>0</v>
      </c>
      <c r="H58" s="788">
        <f t="shared" si="21"/>
        <v>0.03</v>
      </c>
      <c r="I58" s="798" t="s">
        <v>9591</v>
      </c>
      <c r="J58" s="797">
        <f t="shared" si="24"/>
        <v>0.04</v>
      </c>
      <c r="K58" s="787">
        <f t="shared" si="24"/>
        <v>0</v>
      </c>
      <c r="L58" s="788">
        <f t="shared" si="25"/>
        <v>0.04</v>
      </c>
      <c r="M58" s="798" t="s">
        <v>9591</v>
      </c>
      <c r="N58" s="797">
        <f t="shared" si="26"/>
        <v>0.05</v>
      </c>
      <c r="O58" s="787">
        <f t="shared" si="26"/>
        <v>0</v>
      </c>
      <c r="P58" s="788">
        <f t="shared" si="26"/>
        <v>0.05</v>
      </c>
      <c r="Q58" s="798" t="s">
        <v>9591</v>
      </c>
      <c r="R58" s="797">
        <f t="shared" si="26"/>
        <v>7.0000000000000007E-2</v>
      </c>
      <c r="S58" s="787">
        <f t="shared" si="26"/>
        <v>0</v>
      </c>
      <c r="T58" s="788">
        <f t="shared" si="26"/>
        <v>7.0000000000000007E-2</v>
      </c>
    </row>
    <row r="59" spans="2:20" x14ac:dyDescent="0.2">
      <c r="E59" s="796" t="s">
        <v>11</v>
      </c>
      <c r="F59" s="797">
        <f t="shared" si="22"/>
        <v>0.02</v>
      </c>
      <c r="G59" s="787">
        <f t="shared" si="23"/>
        <v>942499.99999999988</v>
      </c>
      <c r="H59" s="788">
        <f>SUMIF($E$4:$E$43,$E59,H$4:H$43)</f>
        <v>0.1135</v>
      </c>
      <c r="I59" s="796" t="s">
        <v>11</v>
      </c>
      <c r="J59" s="797">
        <f t="shared" si="24"/>
        <v>0.02</v>
      </c>
      <c r="K59" s="787">
        <f t="shared" si="24"/>
        <v>0</v>
      </c>
      <c r="L59" s="788">
        <f>SUMIF($E$4:$E$43,$E59,L$4:L$43)</f>
        <v>6.1699999999999998E-2</v>
      </c>
      <c r="M59" s="796" t="s">
        <v>11</v>
      </c>
      <c r="N59" s="797">
        <f t="shared" si="26"/>
        <v>0.02</v>
      </c>
      <c r="O59" s="787">
        <f t="shared" si="26"/>
        <v>0</v>
      </c>
      <c r="P59" s="788">
        <f>SUMIF($E$4:$E$43,$E59,P$4:P$43)</f>
        <v>5.5899999999999998E-2</v>
      </c>
      <c r="Q59" s="796" t="s">
        <v>11</v>
      </c>
      <c r="R59" s="797">
        <f t="shared" si="26"/>
        <v>0.02</v>
      </c>
      <c r="S59" s="787">
        <f t="shared" si="26"/>
        <v>0</v>
      </c>
      <c r="T59" s="788">
        <f>SUMIF($E$4:$E$43,$E59,T$4:T$43)</f>
        <v>1.44E-2</v>
      </c>
    </row>
    <row r="60" spans="2:20" x14ac:dyDescent="0.2">
      <c r="E60" s="796"/>
      <c r="F60" s="799"/>
      <c r="G60" s="799"/>
      <c r="H60" s="800"/>
      <c r="I60" s="796"/>
      <c r="J60" s="799"/>
      <c r="K60" s="799"/>
      <c r="L60" s="800"/>
      <c r="M60" s="796"/>
      <c r="N60" s="799"/>
      <c r="O60" s="799"/>
      <c r="P60" s="800"/>
      <c r="Q60" s="796"/>
      <c r="R60" s="799"/>
      <c r="S60" s="799"/>
      <c r="T60" s="800"/>
    </row>
    <row r="61" spans="2:20" ht="15" thickBot="1" x14ac:dyDescent="0.25">
      <c r="E61" s="801"/>
      <c r="F61" s="802">
        <f>SUM(F49:F59)</f>
        <v>1</v>
      </c>
      <c r="G61" s="803"/>
      <c r="H61" s="791">
        <f>SUM(H49:H59)</f>
        <v>1.0251923076923077</v>
      </c>
      <c r="I61" s="801"/>
      <c r="J61" s="802">
        <f>SUM(J49:J59)</f>
        <v>1</v>
      </c>
      <c r="K61" s="803"/>
      <c r="L61" s="791">
        <f>SUM(L49:L59)</f>
        <v>0.99254615384615386</v>
      </c>
      <c r="M61" s="801"/>
      <c r="N61" s="802">
        <f>SUM(N49:N59)</f>
        <v>1</v>
      </c>
      <c r="O61" s="803"/>
      <c r="P61" s="791">
        <f>SUM(P49:P59)</f>
        <v>1.0431666666666668</v>
      </c>
      <c r="Q61" s="801"/>
      <c r="R61" s="802">
        <f>SUM(R49:R59)</f>
        <v>1.0000000000000002</v>
      </c>
      <c r="S61" s="803"/>
      <c r="T61" s="791">
        <f>SUM(T49:T59)</f>
        <v>0.99551320754716977</v>
      </c>
    </row>
    <row r="65" spans="6:19" x14ac:dyDescent="0.2">
      <c r="F65">
        <v>1</v>
      </c>
      <c r="G65" s="775">
        <f>SUMIF($C$4:$C$43,F65,$G$4:$G$43)</f>
        <v>0</v>
      </c>
      <c r="J65">
        <v>1</v>
      </c>
      <c r="K65" s="775">
        <f>SUMIF($C$4:$C$43,J65,$K$4:$K$43)</f>
        <v>0</v>
      </c>
      <c r="N65">
        <v>1</v>
      </c>
      <c r="O65" s="775">
        <f>SUMIF($C$4:$C$43,N65,$O$4:$O$43)</f>
        <v>0</v>
      </c>
      <c r="R65">
        <v>1</v>
      </c>
      <c r="S65" s="775">
        <f>SUMIF($C$4:$C$43,R65,$S$4:$S$43)</f>
        <v>0</v>
      </c>
    </row>
    <row r="66" spans="6:19" x14ac:dyDescent="0.2">
      <c r="F66">
        <v>2</v>
      </c>
      <c r="G66" s="775">
        <f t="shared" ref="G66:G68" si="27">SUMIF($C$4:$C$43,F66,$G$4:$G$43)</f>
        <v>624000</v>
      </c>
      <c r="J66">
        <v>2</v>
      </c>
      <c r="K66" s="775">
        <f t="shared" ref="K66:K68" si="28">SUMIF($C$4:$C$43,J66,$K$4:$K$43)</f>
        <v>741000</v>
      </c>
      <c r="N66">
        <v>2</v>
      </c>
      <c r="O66" s="775">
        <f t="shared" ref="O66:O68" si="29">SUMIF($C$4:$C$43,N66,$O$4:$O$43)</f>
        <v>675000</v>
      </c>
      <c r="R66">
        <v>2</v>
      </c>
      <c r="S66" s="775">
        <f t="shared" ref="S66:S68" si="30">SUMIF($C$4:$C$43,R66,$S$4:$S$43)</f>
        <v>2226000</v>
      </c>
    </row>
    <row r="67" spans="6:19" x14ac:dyDescent="0.2">
      <c r="F67">
        <v>3</v>
      </c>
      <c r="G67" s="775">
        <f t="shared" si="27"/>
        <v>-1082000</v>
      </c>
      <c r="J67">
        <v>3</v>
      </c>
      <c r="K67" s="775">
        <f t="shared" si="28"/>
        <v>179000</v>
      </c>
      <c r="N67">
        <v>3</v>
      </c>
      <c r="O67" s="775">
        <f t="shared" si="29"/>
        <v>5799000</v>
      </c>
      <c r="R67">
        <v>3</v>
      </c>
      <c r="S67" s="775">
        <f t="shared" si="30"/>
        <v>1209000</v>
      </c>
    </row>
    <row r="68" spans="6:19" x14ac:dyDescent="0.2">
      <c r="F68">
        <v>4</v>
      </c>
      <c r="G68" s="775">
        <f t="shared" si="27"/>
        <v>-430000</v>
      </c>
      <c r="J68">
        <v>4</v>
      </c>
      <c r="K68" s="775">
        <f t="shared" si="28"/>
        <v>-2837000</v>
      </c>
      <c r="N68">
        <v>4</v>
      </c>
      <c r="O68" s="775">
        <f t="shared" si="29"/>
        <v>-5929000</v>
      </c>
      <c r="R68">
        <v>4</v>
      </c>
      <c r="S68" s="775">
        <f t="shared" si="30"/>
        <v>-3376000</v>
      </c>
    </row>
  </sheetData>
  <autoFilter ref="A3:E43" xr:uid="{CB38B6BB-E552-43D1-ADAD-756A4573B7B2}">
    <sortState xmlns:xlrd2="http://schemas.microsoft.com/office/spreadsheetml/2017/richdata2" ref="A4:E43">
      <sortCondition ref="E3"/>
    </sortState>
  </autoFilter>
  <mergeCells count="4">
    <mergeCell ref="F2:H2"/>
    <mergeCell ref="J2:L2"/>
    <mergeCell ref="N2:P2"/>
    <mergeCell ref="R2:T2"/>
  </mergeCells>
  <conditionalFormatting sqref="B4:C42">
    <cfRule type="expression" dxfId="335" priority="358">
      <formula>$AX4&gt;0.005</formula>
    </cfRule>
    <cfRule type="expression" dxfId="334" priority="359">
      <formula>$AX4&lt;-0.005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8816-754E-4B83-8341-4EFB687B1205}">
  <sheetPr>
    <pageSetUpPr fitToPage="1"/>
  </sheetPr>
  <dimension ref="A1:R100"/>
  <sheetViews>
    <sheetView zoomScale="90" zoomScaleNormal="90" workbookViewId="0">
      <selection activeCell="B13" sqref="B13:G13"/>
    </sheetView>
  </sheetViews>
  <sheetFormatPr defaultColWidth="9" defaultRowHeight="14.25" x14ac:dyDescent="0.2"/>
  <cols>
    <col min="1" max="1" width="23" customWidth="1"/>
    <col min="2" max="4" width="17.625" customWidth="1"/>
    <col min="5" max="5" width="21.625" customWidth="1"/>
    <col min="6" max="7" width="15.625" customWidth="1"/>
    <col min="8" max="8" width="13.75" customWidth="1"/>
    <col min="9" max="10" width="15.625" customWidth="1"/>
    <col min="11" max="11" width="13.5" customWidth="1"/>
    <col min="14" max="14" width="21.25" bestFit="1" customWidth="1"/>
  </cols>
  <sheetData>
    <row r="1" spans="1:18" ht="30.75" thickTop="1" x14ac:dyDescent="0.2">
      <c r="A1" s="816" t="s">
        <v>51</v>
      </c>
      <c r="B1" s="817"/>
      <c r="C1" s="817"/>
      <c r="D1" s="817"/>
      <c r="E1" s="817"/>
      <c r="F1" s="817"/>
      <c r="G1" s="817"/>
      <c r="H1" s="817"/>
      <c r="I1" s="817"/>
      <c r="J1" s="817"/>
      <c r="K1" s="818"/>
    </row>
    <row r="2" spans="1:18" ht="15" x14ac:dyDescent="0.25">
      <c r="A2" s="674" t="s">
        <v>2</v>
      </c>
      <c r="B2" s="819">
        <f>Date</f>
        <v>44733</v>
      </c>
      <c r="C2" s="819"/>
      <c r="D2" s="819"/>
      <c r="E2" s="819"/>
      <c r="F2" s="819"/>
      <c r="G2" s="819"/>
      <c r="H2" s="819"/>
      <c r="I2" s="819"/>
      <c r="J2" s="819"/>
      <c r="K2" s="820"/>
    </row>
    <row r="3" spans="1:18" ht="15.75" x14ac:dyDescent="0.25">
      <c r="A3" s="675" t="s">
        <v>3</v>
      </c>
      <c r="B3" s="676" t="s">
        <v>4</v>
      </c>
      <c r="C3" s="676"/>
      <c r="D3" s="676"/>
      <c r="E3" s="676" t="s">
        <v>5</v>
      </c>
      <c r="F3" s="677" t="s">
        <v>9577</v>
      </c>
      <c r="G3" s="677" t="s">
        <v>9576</v>
      </c>
      <c r="H3" s="677" t="s">
        <v>9578</v>
      </c>
      <c r="I3" s="678" t="s">
        <v>9579</v>
      </c>
      <c r="J3" s="678" t="s">
        <v>9580</v>
      </c>
      <c r="K3" s="679" t="s">
        <v>9581</v>
      </c>
      <c r="O3" s="677" t="s">
        <v>9578</v>
      </c>
      <c r="P3" s="678" t="s">
        <v>9579</v>
      </c>
      <c r="Q3" s="678" t="s">
        <v>9580</v>
      </c>
      <c r="R3" s="679" t="s">
        <v>9581</v>
      </c>
    </row>
    <row r="4" spans="1:18" x14ac:dyDescent="0.2">
      <c r="A4" s="680" t="s">
        <v>11</v>
      </c>
      <c r="B4" s="681" t="s">
        <v>11</v>
      </c>
      <c r="C4" s="682"/>
      <c r="D4" s="682"/>
      <c r="E4" s="683" t="str">
        <f>IFERROR(VLOOKUP(A4,NoviaFunds[],6,FALSE),"")</f>
        <v>Cash</v>
      </c>
      <c r="F4" s="684">
        <v>0.02</v>
      </c>
      <c r="G4" s="684">
        <v>0.12</v>
      </c>
      <c r="H4" s="685">
        <f>G4-F4</f>
        <v>9.9999999999999992E-2</v>
      </c>
      <c r="I4" s="686">
        <v>4.7E-2</v>
      </c>
      <c r="J4" s="687">
        <v>4.2000000000000003E-2</v>
      </c>
      <c r="K4" s="688">
        <v>0.12</v>
      </c>
      <c r="M4" s="7"/>
      <c r="N4" s="7" t="s">
        <v>11</v>
      </c>
      <c r="O4" s="7">
        <f ca="1">SUMIF($E$4:$E$38,$N4,H$4:H$37)</f>
        <v>9.9999999999999992E-2</v>
      </c>
      <c r="P4" s="7">
        <f t="shared" ref="P4:R4" si="0">SUMIF($E$4:$E$38,$N4,I$4:I$38)</f>
        <v>4.7E-2</v>
      </c>
      <c r="Q4" s="7">
        <f t="shared" si="0"/>
        <v>4.2000000000000003E-2</v>
      </c>
      <c r="R4" s="7">
        <f t="shared" si="0"/>
        <v>0.12</v>
      </c>
    </row>
    <row r="5" spans="1:18" x14ac:dyDescent="0.2">
      <c r="A5" s="680" t="s">
        <v>12</v>
      </c>
      <c r="B5" s="689" t="str">
        <f>IFERROR(VLOOKUP(A5,NoviaFunds[],2,FALSE),"")</f>
        <v>Artemis Target Return Bond Fund F Acc</v>
      </c>
      <c r="C5" s="689"/>
      <c r="D5" s="689"/>
      <c r="E5" s="689" t="str">
        <f>IFERROR(VLOOKUP(A5,NoviaFunds[],6,FALSE),"")</f>
        <v>Absolute Return</v>
      </c>
      <c r="F5" s="690">
        <v>0.06</v>
      </c>
      <c r="G5" s="690">
        <v>0</v>
      </c>
      <c r="H5" s="685">
        <f t="shared" ref="H5:H34" si="1">G5-F5</f>
        <v>-0.06</v>
      </c>
      <c r="I5" s="692">
        <v>0.06</v>
      </c>
      <c r="J5" s="687">
        <v>0</v>
      </c>
      <c r="K5" s="693">
        <v>0</v>
      </c>
      <c r="M5" s="7"/>
      <c r="N5" s="7" t="s">
        <v>48</v>
      </c>
      <c r="O5" s="7">
        <f t="shared" ref="O5:O19" ca="1" si="2">SUMIF($E$4:$E$38,$N5,H$4:H$37)</f>
        <v>-0.06</v>
      </c>
      <c r="P5" s="7">
        <f t="shared" ref="P5:P19" si="3">SUMIF($E$4:$E$38,$N5,I$4:I$38)</f>
        <v>0.06</v>
      </c>
      <c r="Q5" s="7">
        <f t="shared" ref="Q5:Q19" si="4">SUMIF($E$4:$E$38,$N5,J$4:J$38)</f>
        <v>0</v>
      </c>
      <c r="R5" s="7">
        <f t="shared" ref="R5:R19" si="5">SUMIF($E$4:$E$38,$N5,K$4:K$38)</f>
        <v>0</v>
      </c>
    </row>
    <row r="6" spans="1:18" x14ac:dyDescent="0.2">
      <c r="A6" s="680" t="s">
        <v>564</v>
      </c>
      <c r="B6" s="689" t="str">
        <f>IFERROR(VLOOKUP(A6,NoviaFunds[],2,FALSE),"")</f>
        <v>ASI Asia Pacific Equity Enhanced Index B Acc in GB</v>
      </c>
      <c r="C6" s="689"/>
      <c r="D6" s="689"/>
      <c r="E6" s="689" t="str">
        <f>IFERROR(VLOOKUP(A6,NoviaFunds[],6,FALSE),"")</f>
        <v>Asia Pacific</v>
      </c>
      <c r="F6" s="690">
        <v>0</v>
      </c>
      <c r="G6" s="690">
        <v>0.04</v>
      </c>
      <c r="H6" s="685">
        <f t="shared" si="1"/>
        <v>0.04</v>
      </c>
      <c r="I6" s="692">
        <v>0</v>
      </c>
      <c r="J6" s="692">
        <v>0</v>
      </c>
      <c r="K6" s="688">
        <v>0.04</v>
      </c>
      <c r="M6" s="7"/>
      <c r="N6" s="7" t="s">
        <v>35</v>
      </c>
      <c r="O6" s="7">
        <f t="shared" ca="1" si="2"/>
        <v>-1.0000000000000002E-2</v>
      </c>
      <c r="P6" s="7">
        <f t="shared" si="3"/>
        <v>0.05</v>
      </c>
      <c r="Q6" s="7">
        <f t="shared" si="4"/>
        <v>0.05</v>
      </c>
      <c r="R6" s="7">
        <f t="shared" si="5"/>
        <v>0.04</v>
      </c>
    </row>
    <row r="7" spans="1:18" x14ac:dyDescent="0.2">
      <c r="A7" s="680" t="s">
        <v>52</v>
      </c>
      <c r="B7" s="689" t="str">
        <f>IFERROR(VLOOKUP(A7,NoviaFunds[],2,FALSE),"")</f>
        <v>Stewart Investors Asia Pacific Leaders Sustainability B Acc GBP in GB</v>
      </c>
      <c r="C7" s="689"/>
      <c r="D7" s="689"/>
      <c r="E7" s="689" t="str">
        <f>IFERROR(VLOOKUP(A7,NoviaFunds[],6,FALSE),"")</f>
        <v>Asia Pacific</v>
      </c>
      <c r="F7" s="690">
        <v>0.05</v>
      </c>
      <c r="G7" s="690">
        <v>0</v>
      </c>
      <c r="H7" s="685">
        <f t="shared" si="1"/>
        <v>-0.05</v>
      </c>
      <c r="I7" s="692">
        <v>0.05</v>
      </c>
      <c r="J7" s="692">
        <v>0.05</v>
      </c>
      <c r="K7" s="694">
        <v>0</v>
      </c>
      <c r="M7" s="7"/>
      <c r="N7" s="7" t="s">
        <v>36</v>
      </c>
      <c r="O7" s="7">
        <f t="shared" ca="1" si="2"/>
        <v>-0.04</v>
      </c>
      <c r="P7" s="7">
        <f t="shared" si="3"/>
        <v>0.04</v>
      </c>
      <c r="Q7" s="7">
        <f t="shared" si="4"/>
        <v>0.04</v>
      </c>
      <c r="R7" s="7">
        <f t="shared" si="5"/>
        <v>0</v>
      </c>
    </row>
    <row r="8" spans="1:18" x14ac:dyDescent="0.2">
      <c r="A8" s="680" t="s">
        <v>53</v>
      </c>
      <c r="B8" s="689" t="str">
        <f>IFERROR(VLOOKUP(A8,NoviaFunds[],2,FALSE),"")</f>
        <v>Federated Hermes Global Emerging Markets F Acc</v>
      </c>
      <c r="C8" s="689"/>
      <c r="D8" s="689"/>
      <c r="E8" s="689" t="str">
        <f>IFERROR(VLOOKUP(A8,NoviaFunds[],6,FALSE),"")</f>
        <v>Emerging Markets</v>
      </c>
      <c r="F8" s="690">
        <v>0.04</v>
      </c>
      <c r="G8" s="690">
        <v>0</v>
      </c>
      <c r="H8" s="685">
        <f t="shared" si="1"/>
        <v>-0.04</v>
      </c>
      <c r="I8" s="692">
        <v>0.04</v>
      </c>
      <c r="J8" s="692">
        <v>0.04</v>
      </c>
      <c r="K8" s="694">
        <v>0</v>
      </c>
      <c r="M8" s="7"/>
      <c r="N8" s="7" t="s">
        <v>34</v>
      </c>
      <c r="O8" s="7">
        <f t="shared" ca="1" si="2"/>
        <v>2.0000000000000004E-2</v>
      </c>
      <c r="P8" s="7">
        <f t="shared" si="3"/>
        <v>0.05</v>
      </c>
      <c r="Q8" s="7">
        <f t="shared" si="4"/>
        <v>0.05</v>
      </c>
      <c r="R8" s="7">
        <f t="shared" si="5"/>
        <v>0.05</v>
      </c>
    </row>
    <row r="9" spans="1:18" x14ac:dyDescent="0.2">
      <c r="A9" s="680" t="s">
        <v>54</v>
      </c>
      <c r="B9" s="689" t="str">
        <f>IFERROR(VLOOKUP(A9,NoviaFunds[],2,FALSE),"")</f>
        <v>BlackRock Continental European D Acc in GB</v>
      </c>
      <c r="C9" s="689"/>
      <c r="D9" s="689"/>
      <c r="E9" s="689" t="str">
        <f>IFERROR(VLOOKUP(A9,NoviaFunds[],6,FALSE),"")</f>
        <v>European Equities</v>
      </c>
      <c r="F9" s="690">
        <v>0.03</v>
      </c>
      <c r="G9" s="690">
        <v>0</v>
      </c>
      <c r="H9" s="685">
        <f t="shared" si="1"/>
        <v>-0.03</v>
      </c>
      <c r="I9" s="687">
        <v>0</v>
      </c>
      <c r="J9" s="692">
        <v>0</v>
      </c>
      <c r="K9" s="693">
        <v>0</v>
      </c>
      <c r="M9" s="7"/>
      <c r="N9" s="7" t="s">
        <v>40</v>
      </c>
      <c r="O9" s="7">
        <f t="shared" ca="1" si="2"/>
        <v>0</v>
      </c>
      <c r="P9" s="7">
        <f t="shared" si="3"/>
        <v>0.05</v>
      </c>
      <c r="Q9" s="7">
        <f t="shared" si="4"/>
        <v>0.05</v>
      </c>
      <c r="R9" s="7">
        <f t="shared" si="5"/>
        <v>0.05</v>
      </c>
    </row>
    <row r="10" spans="1:18" x14ac:dyDescent="0.2">
      <c r="A10" s="680" t="s">
        <v>3087</v>
      </c>
      <c r="B10" s="689" t="str">
        <f>IFERROR(VLOOKUP(A10,NoviaFunds[],2,FALSE),"")</f>
        <v>HSBC European Index C Acc in GB</v>
      </c>
      <c r="C10" s="689"/>
      <c r="D10" s="689"/>
      <c r="E10" s="689" t="str">
        <f>IFERROR(VLOOKUP(A10,NoviaFunds[],6,FALSE),"")</f>
        <v>European Equities</v>
      </c>
      <c r="F10" s="690">
        <v>0</v>
      </c>
      <c r="G10" s="690">
        <v>0.05</v>
      </c>
      <c r="H10" s="685">
        <f t="shared" si="1"/>
        <v>0.05</v>
      </c>
      <c r="I10" s="686">
        <v>0.05</v>
      </c>
      <c r="J10" s="692">
        <v>0.05</v>
      </c>
      <c r="K10" s="693">
        <v>0.05</v>
      </c>
      <c r="M10" s="7"/>
      <c r="N10" s="7" t="s">
        <v>9528</v>
      </c>
      <c r="O10" s="7">
        <f t="shared" ca="1" si="2"/>
        <v>4.0000000000000008E-2</v>
      </c>
      <c r="P10" s="7">
        <f t="shared" si="3"/>
        <v>0.11</v>
      </c>
      <c r="Q10" s="7">
        <f t="shared" si="4"/>
        <v>0.11</v>
      </c>
      <c r="R10" s="7">
        <f t="shared" si="5"/>
        <v>0.1</v>
      </c>
    </row>
    <row r="11" spans="1:18" x14ac:dyDescent="0.2">
      <c r="A11" s="680" t="s">
        <v>8877</v>
      </c>
      <c r="B11" s="689" t="str">
        <f>IFERROR(VLOOKUP(A11,NoviaFunds[],2,FALSE),"")</f>
        <v>Atlantic House Defined Returns B Acc in GB</v>
      </c>
      <c r="C11" s="689"/>
      <c r="D11" s="689"/>
      <c r="E11" s="689" t="str">
        <f>IFERROR(VLOOKUP(A11,NoviaFunds[],6,FALSE),"")</f>
        <v>Gilts</v>
      </c>
      <c r="F11" s="690">
        <v>0.05</v>
      </c>
      <c r="G11" s="690">
        <v>0</v>
      </c>
      <c r="H11" s="685">
        <f t="shared" si="1"/>
        <v>-0.05</v>
      </c>
      <c r="I11" s="687">
        <v>0</v>
      </c>
      <c r="J11" s="692">
        <v>0</v>
      </c>
      <c r="K11" s="693">
        <v>0</v>
      </c>
      <c r="M11" s="7"/>
      <c r="N11" s="7" t="s">
        <v>37</v>
      </c>
      <c r="O11" s="7">
        <f t="shared" ca="1" si="2"/>
        <v>0</v>
      </c>
      <c r="P11" s="7">
        <f t="shared" si="3"/>
        <v>0.05</v>
      </c>
      <c r="Q11" s="7">
        <f t="shared" si="4"/>
        <v>0.05</v>
      </c>
      <c r="R11" s="7">
        <f t="shared" si="5"/>
        <v>0.05</v>
      </c>
    </row>
    <row r="12" spans="1:18" x14ac:dyDescent="0.2">
      <c r="A12" s="680" t="s">
        <v>9558</v>
      </c>
      <c r="B12" s="689" t="str">
        <f>IFERROR(VLOOKUP(A12,NoviaFunds[],2,FALSE),"")</f>
        <v>iShares UK Gilts 0-5yr UCITS ETF</v>
      </c>
      <c r="C12" s="689"/>
      <c r="D12" s="689"/>
      <c r="E12" s="689" t="str">
        <f>IFERROR(VLOOKUP(A12,NoviaFunds[],6,FALSE),"")</f>
        <v>Gilts</v>
      </c>
      <c r="F12" s="690">
        <v>0</v>
      </c>
      <c r="G12" s="690">
        <v>0.05</v>
      </c>
      <c r="H12" s="685">
        <f t="shared" si="1"/>
        <v>0.05</v>
      </c>
      <c r="I12" s="686">
        <v>0.05</v>
      </c>
      <c r="J12" s="692">
        <v>0.05</v>
      </c>
      <c r="K12" s="693">
        <v>0.05</v>
      </c>
      <c r="M12" s="7"/>
      <c r="N12" s="7" t="s">
        <v>45</v>
      </c>
      <c r="O12" s="7">
        <f t="shared" ca="1" si="2"/>
        <v>-0.09</v>
      </c>
      <c r="P12" s="7">
        <f t="shared" si="3"/>
        <v>0</v>
      </c>
      <c r="Q12" s="7">
        <f t="shared" si="4"/>
        <v>0</v>
      </c>
      <c r="R12" s="7">
        <f t="shared" si="5"/>
        <v>0</v>
      </c>
    </row>
    <row r="13" spans="1:18" x14ac:dyDescent="0.2">
      <c r="A13" s="680" t="s">
        <v>9557</v>
      </c>
      <c r="B13" s="689" t="str">
        <f>IFERROR(VLOOKUP(A13,NoviaFunds[],2,FALSE),"")</f>
        <v>ASI Short Dated Global Corporate Bond Tracker B Acc</v>
      </c>
      <c r="C13" s="689"/>
      <c r="D13" s="689"/>
      <c r="E13" s="689" t="str">
        <f>IFERROR(VLOOKUP(A13,NoviaFunds[],6,FALSE),"")</f>
        <v>Global Investment Grade</v>
      </c>
      <c r="F13" s="690">
        <v>0</v>
      </c>
      <c r="G13" s="690">
        <v>0.05</v>
      </c>
      <c r="H13" s="685">
        <f t="shared" si="1"/>
        <v>0.05</v>
      </c>
      <c r="I13" s="692">
        <v>0.05</v>
      </c>
      <c r="J13" s="692">
        <v>0.05</v>
      </c>
      <c r="K13" s="693">
        <v>0.05</v>
      </c>
      <c r="M13" s="7"/>
      <c r="N13" s="7" t="s">
        <v>38</v>
      </c>
      <c r="O13" s="7">
        <f t="shared" ca="1" si="2"/>
        <v>-0.1</v>
      </c>
      <c r="P13" s="7">
        <f t="shared" si="3"/>
        <v>0.05</v>
      </c>
      <c r="Q13" s="7">
        <f t="shared" si="4"/>
        <v>0</v>
      </c>
      <c r="R13" s="7">
        <f t="shared" si="5"/>
        <v>0</v>
      </c>
    </row>
    <row r="14" spans="1:18" x14ac:dyDescent="0.2">
      <c r="A14" s="680" t="s">
        <v>3624</v>
      </c>
      <c r="B14" s="689" t="str">
        <f>IFERROR(VLOOKUP(A14,NoviaFunds[],2,FALSE),"")</f>
        <v>iShares Overseas Corporate Bond Index (UK) D Acc in GB</v>
      </c>
      <c r="C14" s="689"/>
      <c r="D14" s="689"/>
      <c r="E14" s="689" t="str">
        <f>IFERROR(VLOOKUP(A14,NoviaFunds[],6,FALSE),"")</f>
        <v>Global Investment Grade</v>
      </c>
      <c r="F14" s="690">
        <v>0</v>
      </c>
      <c r="G14" s="690">
        <v>0.05</v>
      </c>
      <c r="H14" s="685">
        <f t="shared" si="1"/>
        <v>0.05</v>
      </c>
      <c r="I14" s="692">
        <v>0</v>
      </c>
      <c r="J14" s="692">
        <v>0</v>
      </c>
      <c r="K14" s="688">
        <v>0.05</v>
      </c>
      <c r="M14" s="7"/>
      <c r="N14" s="7" t="s">
        <v>49</v>
      </c>
      <c r="O14" s="7">
        <f t="shared" ca="1" si="2"/>
        <v>0.05</v>
      </c>
      <c r="P14" s="7">
        <f t="shared" si="3"/>
        <v>0</v>
      </c>
      <c r="Q14" s="7">
        <f t="shared" si="4"/>
        <v>0</v>
      </c>
      <c r="R14" s="7">
        <f t="shared" si="5"/>
        <v>0.05</v>
      </c>
    </row>
    <row r="15" spans="1:18" x14ac:dyDescent="0.2">
      <c r="A15" s="680" t="s">
        <v>13</v>
      </c>
      <c r="B15" s="689" t="str">
        <f>IFERROR(VLOOKUP(A15,NoviaFunds[],2,FALSE),"")</f>
        <v>Royal London Global Index Linked M Inc TR in GB</v>
      </c>
      <c r="C15" s="689"/>
      <c r="D15" s="689"/>
      <c r="E15" s="689" t="str">
        <f>IFERROR(VLOOKUP(A15,NoviaFunds[],6,FALSE),"")</f>
        <v>Global Investment Grade</v>
      </c>
      <c r="F15" s="690">
        <v>0.06</v>
      </c>
      <c r="G15" s="690">
        <v>0</v>
      </c>
      <c r="H15" s="685">
        <f t="shared" si="1"/>
        <v>-0.06</v>
      </c>
      <c r="I15" s="692">
        <v>0.06</v>
      </c>
      <c r="J15" s="692">
        <v>0.06</v>
      </c>
      <c r="K15" s="694">
        <v>0</v>
      </c>
      <c r="M15" s="7"/>
      <c r="N15" s="7" t="s">
        <v>47</v>
      </c>
      <c r="O15" s="7">
        <f t="shared" ca="1" si="2"/>
        <v>-0.05</v>
      </c>
      <c r="P15" s="7">
        <f t="shared" si="3"/>
        <v>0</v>
      </c>
      <c r="Q15" s="7">
        <f t="shared" si="4"/>
        <v>0</v>
      </c>
      <c r="R15" s="7">
        <f t="shared" si="5"/>
        <v>0</v>
      </c>
    </row>
    <row r="16" spans="1:18" x14ac:dyDescent="0.2">
      <c r="A16" s="680" t="s">
        <v>56</v>
      </c>
      <c r="B16" s="689" t="str">
        <f>IFERROR(VLOOKUP(A16,NoviaFunds[],2,FALSE),"")</f>
        <v>Baillie Gifford Japanese B Acc in GB**</v>
      </c>
      <c r="C16" s="689"/>
      <c r="D16" s="689"/>
      <c r="E16" s="689" t="str">
        <f>IFERROR(VLOOKUP(A16,NoviaFunds[],6,FALSE),"")</f>
        <v>Japanese Equities</v>
      </c>
      <c r="F16" s="690">
        <v>0.05</v>
      </c>
      <c r="G16" s="690">
        <v>0.05</v>
      </c>
      <c r="H16" s="685">
        <f t="shared" si="1"/>
        <v>0</v>
      </c>
      <c r="I16" s="692">
        <v>0.05</v>
      </c>
      <c r="J16" s="692">
        <v>0.05</v>
      </c>
      <c r="K16" s="693">
        <v>0.05</v>
      </c>
      <c r="M16" s="7"/>
      <c r="N16" s="7" t="s">
        <v>9530</v>
      </c>
      <c r="O16" s="7">
        <f t="shared" ca="1" si="2"/>
        <v>-1.3877787807814457E-17</v>
      </c>
      <c r="P16" s="7">
        <f t="shared" si="3"/>
        <v>0.11</v>
      </c>
      <c r="Q16" s="7">
        <f t="shared" si="4"/>
        <v>0.15</v>
      </c>
      <c r="R16" s="7">
        <f t="shared" si="5"/>
        <v>0.15</v>
      </c>
    </row>
    <row r="17" spans="1:18" x14ac:dyDescent="0.2">
      <c r="A17" s="680" t="s">
        <v>3527</v>
      </c>
      <c r="B17" s="689" t="str">
        <f>IFERROR(VLOOKUP(A17,NoviaFunds[],2,FALSE),"")</f>
        <v>Invesco Tactical Bond (UK) Z Acc TR in GB</v>
      </c>
      <c r="C17" s="689"/>
      <c r="D17" s="689"/>
      <c r="E17" s="689" t="str">
        <f>IFERROR(VLOOKUP(A17,NoviaFunds[],6,FALSE),"")</f>
        <v>Other Bonds</v>
      </c>
      <c r="F17" s="690">
        <v>0.09</v>
      </c>
      <c r="G17" s="690">
        <v>0</v>
      </c>
      <c r="H17" s="685">
        <f t="shared" si="1"/>
        <v>-0.09</v>
      </c>
      <c r="I17" s="692">
        <v>0</v>
      </c>
      <c r="J17" s="692">
        <v>0</v>
      </c>
      <c r="K17" s="693">
        <v>0</v>
      </c>
      <c r="M17" s="7"/>
      <c r="N17" s="7" t="s">
        <v>32</v>
      </c>
      <c r="O17" s="7">
        <f t="shared" ca="1" si="2"/>
        <v>-9.0000000000000011E-2</v>
      </c>
      <c r="P17" s="7">
        <f t="shared" si="3"/>
        <v>0.22800000000000004</v>
      </c>
      <c r="Q17" s="7">
        <f t="shared" si="4"/>
        <v>0.22800000000000004</v>
      </c>
      <c r="R17" s="7">
        <f t="shared" si="5"/>
        <v>0.16</v>
      </c>
    </row>
    <row r="18" spans="1:18" x14ac:dyDescent="0.2">
      <c r="A18" s="680" t="s">
        <v>18</v>
      </c>
      <c r="B18" s="689" t="str">
        <f>IFERROR(VLOOKUP(A18,NoviaFunds[],2,FALSE),"")</f>
        <v>Artemis Global Select I Acc in GB</v>
      </c>
      <c r="C18" s="689"/>
      <c r="D18" s="689"/>
      <c r="E18" s="689" t="str">
        <f>IFERROR(VLOOKUP(A18,NoviaFunds[],6,FALSE),"")</f>
        <v>Other Equities</v>
      </c>
      <c r="F18" s="690">
        <v>0.05</v>
      </c>
      <c r="G18" s="690">
        <v>0</v>
      </c>
      <c r="H18" s="685">
        <f t="shared" si="1"/>
        <v>-0.05</v>
      </c>
      <c r="I18" s="692">
        <v>0.05</v>
      </c>
      <c r="J18" s="687">
        <v>0</v>
      </c>
      <c r="K18" s="693">
        <v>0</v>
      </c>
      <c r="M18" s="7"/>
      <c r="N18" s="7" t="s">
        <v>9529</v>
      </c>
      <c r="O18" s="7">
        <f t="shared" ca="1" si="2"/>
        <v>0.08</v>
      </c>
      <c r="P18" s="7">
        <f t="shared" si="3"/>
        <v>0.08</v>
      </c>
      <c r="Q18" s="7">
        <f t="shared" si="4"/>
        <v>0.08</v>
      </c>
      <c r="R18" s="7">
        <f t="shared" si="5"/>
        <v>0.08</v>
      </c>
    </row>
    <row r="19" spans="1:18" x14ac:dyDescent="0.2">
      <c r="A19" s="680" t="s">
        <v>19</v>
      </c>
      <c r="B19" s="689" t="str">
        <f>IFERROR(VLOOKUP(A19,NoviaFunds[],2,FALSE),"")</f>
        <v>LF Blue Whale Growth I Acc GBP in GB</v>
      </c>
      <c r="C19" s="689"/>
      <c r="D19" s="689"/>
      <c r="E19" s="689" t="str">
        <f>IFERROR(VLOOKUP(A19,NoviaFunds[],6,FALSE),"")</f>
        <v>Other Equities</v>
      </c>
      <c r="F19" s="690">
        <v>0.05</v>
      </c>
      <c r="G19" s="690">
        <v>0</v>
      </c>
      <c r="H19" s="685">
        <f t="shared" si="1"/>
        <v>-0.05</v>
      </c>
      <c r="I19" s="692">
        <v>0</v>
      </c>
      <c r="J19" s="692">
        <v>0</v>
      </c>
      <c r="K19" s="693">
        <v>0</v>
      </c>
      <c r="M19" s="7"/>
      <c r="N19" s="7" t="s">
        <v>33</v>
      </c>
      <c r="O19" s="7">
        <f t="shared" ca="1" si="2"/>
        <v>0.15</v>
      </c>
      <c r="P19" s="7">
        <f t="shared" si="3"/>
        <v>7.4999999999999997E-2</v>
      </c>
      <c r="Q19" s="7">
        <f t="shared" si="4"/>
        <v>0.15</v>
      </c>
      <c r="R19" s="7">
        <f t="shared" si="5"/>
        <v>0.15</v>
      </c>
    </row>
    <row r="20" spans="1:18" x14ac:dyDescent="0.2">
      <c r="A20" s="680" t="s">
        <v>9540</v>
      </c>
      <c r="B20" s="689" t="str">
        <f>IFERROR(VLOOKUP(A20,NoviaFunds[],2,FALSE),"")</f>
        <v>iShares MSCI Target UK Real Estate UCITS ETF GBP</v>
      </c>
      <c r="C20" s="689"/>
      <c r="D20" s="689"/>
      <c r="E20" s="689" t="str">
        <f>IFERROR(VLOOKUP(A20,NoviaFunds[],6,FALSE),"")</f>
        <v>Property</v>
      </c>
      <c r="F20" s="690">
        <v>0</v>
      </c>
      <c r="G20" s="690">
        <v>0.05</v>
      </c>
      <c r="H20" s="685">
        <f t="shared" si="1"/>
        <v>0.05</v>
      </c>
      <c r="I20" s="692">
        <v>0</v>
      </c>
      <c r="J20" s="692">
        <v>0</v>
      </c>
      <c r="K20" s="688">
        <v>0.05</v>
      </c>
      <c r="M20" s="7"/>
      <c r="O20" s="7"/>
      <c r="P20" s="7"/>
    </row>
    <row r="21" spans="1:18" x14ac:dyDescent="0.2">
      <c r="A21" s="680" t="s">
        <v>20</v>
      </c>
      <c r="B21" s="689" t="str">
        <f>IFERROR(VLOOKUP(A21,NoviaFunds[],2,FALSE),"")</f>
        <v>Jupiter Gold &amp; Silver I Acc</v>
      </c>
      <c r="C21" s="689"/>
      <c r="D21" s="689"/>
      <c r="E21" s="689" t="str">
        <f>IFERROR(VLOOKUP(A21,NoviaFunds[],6,FALSE),"")</f>
        <v>Specialist</v>
      </c>
      <c r="F21" s="690">
        <v>0.05</v>
      </c>
      <c r="G21" s="690">
        <v>0</v>
      </c>
      <c r="H21" s="685">
        <f t="shared" si="1"/>
        <v>-0.05</v>
      </c>
      <c r="I21" s="692">
        <v>0</v>
      </c>
      <c r="J21" s="692">
        <v>0</v>
      </c>
      <c r="K21" s="693">
        <v>0</v>
      </c>
      <c r="M21" s="7"/>
      <c r="O21" s="7"/>
      <c r="P21" s="7"/>
    </row>
    <row r="22" spans="1:18" x14ac:dyDescent="0.2">
      <c r="A22" s="680" t="s">
        <v>15</v>
      </c>
      <c r="B22" s="689" t="str">
        <f>IFERROR(VLOOKUP(A22,NoviaFunds[],2,FALSE),"")</f>
        <v>L&amp;G Short Dated Sterling Corporate Bond Index I Acc in GB</v>
      </c>
      <c r="C22" s="689"/>
      <c r="D22" s="689"/>
      <c r="E22" s="689" t="str">
        <f>IFERROR(VLOOKUP(A22,NoviaFunds[],6,FALSE),"")</f>
        <v>Sterling Corporate Bonds</v>
      </c>
      <c r="F22" s="690">
        <v>8.5000000000000006E-2</v>
      </c>
      <c r="G22" s="690">
        <v>4.4999999999999998E-2</v>
      </c>
      <c r="H22" s="685">
        <f t="shared" si="1"/>
        <v>-4.0000000000000008E-2</v>
      </c>
      <c r="I22" s="692">
        <v>4.4999999999999998E-2</v>
      </c>
      <c r="J22" s="692">
        <v>4.4999999999999998E-2</v>
      </c>
      <c r="K22" s="693">
        <v>4.4999999999999998E-2</v>
      </c>
      <c r="M22" s="7"/>
      <c r="O22" s="7"/>
      <c r="P22" s="7"/>
    </row>
    <row r="23" spans="1:18" x14ac:dyDescent="0.2">
      <c r="A23" s="695" t="s">
        <v>6914</v>
      </c>
      <c r="B23" s="696" t="str">
        <f>IFERROR(VLOOKUP(A23,NoviaFunds[],2,FALSE),"")</f>
        <v>Royal London Sterling Credit Z Inc TR in GB</v>
      </c>
      <c r="C23" s="696"/>
      <c r="D23" s="696"/>
      <c r="E23" s="696" t="str">
        <f>IFERROR(VLOOKUP(A23,NoviaFunds[],6,FALSE),"")</f>
        <v>Sterling Corporate Bonds</v>
      </c>
      <c r="F23" s="697">
        <v>6.5000000000000002E-2</v>
      </c>
      <c r="G23" s="697">
        <v>4.4999999999999998E-2</v>
      </c>
      <c r="H23" s="685">
        <f t="shared" si="1"/>
        <v>-2.0000000000000004E-2</v>
      </c>
      <c r="I23" s="692">
        <v>6.5000000000000002E-2</v>
      </c>
      <c r="J23" s="687">
        <v>4.4999999999999998E-2</v>
      </c>
      <c r="K23" s="693">
        <v>4.4999999999999998E-2</v>
      </c>
      <c r="M23" s="7"/>
      <c r="O23" s="7">
        <f ca="1">SUM(O5,O9,O10,O12,O16,O18)</f>
        <v>-0.03</v>
      </c>
      <c r="P23" s="7">
        <f t="shared" ref="P23:R23" si="6">SUM(P5,P9,P10,P12,P16,P18)</f>
        <v>0.41000000000000003</v>
      </c>
      <c r="Q23" s="7">
        <f t="shared" si="6"/>
        <v>0.39</v>
      </c>
      <c r="R23" s="7">
        <f t="shared" si="6"/>
        <v>0.38000000000000006</v>
      </c>
    </row>
    <row r="24" spans="1:18" x14ac:dyDescent="0.2">
      <c r="A24" s="680" t="s">
        <v>17</v>
      </c>
      <c r="B24" s="689" t="str">
        <f>IFERROR(VLOOKUP(A24,NoviaFunds[],2,FALSE),"")</f>
        <v>Vanguard UK Short-Term Investment Grade Bond Index Acc</v>
      </c>
      <c r="C24" s="689"/>
      <c r="D24" s="689"/>
      <c r="E24" s="689" t="str">
        <f>IFERROR(VLOOKUP(A24,NoviaFunds[],6,FALSE),"")</f>
        <v>Sterling Corporate Bonds</v>
      </c>
      <c r="F24" s="690">
        <v>0</v>
      </c>
      <c r="G24" s="690">
        <v>0.06</v>
      </c>
      <c r="H24" s="685">
        <f t="shared" si="1"/>
        <v>0.06</v>
      </c>
      <c r="I24" s="692">
        <v>0</v>
      </c>
      <c r="J24" s="686">
        <v>0.06</v>
      </c>
      <c r="K24" s="693">
        <v>0.06</v>
      </c>
      <c r="M24" s="7"/>
      <c r="O24" s="7">
        <f ca="1">SUM(O6,O7,O8,O11,O13,O17,O19)</f>
        <v>-7.0000000000000034E-2</v>
      </c>
      <c r="P24" s="7">
        <f t="shared" ref="P24:Q24" si="7">SUM(P6,P7,P8,P11,P13,P17,P19)</f>
        <v>0.54300000000000004</v>
      </c>
      <c r="Q24" s="7">
        <f t="shared" si="7"/>
        <v>0.56800000000000006</v>
      </c>
      <c r="R24" s="7">
        <f>SUM(R6,R7,R8,R11,R13,R17,R19)</f>
        <v>0.45000000000000007</v>
      </c>
    </row>
    <row r="25" spans="1:18" x14ac:dyDescent="0.2">
      <c r="A25" s="680" t="s">
        <v>23</v>
      </c>
      <c r="B25" s="689" t="str">
        <f>IFERROR(VLOOKUP(A25,NoviaFunds[],2,FALSE),"")</f>
        <v>Allianz UK Listed Equity Income E Inc GBP</v>
      </c>
      <c r="C25" s="689"/>
      <c r="D25" s="689"/>
      <c r="E25" s="689" t="str">
        <f>IFERROR(VLOOKUP(A25,NoviaFunds[],6,FALSE),"")</f>
        <v>UK Equities</v>
      </c>
      <c r="F25" s="690">
        <v>0.06</v>
      </c>
      <c r="G25" s="690">
        <v>0.04</v>
      </c>
      <c r="H25" s="685">
        <f t="shared" si="1"/>
        <v>-1.9999999999999997E-2</v>
      </c>
      <c r="I25" s="687">
        <v>0.04</v>
      </c>
      <c r="J25" s="692">
        <v>0.04</v>
      </c>
      <c r="K25" s="693">
        <v>0.04</v>
      </c>
      <c r="M25" s="7"/>
      <c r="O25" s="7"/>
      <c r="P25" s="7"/>
    </row>
    <row r="26" spans="1:18" x14ac:dyDescent="0.2">
      <c r="A26" s="680" t="s">
        <v>442</v>
      </c>
      <c r="B26" s="689" t="str">
        <f>IFERROR(VLOOKUP(A26,NoviaFunds[],2,FALSE),"")</f>
        <v>Artemis Income I Acc TR in GB</v>
      </c>
      <c r="C26" s="689"/>
      <c r="D26" s="689"/>
      <c r="E26" s="689" t="str">
        <f>IFERROR(VLOOKUP(A26,NoviaFunds[],6,FALSE),"")</f>
        <v>UK Equities</v>
      </c>
      <c r="F26" s="690">
        <v>0.05</v>
      </c>
      <c r="G26" s="690">
        <v>0</v>
      </c>
      <c r="H26" s="685">
        <f t="shared" si="1"/>
        <v>-0.05</v>
      </c>
      <c r="I26" s="687">
        <v>0</v>
      </c>
      <c r="J26" s="692">
        <v>0</v>
      </c>
      <c r="K26" s="693">
        <v>0</v>
      </c>
      <c r="M26" s="7"/>
      <c r="O26" s="7"/>
      <c r="P26" s="7"/>
    </row>
    <row r="27" spans="1:18" x14ac:dyDescent="0.2">
      <c r="A27" s="680" t="s">
        <v>21</v>
      </c>
      <c r="B27" s="689" t="str">
        <f>IFERROR(VLOOKUP(A27,NoviaFunds[],2,FALSE),"")</f>
        <v>BlackRock UK Equity D Acc TR in GB**</v>
      </c>
      <c r="C27" s="689"/>
      <c r="D27" s="689"/>
      <c r="E27" s="689" t="str">
        <f>IFERROR(VLOOKUP(A27,NoviaFunds[],6,FALSE),"")</f>
        <v>UK Equities</v>
      </c>
      <c r="F27" s="690">
        <v>0.04</v>
      </c>
      <c r="G27" s="690">
        <v>0</v>
      </c>
      <c r="H27" s="685">
        <f t="shared" si="1"/>
        <v>-0.04</v>
      </c>
      <c r="I27" s="692">
        <v>0.04</v>
      </c>
      <c r="J27" s="692">
        <v>0.04</v>
      </c>
      <c r="K27" s="694">
        <v>0</v>
      </c>
      <c r="M27" s="7"/>
      <c r="O27" s="7"/>
      <c r="P27" s="7"/>
    </row>
    <row r="28" spans="1:18" ht="15" customHeight="1" x14ac:dyDescent="0.2">
      <c r="A28" s="680" t="s">
        <v>25</v>
      </c>
      <c r="B28" s="689" t="str">
        <f>IFERROR(VLOOKUP(A28,NoviaFunds[],2,FALSE),"")</f>
        <v>FTF Franklin UK Equity Income W Acc TR in GB</v>
      </c>
      <c r="C28" s="689"/>
      <c r="D28" s="689"/>
      <c r="E28" s="689" t="str">
        <f>IFERROR(VLOOKUP(A28,NoviaFunds[],6,FALSE),"")</f>
        <v>UK Equities</v>
      </c>
      <c r="F28" s="690">
        <v>0.06</v>
      </c>
      <c r="G28" s="690">
        <v>0.04</v>
      </c>
      <c r="H28" s="685">
        <f t="shared" si="1"/>
        <v>-1.9999999999999997E-2</v>
      </c>
      <c r="I28" s="692">
        <v>0.06</v>
      </c>
      <c r="J28" s="692">
        <v>0.06</v>
      </c>
      <c r="K28" s="694">
        <v>0.04</v>
      </c>
      <c r="M28" s="7"/>
      <c r="O28" s="7"/>
      <c r="P28" s="7"/>
    </row>
    <row r="29" spans="1:18" x14ac:dyDescent="0.2">
      <c r="A29" s="680" t="s">
        <v>22</v>
      </c>
      <c r="B29" s="689" t="str">
        <f>IFERROR(VLOOKUP(A29,NoviaFunds[],2,FALSE),"")</f>
        <v>Slater Growth P Acc in GB</v>
      </c>
      <c r="C29" s="689"/>
      <c r="D29" s="689"/>
      <c r="E29" s="689" t="str">
        <f>IFERROR(VLOOKUP(A29,NoviaFunds[],6,FALSE),"")</f>
        <v>UK Equities</v>
      </c>
      <c r="F29" s="690">
        <v>0.04</v>
      </c>
      <c r="G29" s="690">
        <v>3.2000000000000001E-2</v>
      </c>
      <c r="H29" s="685">
        <f t="shared" si="1"/>
        <v>-8.0000000000000002E-3</v>
      </c>
      <c r="I29" s="692">
        <v>0.04</v>
      </c>
      <c r="J29" s="692">
        <v>0.04</v>
      </c>
      <c r="K29" s="694">
        <v>3.2000000000000001E-2</v>
      </c>
      <c r="M29" s="7"/>
      <c r="O29" s="7"/>
      <c r="P29" s="7"/>
    </row>
    <row r="30" spans="1:18" x14ac:dyDescent="0.2">
      <c r="A30" s="680" t="s">
        <v>8389</v>
      </c>
      <c r="B30" s="689" t="str">
        <f>IFERROR(VLOOKUP(A30,NoviaFunds[],2,FALSE),"")</f>
        <v>Vanguard FTSE U.K. All Share Index Unit Trust A Acc GBP in GB</v>
      </c>
      <c r="C30" s="689"/>
      <c r="D30" s="689"/>
      <c r="E30" s="689" t="str">
        <f>IFERROR(VLOOKUP(A30,NoviaFunds[],6,FALSE),"")</f>
        <v>UK Equities</v>
      </c>
      <c r="F30" s="690">
        <v>0</v>
      </c>
      <c r="G30" s="690">
        <v>4.8000000000000001E-2</v>
      </c>
      <c r="H30" s="685">
        <f t="shared" si="1"/>
        <v>4.8000000000000001E-2</v>
      </c>
      <c r="I30" s="686">
        <v>4.8000000000000001E-2</v>
      </c>
      <c r="J30" s="692">
        <v>4.8000000000000001E-2</v>
      </c>
      <c r="K30" s="693">
        <v>4.8000000000000001E-2</v>
      </c>
      <c r="M30" s="7"/>
      <c r="O30" s="7"/>
      <c r="P30" s="7"/>
    </row>
    <row r="31" spans="1:18" x14ac:dyDescent="0.2">
      <c r="A31" s="680" t="s">
        <v>9544</v>
      </c>
      <c r="B31" s="689" t="str">
        <f>IFERROR(VLOOKUP(A31,NoviaFunds[],2,FALSE),"")</f>
        <v>iShares £ Index-Linked Gilts UCITS ETF</v>
      </c>
      <c r="C31" s="689"/>
      <c r="D31" s="689"/>
      <c r="E31" s="689" t="str">
        <f>IFERROR(VLOOKUP(A31,NoviaFunds[],6,FALSE),"")</f>
        <v>UK Index Linked Gilts</v>
      </c>
      <c r="F31" s="690">
        <v>0</v>
      </c>
      <c r="G31" s="690">
        <v>0.08</v>
      </c>
      <c r="H31" s="685">
        <f t="shared" si="1"/>
        <v>0.08</v>
      </c>
      <c r="I31" s="692">
        <v>0.08</v>
      </c>
      <c r="J31" s="692">
        <v>0.08</v>
      </c>
      <c r="K31" s="693">
        <v>0.08</v>
      </c>
      <c r="M31" s="7"/>
      <c r="O31" s="7"/>
      <c r="P31" s="7"/>
    </row>
    <row r="32" spans="1:18" x14ac:dyDescent="0.2">
      <c r="A32" s="680" t="s">
        <v>62</v>
      </c>
      <c r="B32" s="689" t="str">
        <f>IFERROR(VLOOKUP(A32,NoviaFunds[],2,FALSE),"")</f>
        <v>Artemis US Smaller Companies I Acc GBP in GB</v>
      </c>
      <c r="C32" s="689"/>
      <c r="D32" s="689"/>
      <c r="E32" s="689" t="str">
        <f>IFERROR(VLOOKUP(A32,NoviaFunds[],6,FALSE),"")</f>
        <v>USA Equities</v>
      </c>
      <c r="F32" s="690">
        <v>0</v>
      </c>
      <c r="G32" s="690">
        <v>3.7499999999999999E-2</v>
      </c>
      <c r="H32" s="685">
        <f t="shared" si="1"/>
        <v>3.7499999999999999E-2</v>
      </c>
      <c r="I32" s="692">
        <v>0</v>
      </c>
      <c r="J32" s="686">
        <v>3.7499999999999999E-2</v>
      </c>
      <c r="K32" s="693">
        <v>3.7499999999999999E-2</v>
      </c>
      <c r="M32" s="7"/>
      <c r="O32" s="7"/>
      <c r="P32" s="7"/>
    </row>
    <row r="33" spans="1:16" x14ac:dyDescent="0.2">
      <c r="A33" s="680" t="s">
        <v>2706</v>
      </c>
      <c r="B33" s="689" t="str">
        <f>IFERROR(VLOOKUP(A33,NoviaFunds[],2,FALSE),"")</f>
        <v>Fidelity Index US P in GB</v>
      </c>
      <c r="C33" s="689"/>
      <c r="D33" s="689"/>
      <c r="E33" s="689" t="str">
        <f>IFERROR(VLOOKUP(A33,NoviaFunds[],6,FALSE),"")</f>
        <v>USA Equities</v>
      </c>
      <c r="F33" s="690">
        <v>0</v>
      </c>
      <c r="G33" s="690">
        <v>7.4999999999999997E-2</v>
      </c>
      <c r="H33" s="685">
        <f t="shared" si="1"/>
        <v>7.4999999999999997E-2</v>
      </c>
      <c r="I33" s="692">
        <v>7.4999999999999997E-2</v>
      </c>
      <c r="J33" s="692">
        <v>7.4999999999999997E-2</v>
      </c>
      <c r="K33" s="693">
        <v>7.4999999999999997E-2</v>
      </c>
      <c r="M33" s="7"/>
      <c r="O33" s="7"/>
      <c r="P33" s="7"/>
    </row>
    <row r="34" spans="1:16" x14ac:dyDescent="0.2">
      <c r="A34" s="680" t="s">
        <v>9539</v>
      </c>
      <c r="B34" s="689" t="str">
        <f>IFERROR(VLOOKUP(A34,NoviaFunds[],2,FALSE),"")</f>
        <v>Xtrackers S&amp;P 500 Equal Weight UCITS ETF</v>
      </c>
      <c r="C34" s="689"/>
      <c r="D34" s="689"/>
      <c r="E34" s="689" t="str">
        <f>IFERROR(VLOOKUP(A34,NoviaFunds[],6,FALSE),"")</f>
        <v>USA Equities</v>
      </c>
      <c r="F34" s="690">
        <v>0</v>
      </c>
      <c r="G34" s="690">
        <v>3.7499999999999999E-2</v>
      </c>
      <c r="H34" s="685">
        <f t="shared" si="1"/>
        <v>3.7499999999999999E-2</v>
      </c>
      <c r="I34" s="692">
        <v>0</v>
      </c>
      <c r="J34" s="686">
        <v>3.7499999999999999E-2</v>
      </c>
      <c r="K34" s="693">
        <v>3.7499999999999999E-2</v>
      </c>
      <c r="M34" s="7"/>
      <c r="O34" s="7"/>
      <c r="P34" s="7"/>
    </row>
    <row r="35" spans="1:16" x14ac:dyDescent="0.2">
      <c r="A35" s="680"/>
      <c r="B35" s="681" t="str">
        <f>IFERROR(VLOOKUP(A35,NoviaFunds[],2,FALSE),"")</f>
        <v/>
      </c>
      <c r="C35" s="682"/>
      <c r="D35" s="682"/>
      <c r="E35" s="683" t="str">
        <f>IFERROR(VLOOKUP(A35,NoviaFunds[],6,FALSE),"")</f>
        <v/>
      </c>
      <c r="F35" s="684"/>
      <c r="G35" s="684"/>
      <c r="H35" s="691" t="str">
        <f t="shared" ref="H35:H37" si="8">IF(G35="","",G35-F35)</f>
        <v/>
      </c>
      <c r="I35" s="692" t="str">
        <f>IFERROR(VLOOKUP(A35,NoviaFunds[],4,FALSE),"")</f>
        <v/>
      </c>
      <c r="J35" s="692" t="str">
        <f>IF(G35="","",IFERROR(VLOOKUP(A35,NoviaFunds[],4,FALSE),""))</f>
        <v/>
      </c>
      <c r="K35" s="698"/>
    </row>
    <row r="36" spans="1:16" x14ac:dyDescent="0.2">
      <c r="A36" s="680"/>
      <c r="B36" s="681" t="str">
        <f>IFERROR(VLOOKUP(A36,NoviaFunds[],2,FALSE),"")</f>
        <v/>
      </c>
      <c r="C36" s="682"/>
      <c r="D36" s="682"/>
      <c r="E36" s="683" t="str">
        <f>IFERROR(VLOOKUP(A36,NoviaFunds[],6,FALSE),"")</f>
        <v/>
      </c>
      <c r="F36" s="684"/>
      <c r="G36" s="684"/>
      <c r="H36" s="691" t="str">
        <f t="shared" si="8"/>
        <v/>
      </c>
      <c r="I36" s="692" t="str">
        <f>IFERROR(VLOOKUP(A36,NoviaFunds[],4,FALSE),"")</f>
        <v/>
      </c>
      <c r="J36" s="692" t="str">
        <f>IF(G36="","",IFERROR(VLOOKUP(A36,NoviaFunds[],4,FALSE),""))</f>
        <v/>
      </c>
      <c r="K36" s="698"/>
    </row>
    <row r="37" spans="1:16" x14ac:dyDescent="0.2">
      <c r="A37" s="680"/>
      <c r="B37" s="681" t="str">
        <f>IFERROR(VLOOKUP(A37,NoviaFunds[],2,FALSE),"")</f>
        <v/>
      </c>
      <c r="C37" s="682"/>
      <c r="D37" s="682"/>
      <c r="E37" s="683" t="str">
        <f>IFERROR(VLOOKUP(A37,NoviaFunds[],6,FALSE),"")</f>
        <v/>
      </c>
      <c r="F37" s="684"/>
      <c r="G37" s="684"/>
      <c r="H37" s="691" t="str">
        <f t="shared" si="8"/>
        <v/>
      </c>
      <c r="I37" s="692" t="str">
        <f>IFERROR(VLOOKUP(A37,NoviaFunds[],4,FALSE),"")</f>
        <v/>
      </c>
      <c r="J37" s="692" t="str">
        <f>IF(G37="","",IFERROR(VLOOKUP(A37,NoviaFunds[],4,FALSE),""))</f>
        <v/>
      </c>
      <c r="K37" s="698"/>
    </row>
    <row r="38" spans="1:16" x14ac:dyDescent="0.2">
      <c r="A38" s="680"/>
      <c r="B38" s="681" t="str">
        <f>IFERROR(VLOOKUP(A38,NoviaFunds[],2,FALSE),"")</f>
        <v/>
      </c>
      <c r="C38" s="682"/>
      <c r="D38" s="682"/>
      <c r="E38" s="683" t="str">
        <f>IFERROR(VLOOKUP(A38,NoviaFunds[],6,FALSE),"")</f>
        <v/>
      </c>
      <c r="F38" s="684"/>
      <c r="G38" s="684"/>
      <c r="H38" s="691" t="str">
        <f t="shared" ref="H38" si="9">IF(G38="","",G38-F38)</f>
        <v/>
      </c>
      <c r="I38" s="692" t="str">
        <f>IFERROR(VLOOKUP(A38,NoviaFunds[],4,FALSE),"")</f>
        <v/>
      </c>
      <c r="J38" s="692" t="str">
        <f>IF(G38="","",IFERROR(VLOOKUP(A38,NoviaFunds[],4,FALSE),""))</f>
        <v/>
      </c>
      <c r="K38" s="698"/>
    </row>
    <row r="39" spans="1:16" ht="16.5" thickBot="1" x14ac:dyDescent="0.3">
      <c r="A39" s="699"/>
      <c r="B39" s="700"/>
      <c r="C39" s="700"/>
      <c r="D39" s="700"/>
      <c r="E39" s="701"/>
      <c r="F39" s="702">
        <f>SUM(F4:F34)</f>
        <v>1.0000000000000002</v>
      </c>
      <c r="G39" s="702">
        <f>SUM(G4:G35)</f>
        <v>1.0000000000000002</v>
      </c>
      <c r="H39" s="702">
        <f t="shared" ref="H39:K39" si="10">SUM(H4:H35)</f>
        <v>0</v>
      </c>
      <c r="I39" s="702">
        <f t="shared" si="10"/>
        <v>1.0000000000000002</v>
      </c>
      <c r="J39" s="702">
        <f t="shared" si="10"/>
        <v>0.99999999999999989</v>
      </c>
      <c r="K39" s="703">
        <f t="shared" si="10"/>
        <v>1.0000000000000002</v>
      </c>
    </row>
    <row r="40" spans="1:16" ht="15.75" thickTop="1" thickBot="1" x14ac:dyDescent="0.25">
      <c r="A40" s="166"/>
      <c r="B40" s="161"/>
      <c r="C40" s="161"/>
      <c r="D40" s="161"/>
      <c r="E40" s="162"/>
      <c r="F40" s="163"/>
      <c r="G40" s="164"/>
      <c r="H40" s="164"/>
      <c r="I40" s="162"/>
      <c r="J40" s="167"/>
    </row>
    <row r="41" spans="1:16" ht="30.75" thickTop="1" x14ac:dyDescent="0.2">
      <c r="A41" s="415" t="s">
        <v>5</v>
      </c>
      <c r="B41" s="416" t="s">
        <v>26</v>
      </c>
      <c r="C41" s="416" t="s">
        <v>27</v>
      </c>
      <c r="D41" s="417" t="s">
        <v>28</v>
      </c>
      <c r="E41" s="417" t="s">
        <v>9555</v>
      </c>
      <c r="F41" s="418" t="s">
        <v>30</v>
      </c>
      <c r="G41" s="419" t="s">
        <v>9572</v>
      </c>
      <c r="H41" s="419" t="s">
        <v>31</v>
      </c>
      <c r="I41" s="418" t="s">
        <v>30</v>
      </c>
      <c r="J41" s="420"/>
    </row>
    <row r="42" spans="1:16" x14ac:dyDescent="0.2">
      <c r="A42" s="421" t="s">
        <v>32</v>
      </c>
      <c r="B42" s="422">
        <f>MAX(0,IF(D42&lt;10%,D42-3%,IF(AND(D42&gt;=10%,D42&lt;20%),D42-5%,D42-8%)))</f>
        <v>0.11</v>
      </c>
      <c r="C42" s="422">
        <f>IF(D42&lt;10%,D42+3%,IF(AND(D42&gt;=10%,D42&lt;20%),D42+5%,D42+8%))</f>
        <v>0.21000000000000002</v>
      </c>
      <c r="D42" s="543">
        <f>VLOOKUP(A42,'Asset Allocations'!A:E,4,FALSE)</f>
        <v>0.16</v>
      </c>
      <c r="E42" s="545">
        <f>VLOOKUP(A42,'Asset Allocations'!A:E,5,FALSE)</f>
        <v>0.16</v>
      </c>
      <c r="F42" s="423">
        <f>IFERROR(E42-D42,"")</f>
        <v>0</v>
      </c>
      <c r="G42" s="633">
        <f>IF(SUMIF($E$4:$E$38,$A42,$F$4:$F$38)=0,0,SUMIF($E$4:$E$38,$A42,$F$4:$F$38))</f>
        <v>0.25</v>
      </c>
      <c r="H42" s="424">
        <f>IF(SUMIF($E$4:$E$38,$A42,$G$4:$G$38)=0,0,SUMIF($E$4:$E$38,$A42,$G$4:$G$38))</f>
        <v>0.16</v>
      </c>
      <c r="I42" s="168">
        <f>IFERROR(H42-D42,"")</f>
        <v>0</v>
      </c>
      <c r="J42" s="425"/>
    </row>
    <row r="43" spans="1:16" x14ac:dyDescent="0.2">
      <c r="A43" s="421" t="s">
        <v>33</v>
      </c>
      <c r="B43" s="422">
        <f t="shared" ref="B43:B48" si="11">MAX(0,IF(D43&lt;10%,D43-3%,IF(AND(D43&gt;=10%,D43&lt;20%),D43-5%,D43-8%)))</f>
        <v>9.9999999999999992E-2</v>
      </c>
      <c r="C43" s="422">
        <f t="shared" ref="C43:C48" si="12">IF(D43&lt;10%,D43+3%,IF(AND(D43&gt;=10%,D43&lt;20%),D43+5%,D43+8%))</f>
        <v>0.2</v>
      </c>
      <c r="D43" s="543">
        <f>VLOOKUP(A43,'Asset Allocations'!A:E,4,FALSE)</f>
        <v>0.15</v>
      </c>
      <c r="E43" s="545">
        <f>VLOOKUP(A43,'Asset Allocations'!A:E,5,FALSE)</f>
        <v>0.15</v>
      </c>
      <c r="F43" s="423">
        <f t="shared" ref="F43:F63" si="13">IFERROR(E43-D43,"")</f>
        <v>0</v>
      </c>
      <c r="G43" s="634">
        <f t="shared" ref="G43:G62" si="14">IF(SUMIF($E$4:$E$38,$A43,$F$4:$F$38)=0,0,SUMIF($E$4:$E$38,$A43,$F$4:$F$38))</f>
        <v>0</v>
      </c>
      <c r="H43" s="424">
        <f t="shared" ref="H43:H62" si="15">IF(SUMIF($E$4:$E$38,$A43,$G$4:$G$38)=0,0,SUMIF($E$4:$E$38,$A43,$G$4:$G$38))</f>
        <v>0.15</v>
      </c>
      <c r="I43" s="168">
        <f>IFERROR(H43-D43,"")</f>
        <v>0</v>
      </c>
      <c r="J43" s="425"/>
    </row>
    <row r="44" spans="1:16" x14ac:dyDescent="0.2">
      <c r="A44" s="421" t="s">
        <v>34</v>
      </c>
      <c r="B44" s="422">
        <f t="shared" si="11"/>
        <v>2.0000000000000004E-2</v>
      </c>
      <c r="C44" s="422">
        <f t="shared" si="12"/>
        <v>0.08</v>
      </c>
      <c r="D44" s="543">
        <f>VLOOKUP(A44,'Asset Allocations'!A:E,4,FALSE)</f>
        <v>0.05</v>
      </c>
      <c r="E44" s="545">
        <f>VLOOKUP(A44,'Asset Allocations'!A:E,5,FALSE)</f>
        <v>0.05</v>
      </c>
      <c r="F44" s="423">
        <f t="shared" si="13"/>
        <v>0</v>
      </c>
      <c r="G44" s="634">
        <f t="shared" si="14"/>
        <v>0.03</v>
      </c>
      <c r="H44" s="424">
        <f t="shared" si="15"/>
        <v>0.05</v>
      </c>
      <c r="I44" s="168">
        <f t="shared" ref="I44:I62" si="16">IFERROR(H44-D44,"")</f>
        <v>0</v>
      </c>
      <c r="J44" s="425"/>
    </row>
    <row r="45" spans="1:16" x14ac:dyDescent="0.2">
      <c r="A45" s="421" t="s">
        <v>35</v>
      </c>
      <c r="B45" s="422">
        <f t="shared" si="11"/>
        <v>1.0000000000000002E-2</v>
      </c>
      <c r="C45" s="422">
        <f t="shared" si="12"/>
        <v>7.0000000000000007E-2</v>
      </c>
      <c r="D45" s="543">
        <f>VLOOKUP(A45,'Asset Allocations'!A:E,4,FALSE)</f>
        <v>0.04</v>
      </c>
      <c r="E45" s="545">
        <f>VLOOKUP(A45,'Asset Allocations'!A:E,5,FALSE)</f>
        <v>0.04</v>
      </c>
      <c r="F45" s="423">
        <f t="shared" si="13"/>
        <v>0</v>
      </c>
      <c r="G45" s="634">
        <f t="shared" si="14"/>
        <v>0.05</v>
      </c>
      <c r="H45" s="424">
        <f t="shared" si="15"/>
        <v>0.04</v>
      </c>
      <c r="I45" s="168">
        <f t="shared" si="16"/>
        <v>0</v>
      </c>
      <c r="J45" s="425"/>
    </row>
    <row r="46" spans="1:16" x14ac:dyDescent="0.2">
      <c r="A46" s="421" t="s">
        <v>36</v>
      </c>
      <c r="B46" s="422">
        <f t="shared" si="11"/>
        <v>0</v>
      </c>
      <c r="C46" s="422">
        <f t="shared" si="12"/>
        <v>0.03</v>
      </c>
      <c r="D46" s="543">
        <f>VLOOKUP(A46,'Asset Allocations'!A:E,4,FALSE)</f>
        <v>0</v>
      </c>
      <c r="E46" s="545">
        <f>VLOOKUP(A46,'Asset Allocations'!A:E,5,FALSE)</f>
        <v>0</v>
      </c>
      <c r="F46" s="423">
        <f t="shared" si="13"/>
        <v>0</v>
      </c>
      <c r="G46" s="634">
        <f t="shared" si="14"/>
        <v>0.04</v>
      </c>
      <c r="H46" s="424">
        <f t="shared" si="15"/>
        <v>0</v>
      </c>
      <c r="I46" s="168">
        <f t="shared" si="16"/>
        <v>0</v>
      </c>
      <c r="J46" s="425"/>
    </row>
    <row r="47" spans="1:16" x14ac:dyDescent="0.2">
      <c r="A47" s="421" t="s">
        <v>37</v>
      </c>
      <c r="B47" s="422">
        <f t="shared" si="11"/>
        <v>2.0000000000000004E-2</v>
      </c>
      <c r="C47" s="422">
        <f t="shared" si="12"/>
        <v>0.08</v>
      </c>
      <c r="D47" s="543">
        <f>VLOOKUP(A47,'Asset Allocations'!A:E,4,FALSE)</f>
        <v>0.05</v>
      </c>
      <c r="E47" s="545">
        <f>VLOOKUP(A47,'Asset Allocations'!A:E,5,FALSE)</f>
        <v>0.05</v>
      </c>
      <c r="F47" s="423">
        <f t="shared" si="13"/>
        <v>0</v>
      </c>
      <c r="G47" s="634">
        <f t="shared" si="14"/>
        <v>0.05</v>
      </c>
      <c r="H47" s="424">
        <f t="shared" si="15"/>
        <v>0.05</v>
      </c>
      <c r="I47" s="168">
        <f t="shared" si="16"/>
        <v>0</v>
      </c>
      <c r="J47" s="425"/>
    </row>
    <row r="48" spans="1:16" x14ac:dyDescent="0.2">
      <c r="A48" s="421" t="s">
        <v>38</v>
      </c>
      <c r="B48" s="422">
        <f t="shared" si="11"/>
        <v>0</v>
      </c>
      <c r="C48" s="422">
        <f t="shared" si="12"/>
        <v>0.03</v>
      </c>
      <c r="D48" s="543">
        <f>VLOOKUP(A48,'Asset Allocations'!A:E,4,FALSE)</f>
        <v>0</v>
      </c>
      <c r="E48" s="545">
        <f>VLOOKUP(A48,'Asset Allocations'!A:E,5,FALSE)</f>
        <v>0</v>
      </c>
      <c r="F48" s="423">
        <f t="shared" si="13"/>
        <v>0</v>
      </c>
      <c r="G48" s="634">
        <f t="shared" si="14"/>
        <v>0.1</v>
      </c>
      <c r="H48" s="424">
        <f t="shared" si="15"/>
        <v>0</v>
      </c>
      <c r="I48" s="168">
        <f t="shared" si="16"/>
        <v>0</v>
      </c>
      <c r="J48" s="425"/>
    </row>
    <row r="49" spans="1:10" ht="15" x14ac:dyDescent="0.25">
      <c r="A49" s="426" t="s">
        <v>39</v>
      </c>
      <c r="B49" s="169">
        <f>MAX(0,D49-5%)</f>
        <v>0.39999999999999997</v>
      </c>
      <c r="C49" s="169">
        <f>MIN(98%,D49+5%)</f>
        <v>0.49999999999999994</v>
      </c>
      <c r="D49" s="169">
        <f>VLOOKUP(A49,'Asset Allocations'!A:E,4,FALSE)</f>
        <v>0.44999999999999996</v>
      </c>
      <c r="E49" s="169">
        <f>VLOOKUP(A49,'Asset Allocations'!A:E,5,FALSE)</f>
        <v>0.44999999999999996</v>
      </c>
      <c r="F49" s="427">
        <f t="shared" si="13"/>
        <v>0</v>
      </c>
      <c r="G49" s="318">
        <f>SUM(G42:G48)</f>
        <v>0.52</v>
      </c>
      <c r="H49" s="318">
        <f>SUM(H42:H48)</f>
        <v>0.44999999999999996</v>
      </c>
      <c r="I49" s="11">
        <f t="shared" ref="I49:I56" si="17">IFERROR(IF(H49=0,"",H49-D49),"")</f>
        <v>0</v>
      </c>
      <c r="J49" s="428"/>
    </row>
    <row r="50" spans="1:10" x14ac:dyDescent="0.2">
      <c r="A50" s="429" t="s">
        <v>40</v>
      </c>
      <c r="B50" s="422">
        <f>MAX(0,IF(D50&lt;10%,D50-3%,IF(AND(D50&gt;=10%,D50&lt;20%),D50-5%,D50-8%)))</f>
        <v>2.0000000000000004E-2</v>
      </c>
      <c r="C50" s="422">
        <f t="shared" ref="C50:C55" si="18">IF(D50&lt;10%,D50+3%,IF(AND(D50&gt;=10%,D50&lt;20%),D50+5%,D50+8%))</f>
        <v>0.08</v>
      </c>
      <c r="D50" s="543">
        <f>VLOOKUP(A50,'Asset Allocations'!A:E,4,FALSE)</f>
        <v>0.05</v>
      </c>
      <c r="E50" s="545">
        <f>VLOOKUP(A50,'Asset Allocations'!A:E,5,FALSE)</f>
        <v>0.05</v>
      </c>
      <c r="F50" s="423">
        <f t="shared" si="13"/>
        <v>0</v>
      </c>
      <c r="G50" s="634">
        <f t="shared" si="14"/>
        <v>0.05</v>
      </c>
      <c r="H50" s="424">
        <f t="shared" si="15"/>
        <v>0.05</v>
      </c>
      <c r="I50" s="168">
        <f t="shared" si="16"/>
        <v>0</v>
      </c>
      <c r="J50" s="425"/>
    </row>
    <row r="51" spans="1:10" x14ac:dyDescent="0.2">
      <c r="A51" s="429" t="s">
        <v>9529</v>
      </c>
      <c r="B51" s="422">
        <f t="shared" ref="B51:B55" si="19">MAX(0,IF(D51&lt;10%,D51-3%,IF(AND(D51&gt;=10%,D51&lt;20%),D51-5%,D51-8%)))</f>
        <v>0.05</v>
      </c>
      <c r="C51" s="422">
        <f t="shared" si="18"/>
        <v>0.11</v>
      </c>
      <c r="D51" s="543">
        <f>VLOOKUP(A51,'Asset Allocations'!A:E,4,FALSE)</f>
        <v>0.08</v>
      </c>
      <c r="E51" s="545">
        <f>VLOOKUP(A51,'Asset Allocations'!A:E,5,FALSE)</f>
        <v>0.08</v>
      </c>
      <c r="F51" s="423">
        <f t="shared" si="13"/>
        <v>0</v>
      </c>
      <c r="G51" s="634">
        <f t="shared" si="14"/>
        <v>0</v>
      </c>
      <c r="H51" s="424">
        <f t="shared" si="15"/>
        <v>0.08</v>
      </c>
      <c r="I51" s="168">
        <f t="shared" si="16"/>
        <v>0</v>
      </c>
      <c r="J51" s="425"/>
    </row>
    <row r="52" spans="1:10" x14ac:dyDescent="0.2">
      <c r="A52" s="429" t="s">
        <v>9528</v>
      </c>
      <c r="B52" s="422">
        <f t="shared" si="19"/>
        <v>0.05</v>
      </c>
      <c r="C52" s="422">
        <f t="shared" si="18"/>
        <v>0.15000000000000002</v>
      </c>
      <c r="D52" s="543">
        <f>VLOOKUP(A52,'Asset Allocations'!A:E,4,FALSE)</f>
        <v>0.1</v>
      </c>
      <c r="E52" s="545">
        <f>VLOOKUP(A52,'Asset Allocations'!A:E,5,FALSE)</f>
        <v>0.1</v>
      </c>
      <c r="F52" s="423">
        <f t="shared" si="13"/>
        <v>0</v>
      </c>
      <c r="G52" s="634">
        <f t="shared" si="14"/>
        <v>0.06</v>
      </c>
      <c r="H52" s="424">
        <f t="shared" si="15"/>
        <v>0.1</v>
      </c>
      <c r="I52" s="168">
        <f t="shared" si="16"/>
        <v>0</v>
      </c>
      <c r="J52" s="425"/>
    </row>
    <row r="53" spans="1:10" x14ac:dyDescent="0.2">
      <c r="A53" s="429" t="s">
        <v>9530</v>
      </c>
      <c r="B53" s="422">
        <f t="shared" si="19"/>
        <v>9.9999999999999992E-2</v>
      </c>
      <c r="C53" s="422">
        <f t="shared" si="18"/>
        <v>0.2</v>
      </c>
      <c r="D53" s="543">
        <f>VLOOKUP(A53,'Asset Allocations'!A:E,4,FALSE)</f>
        <v>0.15</v>
      </c>
      <c r="E53" s="545">
        <f>VLOOKUP(A53,'Asset Allocations'!A:E,5,FALSE)</f>
        <v>0.15</v>
      </c>
      <c r="F53" s="423">
        <f t="shared" si="13"/>
        <v>0</v>
      </c>
      <c r="G53" s="634">
        <f t="shared" si="14"/>
        <v>0.15000000000000002</v>
      </c>
      <c r="H53" s="424">
        <f t="shared" si="15"/>
        <v>0.15</v>
      </c>
      <c r="I53" s="168">
        <f t="shared" si="16"/>
        <v>0</v>
      </c>
      <c r="J53" s="425"/>
    </row>
    <row r="54" spans="1:10" x14ac:dyDescent="0.2">
      <c r="A54" s="429" t="s">
        <v>9531</v>
      </c>
      <c r="B54" s="422">
        <f t="shared" si="19"/>
        <v>0</v>
      </c>
      <c r="C54" s="422">
        <f t="shared" si="18"/>
        <v>0.03</v>
      </c>
      <c r="D54" s="543">
        <f>VLOOKUP(A54,'Asset Allocations'!A:E,4,FALSE)</f>
        <v>0</v>
      </c>
      <c r="E54" s="545">
        <f>VLOOKUP(A54,'Asset Allocations'!A:E,5,FALSE)</f>
        <v>0</v>
      </c>
      <c r="F54" s="423">
        <f t="shared" si="13"/>
        <v>0</v>
      </c>
      <c r="G54" s="634">
        <f t="shared" si="14"/>
        <v>0</v>
      </c>
      <c r="H54" s="424">
        <f t="shared" si="15"/>
        <v>0</v>
      </c>
      <c r="I54" s="168">
        <f t="shared" si="16"/>
        <v>0</v>
      </c>
      <c r="J54" s="425"/>
    </row>
    <row r="55" spans="1:10" x14ac:dyDescent="0.2">
      <c r="A55" s="430" t="s">
        <v>45</v>
      </c>
      <c r="B55" s="422">
        <f t="shared" si="19"/>
        <v>0</v>
      </c>
      <c r="C55" s="422">
        <f t="shared" si="18"/>
        <v>0.03</v>
      </c>
      <c r="D55" s="543">
        <f>VLOOKUP(A55,'Asset Allocations'!A:E,4,FALSE)</f>
        <v>0</v>
      </c>
      <c r="E55" s="545">
        <f>VLOOKUP(A55,'Asset Allocations'!A:E,5,FALSE)</f>
        <v>0</v>
      </c>
      <c r="F55" s="423">
        <f t="shared" si="13"/>
        <v>0</v>
      </c>
      <c r="G55" s="634">
        <f t="shared" si="14"/>
        <v>0.09</v>
      </c>
      <c r="H55" s="424">
        <f t="shared" si="15"/>
        <v>0</v>
      </c>
      <c r="I55" s="168">
        <f t="shared" si="16"/>
        <v>0</v>
      </c>
      <c r="J55" s="425"/>
    </row>
    <row r="56" spans="1:10" ht="15" x14ac:dyDescent="0.25">
      <c r="A56" s="426" t="s">
        <v>46</v>
      </c>
      <c r="B56" s="169">
        <f>MAX(0,$D$56-5%)</f>
        <v>0.33</v>
      </c>
      <c r="C56" s="169">
        <f>MIN(100%,$D$56+5%)</f>
        <v>0.43</v>
      </c>
      <c r="D56" s="169">
        <f>VLOOKUP(A56,'Asset Allocations'!A:E,4,FALSE)</f>
        <v>0.38</v>
      </c>
      <c r="E56" s="169">
        <f>VLOOKUP(A56,'Asset Allocations'!A:E,5,FALSE)</f>
        <v>0.38</v>
      </c>
      <c r="F56" s="427">
        <f t="shared" si="13"/>
        <v>0</v>
      </c>
      <c r="G56" s="318">
        <f>SUM(G50:G55)</f>
        <v>0.35</v>
      </c>
      <c r="H56" s="318">
        <f>SUM(H50:H55)</f>
        <v>0.38</v>
      </c>
      <c r="I56" s="11">
        <f t="shared" si="17"/>
        <v>0</v>
      </c>
      <c r="J56" s="428"/>
    </row>
    <row r="57" spans="1:10" s="310" customFormat="1" x14ac:dyDescent="0.2">
      <c r="A57" s="431" t="s">
        <v>11</v>
      </c>
      <c r="B57" s="422">
        <f>MAX(0,IF(D57&lt;10%,D57-3%,IF(AND(D57&gt;=10%,D57&lt;20%),D57-5%,D57-8%)))</f>
        <v>6.9999999999999993E-2</v>
      </c>
      <c r="C57" s="422">
        <f>IF(D57&lt;10%,D57+3%,IF(AND(D57&gt;=10%,D57&lt;20%),D57+5%,D57+8%))</f>
        <v>0.16999999999999998</v>
      </c>
      <c r="D57" s="544">
        <f>VLOOKUP(A57,'Asset Allocations'!A:E,4,FALSE)</f>
        <v>0.12</v>
      </c>
      <c r="E57" s="545">
        <f>VLOOKUP(A57,'Asset Allocations'!A:E,5,FALSE)</f>
        <v>0.12</v>
      </c>
      <c r="F57" s="423">
        <f t="shared" si="13"/>
        <v>0</v>
      </c>
      <c r="G57" s="635">
        <f t="shared" si="14"/>
        <v>0.02</v>
      </c>
      <c r="H57" s="424">
        <f t="shared" si="15"/>
        <v>0.12</v>
      </c>
      <c r="I57" s="168">
        <f t="shared" si="16"/>
        <v>0</v>
      </c>
      <c r="J57" s="432"/>
    </row>
    <row r="58" spans="1:10" s="310" customFormat="1" ht="15" x14ac:dyDescent="0.25">
      <c r="A58" s="426" t="s">
        <v>9534</v>
      </c>
      <c r="B58" s="169">
        <f>B57</f>
        <v>6.9999999999999993E-2</v>
      </c>
      <c r="C58" s="169">
        <f t="shared" ref="C58" si="20">C57</f>
        <v>0.16999999999999998</v>
      </c>
      <c r="D58" s="169">
        <f>VLOOKUP(A58,'Asset Allocations'!A:E,4,FALSE)</f>
        <v>0.12</v>
      </c>
      <c r="E58" s="169">
        <f>VLOOKUP(A58,'Asset Allocations'!A:E,5,FALSE)</f>
        <v>0.12</v>
      </c>
      <c r="F58" s="433"/>
      <c r="G58" s="318">
        <f>SUM(G57)</f>
        <v>0.02</v>
      </c>
      <c r="H58" s="318">
        <f>SUM(H57)</f>
        <v>0.12</v>
      </c>
      <c r="I58" s="170"/>
      <c r="J58" s="434"/>
    </row>
    <row r="59" spans="1:10" s="310" customFormat="1" x14ac:dyDescent="0.2">
      <c r="A59" s="431" t="s">
        <v>49</v>
      </c>
      <c r="B59" s="422">
        <f>MAX(0,IF(D59&lt;10%,D59-3%,IF(AND(D59&gt;=10%,D59&lt;20%),D59-5%,D59-8%)))</f>
        <v>2.0000000000000004E-2</v>
      </c>
      <c r="C59" s="422">
        <f>IF(D59&lt;10%,D59+3%,IF(AND(D59&gt;=10%,D59&lt;20%),D59+5%,D59+8%))</f>
        <v>0.08</v>
      </c>
      <c r="D59" s="544">
        <f>VLOOKUP(A59,'Asset Allocations'!A:E,4,FALSE)</f>
        <v>0.05</v>
      </c>
      <c r="E59" s="545">
        <f>VLOOKUP(A59,'Asset Allocations'!A:E,5,FALSE)</f>
        <v>0.05</v>
      </c>
      <c r="F59" s="423">
        <f t="shared" ref="F59" si="21">IFERROR(E59-D59,"")</f>
        <v>0</v>
      </c>
      <c r="G59" s="635">
        <f t="shared" si="14"/>
        <v>0</v>
      </c>
      <c r="H59" s="424">
        <f t="shared" si="15"/>
        <v>0.05</v>
      </c>
      <c r="I59" s="168">
        <f t="shared" ref="I59" si="22">IFERROR(H59-D59,"")</f>
        <v>0</v>
      </c>
      <c r="J59" s="432"/>
    </row>
    <row r="60" spans="1:10" s="310" customFormat="1" ht="15" x14ac:dyDescent="0.25">
      <c r="A60" s="426" t="s">
        <v>9535</v>
      </c>
      <c r="B60" s="169">
        <f>B59</f>
        <v>2.0000000000000004E-2</v>
      </c>
      <c r="C60" s="169">
        <f t="shared" ref="C60" si="23">C59</f>
        <v>0.08</v>
      </c>
      <c r="D60" s="169">
        <f>VLOOKUP(A60,'Asset Allocations'!A:E,4,FALSE)</f>
        <v>0.05</v>
      </c>
      <c r="E60" s="169">
        <f>VLOOKUP(A60,'Asset Allocations'!A:E,5,FALSE)</f>
        <v>0.05</v>
      </c>
      <c r="F60" s="433"/>
      <c r="G60" s="318">
        <f>SUM(G59)</f>
        <v>0</v>
      </c>
      <c r="H60" s="318">
        <f>SUM(H59)</f>
        <v>0.05</v>
      </c>
      <c r="I60" s="170"/>
      <c r="J60" s="434"/>
    </row>
    <row r="61" spans="1:10" x14ac:dyDescent="0.2">
      <c r="A61" s="429" t="s">
        <v>47</v>
      </c>
      <c r="B61" s="422">
        <f>MAX(0,IF(D61&lt;10%,D61-3%,IF(AND(D61&gt;=10%,D61&lt;20%),D61-5%,D61-8%)))</f>
        <v>0</v>
      </c>
      <c r="C61" s="422">
        <f>IF(D61&lt;10%,D61+3%,IF(AND(D61&gt;=10%,D61&lt;20%),D61+5%,D61+8%))</f>
        <v>0.03</v>
      </c>
      <c r="D61" s="543">
        <f>VLOOKUP(A61,'Asset Allocations'!A:E,4,FALSE)</f>
        <v>0</v>
      </c>
      <c r="E61" s="545">
        <f>VLOOKUP(A61,'Asset Allocations'!A:E,5,FALSE)</f>
        <v>0</v>
      </c>
      <c r="F61" s="423">
        <f t="shared" si="13"/>
        <v>0</v>
      </c>
      <c r="G61" s="634">
        <f t="shared" si="14"/>
        <v>0.05</v>
      </c>
      <c r="H61" s="424">
        <f t="shared" si="15"/>
        <v>0</v>
      </c>
      <c r="I61" s="168">
        <f t="shared" si="16"/>
        <v>0</v>
      </c>
      <c r="J61" s="425"/>
    </row>
    <row r="62" spans="1:10" x14ac:dyDescent="0.2">
      <c r="A62" s="429" t="s">
        <v>48</v>
      </c>
      <c r="B62" s="422">
        <f>MAX(0,IF(D62&lt;10%,D62-3%,IF(AND(D62&gt;=10%,D62&lt;20%),D62-5%,D62-8%)))</f>
        <v>0</v>
      </c>
      <c r="C62" s="422">
        <f>IF(D62&lt;10%,D62+3%,IF(AND(D62&gt;=10%,D62&lt;20%),D62+5%,D62+8%))</f>
        <v>0.03</v>
      </c>
      <c r="D62" s="543">
        <f>VLOOKUP(A62,'Asset Allocations'!A:E,4,FALSE)</f>
        <v>0</v>
      </c>
      <c r="E62" s="545">
        <f>VLOOKUP(A62,'Asset Allocations'!A:E,5,FALSE)</f>
        <v>0</v>
      </c>
      <c r="F62" s="423">
        <f t="shared" si="13"/>
        <v>0</v>
      </c>
      <c r="G62" s="634">
        <f t="shared" si="14"/>
        <v>0.06</v>
      </c>
      <c r="H62" s="424">
        <f t="shared" si="15"/>
        <v>0</v>
      </c>
      <c r="I62" s="168">
        <f t="shared" si="16"/>
        <v>0</v>
      </c>
      <c r="J62" s="425"/>
    </row>
    <row r="63" spans="1:10" ht="15" x14ac:dyDescent="0.25">
      <c r="A63" s="426" t="s">
        <v>9536</v>
      </c>
      <c r="B63" s="169">
        <v>0</v>
      </c>
      <c r="C63" s="169">
        <v>0.05</v>
      </c>
      <c r="D63" s="169">
        <f>VLOOKUP(A63,'Asset Allocations'!A:E,4,FALSE)</f>
        <v>0</v>
      </c>
      <c r="E63" s="169">
        <f>VLOOKUP(A63,'Asset Allocations'!A:E,5,FALSE)</f>
        <v>0</v>
      </c>
      <c r="F63" s="427">
        <f t="shared" si="13"/>
        <v>0</v>
      </c>
      <c r="G63" s="318">
        <f>SUM(G61:G62)</f>
        <v>0.11</v>
      </c>
      <c r="H63" s="318">
        <f>SUM(H61:H62)</f>
        <v>0</v>
      </c>
      <c r="I63" s="11" t="str">
        <f>IFERROR(IF(H63=0,"",H63-D63),"")</f>
        <v/>
      </c>
      <c r="J63" s="428"/>
    </row>
    <row r="64" spans="1:10" ht="15.75" thickBot="1" x14ac:dyDescent="0.3">
      <c r="A64" s="435" t="s">
        <v>9532</v>
      </c>
      <c r="B64" s="436"/>
      <c r="C64" s="437"/>
      <c r="D64" s="436">
        <f>D49+D56+D58+D60+D63</f>
        <v>1</v>
      </c>
      <c r="E64" s="436">
        <f>E49+E56+E58+E60+E63</f>
        <v>1</v>
      </c>
      <c r="F64" s="438"/>
      <c r="G64" s="439"/>
      <c r="H64" s="436">
        <f>H49+H56+H58+H60+H63</f>
        <v>1</v>
      </c>
      <c r="I64" s="440"/>
      <c r="J64" s="441"/>
    </row>
    <row r="65" spans="1:10" ht="15.75" thickTop="1" thickBot="1" x14ac:dyDescent="0.25">
      <c r="A65" s="52"/>
      <c r="J65" s="53"/>
    </row>
    <row r="66" spans="1:10" ht="15" x14ac:dyDescent="0.25">
      <c r="A66" s="110" t="s">
        <v>50</v>
      </c>
      <c r="B66" s="111"/>
      <c r="C66" s="111"/>
      <c r="D66" s="111"/>
      <c r="E66" s="111"/>
      <c r="F66" s="111"/>
      <c r="G66" s="111"/>
      <c r="H66" s="111"/>
      <c r="I66" s="111"/>
      <c r="J66" s="112"/>
    </row>
    <row r="67" spans="1:10" x14ac:dyDescent="0.2">
      <c r="A67" s="113"/>
      <c r="B67" s="57"/>
      <c r="C67" s="57"/>
      <c r="D67" s="57"/>
      <c r="E67" s="57"/>
      <c r="F67" s="57"/>
      <c r="G67" s="57"/>
      <c r="H67" s="57"/>
      <c r="I67" s="57"/>
      <c r="J67" s="114"/>
    </row>
    <row r="68" spans="1:10" x14ac:dyDescent="0.2">
      <c r="A68" s="113" t="s">
        <v>9527</v>
      </c>
      <c r="B68" s="113"/>
      <c r="C68" s="57"/>
      <c r="D68" s="57"/>
      <c r="E68" s="57"/>
      <c r="F68" s="57"/>
      <c r="G68" s="57"/>
      <c r="H68" s="57"/>
      <c r="I68" s="57"/>
      <c r="J68" s="114"/>
    </row>
    <row r="69" spans="1:10" x14ac:dyDescent="0.2">
      <c r="A69" s="56" t="s">
        <v>8876</v>
      </c>
      <c r="B69" s="562"/>
      <c r="C69" s="562"/>
      <c r="D69" s="57"/>
      <c r="E69" s="57"/>
      <c r="F69" s="57"/>
      <c r="G69" s="57"/>
      <c r="H69" s="57"/>
      <c r="I69" s="57"/>
      <c r="J69" s="114"/>
    </row>
    <row r="70" spans="1:10" x14ac:dyDescent="0.2">
      <c r="A70" s="56"/>
      <c r="B70" s="562"/>
      <c r="C70" s="562"/>
      <c r="D70" s="57"/>
      <c r="E70" s="57"/>
      <c r="F70" s="57"/>
      <c r="G70" s="57"/>
      <c r="H70" s="57"/>
      <c r="I70" s="57"/>
      <c r="J70" s="114"/>
    </row>
    <row r="71" spans="1:10" x14ac:dyDescent="0.2">
      <c r="A71" s="56"/>
      <c r="B71" s="562"/>
      <c r="C71" s="562"/>
      <c r="D71" s="57"/>
      <c r="E71" s="57"/>
      <c r="F71" s="57"/>
      <c r="G71" s="57"/>
      <c r="H71" s="57"/>
      <c r="I71" s="57"/>
      <c r="J71" s="114"/>
    </row>
    <row r="72" spans="1:10" x14ac:dyDescent="0.2">
      <c r="A72" s="113"/>
      <c r="B72" s="562"/>
      <c r="C72" s="562"/>
      <c r="D72" s="57"/>
      <c r="E72" s="57"/>
      <c r="F72" s="57"/>
      <c r="G72" s="57"/>
      <c r="H72" s="57"/>
      <c r="I72" s="57"/>
      <c r="J72" s="114"/>
    </row>
    <row r="73" spans="1:10" x14ac:dyDescent="0.2">
      <c r="A73" s="113"/>
      <c r="B73" s="562"/>
      <c r="C73" s="562"/>
      <c r="D73" s="57"/>
      <c r="E73" s="57"/>
      <c r="F73" s="57"/>
      <c r="G73" s="57"/>
      <c r="H73" s="57"/>
      <c r="I73" s="57"/>
      <c r="J73" s="114"/>
    </row>
    <row r="74" spans="1:10" x14ac:dyDescent="0.2">
      <c r="A74" s="113"/>
      <c r="B74" s="57"/>
      <c r="C74" s="57"/>
      <c r="D74" s="57"/>
      <c r="E74" s="57"/>
      <c r="F74" s="57"/>
      <c r="G74" s="57"/>
      <c r="H74" s="57"/>
      <c r="I74" s="57"/>
      <c r="J74" s="114"/>
    </row>
    <row r="75" spans="1:10" x14ac:dyDescent="0.2">
      <c r="A75" s="113"/>
      <c r="B75" s="57"/>
      <c r="C75" s="57"/>
      <c r="D75" s="57"/>
      <c r="E75" s="57"/>
      <c r="F75" s="57"/>
      <c r="G75" s="57"/>
      <c r="H75" s="57"/>
      <c r="I75" s="57"/>
      <c r="J75" s="114"/>
    </row>
    <row r="76" spans="1:10" x14ac:dyDescent="0.2">
      <c r="A76" s="113"/>
      <c r="B76" s="57"/>
      <c r="C76" s="57"/>
      <c r="D76" s="57"/>
      <c r="E76" s="57"/>
      <c r="F76" s="57"/>
      <c r="G76" s="57"/>
      <c r="H76" s="57"/>
      <c r="I76" s="57"/>
      <c r="J76" s="114"/>
    </row>
    <row r="77" spans="1:10" x14ac:dyDescent="0.2">
      <c r="A77" s="113"/>
      <c r="B77" s="57"/>
      <c r="C77" s="57"/>
      <c r="D77" s="57"/>
      <c r="E77" s="57"/>
      <c r="F77" s="57"/>
      <c r="G77" s="57"/>
      <c r="H77" s="57"/>
      <c r="I77" s="57"/>
      <c r="J77" s="114"/>
    </row>
    <row r="78" spans="1:10" x14ac:dyDescent="0.2">
      <c r="A78" s="113"/>
      <c r="B78" s="57"/>
      <c r="C78" s="57"/>
      <c r="D78" s="57"/>
      <c r="E78" s="57"/>
      <c r="F78" s="57"/>
      <c r="G78" s="57"/>
      <c r="H78" s="57"/>
      <c r="I78" s="57"/>
      <c r="J78" s="114"/>
    </row>
    <row r="79" spans="1:10" x14ac:dyDescent="0.2">
      <c r="A79" s="113"/>
      <c r="B79" s="57"/>
      <c r="C79" s="57"/>
      <c r="D79" s="57"/>
      <c r="E79" s="57"/>
      <c r="F79" s="57"/>
      <c r="G79" s="57"/>
      <c r="H79" s="57"/>
      <c r="I79" s="57"/>
      <c r="J79" s="114"/>
    </row>
    <row r="80" spans="1:10" x14ac:dyDescent="0.2">
      <c r="A80" s="113"/>
      <c r="B80" s="57"/>
      <c r="C80" s="57"/>
      <c r="D80" s="57"/>
      <c r="E80" s="57"/>
      <c r="F80" s="57"/>
      <c r="G80" s="57"/>
      <c r="H80" s="57"/>
      <c r="I80" s="57"/>
      <c r="J80" s="114"/>
    </row>
    <row r="81" spans="1:10" x14ac:dyDescent="0.2">
      <c r="A81" s="113"/>
      <c r="B81" s="57"/>
      <c r="C81" s="57"/>
      <c r="D81" s="57"/>
      <c r="E81" s="57"/>
      <c r="F81" s="57"/>
      <c r="G81" s="57"/>
      <c r="H81" s="57"/>
      <c r="I81" s="57"/>
      <c r="J81" s="114"/>
    </row>
    <row r="82" spans="1:10" x14ac:dyDescent="0.2">
      <c r="A82" s="113"/>
      <c r="B82" s="57"/>
      <c r="C82" s="57"/>
      <c r="D82" s="57"/>
      <c r="E82" s="57"/>
      <c r="F82" s="57"/>
      <c r="G82" s="57"/>
      <c r="H82" s="57"/>
      <c r="I82" s="57"/>
      <c r="J82" s="114"/>
    </row>
    <row r="83" spans="1:10" x14ac:dyDescent="0.2">
      <c r="A83" s="113"/>
      <c r="B83" s="57"/>
      <c r="C83" s="57"/>
      <c r="D83" s="57"/>
      <c r="E83" s="57"/>
      <c r="F83" s="57"/>
      <c r="G83" s="57"/>
      <c r="H83" s="57"/>
      <c r="I83" s="57"/>
      <c r="J83" s="114"/>
    </row>
    <row r="84" spans="1:10" x14ac:dyDescent="0.2">
      <c r="A84" s="113"/>
      <c r="B84" s="57"/>
      <c r="C84" s="57"/>
      <c r="D84" s="57"/>
      <c r="E84" s="57"/>
      <c r="F84" s="57"/>
      <c r="G84" s="57"/>
      <c r="H84" s="57"/>
      <c r="I84" s="57"/>
      <c r="J84" s="114"/>
    </row>
    <row r="85" spans="1:10" x14ac:dyDescent="0.2">
      <c r="A85" s="113"/>
      <c r="B85" s="57"/>
      <c r="C85" s="57"/>
      <c r="D85" s="57"/>
      <c r="E85" s="57"/>
      <c r="F85" s="57"/>
      <c r="G85" s="57"/>
      <c r="H85" s="57"/>
      <c r="I85" s="57"/>
      <c r="J85" s="114"/>
    </row>
    <row r="86" spans="1:10" x14ac:dyDescent="0.2">
      <c r="A86" s="113"/>
      <c r="B86" s="57"/>
      <c r="C86" s="57"/>
      <c r="D86" s="57"/>
      <c r="E86" s="57"/>
      <c r="F86" s="57"/>
      <c r="G86" s="57"/>
      <c r="H86" s="57"/>
      <c r="I86" s="57"/>
      <c r="J86" s="114"/>
    </row>
    <row r="87" spans="1:10" x14ac:dyDescent="0.2">
      <c r="A87" s="113"/>
      <c r="B87" s="57"/>
      <c r="C87" s="57"/>
      <c r="D87" s="57"/>
      <c r="E87" s="57"/>
      <c r="F87" s="57"/>
      <c r="G87" s="57"/>
      <c r="H87" s="57"/>
      <c r="I87" s="57"/>
      <c r="J87" s="114"/>
    </row>
    <row r="88" spans="1:10" x14ac:dyDescent="0.2">
      <c r="A88" s="113"/>
      <c r="B88" s="57"/>
      <c r="C88" s="57"/>
      <c r="D88" s="57"/>
      <c r="E88" s="57"/>
      <c r="F88" s="57"/>
      <c r="G88" s="57"/>
      <c r="H88" s="57"/>
      <c r="I88" s="57"/>
      <c r="J88" s="114"/>
    </row>
    <row r="89" spans="1:10" x14ac:dyDescent="0.2">
      <c r="A89" s="113"/>
      <c r="B89" s="57"/>
      <c r="C89" s="57"/>
      <c r="D89" s="57"/>
      <c r="E89" s="57"/>
      <c r="F89" s="57"/>
      <c r="G89" s="57"/>
      <c r="H89" s="57"/>
      <c r="I89" s="57"/>
      <c r="J89" s="114"/>
    </row>
    <row r="90" spans="1:10" x14ac:dyDescent="0.2">
      <c r="A90" s="113"/>
      <c r="B90" s="57"/>
      <c r="C90" s="57"/>
      <c r="D90" s="57"/>
      <c r="E90" s="57"/>
      <c r="F90" s="57"/>
      <c r="G90" s="57"/>
      <c r="H90" s="57"/>
      <c r="I90" s="57"/>
      <c r="J90" s="114"/>
    </row>
    <row r="91" spans="1:10" x14ac:dyDescent="0.2">
      <c r="A91" s="113"/>
      <c r="B91" s="57"/>
      <c r="C91" s="57"/>
      <c r="D91" s="57"/>
      <c r="E91" s="57"/>
      <c r="F91" s="57"/>
      <c r="G91" s="57"/>
      <c r="H91" s="57"/>
      <c r="I91" s="57"/>
      <c r="J91" s="114"/>
    </row>
    <row r="92" spans="1:10" x14ac:dyDescent="0.2">
      <c r="A92" s="113"/>
      <c r="B92" s="57"/>
      <c r="C92" s="57"/>
      <c r="D92" s="57"/>
      <c r="E92" s="57"/>
      <c r="F92" s="57"/>
      <c r="G92" s="57"/>
      <c r="H92" s="57"/>
      <c r="I92" s="57"/>
      <c r="J92" s="114"/>
    </row>
    <row r="93" spans="1:10" x14ac:dyDescent="0.2">
      <c r="A93" s="113"/>
      <c r="B93" s="57"/>
      <c r="C93" s="57"/>
      <c r="D93" s="57"/>
      <c r="E93" s="57"/>
      <c r="F93" s="57"/>
      <c r="G93" s="57"/>
      <c r="H93" s="57"/>
      <c r="I93" s="57"/>
      <c r="J93" s="114"/>
    </row>
    <row r="94" spans="1:10" x14ac:dyDescent="0.2">
      <c r="A94" s="113"/>
      <c r="B94" s="57"/>
      <c r="C94" s="57"/>
      <c r="D94" s="57"/>
      <c r="E94" s="57"/>
      <c r="F94" s="57"/>
      <c r="G94" s="57"/>
      <c r="H94" s="57"/>
      <c r="I94" s="57"/>
      <c r="J94" s="114"/>
    </row>
    <row r="95" spans="1:10" x14ac:dyDescent="0.2">
      <c r="A95" s="113"/>
      <c r="B95" s="57"/>
      <c r="C95" s="57"/>
      <c r="D95" s="57"/>
      <c r="E95" s="57"/>
      <c r="F95" s="57"/>
      <c r="G95" s="57"/>
      <c r="H95" s="57"/>
      <c r="I95" s="57"/>
      <c r="J95" s="114"/>
    </row>
    <row r="96" spans="1:10" x14ac:dyDescent="0.2">
      <c r="A96" s="113"/>
      <c r="B96" s="57"/>
      <c r="C96" s="57"/>
      <c r="D96" s="57"/>
      <c r="E96" s="57"/>
      <c r="F96" s="57"/>
      <c r="G96" s="57"/>
      <c r="H96" s="57"/>
      <c r="I96" s="57"/>
      <c r="J96" s="114"/>
    </row>
    <row r="97" spans="1:10" x14ac:dyDescent="0.2">
      <c r="A97" s="113"/>
      <c r="B97" s="57"/>
      <c r="C97" s="57"/>
      <c r="D97" s="57"/>
      <c r="E97" s="57"/>
      <c r="F97" s="57"/>
      <c r="G97" s="57"/>
      <c r="H97" s="57"/>
      <c r="I97" s="57"/>
      <c r="J97" s="114"/>
    </row>
    <row r="98" spans="1:10" x14ac:dyDescent="0.2">
      <c r="A98" s="113"/>
      <c r="B98" s="57"/>
      <c r="C98" s="57"/>
      <c r="D98" s="57"/>
      <c r="E98" s="57"/>
      <c r="F98" s="57"/>
      <c r="G98" s="57"/>
      <c r="H98" s="57"/>
      <c r="I98" s="57"/>
      <c r="J98" s="114"/>
    </row>
    <row r="99" spans="1:10" x14ac:dyDescent="0.2">
      <c r="A99" s="113"/>
      <c r="B99" s="57"/>
      <c r="C99" s="57"/>
      <c r="D99" s="57"/>
      <c r="E99" s="57"/>
      <c r="F99" s="57"/>
      <c r="G99" s="57"/>
      <c r="H99" s="57"/>
      <c r="I99" s="57"/>
      <c r="J99" s="114"/>
    </row>
    <row r="100" spans="1:10" ht="15" thickBot="1" x14ac:dyDescent="0.25">
      <c r="A100" s="115"/>
      <c r="B100" s="116"/>
      <c r="C100" s="116"/>
      <c r="D100" s="116"/>
      <c r="E100" s="116"/>
      <c r="F100" s="116"/>
      <c r="G100" s="116"/>
      <c r="H100" s="116"/>
      <c r="I100" s="116"/>
      <c r="J100" s="117"/>
    </row>
  </sheetData>
  <sheetProtection selectLockedCells="1"/>
  <sortState xmlns:xlrd2="http://schemas.microsoft.com/office/spreadsheetml/2017/richdata2" ref="A5:J34">
    <sortCondition ref="E5:E34"/>
    <sortCondition ref="B5:B34"/>
  </sortState>
  <mergeCells count="2">
    <mergeCell ref="A1:K1"/>
    <mergeCell ref="B2:K2"/>
  </mergeCells>
  <phoneticPr fontId="9" type="noConversion"/>
  <conditionalFormatting sqref="A4:E4 G4 A23:A38 B23:G34">
    <cfRule type="expression" dxfId="333" priority="31">
      <formula>AND($F4&lt;&gt;"",$F4=0%)</formula>
    </cfRule>
  </conditionalFormatting>
  <conditionalFormatting sqref="A4:E4 G4 A23:A38 B23:G34">
    <cfRule type="expression" dxfId="332" priority="32">
      <formula>AND($G4&lt;&gt;"",$G4=0%)</formula>
    </cfRule>
  </conditionalFormatting>
  <conditionalFormatting sqref="A4 G4 A23:A38 B23:G34">
    <cfRule type="expression" dxfId="331" priority="33">
      <formula>$A4=""</formula>
    </cfRule>
    <cfRule type="expression" dxfId="330" priority="34">
      <formula>$A4&lt;&gt;""</formula>
    </cfRule>
  </conditionalFormatting>
  <conditionalFormatting sqref="H42:H48 H50:H55 H57 H59 H61:H62">
    <cfRule type="cellIs" dxfId="329" priority="24" operator="lessThan">
      <formula>$B42</formula>
    </cfRule>
    <cfRule type="cellIs" dxfId="328" priority="25" operator="greaterThan">
      <formula>$C42</formula>
    </cfRule>
  </conditionalFormatting>
  <conditionalFormatting sqref="G49:H49">
    <cfRule type="cellIs" dxfId="327" priority="22" operator="lessThan">
      <formula>$B49</formula>
    </cfRule>
    <cfRule type="cellIs" dxfId="326" priority="23" operator="greaterThan">
      <formula>$C49</formula>
    </cfRule>
  </conditionalFormatting>
  <conditionalFormatting sqref="G49:H49">
    <cfRule type="expression" priority="21" stopIfTrue="1">
      <formula>$G$39=0</formula>
    </cfRule>
  </conditionalFormatting>
  <conditionalFormatting sqref="G56:H56">
    <cfRule type="cellIs" dxfId="325" priority="19" operator="lessThan">
      <formula>$B56</formula>
    </cfRule>
    <cfRule type="cellIs" dxfId="324" priority="20" operator="greaterThan">
      <formula>$C56</formula>
    </cfRule>
  </conditionalFormatting>
  <conditionalFormatting sqref="G56:H56">
    <cfRule type="expression" priority="18" stopIfTrue="1">
      <formula>$G$39=0</formula>
    </cfRule>
  </conditionalFormatting>
  <conditionalFormatting sqref="G58:H58">
    <cfRule type="cellIs" dxfId="323" priority="16" operator="lessThan">
      <formula>$B58</formula>
    </cfRule>
    <cfRule type="cellIs" dxfId="322" priority="17" operator="greaterThan">
      <formula>$C58</formula>
    </cfRule>
  </conditionalFormatting>
  <conditionalFormatting sqref="G58:H58">
    <cfRule type="expression" priority="15" stopIfTrue="1">
      <formula>$G$39=0</formula>
    </cfRule>
  </conditionalFormatting>
  <conditionalFormatting sqref="G60:H60">
    <cfRule type="cellIs" dxfId="321" priority="13" operator="lessThan">
      <formula>$B60</formula>
    </cfRule>
    <cfRule type="cellIs" dxfId="320" priority="14" operator="greaterThan">
      <formula>$C60</formula>
    </cfRule>
  </conditionalFormatting>
  <conditionalFormatting sqref="G60:H60">
    <cfRule type="expression" priority="12" stopIfTrue="1">
      <formula>$G$39=0</formula>
    </cfRule>
  </conditionalFormatting>
  <conditionalFormatting sqref="G63:H63">
    <cfRule type="cellIs" dxfId="319" priority="10" operator="lessThan">
      <formula>$B63</formula>
    </cfRule>
    <cfRule type="cellIs" dxfId="318" priority="11" operator="greaterThan">
      <formula>$C63</formula>
    </cfRule>
  </conditionalFormatting>
  <conditionalFormatting sqref="G63:H63">
    <cfRule type="expression" priority="9" stopIfTrue="1">
      <formula>$G$39=0</formula>
    </cfRule>
  </conditionalFormatting>
  <conditionalFormatting sqref="A5:G22">
    <cfRule type="expression" dxfId="317" priority="5">
      <formula>AND($F5&lt;&gt;"",$F5=0%)</formula>
    </cfRule>
  </conditionalFormatting>
  <conditionalFormatting sqref="A5:G22">
    <cfRule type="expression" dxfId="316" priority="6">
      <formula>AND($G5&lt;&gt;"",$G5=0%)</formula>
    </cfRule>
  </conditionalFormatting>
  <conditionalFormatting sqref="A5:G22">
    <cfRule type="expression" dxfId="315" priority="7">
      <formula>$A5=""</formula>
    </cfRule>
    <cfRule type="expression" dxfId="314" priority="8">
      <formula>$A5&lt;&gt;""</formula>
    </cfRule>
  </conditionalFormatting>
  <conditionalFormatting sqref="F4">
    <cfRule type="expression" dxfId="313" priority="1">
      <formula>AND($F4&lt;&gt;"",$F4=0%)</formula>
    </cfRule>
  </conditionalFormatting>
  <conditionalFormatting sqref="F4">
    <cfRule type="expression" dxfId="312" priority="2">
      <formula>AND($G4&lt;&gt;"",$G4=0%)</formula>
    </cfRule>
  </conditionalFormatting>
  <conditionalFormatting sqref="F4">
    <cfRule type="expression" dxfId="311" priority="3">
      <formula>$A4=""</formula>
    </cfRule>
    <cfRule type="expression" dxfId="310" priority="4">
      <formula>$A4&lt;&gt;""</formula>
    </cfRule>
  </conditionalFormatting>
  <pageMargins left="0.25" right="0.25" top="0.75" bottom="0.75" header="0.3" footer="0.3"/>
  <pageSetup paperSize="9" scale="7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D3C4ED4A-98E6-4C14-B804-C68FAF5802C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27" id="{280DE64E-D90A-4751-A9F3-FC560F1446A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26" id="{DAAD5428-EEDC-4496-A6CB-E75191C3946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29" id="{BB0C2CC0-1D7F-4271-90B5-36441FB59D2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30" id="{CA4721BB-0428-4C3E-ADA4-858B8171DD2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I57:I62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CDA6-78F4-439A-A17D-EE10DE005BCD}">
  <sheetPr>
    <pageSetUpPr fitToPage="1"/>
  </sheetPr>
  <dimension ref="A1:R101"/>
  <sheetViews>
    <sheetView topLeftCell="A34" zoomScale="90" zoomScaleNormal="90" workbookViewId="0">
      <selection activeCell="A35" sqref="A35"/>
    </sheetView>
  </sheetViews>
  <sheetFormatPr defaultColWidth="9" defaultRowHeight="14.25" x14ac:dyDescent="0.2"/>
  <cols>
    <col min="1" max="1" width="21.375" customWidth="1"/>
    <col min="2" max="4" width="17.625" customWidth="1"/>
    <col min="5" max="5" width="24.75" customWidth="1"/>
    <col min="6" max="6" width="15.625" customWidth="1"/>
    <col min="7" max="7" width="15.625" style="589" customWidth="1"/>
    <col min="8" max="10" width="15.625" customWidth="1"/>
    <col min="11" max="11" width="13.125" customWidth="1"/>
    <col min="14" max="14" width="21.25" bestFit="1" customWidth="1"/>
  </cols>
  <sheetData>
    <row r="1" spans="1:18" ht="30.75" thickTop="1" x14ac:dyDescent="0.2">
      <c r="A1" s="821" t="s">
        <v>57</v>
      </c>
      <c r="B1" s="822"/>
      <c r="C1" s="822"/>
      <c r="D1" s="822"/>
      <c r="E1" s="822"/>
      <c r="F1" s="822"/>
      <c r="G1" s="822"/>
      <c r="H1" s="822"/>
      <c r="I1" s="822"/>
      <c r="J1" s="822"/>
      <c r="K1" s="823"/>
    </row>
    <row r="2" spans="1:18" ht="15" x14ac:dyDescent="0.25">
      <c r="A2" s="704" t="s">
        <v>2</v>
      </c>
      <c r="B2" s="824">
        <f>Date</f>
        <v>44733</v>
      </c>
      <c r="C2" s="825"/>
      <c r="D2" s="825"/>
      <c r="E2" s="825"/>
      <c r="F2" s="825"/>
      <c r="G2" s="825"/>
      <c r="H2" s="825"/>
      <c r="I2" s="825"/>
      <c r="J2" s="825"/>
      <c r="K2" s="826"/>
    </row>
    <row r="3" spans="1:18" ht="15.75" x14ac:dyDescent="0.25">
      <c r="A3" s="705" t="s">
        <v>3</v>
      </c>
      <c r="B3" s="706" t="s">
        <v>4</v>
      </c>
      <c r="C3" s="706"/>
      <c r="D3" s="706"/>
      <c r="E3" s="706" t="s">
        <v>5</v>
      </c>
      <c r="F3" s="707" t="s">
        <v>9577</v>
      </c>
      <c r="G3" s="707" t="s">
        <v>9576</v>
      </c>
      <c r="H3" s="707" t="s">
        <v>9578</v>
      </c>
      <c r="I3" s="708" t="s">
        <v>9579</v>
      </c>
      <c r="J3" s="708" t="s">
        <v>9580</v>
      </c>
      <c r="K3" s="709" t="s">
        <v>9581</v>
      </c>
      <c r="O3" s="707" t="s">
        <v>9578</v>
      </c>
      <c r="P3" s="708" t="s">
        <v>9579</v>
      </c>
      <c r="Q3" s="708" t="s">
        <v>9580</v>
      </c>
      <c r="R3" s="709" t="s">
        <v>9581</v>
      </c>
    </row>
    <row r="4" spans="1:18" x14ac:dyDescent="0.2">
      <c r="A4" s="710" t="s">
        <v>11</v>
      </c>
      <c r="B4" s="711" t="s">
        <v>11</v>
      </c>
      <c r="C4" s="712"/>
      <c r="D4" s="712"/>
      <c r="E4" s="713" t="str">
        <f>IFERROR(VLOOKUP(A4,NoviaFunds[],6,FALSE),"")</f>
        <v>Cash</v>
      </c>
      <c r="F4" s="714">
        <v>0.02</v>
      </c>
      <c r="G4" s="714">
        <v>0.1</v>
      </c>
      <c r="H4" s="685">
        <f>G4-F4</f>
        <v>0.08</v>
      </c>
      <c r="I4" s="715">
        <v>2.1000000000000001E-2</v>
      </c>
      <c r="J4" s="716">
        <v>0.03</v>
      </c>
      <c r="K4" s="717">
        <v>0.1</v>
      </c>
      <c r="M4" s="7"/>
      <c r="N4" s="7" t="s">
        <v>11</v>
      </c>
      <c r="O4" s="7">
        <f ca="1">SUMIF($E$4:$E$38,$N4,H$4:H$37)</f>
        <v>0.08</v>
      </c>
      <c r="P4" s="7">
        <f t="shared" ref="P4:R4" si="0">SUMIF($E$4:$E$38,$N4,I$4:I$38)</f>
        <v>2.1000000000000001E-2</v>
      </c>
      <c r="Q4" s="7">
        <f t="shared" si="0"/>
        <v>0.03</v>
      </c>
      <c r="R4" s="7">
        <f t="shared" si="0"/>
        <v>0.1</v>
      </c>
    </row>
    <row r="5" spans="1:18" x14ac:dyDescent="0.2">
      <c r="A5" s="710" t="s">
        <v>12</v>
      </c>
      <c r="B5" s="711" t="str">
        <f>IFERROR(VLOOKUP(A5,NoviaFunds[],2,FALSE),"")</f>
        <v>Artemis Target Return Bond Fund F Acc</v>
      </c>
      <c r="C5" s="712"/>
      <c r="D5" s="712"/>
      <c r="E5" s="713" t="str">
        <f>IFERROR(VLOOKUP(A5,NoviaFunds[],6,FALSE),"")</f>
        <v>Absolute Return</v>
      </c>
      <c r="F5" s="714">
        <v>0.05</v>
      </c>
      <c r="G5" s="714">
        <v>0</v>
      </c>
      <c r="H5" s="685">
        <f t="shared" ref="H5:H38" si="1">G5-F5</f>
        <v>-0.05</v>
      </c>
      <c r="I5" s="718">
        <v>0.05</v>
      </c>
      <c r="J5" s="715">
        <v>0</v>
      </c>
      <c r="K5" s="719">
        <v>0</v>
      </c>
      <c r="M5" s="7"/>
      <c r="N5" s="7" t="s">
        <v>48</v>
      </c>
      <c r="O5" s="7">
        <f t="shared" ref="O5:O19" ca="1" si="2">SUMIF($E$4:$E$38,$N5,H$4:H$37)</f>
        <v>-0.05</v>
      </c>
      <c r="P5" s="7">
        <f t="shared" ref="P5:P19" si="3">SUMIF($E$4:$E$38,$N5,I$4:I$38)</f>
        <v>0.05</v>
      </c>
      <c r="Q5" s="7">
        <f t="shared" ref="Q5:Q19" si="4">SUMIF($E$4:$E$38,$N5,J$4:J$38)</f>
        <v>0</v>
      </c>
      <c r="R5" s="7">
        <f t="shared" ref="R5:R19" si="5">SUMIF($E$4:$E$38,$N5,K$4:K$38)</f>
        <v>0</v>
      </c>
    </row>
    <row r="6" spans="1:18" x14ac:dyDescent="0.2">
      <c r="A6" s="710" t="s">
        <v>564</v>
      </c>
      <c r="B6" s="711" t="str">
        <f>IFERROR(VLOOKUP(A6,NoviaFunds[],2,FALSE),"")</f>
        <v>ASI Asia Pacific Equity Enhanced Index B Acc in GB</v>
      </c>
      <c r="C6" s="712"/>
      <c r="D6" s="712"/>
      <c r="E6" s="713" t="str">
        <f>IFERROR(VLOOKUP(A6,NoviaFunds[],6,FALSE),"")</f>
        <v>Asia Pacific</v>
      </c>
      <c r="F6" s="714">
        <v>0</v>
      </c>
      <c r="G6" s="714">
        <v>0.04</v>
      </c>
      <c r="H6" s="685">
        <f t="shared" si="1"/>
        <v>0.04</v>
      </c>
      <c r="I6" s="718">
        <v>0</v>
      </c>
      <c r="J6" s="718">
        <v>0</v>
      </c>
      <c r="K6" s="717">
        <v>0.04</v>
      </c>
      <c r="M6" s="7"/>
      <c r="N6" s="7" t="s">
        <v>35</v>
      </c>
      <c r="O6" s="7">
        <f t="shared" ca="1" si="2"/>
        <v>-4.9999999999999996E-2</v>
      </c>
      <c r="P6" s="7">
        <f t="shared" si="3"/>
        <v>0.09</v>
      </c>
      <c r="Q6" s="7">
        <f t="shared" si="4"/>
        <v>0.09</v>
      </c>
      <c r="R6" s="7">
        <f t="shared" si="5"/>
        <v>0.04</v>
      </c>
    </row>
    <row r="7" spans="1:18" x14ac:dyDescent="0.2">
      <c r="A7" s="710" t="s">
        <v>58</v>
      </c>
      <c r="B7" s="711" t="str">
        <f>IFERROR(VLOOKUP(A7,NoviaFunds[],2,FALSE),"")</f>
        <v>Fidelity Asia W Acc in GB</v>
      </c>
      <c r="C7" s="712"/>
      <c r="D7" s="712"/>
      <c r="E7" s="713" t="str">
        <f>IFERROR(VLOOKUP(A7,NoviaFunds[],6,FALSE),"")</f>
        <v>Asia Pacific</v>
      </c>
      <c r="F7" s="714">
        <v>4.4999999999999998E-2</v>
      </c>
      <c r="G7" s="714">
        <v>0</v>
      </c>
      <c r="H7" s="685">
        <f t="shared" si="1"/>
        <v>-4.4999999999999998E-2</v>
      </c>
      <c r="I7" s="718">
        <v>4.4999999999999998E-2</v>
      </c>
      <c r="J7" s="718">
        <v>4.4999999999999998E-2</v>
      </c>
      <c r="K7" s="720">
        <v>0</v>
      </c>
      <c r="M7" s="7"/>
      <c r="N7" s="7" t="s">
        <v>36</v>
      </c>
      <c r="O7" s="7">
        <f t="shared" ca="1" si="2"/>
        <v>-3.0000000000000002E-2</v>
      </c>
      <c r="P7" s="7">
        <f t="shared" si="3"/>
        <v>7.0000000000000007E-2</v>
      </c>
      <c r="Q7" s="7">
        <f t="shared" si="4"/>
        <v>7.0000000000000007E-2</v>
      </c>
      <c r="R7" s="7">
        <f t="shared" si="5"/>
        <v>0.04</v>
      </c>
    </row>
    <row r="8" spans="1:18" x14ac:dyDescent="0.2">
      <c r="A8" s="710" t="s">
        <v>52</v>
      </c>
      <c r="B8" s="711" t="str">
        <f>IFERROR(VLOOKUP(A8,NoviaFunds[],2,FALSE),"")</f>
        <v>Stewart Investors Asia Pacific Leaders Sustainability B Acc GBP in GB</v>
      </c>
      <c r="C8" s="712"/>
      <c r="D8" s="712"/>
      <c r="E8" s="713" t="str">
        <f>IFERROR(VLOOKUP(A8,NoviaFunds[],6,FALSE),"")</f>
        <v>Asia Pacific</v>
      </c>
      <c r="F8" s="714">
        <v>4.4999999999999998E-2</v>
      </c>
      <c r="G8" s="714">
        <v>0</v>
      </c>
      <c r="H8" s="685">
        <f t="shared" si="1"/>
        <v>-4.4999999999999998E-2</v>
      </c>
      <c r="I8" s="718">
        <v>4.4999999999999998E-2</v>
      </c>
      <c r="J8" s="718">
        <v>4.4999999999999998E-2</v>
      </c>
      <c r="K8" s="720">
        <v>0</v>
      </c>
      <c r="M8" s="7"/>
      <c r="N8" s="7" t="s">
        <v>34</v>
      </c>
      <c r="O8" s="7">
        <f t="shared" ca="1" si="2"/>
        <v>1.0000000000000002E-2</v>
      </c>
      <c r="P8" s="7">
        <f t="shared" si="3"/>
        <v>0.05</v>
      </c>
      <c r="Q8" s="7">
        <f t="shared" si="4"/>
        <v>0.05</v>
      </c>
      <c r="R8" s="7">
        <f t="shared" si="5"/>
        <v>0.05</v>
      </c>
    </row>
    <row r="9" spans="1:18" x14ac:dyDescent="0.2">
      <c r="A9" s="710" t="s">
        <v>59</v>
      </c>
      <c r="B9" s="711" t="str">
        <f>IFERROR(VLOOKUP(A9,NoviaFunds[],2,FALSE),"")</f>
        <v>ASI Emerging Markets Income Equity Ret Platform 1 Acc GBP in GB</v>
      </c>
      <c r="C9" s="712"/>
      <c r="D9" s="712"/>
      <c r="E9" s="713" t="str">
        <f>IFERROR(VLOOKUP(A9,NoviaFunds[],6,FALSE),"")</f>
        <v>Emerging Markets</v>
      </c>
      <c r="F9" s="714">
        <v>3.5000000000000003E-2</v>
      </c>
      <c r="G9" s="714">
        <v>0.02</v>
      </c>
      <c r="H9" s="685">
        <f t="shared" si="1"/>
        <v>-1.5000000000000003E-2</v>
      </c>
      <c r="I9" s="718">
        <v>3.5000000000000003E-2</v>
      </c>
      <c r="J9" s="718">
        <v>3.5000000000000003E-2</v>
      </c>
      <c r="K9" s="720">
        <v>0.02</v>
      </c>
      <c r="M9" s="7"/>
      <c r="N9" s="7" t="s">
        <v>40</v>
      </c>
      <c r="O9" s="7">
        <f t="shared" ca="1" si="2"/>
        <v>-2.0000000000000004E-2</v>
      </c>
      <c r="P9" s="7">
        <f t="shared" si="3"/>
        <v>0.03</v>
      </c>
      <c r="Q9" s="7">
        <f t="shared" si="4"/>
        <v>0.03</v>
      </c>
      <c r="R9" s="7">
        <f t="shared" si="5"/>
        <v>0.03</v>
      </c>
    </row>
    <row r="10" spans="1:18" x14ac:dyDescent="0.2">
      <c r="A10" s="710" t="s">
        <v>53</v>
      </c>
      <c r="B10" s="711" t="str">
        <f>IFERROR(VLOOKUP(A10,NoviaFunds[],2,FALSE),"")</f>
        <v>Federated Hermes Global Emerging Markets F Acc</v>
      </c>
      <c r="C10" s="712"/>
      <c r="D10" s="712"/>
      <c r="E10" s="713" t="str">
        <f>IFERROR(VLOOKUP(A10,NoviaFunds[],6,FALSE),"")</f>
        <v>Emerging Markets</v>
      </c>
      <c r="F10" s="714">
        <v>3.5000000000000003E-2</v>
      </c>
      <c r="G10" s="714">
        <v>0</v>
      </c>
      <c r="H10" s="685">
        <f t="shared" si="1"/>
        <v>-3.5000000000000003E-2</v>
      </c>
      <c r="I10" s="718">
        <v>3.5000000000000003E-2</v>
      </c>
      <c r="J10" s="718">
        <v>3.5000000000000003E-2</v>
      </c>
      <c r="K10" s="720">
        <v>0</v>
      </c>
      <c r="M10" s="7"/>
      <c r="N10" s="7" t="s">
        <v>9528</v>
      </c>
      <c r="O10" s="7">
        <f t="shared" ca="1" si="2"/>
        <v>-1.0000000000000002E-2</v>
      </c>
      <c r="P10" s="7">
        <f t="shared" si="3"/>
        <v>7.0000000000000007E-2</v>
      </c>
      <c r="Q10" s="7">
        <f t="shared" si="4"/>
        <v>7.0000000000000007E-2</v>
      </c>
      <c r="R10" s="7">
        <f t="shared" si="5"/>
        <v>0.04</v>
      </c>
    </row>
    <row r="11" spans="1:18" x14ac:dyDescent="0.2">
      <c r="A11" s="710" t="s">
        <v>66</v>
      </c>
      <c r="B11" s="711" t="str">
        <f>IFERROR(VLOOKUP(A11,NoviaFunds[],2,FALSE),"")</f>
        <v>JPM Emerging Markets Income C Acc in GB</v>
      </c>
      <c r="C11" s="712"/>
      <c r="D11" s="712"/>
      <c r="E11" s="713" t="str">
        <f>IFERROR(VLOOKUP(A11,NoviaFunds[],6,FALSE),"")</f>
        <v>Emerging Markets</v>
      </c>
      <c r="F11" s="714">
        <v>0</v>
      </c>
      <c r="G11" s="714">
        <v>0.02</v>
      </c>
      <c r="H11" s="685">
        <f t="shared" si="1"/>
        <v>0.02</v>
      </c>
      <c r="I11" s="718">
        <v>0</v>
      </c>
      <c r="J11" s="718">
        <v>0</v>
      </c>
      <c r="K11" s="717">
        <v>0.02</v>
      </c>
      <c r="M11" s="7"/>
      <c r="N11" s="7" t="s">
        <v>37</v>
      </c>
      <c r="O11" s="7">
        <f t="shared" ca="1" si="2"/>
        <v>0</v>
      </c>
      <c r="P11" s="7">
        <f t="shared" si="3"/>
        <v>0.06</v>
      </c>
      <c r="Q11" s="7">
        <f t="shared" si="4"/>
        <v>0.06</v>
      </c>
      <c r="R11" s="7">
        <f t="shared" si="5"/>
        <v>0.06</v>
      </c>
    </row>
    <row r="12" spans="1:18" x14ac:dyDescent="0.2">
      <c r="A12" s="710" t="s">
        <v>54</v>
      </c>
      <c r="B12" s="711" t="str">
        <f>IFERROR(VLOOKUP(A12,NoviaFunds[],2,FALSE),"")</f>
        <v>BlackRock Continental European D Acc in GB</v>
      </c>
      <c r="C12" s="712"/>
      <c r="D12" s="712"/>
      <c r="E12" s="713" t="str">
        <f>IFERROR(VLOOKUP(A12,NoviaFunds[],6,FALSE),"")</f>
        <v>European Equities</v>
      </c>
      <c r="F12" s="714">
        <v>0.04</v>
      </c>
      <c r="G12" s="714">
        <v>0</v>
      </c>
      <c r="H12" s="685">
        <f t="shared" si="1"/>
        <v>-0.04</v>
      </c>
      <c r="I12" s="715">
        <v>0</v>
      </c>
      <c r="J12" s="718">
        <v>0</v>
      </c>
      <c r="K12" s="719">
        <v>0</v>
      </c>
      <c r="M12" s="7"/>
      <c r="N12" s="7" t="s">
        <v>45</v>
      </c>
      <c r="O12" s="7">
        <f t="shared" ca="1" si="2"/>
        <v>0</v>
      </c>
      <c r="P12" s="7">
        <f t="shared" si="3"/>
        <v>0</v>
      </c>
      <c r="Q12" s="7">
        <f t="shared" si="4"/>
        <v>0</v>
      </c>
      <c r="R12" s="7">
        <f t="shared" si="5"/>
        <v>0</v>
      </c>
    </row>
    <row r="13" spans="1:18" x14ac:dyDescent="0.2">
      <c r="A13" s="710" t="s">
        <v>3087</v>
      </c>
      <c r="B13" s="711" t="str">
        <f>IFERROR(VLOOKUP(A13,NoviaFunds[],2,FALSE),"")</f>
        <v>HSBC European Index C Acc in GB</v>
      </c>
      <c r="C13" s="712"/>
      <c r="D13" s="712"/>
      <c r="E13" s="713" t="str">
        <f>IFERROR(VLOOKUP(A13,NoviaFunds[],6,FALSE),"")</f>
        <v>European Equities</v>
      </c>
      <c r="F13" s="714">
        <v>0</v>
      </c>
      <c r="G13" s="714">
        <v>0.05</v>
      </c>
      <c r="H13" s="685">
        <f t="shared" si="1"/>
        <v>0.05</v>
      </c>
      <c r="I13" s="716">
        <v>0.05</v>
      </c>
      <c r="J13" s="718">
        <v>0.05</v>
      </c>
      <c r="K13" s="719">
        <v>0.05</v>
      </c>
      <c r="M13" s="7"/>
      <c r="N13" s="7" t="s">
        <v>38</v>
      </c>
      <c r="O13" s="7">
        <f t="shared" ca="1" si="2"/>
        <v>-0.1</v>
      </c>
      <c r="P13" s="7">
        <f t="shared" si="3"/>
        <v>0.05</v>
      </c>
      <c r="Q13" s="7">
        <f t="shared" si="4"/>
        <v>0</v>
      </c>
      <c r="R13" s="7">
        <f t="shared" si="5"/>
        <v>0</v>
      </c>
    </row>
    <row r="14" spans="1:18" x14ac:dyDescent="0.2">
      <c r="A14" s="710" t="s">
        <v>8877</v>
      </c>
      <c r="B14" s="711" t="str">
        <f>IFERROR(VLOOKUP(A14,NoviaFunds[],2,FALSE),"")</f>
        <v>Atlantic House Defined Returns B Acc in GB</v>
      </c>
      <c r="C14" s="712"/>
      <c r="D14" s="712"/>
      <c r="E14" s="713" t="str">
        <f>IFERROR(VLOOKUP(A14,NoviaFunds[],6,FALSE),"")</f>
        <v>Gilts</v>
      </c>
      <c r="F14" s="714">
        <v>0.05</v>
      </c>
      <c r="G14" s="714">
        <v>0</v>
      </c>
      <c r="H14" s="685">
        <f t="shared" si="1"/>
        <v>-0.05</v>
      </c>
      <c r="I14" s="715">
        <v>0</v>
      </c>
      <c r="J14" s="718">
        <v>0</v>
      </c>
      <c r="K14" s="719">
        <v>0</v>
      </c>
      <c r="L14" s="1"/>
      <c r="M14" s="7"/>
      <c r="N14" s="7" t="s">
        <v>49</v>
      </c>
      <c r="O14" s="7">
        <f t="shared" ca="1" si="2"/>
        <v>0.05</v>
      </c>
      <c r="P14" s="7">
        <f t="shared" si="3"/>
        <v>0</v>
      </c>
      <c r="Q14" s="7">
        <f t="shared" si="4"/>
        <v>0</v>
      </c>
      <c r="R14" s="7">
        <f t="shared" si="5"/>
        <v>0.05</v>
      </c>
    </row>
    <row r="15" spans="1:18" x14ac:dyDescent="0.2">
      <c r="A15" s="710" t="s">
        <v>9558</v>
      </c>
      <c r="B15" s="711" t="str">
        <f>IFERROR(VLOOKUP(A15,NoviaFunds[],2,FALSE),"")</f>
        <v>iShares UK Gilts 0-5yr UCITS ETF</v>
      </c>
      <c r="C15" s="712"/>
      <c r="D15" s="712"/>
      <c r="E15" s="713" t="str">
        <f>IFERROR(VLOOKUP(A15,NoviaFunds[],6,FALSE),"")</f>
        <v>Gilts</v>
      </c>
      <c r="F15" s="714">
        <v>0</v>
      </c>
      <c r="G15" s="714">
        <v>0.03</v>
      </c>
      <c r="H15" s="685">
        <f t="shared" si="1"/>
        <v>0.03</v>
      </c>
      <c r="I15" s="716">
        <v>0.03</v>
      </c>
      <c r="J15" s="718">
        <v>0.03</v>
      </c>
      <c r="K15" s="719">
        <v>0.03</v>
      </c>
      <c r="M15" s="7"/>
      <c r="N15" s="7" t="s">
        <v>47</v>
      </c>
      <c r="O15" s="7">
        <f t="shared" ca="1" si="2"/>
        <v>-0.05</v>
      </c>
      <c r="P15" s="7">
        <f t="shared" si="3"/>
        <v>0</v>
      </c>
      <c r="Q15" s="7">
        <f t="shared" si="4"/>
        <v>0</v>
      </c>
      <c r="R15" s="7">
        <f t="shared" si="5"/>
        <v>0</v>
      </c>
    </row>
    <row r="16" spans="1:18" x14ac:dyDescent="0.2">
      <c r="A16" s="710" t="s">
        <v>9557</v>
      </c>
      <c r="B16" s="711" t="str">
        <f>IFERROR(VLOOKUP(A16,NoviaFunds[],2,FALSE),"")</f>
        <v>ASI Short Dated Global Corporate Bond Tracker B Acc</v>
      </c>
      <c r="C16" s="712"/>
      <c r="D16" s="712"/>
      <c r="E16" s="713" t="str">
        <f>IFERROR(VLOOKUP(A16,NoviaFunds[],6,FALSE),"")</f>
        <v>Global Investment Grade</v>
      </c>
      <c r="F16" s="714">
        <v>0</v>
      </c>
      <c r="G16" s="714">
        <v>0.02</v>
      </c>
      <c r="H16" s="685">
        <f t="shared" si="1"/>
        <v>0.02</v>
      </c>
      <c r="I16" s="718">
        <v>0.02</v>
      </c>
      <c r="J16" s="718">
        <v>0.02</v>
      </c>
      <c r="K16" s="719">
        <v>0.02</v>
      </c>
      <c r="M16" s="7"/>
      <c r="N16" s="7" t="s">
        <v>9530</v>
      </c>
      <c r="O16" s="7">
        <f t="shared" ca="1" si="2"/>
        <v>0</v>
      </c>
      <c r="P16" s="7">
        <f t="shared" si="3"/>
        <v>7.0000000000000007E-2</v>
      </c>
      <c r="Q16" s="7">
        <f t="shared" si="4"/>
        <v>0.06</v>
      </c>
      <c r="R16" s="7">
        <f t="shared" si="5"/>
        <v>0.1</v>
      </c>
    </row>
    <row r="17" spans="1:18" x14ac:dyDescent="0.2">
      <c r="A17" s="710" t="s">
        <v>3624</v>
      </c>
      <c r="B17" s="711" t="str">
        <f>IFERROR(VLOOKUP(A17,NoviaFunds[],2,FALSE),"")</f>
        <v>iShares Overseas Corporate Bond Index (UK) D Acc in GB</v>
      </c>
      <c r="C17" s="712"/>
      <c r="D17" s="712"/>
      <c r="E17" s="713" t="str">
        <f>IFERROR(VLOOKUP(A17,NoviaFunds[],6,FALSE),"")</f>
        <v>Global Investment Grade</v>
      </c>
      <c r="F17" s="714">
        <v>0</v>
      </c>
      <c r="G17" s="714">
        <v>0.02</v>
      </c>
      <c r="H17" s="685">
        <f t="shared" si="1"/>
        <v>0.02</v>
      </c>
      <c r="I17" s="718">
        <v>0</v>
      </c>
      <c r="J17" s="718">
        <v>0</v>
      </c>
      <c r="K17" s="717">
        <v>0.02</v>
      </c>
      <c r="M17" s="7"/>
      <c r="N17" s="7" t="s">
        <v>32</v>
      </c>
      <c r="O17" s="7">
        <f t="shared" ca="1" si="2"/>
        <v>-4.0000000000000008E-2</v>
      </c>
      <c r="P17" s="7">
        <f t="shared" si="3"/>
        <v>0.28899999999999998</v>
      </c>
      <c r="Q17" s="7">
        <f t="shared" si="4"/>
        <v>0.28000000000000003</v>
      </c>
      <c r="R17" s="7">
        <f t="shared" si="5"/>
        <v>0.23</v>
      </c>
    </row>
    <row r="18" spans="1:18" x14ac:dyDescent="0.2">
      <c r="A18" s="710" t="s">
        <v>13</v>
      </c>
      <c r="B18" s="711" t="str">
        <f>IFERROR(VLOOKUP(A18,NoviaFunds[],2,FALSE),"")</f>
        <v>Royal London Global Index Linked M Inc TR in GB</v>
      </c>
      <c r="C18" s="712"/>
      <c r="D18" s="712"/>
      <c r="E18" s="713" t="str">
        <f>IFERROR(VLOOKUP(A18,NoviaFunds[],6,FALSE),"")</f>
        <v>Global Investment Grade</v>
      </c>
      <c r="F18" s="714">
        <v>0.05</v>
      </c>
      <c r="G18" s="714">
        <v>0</v>
      </c>
      <c r="H18" s="685">
        <f t="shared" si="1"/>
        <v>-0.05</v>
      </c>
      <c r="I18" s="718">
        <v>0.05</v>
      </c>
      <c r="J18" s="718">
        <v>0.05</v>
      </c>
      <c r="K18" s="720">
        <v>0</v>
      </c>
      <c r="M18" s="7"/>
      <c r="N18" s="7" t="s">
        <v>9529</v>
      </c>
      <c r="O18" s="7">
        <f t="shared" ca="1" si="2"/>
        <v>0.04</v>
      </c>
      <c r="P18" s="7">
        <f t="shared" si="3"/>
        <v>0.04</v>
      </c>
      <c r="Q18" s="7">
        <f t="shared" si="4"/>
        <v>0.04</v>
      </c>
      <c r="R18" s="7">
        <f t="shared" si="5"/>
        <v>0.04</v>
      </c>
    </row>
    <row r="19" spans="1:18" x14ac:dyDescent="0.2">
      <c r="A19" s="710" t="s">
        <v>56</v>
      </c>
      <c r="B19" s="711" t="str">
        <f>IFERROR(VLOOKUP(A19,NoviaFunds[],2,FALSE),"")</f>
        <v>Baillie Gifford Japanese B Acc in GB**</v>
      </c>
      <c r="C19" s="712"/>
      <c r="D19" s="712"/>
      <c r="E19" s="713" t="str">
        <f>IFERROR(VLOOKUP(A19,NoviaFunds[],6,FALSE),"")</f>
        <v>Japanese Equities</v>
      </c>
      <c r="F19" s="714">
        <v>0.06</v>
      </c>
      <c r="G19" s="714">
        <v>0.06</v>
      </c>
      <c r="H19" s="685">
        <f t="shared" si="1"/>
        <v>0</v>
      </c>
      <c r="I19" s="718">
        <v>0.06</v>
      </c>
      <c r="J19" s="718">
        <v>0.06</v>
      </c>
      <c r="K19" s="719">
        <v>0.06</v>
      </c>
      <c r="M19" s="7"/>
      <c r="N19" s="7" t="s">
        <v>33</v>
      </c>
      <c r="O19" s="7">
        <f t="shared" ca="1" si="2"/>
        <v>0.17</v>
      </c>
      <c r="P19" s="7">
        <f t="shared" si="3"/>
        <v>0.11</v>
      </c>
      <c r="Q19" s="7">
        <f t="shared" si="4"/>
        <v>0.22</v>
      </c>
      <c r="R19" s="7">
        <f t="shared" si="5"/>
        <v>0.22</v>
      </c>
    </row>
    <row r="20" spans="1:18" x14ac:dyDescent="0.2">
      <c r="A20" s="710" t="s">
        <v>18</v>
      </c>
      <c r="B20" s="711" t="str">
        <f>IFERROR(VLOOKUP(A20,NoviaFunds[],2,FALSE),"")</f>
        <v>Artemis Global Select I Acc in GB</v>
      </c>
      <c r="C20" s="712"/>
      <c r="D20" s="712"/>
      <c r="E20" s="713" t="str">
        <f>IFERROR(VLOOKUP(A20,NoviaFunds[],6,FALSE),"")</f>
        <v>Other Equities</v>
      </c>
      <c r="F20" s="714">
        <v>0.05</v>
      </c>
      <c r="G20" s="714">
        <v>0</v>
      </c>
      <c r="H20" s="685">
        <f t="shared" si="1"/>
        <v>-0.05</v>
      </c>
      <c r="I20" s="718">
        <v>0.05</v>
      </c>
      <c r="J20" s="715">
        <v>0</v>
      </c>
      <c r="K20" s="719">
        <v>0</v>
      </c>
      <c r="M20" s="7"/>
      <c r="N20" s="7"/>
      <c r="O20" s="7"/>
      <c r="P20" s="7"/>
    </row>
    <row r="21" spans="1:18" x14ac:dyDescent="0.2">
      <c r="A21" s="710" t="s">
        <v>19</v>
      </c>
      <c r="B21" s="711" t="str">
        <f>IFERROR(VLOOKUP(A21,NoviaFunds[],2,FALSE),"")</f>
        <v>LF Blue Whale Growth I Acc GBP in GB</v>
      </c>
      <c r="C21" s="712"/>
      <c r="D21" s="712"/>
      <c r="E21" s="713" t="str">
        <f>IFERROR(VLOOKUP(A21,NoviaFunds[],6,FALSE),"")</f>
        <v>Other Equities</v>
      </c>
      <c r="F21" s="714">
        <v>0.05</v>
      </c>
      <c r="G21" s="714">
        <v>0</v>
      </c>
      <c r="H21" s="685">
        <f t="shared" si="1"/>
        <v>-0.05</v>
      </c>
      <c r="I21" s="718">
        <v>0</v>
      </c>
      <c r="J21" s="718">
        <v>0</v>
      </c>
      <c r="K21" s="719">
        <v>0</v>
      </c>
      <c r="M21" s="7"/>
      <c r="N21" s="7"/>
      <c r="O21" s="7"/>
      <c r="P21" s="7"/>
    </row>
    <row r="22" spans="1:18" x14ac:dyDescent="0.2">
      <c r="A22" s="710" t="s">
        <v>9540</v>
      </c>
      <c r="B22" s="711" t="str">
        <f>IFERROR(VLOOKUP(A22,NoviaFunds[],2,FALSE),"")</f>
        <v>iShares MSCI Target UK Real Estate UCITS ETF GBP</v>
      </c>
      <c r="C22" s="712"/>
      <c r="D22" s="712"/>
      <c r="E22" s="713" t="str">
        <f>IFERROR(VLOOKUP(A22,NoviaFunds[],6,FALSE),"")</f>
        <v>Property</v>
      </c>
      <c r="F22" s="714">
        <v>0</v>
      </c>
      <c r="G22" s="714">
        <v>0.05</v>
      </c>
      <c r="H22" s="685">
        <f t="shared" si="1"/>
        <v>0.05</v>
      </c>
      <c r="I22" s="718">
        <v>0</v>
      </c>
      <c r="J22" s="718">
        <v>0</v>
      </c>
      <c r="K22" s="717">
        <v>0.05</v>
      </c>
      <c r="M22" s="7"/>
      <c r="N22" s="7"/>
      <c r="O22" s="7"/>
      <c r="P22" s="7"/>
    </row>
    <row r="23" spans="1:18" x14ac:dyDescent="0.2">
      <c r="A23" s="710" t="s">
        <v>20</v>
      </c>
      <c r="B23" s="711" t="str">
        <f>IFERROR(VLOOKUP(A23,NoviaFunds[],2,FALSE),"")</f>
        <v>Jupiter Gold &amp; Silver I Acc</v>
      </c>
      <c r="C23" s="712"/>
      <c r="D23" s="712"/>
      <c r="E23" s="713" t="str">
        <f>IFERROR(VLOOKUP(A23,NoviaFunds[],6,FALSE),"")</f>
        <v>Specialist</v>
      </c>
      <c r="F23" s="714">
        <v>0.05</v>
      </c>
      <c r="G23" s="714">
        <v>0</v>
      </c>
      <c r="H23" s="685">
        <f t="shared" si="1"/>
        <v>-0.05</v>
      </c>
      <c r="I23" s="718">
        <v>0</v>
      </c>
      <c r="J23" s="718">
        <v>0</v>
      </c>
      <c r="K23" s="719">
        <v>0</v>
      </c>
      <c r="M23" s="7"/>
      <c r="N23" s="7"/>
      <c r="O23" s="7">
        <f ca="1">SUM(O5,O9,O10,O12,O16,O18)</f>
        <v>-4.0000000000000015E-2</v>
      </c>
      <c r="P23" s="7">
        <f t="shared" ref="P23:R23" si="6">SUM(P5,P9,P10,P12,P16,P18)</f>
        <v>0.26</v>
      </c>
      <c r="Q23" s="7">
        <f t="shared" si="6"/>
        <v>0.2</v>
      </c>
      <c r="R23" s="7">
        <f t="shared" si="6"/>
        <v>0.21000000000000002</v>
      </c>
    </row>
    <row r="24" spans="1:18" x14ac:dyDescent="0.2">
      <c r="A24" s="710" t="s">
        <v>15</v>
      </c>
      <c r="B24" s="711" t="str">
        <f>IFERROR(VLOOKUP(A24,NoviaFunds[],2,FALSE),"")</f>
        <v>L&amp;G Short Dated Sterling Corporate Bond Index I Acc in GB</v>
      </c>
      <c r="C24" s="712"/>
      <c r="D24" s="712"/>
      <c r="E24" s="713" t="str">
        <f>IFERROR(VLOOKUP(A24,NoviaFunds[],6,FALSE),"")</f>
        <v>Sterling Corporate Bonds</v>
      </c>
      <c r="F24" s="714">
        <v>0.06</v>
      </c>
      <c r="G24" s="714">
        <v>0.03</v>
      </c>
      <c r="H24" s="685">
        <f t="shared" si="1"/>
        <v>-0.03</v>
      </c>
      <c r="I24" s="718">
        <v>0.03</v>
      </c>
      <c r="J24" s="718">
        <v>0.03</v>
      </c>
      <c r="K24" s="719">
        <v>0.03</v>
      </c>
      <c r="M24" s="7"/>
      <c r="N24" s="7"/>
      <c r="O24" s="7">
        <f ca="1">SUM(O6,O7,O8,O11,O13,O17,O19)</f>
        <v>-4.0000000000000008E-2</v>
      </c>
      <c r="P24" s="7">
        <f t="shared" ref="P24:Q24" si="7">SUM(P6,P7,P8,P11,P13,P17,P19)</f>
        <v>0.71899999999999997</v>
      </c>
      <c r="Q24" s="7">
        <f t="shared" si="7"/>
        <v>0.77</v>
      </c>
      <c r="R24" s="7">
        <f>SUM(R6,R7,R8,R11,R13,R17,R19)</f>
        <v>0.64</v>
      </c>
    </row>
    <row r="25" spans="1:18" x14ac:dyDescent="0.2">
      <c r="A25" s="721" t="s">
        <v>6914</v>
      </c>
      <c r="B25" s="711" t="str">
        <f>IFERROR(VLOOKUP(A25,NoviaFunds[],2,FALSE),"")</f>
        <v>Royal London Sterling Credit Z Inc TR in GB</v>
      </c>
      <c r="C25" s="712"/>
      <c r="D25" s="712"/>
      <c r="E25" s="713" t="str">
        <f>IFERROR(VLOOKUP(A25,NoviaFunds[],6,FALSE),"")</f>
        <v>Sterling Corporate Bonds</v>
      </c>
      <c r="F25" s="714">
        <v>0.04</v>
      </c>
      <c r="G25" s="714">
        <v>0.03</v>
      </c>
      <c r="H25" s="685">
        <f t="shared" si="1"/>
        <v>-1.0000000000000002E-2</v>
      </c>
      <c r="I25" s="718">
        <v>0.04</v>
      </c>
      <c r="J25" s="715">
        <v>0.03</v>
      </c>
      <c r="K25" s="719">
        <v>0.03</v>
      </c>
      <c r="M25" s="7"/>
      <c r="N25" s="7"/>
      <c r="O25" s="7"/>
      <c r="P25" s="7"/>
    </row>
    <row r="26" spans="1:18" x14ac:dyDescent="0.2">
      <c r="A26" s="710" t="s">
        <v>17</v>
      </c>
      <c r="B26" s="711" t="str">
        <f>IFERROR(VLOOKUP(A26,NoviaFunds[],2,FALSE),"")</f>
        <v>Vanguard UK Short-Term Investment Grade Bond Index Acc</v>
      </c>
      <c r="C26" s="712"/>
      <c r="D26" s="712"/>
      <c r="E26" s="713" t="str">
        <f>IFERROR(VLOOKUP(A26,NoviaFunds[],6,FALSE),"")</f>
        <v>Sterling Corporate Bonds</v>
      </c>
      <c r="F26" s="714">
        <v>0</v>
      </c>
      <c r="G26" s="714">
        <v>0.04</v>
      </c>
      <c r="H26" s="685">
        <f t="shared" si="1"/>
        <v>0.04</v>
      </c>
      <c r="I26" s="718">
        <v>0</v>
      </c>
      <c r="J26" s="718">
        <v>0</v>
      </c>
      <c r="K26" s="717">
        <v>0.04</v>
      </c>
      <c r="M26" s="7"/>
      <c r="N26" s="7"/>
      <c r="O26" s="7"/>
      <c r="P26" s="7"/>
    </row>
    <row r="27" spans="1:18" x14ac:dyDescent="0.2">
      <c r="A27" s="710" t="s">
        <v>23</v>
      </c>
      <c r="B27" s="711" t="str">
        <f>IFERROR(VLOOKUP(A27,NoviaFunds[],2,FALSE),"")</f>
        <v>Allianz UK Listed Equity Income E Inc GBP</v>
      </c>
      <c r="C27" s="712"/>
      <c r="D27" s="712"/>
      <c r="E27" s="713" t="str">
        <f>IFERROR(VLOOKUP(A27,NoviaFunds[],6,FALSE),"")</f>
        <v>UK Equities</v>
      </c>
      <c r="F27" s="714">
        <v>0.06</v>
      </c>
      <c r="G27" s="714">
        <v>5.7500000000000002E-2</v>
      </c>
      <c r="H27" s="685">
        <f t="shared" si="1"/>
        <v>-2.4999999999999953E-3</v>
      </c>
      <c r="I27" s="718">
        <v>0.06</v>
      </c>
      <c r="J27" s="715">
        <v>5.7500000000000002E-2</v>
      </c>
      <c r="K27" s="719">
        <v>5.7500000000000002E-2</v>
      </c>
      <c r="M27" s="7"/>
      <c r="N27" s="7"/>
      <c r="O27" s="7"/>
      <c r="P27" s="7"/>
    </row>
    <row r="28" spans="1:18" x14ac:dyDescent="0.2">
      <c r="A28" s="710" t="s">
        <v>442</v>
      </c>
      <c r="B28" s="711" t="str">
        <f>IFERROR(VLOOKUP(A28,NoviaFunds[],2,FALSE),"")</f>
        <v>Artemis Income I Acc TR in GB</v>
      </c>
      <c r="C28" s="712"/>
      <c r="D28" s="712"/>
      <c r="E28" s="713" t="str">
        <f>IFERROR(VLOOKUP(A28,NoviaFunds[],6,FALSE),"")</f>
        <v>UK Equities</v>
      </c>
      <c r="F28" s="714">
        <v>0.05</v>
      </c>
      <c r="G28" s="714">
        <v>0</v>
      </c>
      <c r="H28" s="685">
        <f t="shared" si="1"/>
        <v>-0.05</v>
      </c>
      <c r="I28" s="715">
        <v>0</v>
      </c>
      <c r="J28" s="718">
        <v>0</v>
      </c>
      <c r="K28" s="719">
        <v>0</v>
      </c>
      <c r="M28" s="7"/>
      <c r="N28" s="7"/>
      <c r="O28" s="7"/>
      <c r="P28" s="7"/>
    </row>
    <row r="29" spans="1:18" x14ac:dyDescent="0.2">
      <c r="A29" s="710" t="s">
        <v>21</v>
      </c>
      <c r="B29" s="711" t="str">
        <f>IFERROR(VLOOKUP(A29,NoviaFunds[],2,FALSE),"")</f>
        <v>BlackRock UK Equity D Acc TR in GB**</v>
      </c>
      <c r="C29" s="712"/>
      <c r="D29" s="712"/>
      <c r="E29" s="713" t="str">
        <f>IFERROR(VLOOKUP(A29,NoviaFunds[],6,FALSE),"")</f>
        <v>UK Equities</v>
      </c>
      <c r="F29" s="714">
        <v>0.05</v>
      </c>
      <c r="G29" s="714">
        <v>0</v>
      </c>
      <c r="H29" s="685">
        <f t="shared" si="1"/>
        <v>-0.05</v>
      </c>
      <c r="I29" s="718">
        <v>0.05</v>
      </c>
      <c r="J29" s="718">
        <v>0.05</v>
      </c>
      <c r="K29" s="720">
        <v>0</v>
      </c>
      <c r="M29" s="7"/>
      <c r="N29" s="7"/>
      <c r="O29" s="7"/>
      <c r="P29" s="7"/>
    </row>
    <row r="30" spans="1:18" x14ac:dyDescent="0.2">
      <c r="A30" s="710" t="s">
        <v>25</v>
      </c>
      <c r="B30" s="711" t="str">
        <f>IFERROR(VLOOKUP(A30,NoviaFunds[],2,FALSE),"")</f>
        <v>FTF Franklin UK Equity Income W Acc TR in GB</v>
      </c>
      <c r="C30" s="712"/>
      <c r="D30" s="712"/>
      <c r="E30" s="713" t="str">
        <f>IFERROR(VLOOKUP(A30,NoviaFunds[],6,FALSE),"")</f>
        <v>UK Equities</v>
      </c>
      <c r="F30" s="714">
        <v>0.06</v>
      </c>
      <c r="G30" s="714">
        <v>5.7500000000000002E-2</v>
      </c>
      <c r="H30" s="685">
        <f t="shared" si="1"/>
        <v>-2.4999999999999953E-3</v>
      </c>
      <c r="I30" s="718">
        <v>0.06</v>
      </c>
      <c r="J30" s="715">
        <v>5.7500000000000002E-2</v>
      </c>
      <c r="K30" s="719">
        <v>5.7500000000000002E-2</v>
      </c>
      <c r="M30" s="7"/>
      <c r="N30" s="7"/>
      <c r="O30" s="7"/>
      <c r="P30" s="7"/>
    </row>
    <row r="31" spans="1:18" x14ac:dyDescent="0.2">
      <c r="A31" s="710" t="s">
        <v>22</v>
      </c>
      <c r="B31" s="711" t="str">
        <f>IFERROR(VLOOKUP(A31,NoviaFunds[],2,FALSE),"")</f>
        <v>Slater Growth P Acc in GB</v>
      </c>
      <c r="C31" s="712"/>
      <c r="D31" s="712"/>
      <c r="E31" s="713" t="str">
        <f>IFERROR(VLOOKUP(A31,NoviaFunds[],6,FALSE),"")</f>
        <v>UK Equities</v>
      </c>
      <c r="F31" s="714">
        <v>0.05</v>
      </c>
      <c r="G31" s="714">
        <v>4.5999999999999999E-2</v>
      </c>
      <c r="H31" s="685">
        <f t="shared" si="1"/>
        <v>-4.0000000000000036E-3</v>
      </c>
      <c r="I31" s="718">
        <v>0.05</v>
      </c>
      <c r="J31" s="715">
        <v>4.5999999999999999E-2</v>
      </c>
      <c r="K31" s="719">
        <v>4.5999999999999999E-2</v>
      </c>
      <c r="M31" s="7"/>
      <c r="N31" s="7"/>
      <c r="O31" s="7"/>
      <c r="P31" s="7"/>
    </row>
    <row r="32" spans="1:18" x14ac:dyDescent="0.2">
      <c r="A32" s="710" t="s">
        <v>8389</v>
      </c>
      <c r="B32" s="711" t="str">
        <f>IFERROR(VLOOKUP(A32,NoviaFunds[],2,FALSE),"")</f>
        <v>Vanguard FTSE U.K. All Share Index Unit Trust A Acc GBP in GB</v>
      </c>
      <c r="C32" s="712"/>
      <c r="D32" s="712"/>
      <c r="E32" s="713" t="str">
        <f>IFERROR(VLOOKUP(A32,NoviaFunds[],6,FALSE),"")</f>
        <v>UK Equities</v>
      </c>
      <c r="F32" s="714">
        <v>0</v>
      </c>
      <c r="G32" s="714">
        <v>6.9000000000000006E-2</v>
      </c>
      <c r="H32" s="685">
        <f t="shared" si="1"/>
        <v>6.9000000000000006E-2</v>
      </c>
      <c r="I32" s="716">
        <v>6.9000000000000006E-2</v>
      </c>
      <c r="J32" s="718">
        <v>6.9000000000000006E-2</v>
      </c>
      <c r="K32" s="719">
        <v>6.9000000000000006E-2</v>
      </c>
      <c r="M32" s="7"/>
      <c r="N32" s="7"/>
      <c r="O32" s="7"/>
      <c r="P32" s="7"/>
    </row>
    <row r="33" spans="1:16" x14ac:dyDescent="0.2">
      <c r="A33" s="710" t="s">
        <v>9544</v>
      </c>
      <c r="B33" s="711" t="str">
        <f>IFERROR(VLOOKUP(A33,NoviaFunds[],2,FALSE),"")</f>
        <v>iShares £ Index-Linked Gilts UCITS ETF</v>
      </c>
      <c r="C33" s="712"/>
      <c r="D33" s="712"/>
      <c r="E33" s="713" t="str">
        <f>IFERROR(VLOOKUP(A33,NoviaFunds[],6,FALSE),"")</f>
        <v>UK Index Linked Gilts</v>
      </c>
      <c r="F33" s="714">
        <v>0</v>
      </c>
      <c r="G33" s="714">
        <v>0.04</v>
      </c>
      <c r="H33" s="685">
        <f t="shared" si="1"/>
        <v>0.04</v>
      </c>
      <c r="I33" s="718">
        <v>0.04</v>
      </c>
      <c r="J33" s="718">
        <v>0.04</v>
      </c>
      <c r="K33" s="719">
        <v>0.04</v>
      </c>
      <c r="M33" s="7"/>
      <c r="N33" s="7"/>
      <c r="O33" s="7"/>
      <c r="P33" s="7"/>
    </row>
    <row r="34" spans="1:16" x14ac:dyDescent="0.2">
      <c r="A34" s="710" t="s">
        <v>62</v>
      </c>
      <c r="B34" s="711" t="str">
        <f>IFERROR(VLOOKUP(A34,NoviaFunds[],2,FALSE),"")</f>
        <v>Artemis US Smaller Companies I Acc GBP in GB</v>
      </c>
      <c r="C34" s="712"/>
      <c r="D34" s="712"/>
      <c r="E34" s="713" t="str">
        <f>IFERROR(VLOOKUP(A34,NoviaFunds[],6,FALSE),"")</f>
        <v>USA Equities</v>
      </c>
      <c r="F34" s="714">
        <v>0</v>
      </c>
      <c r="G34" s="714">
        <v>5.5E-2</v>
      </c>
      <c r="H34" s="685">
        <f t="shared" si="1"/>
        <v>5.5E-2</v>
      </c>
      <c r="I34" s="718">
        <v>0</v>
      </c>
      <c r="J34" s="716">
        <v>5.5E-2</v>
      </c>
      <c r="K34" s="719">
        <v>5.5E-2</v>
      </c>
      <c r="M34" s="7"/>
      <c r="N34" s="7"/>
      <c r="O34" s="7"/>
      <c r="P34" s="7"/>
    </row>
    <row r="35" spans="1:16" x14ac:dyDescent="0.2">
      <c r="A35" s="710" t="s">
        <v>2706</v>
      </c>
      <c r="B35" s="711" t="str">
        <f>IFERROR(VLOOKUP(A35,NoviaFunds[],2,FALSE),"")</f>
        <v>Fidelity Index US P in GB</v>
      </c>
      <c r="C35" s="712"/>
      <c r="D35" s="712"/>
      <c r="E35" s="713" t="str">
        <f>IFERROR(VLOOKUP(A35,NoviaFunds[],6,FALSE),"")</f>
        <v>USA Equities</v>
      </c>
      <c r="F35" s="714">
        <v>0</v>
      </c>
      <c r="G35" s="714">
        <v>0.11</v>
      </c>
      <c r="H35" s="685">
        <f t="shared" si="1"/>
        <v>0.11</v>
      </c>
      <c r="I35" s="718">
        <v>0.11</v>
      </c>
      <c r="J35" s="722">
        <v>0.11</v>
      </c>
      <c r="K35" s="719">
        <v>0.11</v>
      </c>
    </row>
    <row r="36" spans="1:16" x14ac:dyDescent="0.2">
      <c r="A36" s="710" t="s">
        <v>60</v>
      </c>
      <c r="B36" s="711" t="str">
        <f>IFERROR(VLOOKUP(A36,NoviaFunds[],2,FALSE),"")</f>
        <v>Vanguard US Equity Index Acc GBP in GB</v>
      </c>
      <c r="C36" s="712"/>
      <c r="D36" s="712"/>
      <c r="E36" s="713" t="str">
        <f>IFERROR(VLOOKUP(A36,NoviaFunds[],6,FALSE),"")</f>
        <v>USA Equities</v>
      </c>
      <c r="F36" s="714">
        <v>0.05</v>
      </c>
      <c r="G36" s="714">
        <v>0</v>
      </c>
      <c r="H36" s="685">
        <f t="shared" si="1"/>
        <v>-0.05</v>
      </c>
      <c r="I36" s="718">
        <v>0</v>
      </c>
      <c r="J36" s="718"/>
      <c r="K36" s="719">
        <v>0</v>
      </c>
    </row>
    <row r="37" spans="1:16" x14ac:dyDescent="0.2">
      <c r="A37" s="710" t="s">
        <v>9539</v>
      </c>
      <c r="B37" s="711" t="str">
        <f>IFERROR(VLOOKUP(A37,NoviaFunds[],2,FALSE),"")</f>
        <v>Xtrackers S&amp;P 500 Equal Weight UCITS ETF</v>
      </c>
      <c r="C37" s="712"/>
      <c r="D37" s="712"/>
      <c r="E37" s="713" t="str">
        <f>IFERROR(VLOOKUP(A37,NoviaFunds[],6,FALSE),"")</f>
        <v>USA Equities</v>
      </c>
      <c r="F37" s="714">
        <v>0</v>
      </c>
      <c r="G37" s="714">
        <v>5.5E-2</v>
      </c>
      <c r="H37" s="685">
        <f t="shared" si="1"/>
        <v>5.5E-2</v>
      </c>
      <c r="I37" s="718">
        <v>0</v>
      </c>
      <c r="J37" s="716">
        <v>5.5E-2</v>
      </c>
      <c r="K37" s="719">
        <v>5.5E-2</v>
      </c>
    </row>
    <row r="38" spans="1:16" x14ac:dyDescent="0.2">
      <c r="A38" s="710"/>
      <c r="B38" s="711" t="str">
        <f>IFERROR(VLOOKUP(A38,NoviaFunds[],2,FALSE),"")</f>
        <v/>
      </c>
      <c r="C38" s="712"/>
      <c r="D38" s="712"/>
      <c r="E38" s="713" t="str">
        <f>IFERROR(VLOOKUP(A38,NoviaFunds[],6,FALSE),"")</f>
        <v/>
      </c>
      <c r="F38" s="714"/>
      <c r="G38" s="714"/>
      <c r="H38" s="685">
        <f t="shared" si="1"/>
        <v>0</v>
      </c>
      <c r="I38" s="718" t="str">
        <f>IFERROR(VLOOKUP(A38,NoviaFunds[],4,FALSE),"")</f>
        <v/>
      </c>
      <c r="J38" s="718" t="str">
        <f>IF(G38="","",IFERROR(VLOOKUP(A38,NoviaFunds[],4,FALSE),""))</f>
        <v/>
      </c>
      <c r="K38" s="719" t="str">
        <f>IF(H38="","",IFERROR(VLOOKUP(B38,NoviaFunds[],4,FALSE),""))</f>
        <v/>
      </c>
    </row>
    <row r="39" spans="1:16" ht="16.5" thickBot="1" x14ac:dyDescent="0.3">
      <c r="A39" s="723"/>
      <c r="B39" s="724"/>
      <c r="C39" s="724"/>
      <c r="D39" s="724"/>
      <c r="E39" s="725"/>
      <c r="F39" s="726">
        <f>SUM(F4:F38)</f>
        <v>1.0000000000000004</v>
      </c>
      <c r="G39" s="726">
        <f>SUM(G4:G38)</f>
        <v>1.0000000000000002</v>
      </c>
      <c r="H39" s="726">
        <f t="shared" ref="H39:K39" si="8">SUM(H4:H38)</f>
        <v>3.4694469519536142E-17</v>
      </c>
      <c r="I39" s="726">
        <f>SUM(I4:I38)</f>
        <v>1.0000000000000002</v>
      </c>
      <c r="J39" s="726">
        <f t="shared" si="8"/>
        <v>1.0000000000000002</v>
      </c>
      <c r="K39" s="727">
        <f t="shared" si="8"/>
        <v>1.0000000000000002</v>
      </c>
    </row>
    <row r="40" spans="1:16" ht="15.75" thickTop="1" thickBot="1" x14ac:dyDescent="0.25">
      <c r="A40" s="171"/>
      <c r="B40" s="161"/>
      <c r="C40" s="161"/>
      <c r="D40" s="161"/>
      <c r="E40" s="162"/>
      <c r="F40" s="163"/>
      <c r="G40" s="163"/>
      <c r="H40" s="164"/>
      <c r="I40" s="162"/>
      <c r="J40" s="172"/>
    </row>
    <row r="41" spans="1:16" ht="30.75" thickTop="1" x14ac:dyDescent="0.2">
      <c r="A41" s="510" t="s">
        <v>5</v>
      </c>
      <c r="B41" s="511" t="s">
        <v>26</v>
      </c>
      <c r="C41" s="511" t="s">
        <v>27</v>
      </c>
      <c r="D41" s="512" t="s">
        <v>28</v>
      </c>
      <c r="E41" s="512" t="s">
        <v>9555</v>
      </c>
      <c r="F41" s="513" t="s">
        <v>30</v>
      </c>
      <c r="G41" s="514" t="s">
        <v>9572</v>
      </c>
      <c r="H41" s="514" t="s">
        <v>31</v>
      </c>
      <c r="I41" s="513" t="s">
        <v>30</v>
      </c>
      <c r="J41" s="515"/>
    </row>
    <row r="42" spans="1:16" x14ac:dyDescent="0.2">
      <c r="A42" s="516" t="s">
        <v>32</v>
      </c>
      <c r="B42" s="517">
        <f>MAX(0,IF(D42&lt;10%,D42-3%,IF(AND(D42&gt;=10%,D42&lt;20%),D42-5%,D42-8%)))</f>
        <v>0.15000000000000002</v>
      </c>
      <c r="C42" s="517">
        <f>IF(D42&lt;10%,D42+3%,IF(AND(D42&gt;=10%,D42&lt;20%),D42+5%,D42+8%))</f>
        <v>0.31</v>
      </c>
      <c r="D42" s="540">
        <f>VLOOKUP(A42,'Asset Allocations'!A:G,6,FALSE)</f>
        <v>0.23</v>
      </c>
      <c r="E42" s="542">
        <f>VLOOKUP(A42,'Asset Allocations'!A:G,7,FALSE)</f>
        <v>0.23</v>
      </c>
      <c r="F42" s="518">
        <f t="shared" ref="F42:F57" si="9">IFERROR(E42-D42,"")</f>
        <v>0</v>
      </c>
      <c r="G42" s="586">
        <f>IF(SUMIF($E$4:$E$38,$A42,$F$4:$F$38)=0,0,SUMIF($E$4:$E$38,$A42,$F$4:$F$38))</f>
        <v>0.27</v>
      </c>
      <c r="H42" s="519">
        <f>IF(SUMIF($E$4:$E$38,$A42,$G$4:$G$38)=0,0,SUMIF($E$4:$E$38,$A42,$G$4:$G$38))</f>
        <v>0.23</v>
      </c>
      <c r="I42" s="520">
        <f t="shared" ref="I42:I48" si="10">IFERROR(H42-D42,"")</f>
        <v>0</v>
      </c>
      <c r="J42" s="521"/>
    </row>
    <row r="43" spans="1:16" x14ac:dyDescent="0.2">
      <c r="A43" s="516" t="s">
        <v>33</v>
      </c>
      <c r="B43" s="517">
        <f t="shared" ref="B43:B48" si="11">MAX(0,IF(D43&lt;10%,D43-3%,IF(AND(D43&gt;=10%,D43&lt;20%),D43-5%,D43-8%)))</f>
        <v>0.14000000000000001</v>
      </c>
      <c r="C43" s="517">
        <f t="shared" ref="C43:C48" si="12">IF(D43&lt;10%,D43+3%,IF(AND(D43&gt;=10%,D43&lt;20%),D43+5%,D43+8%))</f>
        <v>0.3</v>
      </c>
      <c r="D43" s="540">
        <f>VLOOKUP(A43,'Asset Allocations'!A:G,6,FALSE)</f>
        <v>0.22</v>
      </c>
      <c r="E43" s="542">
        <f>VLOOKUP(A43,'Asset Allocations'!A:G,7,FALSE)</f>
        <v>0.22</v>
      </c>
      <c r="F43" s="518">
        <f t="shared" si="9"/>
        <v>0</v>
      </c>
      <c r="G43" s="587">
        <f t="shared" ref="G43:G62" si="13">IF(SUMIF($E$4:$E$38,$A43,$F$4:$F$38)=0,0,SUMIF($E$4:$E$38,$A43,$F$4:$F$38))</f>
        <v>0.05</v>
      </c>
      <c r="H43" s="519">
        <f t="shared" ref="H43:H62" si="14">IF(SUMIF($E$4:$E$38,$A43,$G$4:$G$38)=0,0,SUMIF($E$4:$E$38,$A43,$G$4:$G$38))</f>
        <v>0.22</v>
      </c>
      <c r="I43" s="520">
        <f t="shared" si="10"/>
        <v>0</v>
      </c>
      <c r="J43" s="521"/>
    </row>
    <row r="44" spans="1:16" x14ac:dyDescent="0.2">
      <c r="A44" s="516" t="s">
        <v>34</v>
      </c>
      <c r="B44" s="517">
        <f t="shared" si="11"/>
        <v>2.0000000000000004E-2</v>
      </c>
      <c r="C44" s="517">
        <f t="shared" si="12"/>
        <v>0.08</v>
      </c>
      <c r="D44" s="540">
        <f>VLOOKUP(A44,'Asset Allocations'!A:G,6,FALSE)</f>
        <v>0.05</v>
      </c>
      <c r="E44" s="542">
        <f>VLOOKUP(A44,'Asset Allocations'!A:G,7,FALSE)</f>
        <v>0.05</v>
      </c>
      <c r="F44" s="518">
        <f t="shared" si="9"/>
        <v>0</v>
      </c>
      <c r="G44" s="587">
        <f t="shared" si="13"/>
        <v>0.04</v>
      </c>
      <c r="H44" s="519">
        <f t="shared" si="14"/>
        <v>0.05</v>
      </c>
      <c r="I44" s="520">
        <f t="shared" si="10"/>
        <v>0</v>
      </c>
      <c r="J44" s="521"/>
    </row>
    <row r="45" spans="1:16" x14ac:dyDescent="0.2">
      <c r="A45" s="516" t="s">
        <v>35</v>
      </c>
      <c r="B45" s="517">
        <f t="shared" si="11"/>
        <v>1.0000000000000002E-2</v>
      </c>
      <c r="C45" s="517">
        <f t="shared" si="12"/>
        <v>7.0000000000000007E-2</v>
      </c>
      <c r="D45" s="540">
        <f>VLOOKUP(A45,'Asset Allocations'!A:G,6,FALSE)</f>
        <v>0.04</v>
      </c>
      <c r="E45" s="542">
        <f>VLOOKUP(A45,'Asset Allocations'!A:G,7,FALSE)</f>
        <v>0.04</v>
      </c>
      <c r="F45" s="518">
        <f t="shared" si="9"/>
        <v>0</v>
      </c>
      <c r="G45" s="587">
        <f t="shared" si="13"/>
        <v>0.09</v>
      </c>
      <c r="H45" s="519">
        <f t="shared" si="14"/>
        <v>0.04</v>
      </c>
      <c r="I45" s="520">
        <f t="shared" si="10"/>
        <v>0</v>
      </c>
      <c r="J45" s="521"/>
    </row>
    <row r="46" spans="1:16" x14ac:dyDescent="0.2">
      <c r="A46" s="516" t="s">
        <v>36</v>
      </c>
      <c r="B46" s="517">
        <f t="shared" si="11"/>
        <v>1.0000000000000002E-2</v>
      </c>
      <c r="C46" s="517">
        <f t="shared" si="12"/>
        <v>7.0000000000000007E-2</v>
      </c>
      <c r="D46" s="540">
        <f>VLOOKUP(A46,'Asset Allocations'!A:G,6,FALSE)</f>
        <v>0.04</v>
      </c>
      <c r="E46" s="542">
        <f>VLOOKUP(A46,'Asset Allocations'!A:G,7,FALSE)</f>
        <v>0.04</v>
      </c>
      <c r="F46" s="518">
        <f t="shared" si="9"/>
        <v>0</v>
      </c>
      <c r="G46" s="587">
        <f t="shared" si="13"/>
        <v>7.0000000000000007E-2</v>
      </c>
      <c r="H46" s="519">
        <f t="shared" si="14"/>
        <v>0.04</v>
      </c>
      <c r="I46" s="520">
        <f t="shared" si="10"/>
        <v>0</v>
      </c>
      <c r="J46" s="521"/>
    </row>
    <row r="47" spans="1:16" x14ac:dyDescent="0.2">
      <c r="A47" s="516" t="s">
        <v>37</v>
      </c>
      <c r="B47" s="517">
        <f t="shared" si="11"/>
        <v>0.03</v>
      </c>
      <c r="C47" s="517">
        <f t="shared" si="12"/>
        <v>0.09</v>
      </c>
      <c r="D47" s="540">
        <f>VLOOKUP(A47,'Asset Allocations'!A:G,6,FALSE)</f>
        <v>0.06</v>
      </c>
      <c r="E47" s="542">
        <f>VLOOKUP(A47,'Asset Allocations'!A:G,7,FALSE)</f>
        <v>0.06</v>
      </c>
      <c r="F47" s="518">
        <f t="shared" si="9"/>
        <v>0</v>
      </c>
      <c r="G47" s="587">
        <f t="shared" si="13"/>
        <v>0.06</v>
      </c>
      <c r="H47" s="519">
        <f t="shared" si="14"/>
        <v>0.06</v>
      </c>
      <c r="I47" s="520">
        <f t="shared" si="10"/>
        <v>0</v>
      </c>
      <c r="J47" s="521"/>
    </row>
    <row r="48" spans="1:16" x14ac:dyDescent="0.2">
      <c r="A48" s="516" t="s">
        <v>38</v>
      </c>
      <c r="B48" s="517">
        <f t="shared" si="11"/>
        <v>0</v>
      </c>
      <c r="C48" s="517">
        <f t="shared" si="12"/>
        <v>0.03</v>
      </c>
      <c r="D48" s="540">
        <f>VLOOKUP(A48,'Asset Allocations'!A:G,6,FALSE)</f>
        <v>0</v>
      </c>
      <c r="E48" s="542">
        <f>VLOOKUP(A48,'Asset Allocations'!A:G,7,FALSE)</f>
        <v>0</v>
      </c>
      <c r="F48" s="518">
        <f t="shared" si="9"/>
        <v>0</v>
      </c>
      <c r="G48" s="587">
        <f t="shared" si="13"/>
        <v>0.1</v>
      </c>
      <c r="H48" s="519">
        <f t="shared" si="14"/>
        <v>0</v>
      </c>
      <c r="I48" s="520">
        <f t="shared" si="10"/>
        <v>0</v>
      </c>
      <c r="J48" s="521"/>
    </row>
    <row r="49" spans="1:10" ht="15" x14ac:dyDescent="0.25">
      <c r="A49" s="522" t="s">
        <v>39</v>
      </c>
      <c r="B49" s="523">
        <f>MIN(0,D49-5%)</f>
        <v>0</v>
      </c>
      <c r="C49" s="523">
        <f>MAX(0,D49+5%)</f>
        <v>0.69000000000000017</v>
      </c>
      <c r="D49" s="523">
        <f>VLOOKUP(A49,'Asset Allocations'!A:G,6,FALSE)</f>
        <v>0.64000000000000012</v>
      </c>
      <c r="E49" s="523">
        <f>VLOOKUP(A49,'Asset Allocations'!A:G,7,FALSE)</f>
        <v>0.64000000000000012</v>
      </c>
      <c r="F49" s="524">
        <f t="shared" si="9"/>
        <v>0</v>
      </c>
      <c r="G49" s="525">
        <f>SUM(G42:G48)</f>
        <v>0.68</v>
      </c>
      <c r="H49" s="525">
        <f>SUM(H42:H48)</f>
        <v>0.64000000000000012</v>
      </c>
      <c r="I49" s="526">
        <f>IFERROR(IF(H49=0,"",H49-D49),"")</f>
        <v>0</v>
      </c>
      <c r="J49" s="527"/>
    </row>
    <row r="50" spans="1:10" x14ac:dyDescent="0.2">
      <c r="A50" s="528" t="s">
        <v>40</v>
      </c>
      <c r="B50" s="517">
        <f>MAX(0,IF(D50&lt;10%,D50-3%,IF(AND(D50&gt;=10%,D50&lt;20%),D50-5%,D50-8%)))</f>
        <v>0</v>
      </c>
      <c r="C50" s="517">
        <f t="shared" ref="C50:C55" si="15">IF(D50&lt;10%,D50+3%,IF(AND(D50&gt;=10%,D50&lt;20%),D50+5%,D50+8%))</f>
        <v>0.06</v>
      </c>
      <c r="D50" s="540">
        <f>VLOOKUP(A50,'Asset Allocations'!A:G,6,FALSE)</f>
        <v>0.03</v>
      </c>
      <c r="E50" s="542">
        <f>VLOOKUP(A50,'Asset Allocations'!A:G,7,FALSE)</f>
        <v>0.03</v>
      </c>
      <c r="F50" s="518">
        <f t="shared" si="9"/>
        <v>0</v>
      </c>
      <c r="G50" s="587">
        <f t="shared" si="13"/>
        <v>0.05</v>
      </c>
      <c r="H50" s="519">
        <f t="shared" si="14"/>
        <v>0.03</v>
      </c>
      <c r="I50" s="520">
        <f t="shared" ref="I50:I55" si="16">IFERROR(H50-D50,"")</f>
        <v>0</v>
      </c>
      <c r="J50" s="521"/>
    </row>
    <row r="51" spans="1:10" x14ac:dyDescent="0.2">
      <c r="A51" s="528" t="s">
        <v>9529</v>
      </c>
      <c r="B51" s="517">
        <f t="shared" ref="B51:B55" si="17">MAX(0,IF(D51&lt;10%,D51-3%,IF(AND(D51&gt;=10%,D51&lt;20%),D51-5%,D51-8%)))</f>
        <v>1.0000000000000002E-2</v>
      </c>
      <c r="C51" s="517">
        <f t="shared" si="15"/>
        <v>7.0000000000000007E-2</v>
      </c>
      <c r="D51" s="540">
        <f>VLOOKUP(A51,'Asset Allocations'!A:G,6,FALSE)</f>
        <v>0.04</v>
      </c>
      <c r="E51" s="542">
        <f>VLOOKUP(A51,'Asset Allocations'!A:G,7,FALSE)</f>
        <v>0.04</v>
      </c>
      <c r="F51" s="518">
        <f t="shared" si="9"/>
        <v>0</v>
      </c>
      <c r="G51" s="587">
        <f t="shared" si="13"/>
        <v>0</v>
      </c>
      <c r="H51" s="519">
        <f t="shared" si="14"/>
        <v>0.04</v>
      </c>
      <c r="I51" s="520">
        <f t="shared" si="16"/>
        <v>0</v>
      </c>
      <c r="J51" s="521"/>
    </row>
    <row r="52" spans="1:10" x14ac:dyDescent="0.2">
      <c r="A52" s="528" t="s">
        <v>9528</v>
      </c>
      <c r="B52" s="517">
        <f t="shared" si="17"/>
        <v>1.0000000000000002E-2</v>
      </c>
      <c r="C52" s="517">
        <f t="shared" si="15"/>
        <v>7.0000000000000007E-2</v>
      </c>
      <c r="D52" s="540">
        <f>VLOOKUP(A52,'Asset Allocations'!A:G,6,FALSE)</f>
        <v>0.04</v>
      </c>
      <c r="E52" s="542">
        <f>VLOOKUP(A52,'Asset Allocations'!A:G,7,FALSE)</f>
        <v>0.04</v>
      </c>
      <c r="F52" s="518">
        <f t="shared" si="9"/>
        <v>0</v>
      </c>
      <c r="G52" s="587">
        <f t="shared" si="13"/>
        <v>0.05</v>
      </c>
      <c r="H52" s="519">
        <f t="shared" si="14"/>
        <v>0.04</v>
      </c>
      <c r="I52" s="520">
        <f t="shared" si="16"/>
        <v>0</v>
      </c>
      <c r="J52" s="521"/>
    </row>
    <row r="53" spans="1:10" x14ac:dyDescent="0.2">
      <c r="A53" s="528" t="s">
        <v>9530</v>
      </c>
      <c r="B53" s="517">
        <f t="shared" si="17"/>
        <v>0.05</v>
      </c>
      <c r="C53" s="517">
        <f t="shared" si="15"/>
        <v>0.15000000000000002</v>
      </c>
      <c r="D53" s="540">
        <f>VLOOKUP(A53,'Asset Allocations'!A:G,6,FALSE)</f>
        <v>0.1</v>
      </c>
      <c r="E53" s="542">
        <f>VLOOKUP(A53,'Asset Allocations'!A:G,7,FALSE)</f>
        <v>0.1</v>
      </c>
      <c r="F53" s="518">
        <f t="shared" si="9"/>
        <v>0</v>
      </c>
      <c r="G53" s="587">
        <f t="shared" si="13"/>
        <v>0.1</v>
      </c>
      <c r="H53" s="519">
        <f t="shared" si="14"/>
        <v>0.1</v>
      </c>
      <c r="I53" s="520">
        <f t="shared" si="16"/>
        <v>0</v>
      </c>
      <c r="J53" s="521"/>
    </row>
    <row r="54" spans="1:10" x14ac:dyDescent="0.2">
      <c r="A54" s="528" t="s">
        <v>9531</v>
      </c>
      <c r="B54" s="517">
        <f t="shared" si="17"/>
        <v>0</v>
      </c>
      <c r="C54" s="517">
        <f t="shared" si="15"/>
        <v>0.03</v>
      </c>
      <c r="D54" s="540">
        <f>VLOOKUP(A54,'Asset Allocations'!A:G,6,FALSE)</f>
        <v>0</v>
      </c>
      <c r="E54" s="542">
        <f>VLOOKUP(A54,'Asset Allocations'!A:G,7,FALSE)</f>
        <v>0</v>
      </c>
      <c r="F54" s="518">
        <f t="shared" si="9"/>
        <v>0</v>
      </c>
      <c r="G54" s="587">
        <f t="shared" si="13"/>
        <v>0</v>
      </c>
      <c r="H54" s="519">
        <f t="shared" si="14"/>
        <v>0</v>
      </c>
      <c r="I54" s="520">
        <f t="shared" si="16"/>
        <v>0</v>
      </c>
      <c r="J54" s="521"/>
    </row>
    <row r="55" spans="1:10" x14ac:dyDescent="0.2">
      <c r="A55" s="529" t="s">
        <v>45</v>
      </c>
      <c r="B55" s="517">
        <f t="shared" si="17"/>
        <v>0</v>
      </c>
      <c r="C55" s="517">
        <f t="shared" si="15"/>
        <v>0.03</v>
      </c>
      <c r="D55" s="540">
        <f>VLOOKUP(A55,'Asset Allocations'!A:G,6,FALSE)</f>
        <v>0</v>
      </c>
      <c r="E55" s="542">
        <f>VLOOKUP(A55,'Asset Allocations'!A:G,7,FALSE)</f>
        <v>0</v>
      </c>
      <c r="F55" s="518">
        <f t="shared" si="9"/>
        <v>0</v>
      </c>
      <c r="G55" s="587">
        <f t="shared" si="13"/>
        <v>0</v>
      </c>
      <c r="H55" s="519">
        <f t="shared" si="14"/>
        <v>0</v>
      </c>
      <c r="I55" s="520">
        <f t="shared" si="16"/>
        <v>0</v>
      </c>
      <c r="J55" s="521"/>
    </row>
    <row r="56" spans="1:10" ht="15" x14ac:dyDescent="0.25">
      <c r="A56" s="522" t="s">
        <v>46</v>
      </c>
      <c r="B56" s="523">
        <f>MAX(0,$D$56-5%)</f>
        <v>0.16000000000000003</v>
      </c>
      <c r="C56" s="523">
        <f>MIN(100%,$D$56+5%)</f>
        <v>0.26</v>
      </c>
      <c r="D56" s="523">
        <f>VLOOKUP(A56,'Asset Allocations'!A:G,6,FALSE)</f>
        <v>0.21000000000000002</v>
      </c>
      <c r="E56" s="523">
        <f>VLOOKUP(A56,'Asset Allocations'!A:G,7,FALSE)</f>
        <v>0.21000000000000002</v>
      </c>
      <c r="F56" s="524">
        <f t="shared" si="9"/>
        <v>0</v>
      </c>
      <c r="G56" s="546">
        <f>SUM(G50:G55)</f>
        <v>0.2</v>
      </c>
      <c r="H56" s="546">
        <f>SUM(H50:H55)</f>
        <v>0.21000000000000002</v>
      </c>
      <c r="I56" s="526">
        <f>IFERROR(IF(H56=0,"",H56-D56),"")</f>
        <v>0</v>
      </c>
      <c r="J56" s="527"/>
    </row>
    <row r="57" spans="1:10" x14ac:dyDescent="0.2">
      <c r="A57" s="530" t="s">
        <v>11</v>
      </c>
      <c r="B57" s="517">
        <f>MAX(0,IF(D57&lt;10%,D57-3%,IF(AND(D57&gt;=10%,D57&lt;20%),D57-5%,D57-8%)))</f>
        <v>0.05</v>
      </c>
      <c r="C57" s="517">
        <f>IF(D57&lt;10%,D57+3%,IF(AND(D57&gt;=10%,D57&lt;20%),D57+5%,D57+8%))</f>
        <v>0.15000000000000002</v>
      </c>
      <c r="D57" s="541">
        <f>VLOOKUP(A57,'Asset Allocations'!A:G,6,FALSE)</f>
        <v>0.1</v>
      </c>
      <c r="E57" s="542">
        <f>VLOOKUP(A57,'Asset Allocations'!A:G,7,FALSE)</f>
        <v>0.1</v>
      </c>
      <c r="F57" s="518">
        <f t="shared" si="9"/>
        <v>0</v>
      </c>
      <c r="G57" s="588">
        <f t="shared" si="13"/>
        <v>0.02</v>
      </c>
      <c r="H57" s="519">
        <f t="shared" si="14"/>
        <v>0.1</v>
      </c>
      <c r="I57" s="520">
        <f>IFERROR(H57-D57,"")</f>
        <v>0</v>
      </c>
      <c r="J57" s="531"/>
    </row>
    <row r="58" spans="1:10" ht="15" x14ac:dyDescent="0.25">
      <c r="A58" s="522" t="s">
        <v>9534</v>
      </c>
      <c r="B58" s="523">
        <f>B57</f>
        <v>0.05</v>
      </c>
      <c r="C58" s="523">
        <f>C57</f>
        <v>0.15000000000000002</v>
      </c>
      <c r="D58" s="523">
        <f>VLOOKUP(A58,'Asset Allocations'!A:G,6,FALSE)</f>
        <v>0.1</v>
      </c>
      <c r="E58" s="523">
        <f>VLOOKUP(A58,'Asset Allocations'!A:G,7,FALSE)</f>
        <v>0.1</v>
      </c>
      <c r="F58" s="532"/>
      <c r="G58" s="546">
        <f>SUM(G57)</f>
        <v>0.02</v>
      </c>
      <c r="H58" s="546">
        <f>SUM(H57)</f>
        <v>0.1</v>
      </c>
      <c r="I58" s="526">
        <f>IFERROR(IF(H58=0,"",H58-D58),"")</f>
        <v>0</v>
      </c>
      <c r="J58" s="533"/>
    </row>
    <row r="59" spans="1:10" x14ac:dyDescent="0.2">
      <c r="A59" s="530" t="s">
        <v>49</v>
      </c>
      <c r="B59" s="517">
        <f>MAX(0,IF(D59&lt;10%,D59-3%,IF(AND(D59&gt;=10%,D59&lt;20%),D59-5%,D59-8%)))</f>
        <v>2.0000000000000004E-2</v>
      </c>
      <c r="C59" s="517">
        <f>IF(D59&lt;10%,D59+3%,IF(AND(D59&gt;=10%,D59&lt;20%),D59+5%,D59+8%))</f>
        <v>0.08</v>
      </c>
      <c r="D59" s="541">
        <f>VLOOKUP(A59,'Asset Allocations'!A:G,6,FALSE)</f>
        <v>0.05</v>
      </c>
      <c r="E59" s="542">
        <f>VLOOKUP(A59,'Asset Allocations'!A:G,7,FALSE)</f>
        <v>0.05</v>
      </c>
      <c r="F59" s="518">
        <f>IFERROR(E59-D59,"")</f>
        <v>0</v>
      </c>
      <c r="G59" s="588">
        <f t="shared" si="13"/>
        <v>0</v>
      </c>
      <c r="H59" s="519">
        <f t="shared" si="14"/>
        <v>0.05</v>
      </c>
      <c r="I59" s="520">
        <f>IFERROR(H59-D59,"")</f>
        <v>0</v>
      </c>
      <c r="J59" s="531"/>
    </row>
    <row r="60" spans="1:10" ht="15" x14ac:dyDescent="0.25">
      <c r="A60" s="522" t="s">
        <v>9535</v>
      </c>
      <c r="B60" s="523">
        <f>B59</f>
        <v>2.0000000000000004E-2</v>
      </c>
      <c r="C60" s="523">
        <f t="shared" ref="C60" si="18">C59</f>
        <v>0.08</v>
      </c>
      <c r="D60" s="523">
        <f>VLOOKUP(A60,'Asset Allocations'!A:G,6,FALSE)</f>
        <v>0.05</v>
      </c>
      <c r="E60" s="523">
        <f>VLOOKUP(A60,'Asset Allocations'!A:G,7,FALSE)</f>
        <v>0.05</v>
      </c>
      <c r="F60" s="532"/>
      <c r="G60" s="546">
        <f>SUM(G59)</f>
        <v>0</v>
      </c>
      <c r="H60" s="546">
        <f>SUM(H59)</f>
        <v>0.05</v>
      </c>
      <c r="I60" s="526">
        <f>IFERROR(IF(H60=0,"",H60-D60),"")</f>
        <v>0</v>
      </c>
      <c r="J60" s="533"/>
    </row>
    <row r="61" spans="1:10" x14ac:dyDescent="0.2">
      <c r="A61" s="528" t="s">
        <v>47</v>
      </c>
      <c r="B61" s="517">
        <f>MAX(0,IF(D61&lt;10%,D61-3%,IF(AND(D61&gt;=10%,D61&lt;20%),D61-5%,D61-8%)))</f>
        <v>0</v>
      </c>
      <c r="C61" s="517">
        <f>IF(D61&lt;10%,D61+3%,IF(AND(D61&gt;=10%,D61&lt;20%),D61+5%,D61+8%))</f>
        <v>0.03</v>
      </c>
      <c r="D61" s="540">
        <f>VLOOKUP(A61,'Asset Allocations'!A:G,6,FALSE)</f>
        <v>0</v>
      </c>
      <c r="E61" s="542">
        <f>VLOOKUP(A61,'Asset Allocations'!A:G,7,FALSE)</f>
        <v>0</v>
      </c>
      <c r="F61" s="518">
        <f>IFERROR(E61-D61,"")</f>
        <v>0</v>
      </c>
      <c r="G61" s="587">
        <f t="shared" si="13"/>
        <v>0.05</v>
      </c>
      <c r="H61" s="519">
        <f t="shared" si="14"/>
        <v>0</v>
      </c>
      <c r="I61" s="520">
        <f>IFERROR(H61-D61,"")</f>
        <v>0</v>
      </c>
      <c r="J61" s="521"/>
    </row>
    <row r="62" spans="1:10" x14ac:dyDescent="0.2">
      <c r="A62" s="528" t="s">
        <v>48</v>
      </c>
      <c r="B62" s="517">
        <f>MAX(0,IF(D62&lt;10%,D62-3%,IF(AND(D62&gt;=10%,D62&lt;20%),D62-5%,D62-8%)))</f>
        <v>0</v>
      </c>
      <c r="C62" s="517">
        <f>IF(D62&lt;10%,D62+3%,IF(AND(D62&gt;=10%,D62&lt;20%),D62+5%,D62+8%))</f>
        <v>0.03</v>
      </c>
      <c r="D62" s="540">
        <f>VLOOKUP(A62,'Asset Allocations'!A:G,6,FALSE)</f>
        <v>0</v>
      </c>
      <c r="E62" s="542">
        <f>VLOOKUP(A62,'Asset Allocations'!A:G,7,FALSE)</f>
        <v>0</v>
      </c>
      <c r="F62" s="518">
        <f>IFERROR(E62-D62,"")</f>
        <v>0</v>
      </c>
      <c r="G62" s="587">
        <f t="shared" si="13"/>
        <v>0.05</v>
      </c>
      <c r="H62" s="519">
        <f t="shared" si="14"/>
        <v>0</v>
      </c>
      <c r="I62" s="520">
        <f>IFERROR(H62-D62,"")</f>
        <v>0</v>
      </c>
      <c r="J62" s="521"/>
    </row>
    <row r="63" spans="1:10" ht="15" x14ac:dyDescent="0.25">
      <c r="A63" s="522" t="s">
        <v>9536</v>
      </c>
      <c r="B63" s="523">
        <f t="shared" ref="B63:C63" si="19">SUM(B61:B62)</f>
        <v>0</v>
      </c>
      <c r="C63" s="523">
        <f t="shared" si="19"/>
        <v>0.06</v>
      </c>
      <c r="D63" s="523">
        <f>VLOOKUP(A63,'Asset Allocations'!A:G,6,FALSE)</f>
        <v>0</v>
      </c>
      <c r="E63" s="523">
        <f>VLOOKUP(A63,'Asset Allocations'!A:G,7,FALSE)</f>
        <v>0</v>
      </c>
      <c r="F63" s="524">
        <f>IFERROR(E63-D63,"")</f>
        <v>0</v>
      </c>
      <c r="G63" s="546">
        <f>SUM(G61:G62)</f>
        <v>0.1</v>
      </c>
      <c r="H63" s="546">
        <f>SUM(H61:H62)</f>
        <v>0</v>
      </c>
      <c r="I63" s="526" t="str">
        <f>IFERROR(IF(H63=0,"",H63-D63),"")</f>
        <v/>
      </c>
      <c r="J63" s="527"/>
    </row>
    <row r="64" spans="1:10" ht="15.75" thickBot="1" x14ac:dyDescent="0.3">
      <c r="A64" s="534" t="s">
        <v>9532</v>
      </c>
      <c r="B64" s="535"/>
      <c r="C64" s="536"/>
      <c r="D64" s="535">
        <f>D49+D56+D58+D60+D63</f>
        <v>1</v>
      </c>
      <c r="E64" s="535">
        <f>E49+E56+E58+E60+E63</f>
        <v>1</v>
      </c>
      <c r="F64" s="537"/>
      <c r="G64" s="535">
        <f>G49+G56+G58+G60+G63</f>
        <v>1.0000000000000002</v>
      </c>
      <c r="H64" s="535">
        <f>H49+H56+H58+H60+H63</f>
        <v>1</v>
      </c>
      <c r="I64" s="538"/>
      <c r="J64" s="539"/>
    </row>
    <row r="65" spans="1:10" ht="15" thickTop="1" x14ac:dyDescent="0.2"/>
    <row r="66" spans="1:10" ht="15" thickBot="1" x14ac:dyDescent="0.25">
      <c r="A66" s="50"/>
      <c r="J66" s="51"/>
    </row>
    <row r="67" spans="1:10" ht="15" x14ac:dyDescent="0.25">
      <c r="A67" s="102" t="s">
        <v>50</v>
      </c>
      <c r="B67" s="103"/>
      <c r="C67" s="103"/>
      <c r="D67" s="103"/>
      <c r="E67" s="103"/>
      <c r="F67" s="103"/>
      <c r="G67" s="590"/>
      <c r="H67" s="103"/>
      <c r="I67" s="103"/>
      <c r="J67" s="104"/>
    </row>
    <row r="68" spans="1:10" x14ac:dyDescent="0.2">
      <c r="A68" s="105"/>
      <c r="B68" s="57"/>
      <c r="C68" s="57"/>
      <c r="D68" s="57"/>
      <c r="E68" s="57"/>
      <c r="F68" s="57"/>
      <c r="G68" s="591"/>
      <c r="H68" s="57"/>
      <c r="I68" s="57"/>
      <c r="J68" s="106"/>
    </row>
    <row r="69" spans="1:10" x14ac:dyDescent="0.2">
      <c r="A69" s="113" t="s">
        <v>9527</v>
      </c>
      <c r="B69" s="113"/>
      <c r="C69" s="57"/>
      <c r="D69" s="57"/>
      <c r="E69" s="57"/>
      <c r="F69" s="57"/>
      <c r="G69" s="591"/>
      <c r="H69" s="57"/>
      <c r="I69" s="57"/>
      <c r="J69" s="106"/>
    </row>
    <row r="70" spans="1:10" x14ac:dyDescent="0.2">
      <c r="A70" s="105" t="s">
        <v>8876</v>
      </c>
      <c r="B70" s="105"/>
      <c r="C70" s="57"/>
      <c r="D70" s="57"/>
      <c r="E70" s="57"/>
      <c r="F70" s="57"/>
      <c r="G70" s="591"/>
      <c r="H70" s="57"/>
      <c r="I70" s="57"/>
      <c r="J70" s="106"/>
    </row>
    <row r="71" spans="1:10" x14ac:dyDescent="0.2">
      <c r="A71" s="105"/>
      <c r="B71" s="562"/>
      <c r="C71" s="57"/>
      <c r="D71" s="57"/>
      <c r="E71" s="57"/>
      <c r="F71" s="57"/>
      <c r="G71" s="591"/>
      <c r="H71" s="57"/>
      <c r="I71" s="57"/>
      <c r="J71" s="106"/>
    </row>
    <row r="72" spans="1:10" x14ac:dyDescent="0.2">
      <c r="A72" s="105"/>
      <c r="B72" s="562"/>
      <c r="C72" s="57"/>
      <c r="D72" s="57"/>
      <c r="E72" s="57"/>
      <c r="F72" s="57"/>
      <c r="G72" s="591"/>
      <c r="H72" s="57"/>
      <c r="I72" s="57"/>
      <c r="J72" s="106"/>
    </row>
    <row r="73" spans="1:10" x14ac:dyDescent="0.2">
      <c r="A73" s="105"/>
      <c r="B73" s="562"/>
      <c r="C73" s="57"/>
      <c r="D73" s="57"/>
      <c r="E73" s="57"/>
      <c r="F73" s="57"/>
      <c r="G73" s="591"/>
      <c r="H73" s="57"/>
      <c r="I73" s="57"/>
      <c r="J73" s="106"/>
    </row>
    <row r="74" spans="1:10" x14ac:dyDescent="0.2">
      <c r="A74" s="105"/>
      <c r="B74" s="57"/>
      <c r="C74" s="57"/>
      <c r="D74" s="57"/>
      <c r="E74" s="57"/>
      <c r="F74" s="57"/>
      <c r="G74" s="591"/>
      <c r="H74" s="57"/>
      <c r="I74" s="57"/>
      <c r="J74" s="106"/>
    </row>
    <row r="75" spans="1:10" x14ac:dyDescent="0.2">
      <c r="A75" s="105"/>
      <c r="B75" s="57"/>
      <c r="C75" s="57"/>
      <c r="D75" s="57"/>
      <c r="E75" s="57"/>
      <c r="F75" s="57"/>
      <c r="G75" s="591"/>
      <c r="H75" s="57"/>
      <c r="I75" s="57"/>
      <c r="J75" s="106"/>
    </row>
    <row r="76" spans="1:10" x14ac:dyDescent="0.2">
      <c r="A76" s="105"/>
      <c r="B76" s="57"/>
      <c r="C76" s="57"/>
      <c r="D76" s="57"/>
      <c r="E76" s="57"/>
      <c r="F76" s="57"/>
      <c r="G76" s="591"/>
      <c r="H76" s="57"/>
      <c r="I76" s="57"/>
      <c r="J76" s="106"/>
    </row>
    <row r="77" spans="1:10" x14ac:dyDescent="0.2">
      <c r="A77" s="105"/>
      <c r="B77" s="57"/>
      <c r="C77" s="57"/>
      <c r="D77" s="57"/>
      <c r="E77" s="57"/>
      <c r="F77" s="57"/>
      <c r="G77" s="591"/>
      <c r="H77" s="57"/>
      <c r="I77" s="57"/>
      <c r="J77" s="106"/>
    </row>
    <row r="78" spans="1:10" x14ac:dyDescent="0.2">
      <c r="A78" s="105"/>
      <c r="B78" s="57"/>
      <c r="C78" s="57"/>
      <c r="D78" s="57"/>
      <c r="E78" s="57"/>
      <c r="F78" s="57"/>
      <c r="G78" s="591"/>
      <c r="H78" s="57"/>
      <c r="I78" s="57"/>
      <c r="J78" s="106"/>
    </row>
    <row r="79" spans="1:10" x14ac:dyDescent="0.2">
      <c r="A79" s="113"/>
      <c r="B79" s="57"/>
      <c r="C79" s="57"/>
      <c r="D79" s="57"/>
      <c r="E79" s="57"/>
      <c r="F79" s="57"/>
      <c r="G79" s="591"/>
      <c r="H79" s="57"/>
      <c r="I79" s="57"/>
      <c r="J79" s="106"/>
    </row>
    <row r="80" spans="1:10" x14ac:dyDescent="0.2">
      <c r="A80" s="113"/>
      <c r="B80" s="57"/>
      <c r="C80" s="57"/>
      <c r="D80" s="57"/>
      <c r="E80" s="57"/>
      <c r="F80" s="57"/>
      <c r="G80" s="591"/>
      <c r="H80" s="57"/>
      <c r="I80" s="57"/>
      <c r="J80" s="106"/>
    </row>
    <row r="81" spans="1:10" x14ac:dyDescent="0.2">
      <c r="A81" s="113"/>
      <c r="B81" s="57"/>
      <c r="C81" s="57"/>
      <c r="D81" s="57"/>
      <c r="E81" s="57"/>
      <c r="F81" s="57"/>
      <c r="G81" s="591"/>
      <c r="H81" s="57"/>
      <c r="I81" s="57"/>
      <c r="J81" s="106"/>
    </row>
    <row r="82" spans="1:10" x14ac:dyDescent="0.2">
      <c r="A82" s="113"/>
      <c r="B82" s="57"/>
      <c r="C82" s="57"/>
      <c r="D82" s="57"/>
      <c r="E82" s="57"/>
      <c r="F82" s="57"/>
      <c r="G82" s="591"/>
      <c r="H82" s="57"/>
      <c r="I82" s="57"/>
      <c r="J82" s="106"/>
    </row>
    <row r="83" spans="1:10" x14ac:dyDescent="0.2">
      <c r="A83" s="113"/>
      <c r="B83" s="57"/>
      <c r="C83" s="57"/>
      <c r="D83" s="57"/>
      <c r="E83" s="57"/>
      <c r="F83" s="57"/>
      <c r="G83" s="591"/>
      <c r="H83" s="57"/>
      <c r="I83" s="57"/>
      <c r="J83" s="106"/>
    </row>
    <row r="84" spans="1:10" x14ac:dyDescent="0.2">
      <c r="A84" s="105"/>
      <c r="B84" s="57"/>
      <c r="C84" s="57"/>
      <c r="D84" s="57"/>
      <c r="E84" s="57"/>
      <c r="F84" s="57"/>
      <c r="G84" s="591"/>
      <c r="H84" s="57"/>
      <c r="I84" s="57"/>
      <c r="J84" s="106"/>
    </row>
    <row r="85" spans="1:10" x14ac:dyDescent="0.2">
      <c r="A85" s="105"/>
      <c r="B85" s="57"/>
      <c r="C85" s="57"/>
      <c r="D85" s="57"/>
      <c r="E85" s="57"/>
      <c r="F85" s="57"/>
      <c r="G85" s="591"/>
      <c r="H85" s="57"/>
      <c r="I85" s="57"/>
      <c r="J85" s="106"/>
    </row>
    <row r="86" spans="1:10" x14ac:dyDescent="0.2">
      <c r="A86" s="105"/>
      <c r="B86" s="57"/>
      <c r="C86" s="57"/>
      <c r="D86" s="57"/>
      <c r="E86" s="57"/>
      <c r="F86" s="57"/>
      <c r="G86" s="591"/>
      <c r="H86" s="57"/>
      <c r="I86" s="57"/>
      <c r="J86" s="106"/>
    </row>
    <row r="87" spans="1:10" x14ac:dyDescent="0.2">
      <c r="A87" s="105"/>
      <c r="B87" s="57"/>
      <c r="C87" s="57"/>
      <c r="D87" s="57"/>
      <c r="E87" s="57"/>
      <c r="F87" s="57"/>
      <c r="G87" s="591"/>
      <c r="H87" s="57"/>
      <c r="I87" s="57"/>
      <c r="J87" s="106"/>
    </row>
    <row r="88" spans="1:10" x14ac:dyDescent="0.2">
      <c r="A88" s="105"/>
      <c r="B88" s="57"/>
      <c r="C88" s="57"/>
      <c r="D88" s="57"/>
      <c r="E88" s="57"/>
      <c r="F88" s="57"/>
      <c r="G88" s="591"/>
      <c r="H88" s="57"/>
      <c r="I88" s="57"/>
      <c r="J88" s="106"/>
    </row>
    <row r="89" spans="1:10" x14ac:dyDescent="0.2">
      <c r="A89" s="105"/>
      <c r="B89" s="57"/>
      <c r="C89" s="57"/>
      <c r="D89" s="57"/>
      <c r="E89" s="57"/>
      <c r="F89" s="57"/>
      <c r="G89" s="591"/>
      <c r="H89" s="57"/>
      <c r="I89" s="57"/>
      <c r="J89" s="106"/>
    </row>
    <row r="90" spans="1:10" x14ac:dyDescent="0.2">
      <c r="A90" s="105"/>
      <c r="B90" s="57"/>
      <c r="C90" s="57"/>
      <c r="D90" s="57"/>
      <c r="E90" s="57"/>
      <c r="F90" s="57"/>
      <c r="G90" s="591"/>
      <c r="H90" s="57"/>
      <c r="I90" s="57"/>
      <c r="J90" s="106"/>
    </row>
    <row r="91" spans="1:10" x14ac:dyDescent="0.2">
      <c r="A91" s="105"/>
      <c r="B91" s="57"/>
      <c r="C91" s="57"/>
      <c r="D91" s="57"/>
      <c r="E91" s="57"/>
      <c r="F91" s="57"/>
      <c r="G91" s="591"/>
      <c r="H91" s="57"/>
      <c r="I91" s="57"/>
      <c r="J91" s="106"/>
    </row>
    <row r="92" spans="1:10" x14ac:dyDescent="0.2">
      <c r="A92" s="105"/>
      <c r="B92" s="57"/>
      <c r="C92" s="57"/>
      <c r="D92" s="57"/>
      <c r="E92" s="57"/>
      <c r="F92" s="57"/>
      <c r="G92" s="591"/>
      <c r="H92" s="57"/>
      <c r="I92" s="57"/>
      <c r="J92" s="106"/>
    </row>
    <row r="93" spans="1:10" x14ac:dyDescent="0.2">
      <c r="A93" s="105"/>
      <c r="B93" s="57"/>
      <c r="C93" s="57"/>
      <c r="D93" s="57"/>
      <c r="E93" s="57"/>
      <c r="F93" s="57"/>
      <c r="G93" s="591"/>
      <c r="H93" s="57"/>
      <c r="I93" s="57"/>
      <c r="J93" s="106"/>
    </row>
    <row r="94" spans="1:10" x14ac:dyDescent="0.2">
      <c r="A94" s="105"/>
      <c r="B94" s="57"/>
      <c r="C94" s="57"/>
      <c r="D94" s="57"/>
      <c r="E94" s="57"/>
      <c r="F94" s="57"/>
      <c r="G94" s="591"/>
      <c r="H94" s="57"/>
      <c r="I94" s="57"/>
      <c r="J94" s="106"/>
    </row>
    <row r="95" spans="1:10" x14ac:dyDescent="0.2">
      <c r="A95" s="105"/>
      <c r="B95" s="57"/>
      <c r="C95" s="57"/>
      <c r="D95" s="57"/>
      <c r="E95" s="57"/>
      <c r="F95" s="57"/>
      <c r="G95" s="591"/>
      <c r="H95" s="57"/>
      <c r="I95" s="57"/>
      <c r="J95" s="106"/>
    </row>
    <row r="96" spans="1:10" x14ac:dyDescent="0.2">
      <c r="A96" s="105"/>
      <c r="B96" s="57"/>
      <c r="C96" s="57"/>
      <c r="D96" s="57"/>
      <c r="E96" s="57"/>
      <c r="F96" s="57"/>
      <c r="G96" s="591"/>
      <c r="H96" s="57"/>
      <c r="I96" s="57"/>
      <c r="J96" s="106"/>
    </row>
    <row r="97" spans="1:10" x14ac:dyDescent="0.2">
      <c r="A97" s="105"/>
      <c r="B97" s="57"/>
      <c r="C97" s="57"/>
      <c r="D97" s="57"/>
      <c r="E97" s="57"/>
      <c r="F97" s="57"/>
      <c r="G97" s="591"/>
      <c r="H97" s="57"/>
      <c r="I97" s="57"/>
      <c r="J97" s="106"/>
    </row>
    <row r="98" spans="1:10" x14ac:dyDescent="0.2">
      <c r="A98" s="105"/>
      <c r="B98" s="57"/>
      <c r="C98" s="57"/>
      <c r="D98" s="57"/>
      <c r="E98" s="57"/>
      <c r="F98" s="57"/>
      <c r="G98" s="591"/>
      <c r="H98" s="57"/>
      <c r="I98" s="57"/>
      <c r="J98" s="106"/>
    </row>
    <row r="99" spans="1:10" x14ac:dyDescent="0.2">
      <c r="A99" s="105"/>
      <c r="B99" s="57"/>
      <c r="C99" s="57"/>
      <c r="D99" s="57"/>
      <c r="E99" s="57"/>
      <c r="F99" s="57"/>
      <c r="G99" s="591"/>
      <c r="H99" s="57"/>
      <c r="I99" s="57"/>
      <c r="J99" s="106"/>
    </row>
    <row r="100" spans="1:10" x14ac:dyDescent="0.2">
      <c r="A100" s="105"/>
      <c r="B100" s="57"/>
      <c r="C100" s="57"/>
      <c r="D100" s="57"/>
      <c r="E100" s="57"/>
      <c r="F100" s="57"/>
      <c r="G100" s="591"/>
      <c r="H100" s="57"/>
      <c r="I100" s="57"/>
      <c r="J100" s="106"/>
    </row>
    <row r="101" spans="1:10" ht="15" thickBot="1" x14ac:dyDescent="0.25">
      <c r="A101" s="107"/>
      <c r="B101" s="108"/>
      <c r="C101" s="108"/>
      <c r="D101" s="108"/>
      <c r="E101" s="108"/>
      <c r="F101" s="108"/>
      <c r="G101" s="592"/>
      <c r="H101" s="108"/>
      <c r="I101" s="108"/>
      <c r="J101" s="109"/>
    </row>
  </sheetData>
  <sheetProtection selectLockedCells="1"/>
  <sortState xmlns:xlrd2="http://schemas.microsoft.com/office/spreadsheetml/2017/richdata2" ref="A5:J37">
    <sortCondition ref="E5:E37"/>
    <sortCondition ref="B5:B37"/>
  </sortState>
  <mergeCells count="2">
    <mergeCell ref="A1:K1"/>
    <mergeCell ref="B2:K2"/>
  </mergeCells>
  <phoneticPr fontId="9" type="noConversion"/>
  <conditionalFormatting sqref="A4:E4 A26:G28 B25:G25 B5:E24 G4:G25 B29:G38">
    <cfRule type="expression" dxfId="309" priority="94">
      <formula>AND($F4&lt;&gt;"",$F4=0%)</formula>
    </cfRule>
  </conditionalFormatting>
  <conditionalFormatting sqref="A4:E4 A26:G28 B25:G25 B5:E24 G4:G25 B29:G38">
    <cfRule type="expression" dxfId="308" priority="95">
      <formula>AND($G4&lt;&gt;"",$G4=0%)</formula>
    </cfRule>
  </conditionalFormatting>
  <conditionalFormatting sqref="A4 A26:A28 G4:G24 F25:G38">
    <cfRule type="expression" dxfId="307" priority="96">
      <formula>$A4=""</formula>
    </cfRule>
    <cfRule type="expression" dxfId="306" priority="97">
      <formula>$A4&lt;&gt;""</formula>
    </cfRule>
  </conditionalFormatting>
  <conditionalFormatting sqref="H42:H55 H57 H59 H61:H62 G49">
    <cfRule type="cellIs" dxfId="305" priority="85" operator="lessThan">
      <formula>$B42</formula>
    </cfRule>
    <cfRule type="cellIs" dxfId="304" priority="86" operator="greaterThan">
      <formula>$C42</formula>
    </cfRule>
  </conditionalFormatting>
  <conditionalFormatting sqref="G56:H56">
    <cfRule type="cellIs" dxfId="303" priority="83" operator="lessThan">
      <formula>$B56</formula>
    </cfRule>
    <cfRule type="cellIs" dxfId="302" priority="84" operator="greaterThan">
      <formula>$C56</formula>
    </cfRule>
  </conditionalFormatting>
  <conditionalFormatting sqref="G56:H56">
    <cfRule type="expression" priority="82" stopIfTrue="1">
      <formula>$G$39=0</formula>
    </cfRule>
  </conditionalFormatting>
  <conditionalFormatting sqref="G58:H58">
    <cfRule type="cellIs" dxfId="301" priority="80" operator="lessThan">
      <formula>$B58</formula>
    </cfRule>
    <cfRule type="cellIs" dxfId="300" priority="81" operator="greaterThan">
      <formula>$C58</formula>
    </cfRule>
  </conditionalFormatting>
  <conditionalFormatting sqref="G58:H58">
    <cfRule type="expression" priority="79" stopIfTrue="1">
      <formula>$G$39=0</formula>
    </cfRule>
  </conditionalFormatting>
  <conditionalFormatting sqref="G60:H60">
    <cfRule type="cellIs" dxfId="299" priority="77" operator="lessThan">
      <formula>$B60</formula>
    </cfRule>
    <cfRule type="cellIs" dxfId="298" priority="78" operator="greaterThan">
      <formula>$C60</formula>
    </cfRule>
  </conditionalFormatting>
  <conditionalFormatting sqref="G60:H60">
    <cfRule type="expression" priority="76" stopIfTrue="1">
      <formula>$G$39=0</formula>
    </cfRule>
  </conditionalFormatting>
  <conditionalFormatting sqref="G63:H63">
    <cfRule type="cellIs" dxfId="297" priority="74" operator="lessThan">
      <formula>$B63</formula>
    </cfRule>
    <cfRule type="cellIs" dxfId="296" priority="75" operator="greaterThan">
      <formula>$C63</formula>
    </cfRule>
  </conditionalFormatting>
  <conditionalFormatting sqref="G63:H63">
    <cfRule type="expression" priority="73" stopIfTrue="1">
      <formula>$G$39=0</formula>
    </cfRule>
  </conditionalFormatting>
  <conditionalFormatting sqref="A25">
    <cfRule type="expression" dxfId="295" priority="45">
      <formula>AND($F25&lt;&gt;"",$F25=0%)</formula>
    </cfRule>
  </conditionalFormatting>
  <conditionalFormatting sqref="A25">
    <cfRule type="expression" dxfId="294" priority="46">
      <formula>AND($G25&lt;&gt;"",$G25=0%)</formula>
    </cfRule>
  </conditionalFormatting>
  <conditionalFormatting sqref="A25">
    <cfRule type="expression" dxfId="293" priority="47">
      <formula>$A25=""</formula>
    </cfRule>
    <cfRule type="expression" dxfId="292" priority="48">
      <formula>$A25&lt;&gt;""</formula>
    </cfRule>
  </conditionalFormatting>
  <conditionalFormatting sqref="A30">
    <cfRule type="expression" dxfId="291" priority="41">
      <formula>AND($F30&lt;&gt;"",$F30=0%)</formula>
    </cfRule>
  </conditionalFormatting>
  <conditionalFormatting sqref="A30">
    <cfRule type="expression" dxfId="290" priority="42">
      <formula>AND($G30&lt;&gt;"",$G30=0%)</formula>
    </cfRule>
  </conditionalFormatting>
  <conditionalFormatting sqref="A30">
    <cfRule type="expression" dxfId="289" priority="43">
      <formula>$A30=""</formula>
    </cfRule>
    <cfRule type="expression" dxfId="288" priority="44">
      <formula>$A30&lt;&gt;""</formula>
    </cfRule>
  </conditionalFormatting>
  <conditionalFormatting sqref="A31:A38">
    <cfRule type="expression" dxfId="287" priority="37">
      <formula>AND($F31&lt;&gt;"",$F31=0%)</formula>
    </cfRule>
  </conditionalFormatting>
  <conditionalFormatting sqref="A31:A38">
    <cfRule type="expression" dxfId="286" priority="38">
      <formula>AND($G31&lt;&gt;"",$G31=0%)</formula>
    </cfRule>
  </conditionalFormatting>
  <conditionalFormatting sqref="A31:A38">
    <cfRule type="expression" dxfId="285" priority="39">
      <formula>$A31=""</formula>
    </cfRule>
    <cfRule type="expression" dxfId="284" priority="40">
      <formula>$A31&lt;&gt;""</formula>
    </cfRule>
  </conditionalFormatting>
  <conditionalFormatting sqref="A29">
    <cfRule type="expression" dxfId="283" priority="33">
      <formula>AND($F29&lt;&gt;"",$F29=0%)</formula>
    </cfRule>
  </conditionalFormatting>
  <conditionalFormatting sqref="A29">
    <cfRule type="expression" dxfId="282" priority="34">
      <formula>AND($G29&lt;&gt;"",$G29=0%)</formula>
    </cfRule>
  </conditionalFormatting>
  <conditionalFormatting sqref="A29">
    <cfRule type="expression" dxfId="281" priority="35">
      <formula>$A29=""</formula>
    </cfRule>
    <cfRule type="expression" dxfId="280" priority="36">
      <formula>$A29&lt;&gt;""</formula>
    </cfRule>
  </conditionalFormatting>
  <conditionalFormatting sqref="A5:A24">
    <cfRule type="expression" dxfId="279" priority="5">
      <formula>AND($F5&lt;&gt;"",$F5=0%)</formula>
    </cfRule>
  </conditionalFormatting>
  <conditionalFormatting sqref="A5:A24">
    <cfRule type="expression" dxfId="278" priority="6">
      <formula>AND($G5&lt;&gt;"",$G5=0%)</formula>
    </cfRule>
  </conditionalFormatting>
  <conditionalFormatting sqref="A5:A24">
    <cfRule type="expression" dxfId="277" priority="7">
      <formula>$A5=""</formula>
    </cfRule>
    <cfRule type="expression" dxfId="276" priority="8">
      <formula>$A5&lt;&gt;""</formula>
    </cfRule>
  </conditionalFormatting>
  <conditionalFormatting sqref="F4:F24">
    <cfRule type="expression" dxfId="275" priority="1">
      <formula>AND($F4&lt;&gt;"",$F4=0%)</formula>
    </cfRule>
  </conditionalFormatting>
  <conditionalFormatting sqref="F4:F24">
    <cfRule type="expression" dxfId="274" priority="2">
      <formula>AND($G4&lt;&gt;"",$G4=0%)</formula>
    </cfRule>
  </conditionalFormatting>
  <conditionalFormatting sqref="F4:F24">
    <cfRule type="expression" dxfId="273" priority="3">
      <formula>$A4=""</formula>
    </cfRule>
    <cfRule type="expression" dxfId="272" priority="4">
      <formula>$A4&lt;&gt;""</formula>
    </cfRule>
  </conditionalFormatting>
  <pageMargins left="0.25" right="0.25" top="0.75" bottom="0.75" header="0.3" footer="0.3"/>
  <pageSetup paperSize="9" scale="69" orientation="landscape" r:id="rId1"/>
  <ignoredErrors>
    <ignoredError sqref="H4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9" id="{6F90D1F2-4044-48BD-A67E-FB479BA8B4F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I42:I48</xm:sqref>
        </x14:conditionalFormatting>
        <x14:conditionalFormatting xmlns:xm="http://schemas.microsoft.com/office/excel/2006/main">
          <x14:cfRule type="iconSet" priority="88" id="{D621EE4B-57B4-4218-8930-4E934EBC902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F64</xm:sqref>
        </x14:conditionalFormatting>
        <x14:conditionalFormatting xmlns:xm="http://schemas.microsoft.com/office/excel/2006/main">
          <x14:cfRule type="iconSet" priority="87" id="{BBF20F91-D471-4104-8828-B6F733D382B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I50:I55</xm:sqref>
        </x14:conditionalFormatting>
        <x14:conditionalFormatting xmlns:xm="http://schemas.microsoft.com/office/excel/2006/main">
          <x14:cfRule type="iconSet" priority="90" id="{1F842EF5-5226-4EEF-A940-26C00AFBA18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F42:F63</xm:sqref>
        </x14:conditionalFormatting>
        <x14:conditionalFormatting xmlns:xm="http://schemas.microsoft.com/office/excel/2006/main">
          <x14:cfRule type="iconSet" priority="91" id="{393BDDC9-E856-422A-8C96-9A899F2D692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I57 I59 I61:I62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7 9 0 0 4 4 5 4 - 1 5 5 c - 4 4 e 9 - 9 5 b 2 - 7 c 2 b 7 2 b 1 c d f 5 "   x m l n s = " h t t p : / / s c h e m a s . m i c r o s o f t . c o m / D a t a M a s h u p " > A A A A A P 8 D A A B Q S w M E F A A C A A g A W Y O I U l m P 2 i C l A A A A 9 Q A A A B I A H A B D b 2 5 m a W c v U G F j a 2 F n Z S 5 4 b W w g o h g A K K A U A A A A A A A A A A A A A A A A A A A A A A A A A A A A h Y 8 x D o I w G I W v Q r r T l h o T J D 8 l 0 c F F E h M T 4 9 q U C o 1 Q D C 2 W u z l 4 J K 8 g R l E 3 x / e 9 b 3 j v f r 1 B N j R 1 c F G d 1 a 1 J U Y Q p C p S R b a F N m a L e H c M Y Z R y 2 Q p 5 E q Y J R N j Y Z b J G i y r l z Q o j 3 H v s Z b r u S M E o j c s g 3 O 1 m p R q C P r P / L o T b W C S M V 4 r B / j e E M L y i e x w x T I B O D X J t v z 8 a 5 z / Y H w q q v X d 8 p r k y 4 X g K Z I p D 3 B f 4 A U E s D B B Q A A g A I A F m D i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g 4 h S s 9 Q + y / g A A A B s A Q A A E w A c A E Z v c m 1 1 b G F z L 1 N l Y 3 R p b 2 4 x L m 0 g o h g A K K A U A A A A A A A A A A A A A A A A A A A A A A A A A A A A l Z B P a 4 N A E M X v g t 9 h M R A U s r o r r n 8 a p K i 5 9 F Z i S g + l h 9 G d V M F o c N e a f v s a C s F r h w d v G H j 8 e K O w 1 u 3 Q k / L P + d 4 0 T E M 1 M K I k G 6 v R + q q e P G + e Z 3 J G 6 K H 7 0 W 2 t S D 1 c v B N U H R J Q 1 9 t z C d 8 o j 6 i m T q u X Q w o c Q T I R 0 k g m M c W K c 5 r w w K e M W S Q l H W r T I M u U w z T W u F z e s X J f 4 Q v t + 1 I M v c Z e K 3 s N d 1 d w 9 w F 3 / w f n Q k g m k y A K t 7 c u 5 d s 3 h e M S 8 H O W R 1 G S 0 a z w Y x q I P K R x J h j l U e E H P B M 8 L + I l c M T z i K o 5 g I a U W z v y c W o v O E w 6 3 c h p h P v v b L Y j i 7 h Y z P l 0 H N N o + 3 X T / S 9 Q S w E C L Q A U A A I A C A B Z g 4 h S W Y / a I K U A A A D 1 A A A A E g A A A A A A A A A A A A A A A A A A A A A A Q 2 9 u Z m l n L 1 B h Y 2 t h Z 2 U u e G 1 s U E s B A i 0 A F A A C A A g A W Y O I U g / K 6 a u k A A A A 6 Q A A A B M A A A A A A A A A A A A A A A A A 8 Q A A A F t D b 2 5 0 Z W 5 0 X 1 R 5 c G V z X S 5 4 b W x Q S w E C L Q A U A A I A C A B Z g 4 h S s 9 Q + y / g A A A B s A Q A A E w A A A A A A A A A A A A A A A A D i A Q A A R m 9 y b X V s Y X M v U 2 V j d G l v b j E u b V B L B Q Y A A A A A A w A D A M I A A A A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D A A A A A A A A D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n d 3 d y U y M G Z l Y W 5 h b H l 0 a W N z J T I w Y 2 9 t J T J G V G F i b G U l M j B h c 3 B 4 J T N G U 2 F 2 Z W R S Z X N 1 b H R z S U Q l M 0 R h M W V h Z D A 1 N i 0 3 Z D k 4 L W V i M T E t O T E 0 M i 0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0 d H B z O l x c L 1 x c L 3 d 3 d y B m Z W F u Y W x 5 d G l j c y B j b 2 1 c X C 9 U Y W J s Z S B h c 3 B 4 P 1 N h d m V k U m V z d W x 0 c 0 l E P W E x Z W F k M D U 2 L T d k O T g t Z W I x M S 0 5 M T Q y L T A w L 0 F 1 d G 9 S Z W 1 v d m V k Q 2 9 s d W 1 u c z E u e 0 N h c H R p b 2 4 s M H 0 m c X V v d D s s J n F 1 b 3 Q 7 U 2 V j d G l v b j E v a H R 0 c H M 6 X F w v X F w v d 3 d 3 I G Z l Y W 5 h b H l 0 a W N z I G N v b V x c L 1 R h Y m x l I G F z c H g / U 2 F 2 Z W R S Z X N 1 b H R z S U Q 9 Y T F l Y W Q w N T Y t N 2 Q 5 O C 1 l Y j E x L T k x N D I t M D A v Q X V 0 b 1 J l b W 9 2 Z W R D b 2 x 1 b W 5 z M S 5 7 U 2 9 1 c m N l L D F 9 J n F 1 b 3 Q 7 L C Z x d W 9 0 O 1 N l Y 3 R p b 2 4 x L 2 h 0 d H B z O l x c L 1 x c L 3 d 3 d y B m Z W F u Y W x 5 d G l j c y B j b 2 1 c X C 9 U Y W J s Z S B h c 3 B 4 P 1 N h d m V k U m V z d W x 0 c 0 l E P W E x Z W F k M D U 2 L T d k O T g t Z W I x M S 0 5 M T Q y L T A w L 0 F 1 d G 9 S Z W 1 v d m V k Q 2 9 s d W 1 u c z E u e 0 N s Y X N z T m F t Z S w y f S Z x d W 9 0 O y w m c X V v d D t T Z W N 0 a W 9 u M S 9 o d H R w c z p c X C 9 c X C 9 3 d 3 c g Z m V h b m F s e X R p Y 3 M g Y 2 9 t X F w v V G F i b G U g Y X N w e D 9 T Y X Z l Z F J l c 3 V s d H N J R D 1 h M W V h Z D A 1 N i 0 3 Z D k 4 L W V i M T E t O T E 0 M i 0 w M C 9 B d X R v U m V t b 3 Z l Z E N v b H V t b n M x L n t J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d H R w c z p c X C 9 c X C 9 3 d 3 c g Z m V h b m F s e X R p Y 3 M g Y 2 9 t X F w v V G F i b G U g Y X N w e D 9 T Y X Z l Z F J l c 3 V s d H N J R D 1 h M W V h Z D A 1 N i 0 3 Z D k 4 L W V i M T E t O T E 0 M i 0 w M C 9 B d X R v U m V t b 3 Z l Z E N v b H V t b n M x L n t D Y X B 0 a W 9 u L D B 9 J n F 1 b 3 Q 7 L C Z x d W 9 0 O 1 N l Y 3 R p b 2 4 x L 2 h 0 d H B z O l x c L 1 x c L 3 d 3 d y B m Z W F u Y W x 5 d G l j c y B j b 2 1 c X C 9 U Y W J s Z S B h c 3 B 4 P 1 N h d m V k U m V z d W x 0 c 0 l E P W E x Z W F k M D U 2 L T d k O T g t Z W I x M S 0 5 M T Q y L T A w L 0 F 1 d G 9 S Z W 1 v d m V k Q 2 9 s d W 1 u c z E u e 1 N v d X J j Z S w x f S Z x d W 9 0 O y w m c X V v d D t T Z W N 0 a W 9 u M S 9 o d H R w c z p c X C 9 c X C 9 3 d 3 c g Z m V h b m F s e X R p Y 3 M g Y 2 9 t X F w v V G F i b G U g Y X N w e D 9 T Y X Z l Z F J l c 3 V s d H N J R D 1 h M W V h Z D A 1 N i 0 3 Z D k 4 L W V i M T E t O T E 0 M i 0 w M C 9 B d X R v U m V t b 3 Z l Z E N v b H V t b n M x L n t D b G F z c 0 5 h b W U s M n 0 m c X V v d D s s J n F 1 b 3 Q 7 U 2 V j d G l v b j E v a H R 0 c H M 6 X F w v X F w v d 3 d 3 I G Z l Y W 5 h b H l 0 a W N z I G N v b V x c L 1 R h Y m x l I G F z c H g / U 2 F 2 Z W R S Z X N 1 b H R z S U Q 9 Y T F l Y W Q w N T Y t N 2 Q 5 O C 1 l Y j E x L T k x N D I t M D A v Q X V 0 b 1 J l b W 9 2 Z W R D b 2 x 1 b W 5 z M S 5 7 S W Q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h c H R p b 2 4 m c X V v d D s s J n F 1 b 3 Q 7 U 2 9 1 c m N l J n F 1 b 3 Q 7 L C Z x d W 9 0 O 0 N s Y X N z T m F t Z S Z x d W 9 0 O y w m c X V v d D t J Z C Z x d W 9 0 O 1 0 i I C 8 + P E V u d H J 5 I F R 5 c G U 9 I k Z p b G x D b 2 x 1 b W 5 U e X B l c y I g V m F s d W U 9 I n N C Z 1 l H Q m c 9 P S I g L z 4 8 R W 5 0 c n k g V H l w Z T 0 i R m l s b E x h c 3 R V c G R h d G V k I i B W Y W x 1 Z T 0 i Z D I w M j E t M D Q t M D h U M T U 6 M j U 6 M D k u M j U 1 N D Y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R W 5 0 c n k g V H l w Z T 0 i U X V l c n l J R C I g V m F s d W U 9 I n M 3 N T V k Z j I 1 N y 0 y Y 2 R l L T R m Z j U t O T l i M S 0 4 Z G Q 1 M z E 0 M z k w O G M i I C 8 + P C 9 T d G F i b G V F b n R y a W V z P j w v S X R l b T 4 8 S X R l b T 4 8 S X R l b U x v Y 2 F 0 a W 9 u P j x J d G V t V H l w Z T 5 G b 3 J t d W x h P C 9 J d G V t V H l w Z T 4 8 S X R l b V B h d G g + U 2 V j d G l v b j E v a H R 0 c H M l M 0 E l M k Y l M k Z 3 d 3 c l M j B m Z W F u Y W x 5 d G l j c y U y M G N v b S U y R l R h Y m x l J T I w Y X N w e C U z R l N h d m V k U m V z d W x 0 c 0 l E J T N E Y T F l Y W Q w N T Y t N 2 Q 5 O C 1 l Y j E x L T k x N D I t M D A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v V 1 R k Y V B d O v G B o L V R d U l Y A A A A A A g A A A A A A E G Y A A A A B A A A g A A A A K B m k z S a n c T s Q i y R H t / q V r k Y 8 K 7 v j S k 3 3 R E J 6 k q 3 6 m k o A A A A A D o A A A A A C A A A g A A A A A j D o 7 6 5 o C P 8 / a D L N 5 + 4 v R 1 V f 8 q O B T X P X w d n f K r j X 7 H p Q A A A A 2 N w 4 a 2 W w F 0 6 Y P F 4 I z X a 2 R X X B T w 1 u p C i G + G 1 V o m K M g 5 i f O m p R 0 i M i J L X X 5 B z 2 j s 1 4 d n 1 j F L D O g / D S c s P o N z I r O h x o d s e q 5 L f b d 9 6 M x t 2 i 2 9 x A A A A A B t d X V y L w 8 L H U w t + M P H P y C W a u b n 5 I Y U 2 g M 8 Z 0 U 0 j p a v H N l 8 C r J J o T t b w x E v A A 2 p q G O a a F z G P a 7 c x H p s L u s A 3 S b Q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F6181127B8334483A369606B061EFE" ma:contentTypeVersion="8" ma:contentTypeDescription="Create a new document." ma:contentTypeScope="" ma:versionID="6327bfcb9aff90b60bce5be4f96287b0">
  <xsd:schema xmlns:xsd="http://www.w3.org/2001/XMLSchema" xmlns:xs="http://www.w3.org/2001/XMLSchema" xmlns:p="http://schemas.microsoft.com/office/2006/metadata/properties" xmlns:ns2="729e72b4-8006-475f-ad21-ba78f58de45a" targetNamespace="http://schemas.microsoft.com/office/2006/metadata/properties" ma:root="true" ma:fieldsID="ddb894067b7e06efc0df31e70600b9ff" ns2:_="">
    <xsd:import namespace="729e72b4-8006-475f-ad21-ba78f58de4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e72b4-8006-475f-ad21-ba78f58de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EA30FD2-0CA4-482B-8278-4D55534F02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5C1681-2EC3-4B09-9F55-5ACA7FD51734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729e72b4-8006-475f-ad21-ba78f58de45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7B006E-E939-4AD6-8870-AF02ECF6F6C4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56C4FC27-8AC7-40FF-9031-743C0B9DE5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9e72b4-8006-475f-ad21-ba78f58de4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13</vt:i4>
      </vt:variant>
    </vt:vector>
  </HeadingPairs>
  <TitlesOfParts>
    <vt:vector size="32" baseType="lpstr">
      <vt:lpstr>Data</vt:lpstr>
      <vt:lpstr>Asset Allocations</vt:lpstr>
      <vt:lpstr>Funds</vt:lpstr>
      <vt:lpstr>Models</vt:lpstr>
      <vt:lpstr>DT03 Defender</vt:lpstr>
      <vt:lpstr>Sheet1</vt:lpstr>
      <vt:lpstr>Day 1</vt:lpstr>
      <vt:lpstr>DT04 Prudence</vt:lpstr>
      <vt:lpstr>DT05 Navigator</vt:lpstr>
      <vt:lpstr>DT06 Meridian</vt:lpstr>
      <vt:lpstr>DT07 Explorer</vt:lpstr>
      <vt:lpstr>DT08 Voyager</vt:lpstr>
      <vt:lpstr>DT09 Adventurer</vt:lpstr>
      <vt:lpstr>DT10 Pioneer</vt:lpstr>
      <vt:lpstr>All Portfolios (Old) </vt:lpstr>
      <vt:lpstr>All Portfolios (New)</vt:lpstr>
      <vt:lpstr>Novia Web Query</vt:lpstr>
      <vt:lpstr>Sectors</vt:lpstr>
      <vt:lpstr>Novia Funds</vt:lpstr>
      <vt:lpstr>Date</vt:lpstr>
      <vt:lpstr>'All Portfolios (New)'!Print_Area</vt:lpstr>
      <vt:lpstr>'All Portfolios (Old) '!Print_Area</vt:lpstr>
      <vt:lpstr>'Asset Allocations'!Print_Area</vt:lpstr>
      <vt:lpstr>'DT04 Prudence'!Print_Area</vt:lpstr>
      <vt:lpstr>'DT05 Navigator'!Print_Area</vt:lpstr>
      <vt:lpstr>'DT06 Meridian'!Print_Area</vt:lpstr>
      <vt:lpstr>'DT07 Explorer'!Print_Area</vt:lpstr>
      <vt:lpstr>'DT08 Voyager'!Print_Area</vt:lpstr>
      <vt:lpstr>'DT09 Adventurer'!Print_Area</vt:lpstr>
      <vt:lpstr>'DT10 Pioneer'!Print_Area</vt:lpstr>
      <vt:lpstr>Funds!Print_Area</vt:lpstr>
      <vt:lpstr>Models!Print_Area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Clarion Investment Management Platform Investment Models</dc:title>
  <dc:subject/>
  <dc:creator>AWareing@clarionwealth.co.uk</dc:creator>
  <cp:keywords/>
  <dc:description/>
  <cp:lastModifiedBy>Dmitry Konev</cp:lastModifiedBy>
  <cp:revision/>
  <cp:lastPrinted>2022-06-28T13:34:49Z</cp:lastPrinted>
  <dcterms:created xsi:type="dcterms:W3CDTF">2015-03-17T11:49:11Z</dcterms:created>
  <dcterms:modified xsi:type="dcterms:W3CDTF">2022-07-08T10:18:08Z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0x01010058F6181127B8334483A369606B061EFE</vt:lpwstr>
  </property>
  <property fmtid="{D5CDD505-2E9C-101B-9397-08002B2CF9AE}" pid="3" name="AuthorIds_UIVersion_16896">
    <vt:lpwstr>30</vt:lpwstr>
  </property>
  <property fmtid="{D5CDD505-2E9C-101B-9397-08002B2CF9AE}" pid="4" name="AuthorIds_UIVersion_19456">
    <vt:lpwstr>109</vt:lpwstr>
  </property>
  <property fmtid="{D5CDD505-2E9C-101B-9397-08002B2CF9AE}" pid="5" name="MSIP_Label_5b3f6bee-25a2-4071-976d-445ec8dd7ff4_Enabled">
    <vt:lpwstr>true</vt:lpwstr>
  </property>
  <property fmtid="{D5CDD505-2E9C-101B-9397-08002B2CF9AE}" pid="6" name="MSIP_Label_5b3f6bee-25a2-4071-976d-445ec8dd7ff4_SetDate">
    <vt:lpwstr>2021-01-27T09:37:26Z</vt:lpwstr>
  </property>
  <property fmtid="{D5CDD505-2E9C-101B-9397-08002B2CF9AE}" pid="7" name="MSIP_Label_5b3f6bee-25a2-4071-976d-445ec8dd7ff4_Method">
    <vt:lpwstr>Privileged</vt:lpwstr>
  </property>
  <property fmtid="{D5CDD505-2E9C-101B-9397-08002B2CF9AE}" pid="8" name="MSIP_Label_5b3f6bee-25a2-4071-976d-445ec8dd7ff4_Name">
    <vt:lpwstr>Public</vt:lpwstr>
  </property>
  <property fmtid="{D5CDD505-2E9C-101B-9397-08002B2CF9AE}" pid="9" name="MSIP_Label_5b3f6bee-25a2-4071-976d-445ec8dd7ff4_SiteId">
    <vt:lpwstr>2fe7c763-103c-4fdb-a047-7a3df607800d</vt:lpwstr>
  </property>
  <property fmtid="{D5CDD505-2E9C-101B-9397-08002B2CF9AE}" pid="10" name="MSIP_Label_5b3f6bee-25a2-4071-976d-445ec8dd7ff4_ActionId">
    <vt:lpwstr>b0ae0460-a4df-4f86-bd4f-ac4afdfe41d6</vt:lpwstr>
  </property>
  <property fmtid="{D5CDD505-2E9C-101B-9397-08002B2CF9AE}" pid="11" name="MSIP_Label_5b3f6bee-25a2-4071-976d-445ec8dd7ff4_ContentBits">
    <vt:lpwstr>0</vt:lpwstr>
  </property>
  <property fmtid="{D5CDD505-2E9C-101B-9397-08002B2CF9AE}" pid="12" name="Order">
    <vt:r8>100</vt:r8>
  </property>
  <property fmtid="{D5CDD505-2E9C-101B-9397-08002B2CF9AE}" pid="13" name="xd_Signature">
    <vt:bool>false</vt:bool>
  </property>
  <property fmtid="{D5CDD505-2E9C-101B-9397-08002B2CF9AE}" pid="14" name="xd_ProgID">
    <vt:lpwstr/>
  </property>
  <property fmtid="{D5CDD505-2E9C-101B-9397-08002B2CF9AE}" pid="15" name="_ExtendedDescription">
    <vt:lpwstr/>
  </property>
  <property fmtid="{D5CDD505-2E9C-101B-9397-08002B2CF9AE}" pid="16" name="ComplianceAssetId">
    <vt:lpwstr/>
  </property>
  <property fmtid="{D5CDD505-2E9C-101B-9397-08002B2CF9AE}" pid="17" name="TemplateUrl">
    <vt:lpwstr/>
  </property>
  <property fmtid="{D5CDD505-2E9C-101B-9397-08002B2CF9AE}" pid="18" name="TriggerFlowInfo">
    <vt:lpwstr/>
  </property>
</Properties>
</file>