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infiles1.campus.ad.uvm.edu\dross\MyDocs\Research\P Index and P in tiles\TP\"/>
    </mc:Choice>
  </mc:AlternateContent>
  <bookViews>
    <workbookView xWindow="0" yWindow="0" windowWidth="2925" windowHeight="6510"/>
  </bookViews>
  <sheets>
    <sheet name="export Nov 18 - Jun 19" sheetId="1" r:id="rId1"/>
    <sheet name="events only" sheetId="4" r:id="rId2"/>
    <sheet name="graph" sheetId="3" r:id="rId3"/>
  </sheets>
  <calcPr calcId="152511"/>
</workbook>
</file>

<file path=xl/calcChain.xml><?xml version="1.0" encoding="utf-8"?>
<calcChain xmlns="http://schemas.openxmlformats.org/spreadsheetml/2006/main">
  <c r="N257" i="1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H236" i="1" l="1"/>
  <c r="H193" i="1"/>
  <c r="H172" i="1"/>
  <c r="H89" i="1"/>
  <c r="H231" i="1" l="1"/>
  <c r="H255" i="1" l="1"/>
  <c r="G250" i="1"/>
  <c r="G251" i="1"/>
  <c r="G252" i="1"/>
  <c r="G253" i="1"/>
  <c r="G254" i="1"/>
  <c r="G255" i="1"/>
  <c r="F245" i="1"/>
  <c r="G245" i="1" s="1"/>
  <c r="H245" i="1" s="1"/>
  <c r="G239" i="1"/>
  <c r="G235" i="1"/>
  <c r="G236" i="1"/>
  <c r="G240" i="1"/>
  <c r="G241" i="1"/>
  <c r="G242" i="1"/>
  <c r="G246" i="1"/>
  <c r="G248" i="1"/>
  <c r="F236" i="1"/>
  <c r="H215" i="1"/>
  <c r="G230" i="1" l="1"/>
  <c r="F228" i="1"/>
  <c r="F225" i="1"/>
  <c r="F224" i="1"/>
  <c r="F223" i="1"/>
  <c r="F222" i="1"/>
  <c r="F221" i="1"/>
  <c r="F220" i="1"/>
  <c r="F216" i="1"/>
  <c r="F215" i="1" l="1"/>
  <c r="G215" i="1" s="1"/>
  <c r="F210" i="1" l="1"/>
  <c r="G210" i="1" s="1"/>
  <c r="F207" i="1"/>
  <c r="F206" i="1"/>
  <c r="G206" i="1" s="1"/>
  <c r="F205" i="1"/>
  <c r="G205" i="1" s="1"/>
  <c r="F204" i="1"/>
  <c r="F202" i="1"/>
  <c r="G202" i="1" s="1"/>
  <c r="F201" i="1"/>
  <c r="G201" i="1" s="1"/>
  <c r="F200" i="1"/>
  <c r="F199" i="1"/>
  <c r="G199" i="1" s="1"/>
  <c r="F198" i="1"/>
  <c r="G198" i="1" s="1"/>
  <c r="F197" i="1"/>
  <c r="G197" i="1" s="1"/>
  <c r="F196" i="1"/>
  <c r="G196" i="1" s="1"/>
  <c r="F195" i="1"/>
  <c r="G195" i="1" s="1"/>
  <c r="F187" i="1"/>
  <c r="G187" i="1" s="1"/>
  <c r="F186" i="1"/>
  <c r="G186" i="1" s="1"/>
  <c r="F185" i="1"/>
  <c r="F183" i="1"/>
  <c r="G183" i="1" s="1"/>
  <c r="F181" i="1"/>
  <c r="G181" i="1" s="1"/>
  <c r="F179" i="1"/>
  <c r="F178" i="1"/>
  <c r="G178" i="1" s="1"/>
  <c r="F176" i="1"/>
  <c r="F174" i="1"/>
  <c r="G174" i="1" s="1"/>
  <c r="F172" i="1"/>
  <c r="G172" i="1" s="1"/>
  <c r="F171" i="1"/>
  <c r="G171" i="1"/>
  <c r="F170" i="1"/>
  <c r="F169" i="1"/>
  <c r="F166" i="1"/>
  <c r="G166" i="1" s="1"/>
  <c r="H166" i="1" s="1"/>
  <c r="G165" i="1"/>
  <c r="F165" i="1"/>
  <c r="F164" i="1"/>
  <c r="G164" i="1" s="1"/>
  <c r="F162" i="1"/>
  <c r="G162" i="1" s="1"/>
  <c r="F160" i="1"/>
  <c r="G160" i="1" s="1"/>
  <c r="F158" i="1"/>
  <c r="G158" i="1" s="1"/>
  <c r="F156" i="1"/>
  <c r="G156" i="1" s="1"/>
  <c r="F155" i="1"/>
  <c r="G155" i="1" s="1"/>
  <c r="G153" i="1"/>
  <c r="G154" i="1"/>
  <c r="G157" i="1"/>
  <c r="G159" i="1"/>
  <c r="G161" i="1"/>
  <c r="G163" i="1"/>
  <c r="G167" i="1"/>
  <c r="G168" i="1"/>
  <c r="G169" i="1"/>
  <c r="G170" i="1"/>
  <c r="G175" i="1"/>
  <c r="G176" i="1"/>
  <c r="G177" i="1"/>
  <c r="G179" i="1"/>
  <c r="G180" i="1"/>
  <c r="G182" i="1"/>
  <c r="G184" i="1"/>
  <c r="G185" i="1"/>
  <c r="G188" i="1"/>
  <c r="G189" i="1"/>
  <c r="G190" i="1"/>
  <c r="G191" i="1"/>
  <c r="G192" i="1"/>
  <c r="G193" i="1"/>
  <c r="G194" i="1"/>
  <c r="H195" i="1" s="1"/>
  <c r="G200" i="1"/>
  <c r="G204" i="1"/>
  <c r="H205" i="1" s="1"/>
  <c r="G207" i="1"/>
  <c r="G208" i="1"/>
  <c r="G211" i="1"/>
  <c r="G212" i="1"/>
  <c r="G214" i="1"/>
  <c r="G216" i="1"/>
  <c r="H216" i="1" s="1"/>
  <c r="G218" i="1"/>
  <c r="G219" i="1"/>
  <c r="G220" i="1"/>
  <c r="G221" i="1"/>
  <c r="G222" i="1"/>
  <c r="G223" i="1"/>
  <c r="G224" i="1"/>
  <c r="G225" i="1"/>
  <c r="G226" i="1"/>
  <c r="G228" i="1"/>
  <c r="G229" i="1"/>
  <c r="G231" i="1"/>
  <c r="G234" i="1"/>
  <c r="F152" i="1"/>
  <c r="G152" i="1" s="1"/>
  <c r="H152" i="1" s="1"/>
  <c r="G151" i="1"/>
  <c r="E150" i="1"/>
  <c r="G150" i="1" s="1"/>
  <c r="F148" i="1"/>
  <c r="G148" i="1" s="1"/>
  <c r="F149" i="1"/>
  <c r="F146" i="1"/>
  <c r="G146" i="1" s="1"/>
  <c r="F145" i="1"/>
  <c r="G145" i="1" s="1"/>
  <c r="F144" i="1"/>
  <c r="F142" i="1"/>
  <c r="G142" i="1" s="1"/>
  <c r="F141" i="1"/>
  <c r="F140" i="1"/>
  <c r="G140" i="1" s="1"/>
  <c r="F139" i="1"/>
  <c r="F138" i="1"/>
  <c r="G138" i="1" s="1"/>
  <c r="G149" i="1"/>
  <c r="G147" i="1"/>
  <c r="G144" i="1"/>
  <c r="G143" i="1"/>
  <c r="H144" i="1" s="1"/>
  <c r="G141" i="1"/>
  <c r="G139" i="1"/>
  <c r="G137" i="1"/>
  <c r="G135" i="1"/>
  <c r="G134" i="1"/>
  <c r="F133" i="1"/>
  <c r="G133" i="1" s="1"/>
  <c r="G130" i="1"/>
  <c r="G129" i="1"/>
  <c r="G128" i="1"/>
  <c r="G125" i="1"/>
  <c r="G124" i="1"/>
  <c r="F127" i="1"/>
  <c r="G127" i="1" s="1"/>
  <c r="F122" i="1"/>
  <c r="G122" i="1" s="1"/>
  <c r="H133" i="1" s="1"/>
  <c r="F121" i="1"/>
  <c r="F120" i="1"/>
  <c r="F119" i="1"/>
  <c r="F118" i="1"/>
  <c r="F117" i="1"/>
  <c r="G117" i="1" s="1"/>
  <c r="H117" i="1" s="1"/>
  <c r="F116" i="1"/>
  <c r="G116" i="1" s="1"/>
  <c r="F115" i="1"/>
  <c r="F114" i="1"/>
  <c r="F113" i="1"/>
  <c r="F112" i="1"/>
  <c r="F107" i="1"/>
  <c r="G107" i="1" s="1"/>
  <c r="F108" i="1"/>
  <c r="F110" i="1"/>
  <c r="G110" i="1" s="1"/>
  <c r="F111" i="1"/>
  <c r="G111" i="1" s="1"/>
  <c r="G109" i="1"/>
  <c r="F106" i="1"/>
  <c r="F103" i="1"/>
  <c r="G103" i="1" s="1"/>
  <c r="H103" i="1" s="1"/>
  <c r="G121" i="1"/>
  <c r="G120" i="1"/>
  <c r="G119" i="1"/>
  <c r="G118" i="1"/>
  <c r="G115" i="1"/>
  <c r="G114" i="1"/>
  <c r="G113" i="1"/>
  <c r="G112" i="1"/>
  <c r="G108" i="1"/>
  <c r="G106" i="1"/>
  <c r="G105" i="1"/>
  <c r="G104" i="1"/>
  <c r="G102" i="1"/>
  <c r="G95" i="1"/>
  <c r="G96" i="1"/>
  <c r="G97" i="1"/>
  <c r="G98" i="1"/>
  <c r="G99" i="1"/>
  <c r="G100" i="1"/>
  <c r="G101" i="1"/>
  <c r="G94" i="1"/>
  <c r="H212" i="1" l="1"/>
  <c r="H142" i="1"/>
  <c r="H151" i="1"/>
  <c r="H230" i="1"/>
  <c r="H186" i="1"/>
  <c r="H176" i="1"/>
  <c r="H202" i="1"/>
  <c r="H116" i="1"/>
  <c r="H208" i="1"/>
  <c r="H121" i="1"/>
  <c r="H224" i="1"/>
  <c r="H165" i="1"/>
  <c r="H102" i="1"/>
  <c r="F92" i="1" l="1"/>
  <c r="G92" i="1"/>
  <c r="F91" i="1"/>
  <c r="G91" i="1" s="1"/>
  <c r="H92" i="1" s="1"/>
  <c r="F48" i="1" l="1"/>
  <c r="F89" i="1" l="1"/>
  <c r="G89" i="1"/>
  <c r="F88" i="1"/>
  <c r="G88" i="1" s="1"/>
  <c r="H88" i="1" s="1"/>
  <c r="F87" i="1"/>
  <c r="G87" i="1" s="1"/>
  <c r="H87" i="1" s="1"/>
  <c r="F86" i="1"/>
  <c r="G86" i="1" s="1"/>
  <c r="G78" i="1"/>
  <c r="G79" i="1"/>
  <c r="G80" i="1"/>
  <c r="G81" i="1"/>
  <c r="G82" i="1"/>
  <c r="G83" i="1"/>
  <c r="G84" i="1"/>
  <c r="G85" i="1"/>
  <c r="G77" i="1"/>
  <c r="G72" i="1"/>
  <c r="G73" i="1"/>
  <c r="H74" i="1" s="1"/>
  <c r="F73" i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0" i="1"/>
  <c r="G60" i="1" s="1"/>
  <c r="F59" i="1"/>
  <c r="G56" i="1"/>
  <c r="G55" i="1"/>
  <c r="G54" i="1"/>
  <c r="G53" i="1"/>
  <c r="G50" i="1"/>
  <c r="F49" i="1"/>
  <c r="G49" i="1" s="1"/>
  <c r="G48" i="1"/>
  <c r="H48" i="1" s="1"/>
  <c r="F47" i="1"/>
  <c r="G47" i="1" s="1"/>
  <c r="H47" i="1" s="1"/>
  <c r="G59" i="1" l="1"/>
  <c r="H67" i="1" s="1"/>
  <c r="H90" i="1" s="1"/>
  <c r="F90" i="1"/>
  <c r="H86" i="1"/>
  <c r="H56" i="1"/>
  <c r="H71" i="1"/>
  <c r="F46" i="1" l="1"/>
  <c r="G46" i="1" s="1"/>
  <c r="F45" i="1"/>
  <c r="G45" i="1" s="1"/>
  <c r="F44" i="1"/>
  <c r="G44" i="1" s="1"/>
  <c r="F43" i="1"/>
  <c r="G43" i="1" s="1"/>
  <c r="G39" i="1"/>
  <c r="G38" i="1"/>
  <c r="G37" i="1"/>
  <c r="G36" i="1"/>
  <c r="G34" i="1"/>
  <c r="G33" i="1"/>
  <c r="F30" i="1"/>
  <c r="G30" i="1" s="1"/>
  <c r="G29" i="1"/>
  <c r="G28" i="1"/>
  <c r="F27" i="1"/>
  <c r="G27" i="1" s="1"/>
  <c r="F26" i="1"/>
  <c r="G26" i="1" s="1"/>
  <c r="F25" i="1"/>
  <c r="G25" i="1" s="1"/>
  <c r="F23" i="1"/>
  <c r="G23" i="1" s="1"/>
  <c r="G22" i="1"/>
  <c r="G21" i="1"/>
  <c r="G20" i="1"/>
  <c r="G19" i="1"/>
  <c r="G18" i="1"/>
  <c r="G16" i="1"/>
  <c r="F15" i="1"/>
  <c r="G15" i="1" s="1"/>
  <c r="G13" i="1"/>
  <c r="F14" i="1"/>
  <c r="G14" i="1" s="1"/>
  <c r="G12" i="1"/>
  <c r="G11" i="1"/>
  <c r="G8" i="1"/>
  <c r="G7" i="1"/>
  <c r="G5" i="1"/>
  <c r="F9" i="1"/>
  <c r="G9" i="1" s="1"/>
  <c r="F10" i="1"/>
  <c r="G10" i="1" s="1"/>
  <c r="H38" i="1" l="1"/>
  <c r="H19" i="1"/>
  <c r="H30" i="1"/>
  <c r="H46" i="1"/>
  <c r="H10" i="1"/>
  <c r="H258" i="1" l="1"/>
  <c r="H259" i="1" s="1"/>
  <c r="L257" i="1" l="1"/>
  <c r="F258" i="1" l="1"/>
  <c r="F261" i="1" s="1"/>
  <c r="N258" i="1" l="1"/>
</calcChain>
</file>

<file path=xl/comments1.xml><?xml version="1.0" encoding="utf-8"?>
<comments xmlns="http://schemas.openxmlformats.org/spreadsheetml/2006/main">
  <authors>
    <author>Don Ross</author>
  </authors>
  <commentList>
    <comment ref="E38" authorId="0" shapeId="0">
      <text>
        <r>
          <rPr>
            <b/>
            <sz val="9"/>
            <color indexed="81"/>
            <rFont val="Tahoma"/>
            <family val="2"/>
          </rPr>
          <t>Don Ross:</t>
        </r>
        <r>
          <rPr>
            <sz val="9"/>
            <color indexed="81"/>
            <rFont val="Tahoma"/>
            <family val="2"/>
          </rPr>
          <t xml:space="preserve">
Way high relative to TSS</t>
        </r>
      </text>
    </comment>
  </commentList>
</comments>
</file>

<file path=xl/comments2.xml><?xml version="1.0" encoding="utf-8"?>
<comments xmlns="http://schemas.openxmlformats.org/spreadsheetml/2006/main">
  <authors>
    <author>Don Ross</author>
  </authors>
  <commentList>
    <comment ref="E38" authorId="0" shapeId="0">
      <text>
        <r>
          <rPr>
            <b/>
            <sz val="9"/>
            <color indexed="81"/>
            <rFont val="Tahoma"/>
            <family val="2"/>
          </rPr>
          <t>Don Ross:</t>
        </r>
        <r>
          <rPr>
            <sz val="9"/>
            <color indexed="81"/>
            <rFont val="Tahoma"/>
            <family val="2"/>
          </rPr>
          <t xml:space="preserve">
Way high relative to TSS</t>
        </r>
      </text>
    </comment>
  </commentList>
</comments>
</file>

<file path=xl/sharedStrings.xml><?xml version="1.0" encoding="utf-8"?>
<sst xmlns="http://schemas.openxmlformats.org/spreadsheetml/2006/main" count="876" uniqueCount="337">
  <si>
    <t>cells</t>
  </si>
  <si>
    <t>grams of P</t>
  </si>
  <si>
    <t>AHS 107</t>
  </si>
  <si>
    <t>AHS 108</t>
  </si>
  <si>
    <t>AHS 109</t>
  </si>
  <si>
    <t>AHS 110</t>
  </si>
  <si>
    <t>AHS 111</t>
  </si>
  <si>
    <t>AHS 112</t>
  </si>
  <si>
    <t>AHS 113</t>
  </si>
  <si>
    <t>AHS 114</t>
  </si>
  <si>
    <t>AHS 115</t>
  </si>
  <si>
    <t>AHS 116</t>
  </si>
  <si>
    <t>AHS 117</t>
  </si>
  <si>
    <t>AHS 118</t>
  </si>
  <si>
    <t xml:space="preserve">AHS 119 </t>
  </si>
  <si>
    <t xml:space="preserve">AHS 120 </t>
  </si>
  <si>
    <t>AHS 121</t>
  </si>
  <si>
    <t>AHS 122</t>
  </si>
  <si>
    <t>AHS 123</t>
  </si>
  <si>
    <t>AHS 124</t>
  </si>
  <si>
    <t>AHS 125</t>
  </si>
  <si>
    <t xml:space="preserve">AHS 126 </t>
  </si>
  <si>
    <t xml:space="preserve">AHS 127 </t>
  </si>
  <si>
    <t>AHS 128</t>
  </si>
  <si>
    <t>AHS 129</t>
  </si>
  <si>
    <t xml:space="preserve">AHS 130 </t>
  </si>
  <si>
    <t>AHS 131</t>
  </si>
  <si>
    <t>AHS 132</t>
  </si>
  <si>
    <t>AHS 133</t>
  </si>
  <si>
    <t>AHS 134</t>
  </si>
  <si>
    <t>AHS 135</t>
  </si>
  <si>
    <t xml:space="preserve">AHS 136 </t>
  </si>
  <si>
    <t xml:space="preserve">AHS 137 </t>
  </si>
  <si>
    <t>AHS 138</t>
  </si>
  <si>
    <t>AHS 139</t>
  </si>
  <si>
    <t xml:space="preserve">AHS 140 </t>
  </si>
  <si>
    <t xml:space="preserve">AHS 141 </t>
  </si>
  <si>
    <t>AHS 142</t>
  </si>
  <si>
    <t>AHS 143</t>
  </si>
  <si>
    <t>AHS 144</t>
  </si>
  <si>
    <t>AHS 145</t>
  </si>
  <si>
    <t>AHS 146</t>
  </si>
  <si>
    <t>AHS 147</t>
  </si>
  <si>
    <t>AHS 148</t>
  </si>
  <si>
    <t>AHS 149</t>
  </si>
  <si>
    <t xml:space="preserve">AHS 150 </t>
  </si>
  <si>
    <t>AHS 151</t>
  </si>
  <si>
    <t>AHS 152</t>
  </si>
  <si>
    <t>AHS 153</t>
  </si>
  <si>
    <t>AHS 154</t>
  </si>
  <si>
    <t>AHS 156</t>
  </si>
  <si>
    <t>AHS 157</t>
  </si>
  <si>
    <t>AHS 158</t>
  </si>
  <si>
    <t>AHS 158.5</t>
  </si>
  <si>
    <t>AHS 159</t>
  </si>
  <si>
    <t>AHS 160</t>
  </si>
  <si>
    <t>AHS 161</t>
  </si>
  <si>
    <t>AHS 162</t>
  </si>
  <si>
    <t>AHS 162.5</t>
  </si>
  <si>
    <t>AHS 163</t>
  </si>
  <si>
    <t>AHS 164</t>
  </si>
  <si>
    <t>AHS 165</t>
  </si>
  <si>
    <t>AHS 166</t>
  </si>
  <si>
    <t>AHS 167</t>
  </si>
  <si>
    <t>AHS 168</t>
  </si>
  <si>
    <t xml:space="preserve">AHS 169 </t>
  </si>
  <si>
    <t>AHS 170</t>
  </si>
  <si>
    <t>AHS 170.5</t>
  </si>
  <si>
    <t>AHS 171</t>
  </si>
  <si>
    <t>AHS 172</t>
  </si>
  <si>
    <t>AHS 173</t>
  </si>
  <si>
    <t>AHS 174</t>
  </si>
  <si>
    <t>AHS 175</t>
  </si>
  <si>
    <t>AHS 176</t>
  </si>
  <si>
    <t>AHS 177</t>
  </si>
  <si>
    <t>AHS 178</t>
  </si>
  <si>
    <t>AHS 179</t>
  </si>
  <si>
    <t>AHS 180</t>
  </si>
  <si>
    <t>AHS 181</t>
  </si>
  <si>
    <t>AHS 182</t>
  </si>
  <si>
    <t>AHS 183</t>
  </si>
  <si>
    <t>AHS 184</t>
  </si>
  <si>
    <t>AHS 185</t>
  </si>
  <si>
    <t>hectares</t>
  </si>
  <si>
    <t>pounds</t>
  </si>
  <si>
    <t>acres</t>
  </si>
  <si>
    <t>AHS 186</t>
  </si>
  <si>
    <t>AHS 187</t>
  </si>
  <si>
    <t>AHS 188</t>
  </si>
  <si>
    <t>AHS 189</t>
  </si>
  <si>
    <t>AHS 190</t>
  </si>
  <si>
    <t>AHS 191</t>
  </si>
  <si>
    <t>AHS 192</t>
  </si>
  <si>
    <t>AHS 193</t>
  </si>
  <si>
    <t>AHS 194</t>
  </si>
  <si>
    <t>AHS 195</t>
  </si>
  <si>
    <t>AHS 196</t>
  </si>
  <si>
    <t>AHS 197</t>
  </si>
  <si>
    <t>AHS 198</t>
  </si>
  <si>
    <t>AHS 199</t>
  </si>
  <si>
    <t>AHS 257</t>
  </si>
  <si>
    <t>AHS 258</t>
  </si>
  <si>
    <t>AHS 259</t>
  </si>
  <si>
    <t>AHS 260</t>
  </si>
  <si>
    <t>AHS 261</t>
  </si>
  <si>
    <t>AHS 262</t>
  </si>
  <si>
    <t>AHS 263</t>
  </si>
  <si>
    <t>AHS 264</t>
  </si>
  <si>
    <t>AHS 265</t>
  </si>
  <si>
    <t>AHS 266</t>
  </si>
  <si>
    <t>AHS 267</t>
  </si>
  <si>
    <t>AHS 268</t>
  </si>
  <si>
    <t>AHS 269</t>
  </si>
  <si>
    <t>AHS 302</t>
  </si>
  <si>
    <t>AHS 303</t>
  </si>
  <si>
    <t>AHS 304</t>
  </si>
  <si>
    <t>AHS 305</t>
  </si>
  <si>
    <t>Dates of storms</t>
  </si>
  <si>
    <t xml:space="preserve"> </t>
  </si>
  <si>
    <t>storm total (lb)</t>
  </si>
  <si>
    <t xml:space="preserve">AHS 201  </t>
  </si>
  <si>
    <t>AHS 202</t>
  </si>
  <si>
    <t>AHS 203</t>
  </si>
  <si>
    <t>AHS 204</t>
  </si>
  <si>
    <t>AHS 205</t>
  </si>
  <si>
    <t>AHS 206</t>
  </si>
  <si>
    <t>AHS 207</t>
  </si>
  <si>
    <t>AHS 208</t>
  </si>
  <si>
    <t>AHS 209</t>
  </si>
  <si>
    <t>AHS 210</t>
  </si>
  <si>
    <t>AHS 211</t>
  </si>
  <si>
    <t>AHS 212</t>
  </si>
  <si>
    <t>AHS 213</t>
  </si>
  <si>
    <t>AHS 214</t>
  </si>
  <si>
    <t>AHS 215</t>
  </si>
  <si>
    <t xml:space="preserve">AHS 216  </t>
  </si>
  <si>
    <t>AHS 217</t>
  </si>
  <si>
    <t>AHS 218</t>
  </si>
  <si>
    <t>AHS 219</t>
  </si>
  <si>
    <t>AHS 220</t>
  </si>
  <si>
    <t>AHS 221</t>
  </si>
  <si>
    <t>AHS 270</t>
  </si>
  <si>
    <t>AHS 271</t>
  </si>
  <si>
    <t>AHS 272</t>
  </si>
  <si>
    <t>AHS 273</t>
  </si>
  <si>
    <t>AHS 274</t>
  </si>
  <si>
    <t>AHS 275</t>
  </si>
  <si>
    <t>AHS 276</t>
  </si>
  <si>
    <t>AHS 277</t>
  </si>
  <si>
    <t>AHS 278</t>
  </si>
  <si>
    <t>AHS 279</t>
  </si>
  <si>
    <t>AHS 280</t>
  </si>
  <si>
    <t>AHS 281</t>
  </si>
  <si>
    <t>AHS 282</t>
  </si>
  <si>
    <t>AHS 283</t>
  </si>
  <si>
    <t>AHS 284</t>
  </si>
  <si>
    <t>AHS 285</t>
  </si>
  <si>
    <t>AHS 286</t>
  </si>
  <si>
    <t>AHS 287</t>
  </si>
  <si>
    <t>AHS 288</t>
  </si>
  <si>
    <t>AHS 289</t>
  </si>
  <si>
    <t>AHS 290</t>
  </si>
  <si>
    <t>AHS 291</t>
  </si>
  <si>
    <t>AHS 292</t>
  </si>
  <si>
    <t>AHS 293</t>
  </si>
  <si>
    <t>AHS 294</t>
  </si>
  <si>
    <t>AHS 295</t>
  </si>
  <si>
    <t>AHS 296</t>
  </si>
  <si>
    <t>AHS 297</t>
  </si>
  <si>
    <t>AHS 298</t>
  </si>
  <si>
    <t>AHS 299</t>
  </si>
  <si>
    <t>AHS 300</t>
  </si>
  <si>
    <t>AHS 301</t>
  </si>
  <si>
    <t>AHS 306</t>
  </si>
  <si>
    <t>AHS 307</t>
  </si>
  <si>
    <t>AHS 308</t>
  </si>
  <si>
    <t>AHS 309</t>
  </si>
  <si>
    <t>AHS 310</t>
  </si>
  <si>
    <t>AHS 311</t>
  </si>
  <si>
    <t>AHS 312</t>
  </si>
  <si>
    <t>AHS 313</t>
  </si>
  <si>
    <t>AHS 314</t>
  </si>
  <si>
    <t>AHS 315</t>
  </si>
  <si>
    <t>AHS 316</t>
  </si>
  <si>
    <t>AHS 317</t>
  </si>
  <si>
    <t>AHS 318</t>
  </si>
  <si>
    <t xml:space="preserve">AHS 319  </t>
  </si>
  <si>
    <t>AHS 320</t>
  </si>
  <si>
    <t>AHS 321</t>
  </si>
  <si>
    <t>AHS 322</t>
  </si>
  <si>
    <t>AHS 323</t>
  </si>
  <si>
    <t>AHS 324</t>
  </si>
  <si>
    <t xml:space="preserve">AHS 325  </t>
  </si>
  <si>
    <t>AHS 326</t>
  </si>
  <si>
    <t>AHS 210-27</t>
  </si>
  <si>
    <t>AHS 211-27</t>
  </si>
  <si>
    <t>AHS 212-27</t>
  </si>
  <si>
    <t>ASH 213-27</t>
  </si>
  <si>
    <t>AHS 222</t>
  </si>
  <si>
    <t>AHS 223</t>
  </si>
  <si>
    <t>AHS 224</t>
  </si>
  <si>
    <t>AHS 248</t>
  </si>
  <si>
    <t>AHS 249</t>
  </si>
  <si>
    <t>AHS 250</t>
  </si>
  <si>
    <t>AHS 251</t>
  </si>
  <si>
    <t>AHS 252</t>
  </si>
  <si>
    <t>210-27</t>
  </si>
  <si>
    <t>211-27</t>
  </si>
  <si>
    <t>212-27</t>
  </si>
  <si>
    <t>213-27</t>
  </si>
  <si>
    <t>AHS 225</t>
  </si>
  <si>
    <t>AHS 226</t>
  </si>
  <si>
    <t xml:space="preserve">AHS 227 </t>
  </si>
  <si>
    <t>AHS 228</t>
  </si>
  <si>
    <t>AHS 229</t>
  </si>
  <si>
    <t>AHS 230</t>
  </si>
  <si>
    <t>AHS 231</t>
  </si>
  <si>
    <t>AHS 232</t>
  </si>
  <si>
    <t>AHS 233</t>
  </si>
  <si>
    <t>AHS 234</t>
  </si>
  <si>
    <t>AHS 235</t>
  </si>
  <si>
    <t>AHS 236</t>
  </si>
  <si>
    <t>AHS 237</t>
  </si>
  <si>
    <t xml:space="preserve">AHS 238 </t>
  </si>
  <si>
    <t>AHS 239</t>
  </si>
  <si>
    <t>AHS 247</t>
  </si>
  <si>
    <t>AHS 253</t>
  </si>
  <si>
    <t>AHS 254</t>
  </si>
  <si>
    <t>AHS 255</t>
  </si>
  <si>
    <t>AHS 256</t>
  </si>
  <si>
    <t>224 and 225 were grab samples and not used</t>
  </si>
  <si>
    <t>daily, not used</t>
  </si>
  <si>
    <t>averaged with 230</t>
  </si>
  <si>
    <t>AHS 240</t>
  </si>
  <si>
    <t>AHS 241</t>
  </si>
  <si>
    <t>AHS 243</t>
  </si>
  <si>
    <t>AHS 244</t>
  </si>
  <si>
    <t>AHS 245</t>
  </si>
  <si>
    <t>AHS 246</t>
  </si>
  <si>
    <t>event</t>
  </si>
  <si>
    <t>daily composite</t>
  </si>
  <si>
    <t xml:space="preserve">daily  </t>
  </si>
  <si>
    <t>grab</t>
  </si>
  <si>
    <t>daily</t>
  </si>
  <si>
    <t>daily  Originally numbered 156</t>
  </si>
  <si>
    <t>daily  Originally numbered 157</t>
  </si>
  <si>
    <t>daily Originally numbered 158</t>
  </si>
  <si>
    <t>bi-daily</t>
  </si>
  <si>
    <t>bi-daily (5 of 6)</t>
  </si>
  <si>
    <t>bi-daily (3 of 6)</t>
  </si>
  <si>
    <t>event (not shaken well enough before decanting)</t>
  </si>
  <si>
    <t>not used, low flow</t>
  </si>
  <si>
    <t>storm total (kg)</t>
  </si>
  <si>
    <t>not used</t>
  </si>
  <si>
    <t>small event with only daily composite</t>
  </si>
  <si>
    <t>initial, very small event</t>
  </si>
  <si>
    <t>between events, TP likely low because of long delay before analysis--assumed to be 40</t>
  </si>
  <si>
    <t>TP of 40 assumed</t>
  </si>
  <si>
    <t>not used, close to 139</t>
  </si>
  <si>
    <t>small event and long in-between; for 143, 60 used for TP because of suspected error</t>
  </si>
  <si>
    <t>between events, no TP available, assumed to be 40</t>
  </si>
  <si>
    <t>series of daily events and daily composites</t>
  </si>
  <si>
    <t>between events, TP assumed to be 30</t>
  </si>
  <si>
    <t>159-161 averaged, very close together</t>
  </si>
  <si>
    <t>end of falling limb, TP assumed to be 60</t>
  </si>
  <si>
    <t>between events, sample is after very small event on 29th, TP assumed to be 30</t>
  </si>
  <si>
    <t>very small event, interval to next large event included</t>
  </si>
  <si>
    <t>not used, very close together</t>
  </si>
  <si>
    <t>falling limb, assumed at last TP (104)</t>
  </si>
  <si>
    <t>long interval, TP assumed 30</t>
  </si>
  <si>
    <t>only one grab sample during recession, TP x 3 used to estimate event</t>
  </si>
  <si>
    <t>between events, TP of 30 used, stretched to next event on Feb 5th</t>
  </si>
  <si>
    <t>large event with weir blowout during rising limb, AHM data regressed with AHS before and after, 2x TP used because sample was low on falling limb</t>
  </si>
  <si>
    <t>low flow estimated Feb 6-10, TP of 20 assumed</t>
  </si>
  <si>
    <t>extended to small event on 2/24</t>
  </si>
  <si>
    <t>event peak captured on Feb 5 but nothing more until Feb 10, used 12/21 event prorated from peak flow 2/5 of 66/5 to 91 on 12/22</t>
  </si>
  <si>
    <t>not used, close together</t>
  </si>
  <si>
    <t>end of falling limb, TP x 4</t>
  </si>
  <si>
    <t>between events, TP assumed to be 20</t>
  </si>
  <si>
    <t>end of falling limb, TP doubled</t>
  </si>
  <si>
    <t>between events</t>
  </si>
  <si>
    <t>series of daily events from daily composites</t>
  </si>
  <si>
    <t>TP of 20 used</t>
  </si>
  <si>
    <t>extended thru 4/9</t>
  </si>
  <si>
    <t>.</t>
  </si>
  <si>
    <t>extended to 4/20</t>
  </si>
  <si>
    <t>TP doubled because at end of falling limb</t>
  </si>
  <si>
    <t>inbetween events, TP set to 20</t>
  </si>
  <si>
    <t>falling limb with no samples, TP of 100 used</t>
  </si>
  <si>
    <t>kg</t>
  </si>
  <si>
    <t>cubic meters</t>
  </si>
  <si>
    <t>extended to beginning of next event</t>
  </si>
  <si>
    <t>extended to 5/14</t>
  </si>
  <si>
    <t>missing peak of small event, TP of 200 used</t>
  </si>
  <si>
    <t>captured initial peak of event</t>
  </si>
  <si>
    <t>on falling limb, TP doubled</t>
  </si>
  <si>
    <t>not used, included most of event</t>
  </si>
  <si>
    <t>very small event (peak 4 L/s)</t>
  </si>
  <si>
    <t>smallish event (peak 16 L/s), TP may be underestimated</t>
  </si>
  <si>
    <t>not used, from very start of event</t>
  </si>
  <si>
    <t>AHS 327</t>
  </si>
  <si>
    <t>AHS 328</t>
  </si>
  <si>
    <t>AHS 329</t>
  </si>
  <si>
    <t>AHS 330</t>
  </si>
  <si>
    <t>AHS 331</t>
  </si>
  <si>
    <t>AHS 332</t>
  </si>
  <si>
    <t>AHS 333</t>
  </si>
  <si>
    <t>AHS 334</t>
  </si>
  <si>
    <t>AHS 335</t>
  </si>
  <si>
    <t>AHS 336</t>
  </si>
  <si>
    <t>AHS 337</t>
  </si>
  <si>
    <t>AHS 338</t>
  </si>
  <si>
    <t>AHS 339</t>
  </si>
  <si>
    <t>AHS 340</t>
  </si>
  <si>
    <t>AHS 341</t>
  </si>
  <si>
    <t>AHS 342</t>
  </si>
  <si>
    <t>AHS 343</t>
  </si>
  <si>
    <t>AHS 344</t>
  </si>
  <si>
    <t>AHS 345</t>
  </si>
  <si>
    <t>AHS 346</t>
  </si>
  <si>
    <t>AHS 347</t>
  </si>
  <si>
    <t>lbs/acre</t>
  </si>
  <si>
    <t>segments</t>
  </si>
  <si>
    <t>between events, TP of 30 used for last sample</t>
  </si>
  <si>
    <t>large event with no samples, 1.83 kg with avg TP of 500 assumed; AHM prorated export is 3.00 kg, average of those two values used</t>
  </si>
  <si>
    <t>averaged with next sample</t>
  </si>
  <si>
    <t>not used, included in next daily comp</t>
  </si>
  <si>
    <t>two small events, ASH 337 extended until July 6th event</t>
  </si>
  <si>
    <t>not used, close to next sample</t>
  </si>
  <si>
    <t>not used, event captured</t>
  </si>
  <si>
    <t>very small event</t>
  </si>
  <si>
    <t>late June 4th thru 6th: 1.64" of rain</t>
  </si>
  <si>
    <t>0.30" ending about 9 PM June 19th, 2.17" starting 10 AM June 20th</t>
  </si>
  <si>
    <t>large event that blew the plexiglas out on the rising limb, only one early sample, assumed to have same export as June 5-6th event</t>
  </si>
  <si>
    <t>larger event with only daily composite from peak to falling limb, result x 4 for higher TP assumed at higher flow</t>
  </si>
  <si>
    <t>kg/ha</t>
  </si>
  <si>
    <t>TP 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</si>
</sst>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mm/dd/yy;@"/>
  </numFmts>
  <fonts count="8" x14ac:knownFonts="1">
    <font>
      <sz val="11"/>
      <color rgb="FF00000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center"/>
    </xf>
    <xf numFmtId="0" fontId="1" fillId="0" borderId="2" xfId="0" applyFont="1" applyBorder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" fontId="2" fillId="0" borderId="0" xfId="0" applyNumberFormat="1" applyFont="1" applyBorder="1" applyAlignment="1"/>
    <xf numFmtId="0" fontId="7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4" fillId="0" borderId="0" xfId="0" applyFont="1" applyBorder="1" applyAlignment="1"/>
    <xf numFmtId="0" fontId="4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3" fontId="0" fillId="0" borderId="0" xfId="0" applyNumberFormat="1" applyFont="1" applyAlignment="1"/>
    <xf numFmtId="0" fontId="2" fillId="0" borderId="0" xfId="0" applyFont="1" applyBorder="1" applyAlignment="1"/>
    <xf numFmtId="22" fontId="0" fillId="0" borderId="0" xfId="0" applyNumberFormat="1"/>
    <xf numFmtId="0" fontId="0" fillId="3" borderId="0" xfId="0" applyFill="1"/>
    <xf numFmtId="14" fontId="0" fillId="0" borderId="0" xfId="0" applyNumberFormat="1"/>
    <xf numFmtId="0" fontId="0" fillId="0" borderId="0" xfId="0" applyAlignment="1">
      <alignment horizontal="right"/>
    </xf>
    <xf numFmtId="22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ont="1" applyFill="1" applyAlignment="1"/>
    <xf numFmtId="0" fontId="0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/>
    <xf numFmtId="0" fontId="2" fillId="0" borderId="0" xfId="0" applyFont="1" applyBorder="1"/>
    <xf numFmtId="164" fontId="0" fillId="0" borderId="0" xfId="0" applyNumberFormat="1" applyFont="1" applyBorder="1"/>
    <xf numFmtId="0" fontId="1" fillId="0" borderId="0" xfId="0" applyFont="1" applyBorder="1" applyAlignment="1"/>
    <xf numFmtId="0" fontId="3" fillId="0" borderId="0" xfId="0" applyFont="1" applyBorder="1" applyAlignment="1"/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left"/>
    </xf>
    <xf numFmtId="0" fontId="0" fillId="0" borderId="0" xfId="0" applyFont="1" applyBorder="1"/>
    <xf numFmtId="0" fontId="1" fillId="0" borderId="0" xfId="0" applyFont="1" applyBorder="1" applyAlignment="1">
      <alignment horizontal="left"/>
    </xf>
    <xf numFmtId="2" fontId="4" fillId="0" borderId="0" xfId="0" applyNumberFormat="1" applyFont="1" applyBorder="1" applyAlignment="1">
      <alignment horizontal="center"/>
    </xf>
    <xf numFmtId="16" fontId="0" fillId="0" borderId="0" xfId="0" applyNumberFormat="1" applyFont="1" applyBorder="1" applyAlignment="1"/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0" fillId="0" borderId="4" xfId="0" applyNumberFormat="1" applyFont="1" applyBorder="1" applyAlignment="1">
      <alignment horizontal="center"/>
    </xf>
    <xf numFmtId="0" fontId="0" fillId="0" borderId="5" xfId="0" applyBorder="1"/>
    <xf numFmtId="22" fontId="0" fillId="0" borderId="5" xfId="0" applyNumberFormat="1" applyBorder="1"/>
    <xf numFmtId="0" fontId="0" fillId="0" borderId="5" xfId="0" applyFont="1" applyBorder="1" applyAlignment="1">
      <alignment horizontal="left"/>
    </xf>
    <xf numFmtId="0" fontId="0" fillId="0" borderId="0" xfId="0" applyBorder="1"/>
    <xf numFmtId="22" fontId="0" fillId="0" borderId="0" xfId="0" applyNumberFormat="1" applyBorder="1"/>
    <xf numFmtId="0" fontId="0" fillId="0" borderId="3" xfId="0" applyBorder="1"/>
    <xf numFmtId="22" fontId="0" fillId="0" borderId="3" xfId="0" applyNumberFormat="1" applyBorder="1"/>
    <xf numFmtId="0" fontId="0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3" xfId="0" applyFont="1" applyFill="1" applyBorder="1" applyAlignment="1">
      <alignment horizontal="center"/>
    </xf>
    <xf numFmtId="22" fontId="0" fillId="0" borderId="4" xfId="0" applyNumberFormat="1" applyBorder="1"/>
    <xf numFmtId="0" fontId="0" fillId="0" borderId="4" xfId="0" applyBorder="1"/>
    <xf numFmtId="0" fontId="0" fillId="0" borderId="4" xfId="0" applyFont="1" applyBorder="1" applyAlignment="1">
      <alignment horizontal="left"/>
    </xf>
    <xf numFmtId="0" fontId="0" fillId="0" borderId="4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0" fillId="3" borderId="0" xfId="0" applyFill="1" applyBorder="1"/>
    <xf numFmtId="0" fontId="0" fillId="3" borderId="3" xfId="0" applyFill="1" applyBorder="1"/>
    <xf numFmtId="0" fontId="0" fillId="3" borderId="5" xfId="0" applyFill="1" applyBorder="1"/>
    <xf numFmtId="0" fontId="4" fillId="0" borderId="5" xfId="0" applyFont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14" fontId="0" fillId="0" borderId="4" xfId="0" applyNumberFormat="1" applyBorder="1"/>
    <xf numFmtId="0" fontId="0" fillId="0" borderId="4" xfId="0" applyBorder="1" applyAlignment="1">
      <alignment horizontal="center"/>
    </xf>
    <xf numFmtId="0" fontId="4" fillId="2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14" fontId="0" fillId="0" borderId="0" xfId="0" applyNumberFormat="1" applyBorder="1"/>
    <xf numFmtId="0" fontId="0" fillId="0" borderId="0" xfId="0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164" fontId="1" fillId="0" borderId="0" xfId="0" applyNumberFormat="1" applyFont="1" applyBorder="1" applyAlignment="1">
      <alignment horizontal="left"/>
    </xf>
    <xf numFmtId="2" fontId="4" fillId="0" borderId="0" xfId="0" applyNumberFormat="1" applyFont="1" applyBorder="1" applyAlignment="1">
      <alignment horizontal="left"/>
    </xf>
    <xf numFmtId="1" fontId="4" fillId="0" borderId="0" xfId="0" applyNumberFormat="1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Alignment="1"/>
    <xf numFmtId="164" fontId="4" fillId="0" borderId="5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4" fillId="0" borderId="5" xfId="0" applyFont="1" applyBorder="1" applyAlignment="1"/>
    <xf numFmtId="165" fontId="4" fillId="0" borderId="4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Alignment="1"/>
    <xf numFmtId="0" fontId="7" fillId="0" borderId="5" xfId="0" applyFont="1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right"/>
    </xf>
    <xf numFmtId="0" fontId="4" fillId="0" borderId="4" xfId="0" applyFon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right"/>
    </xf>
    <xf numFmtId="0" fontId="4" fillId="0" borderId="5" xfId="0" applyFont="1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5" xfId="0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center"/>
    </xf>
    <xf numFmtId="22" fontId="0" fillId="0" borderId="0" xfId="0" applyNumberFormat="1" applyFill="1" applyBorder="1"/>
    <xf numFmtId="22" fontId="0" fillId="0" borderId="3" xfId="0" applyNumberFormat="1" applyFill="1" applyBorder="1"/>
    <xf numFmtId="22" fontId="0" fillId="0" borderId="5" xfId="0" applyNumberFormat="1" applyFill="1" applyBorder="1"/>
    <xf numFmtId="0" fontId="0" fillId="0" borderId="4" xfId="0" applyFill="1" applyBorder="1" applyAlignment="1">
      <alignment horizontal="left"/>
    </xf>
    <xf numFmtId="0" fontId="2" fillId="0" borderId="0" xfId="0" applyFont="1"/>
    <xf numFmtId="22" fontId="2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/>
    <xf numFmtId="0" fontId="3" fillId="0" borderId="0" xfId="0" applyFont="1" applyAlignment="1"/>
    <xf numFmtId="1" fontId="2" fillId="0" borderId="0" xfId="0" applyNumberFormat="1" applyFont="1" applyAlignment="1"/>
    <xf numFmtId="0" fontId="2" fillId="0" borderId="0" xfId="0" applyFont="1" applyAlignment="1">
      <alignment horizontal="left"/>
    </xf>
    <xf numFmtId="3" fontId="2" fillId="0" borderId="0" xfId="0" applyNumberFormat="1" applyFont="1" applyAlignment="1"/>
    <xf numFmtId="2" fontId="0" fillId="0" borderId="0" xfId="0" applyNumberFormat="1"/>
    <xf numFmtId="0" fontId="4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2" fontId="0" fillId="0" borderId="0" xfId="0" applyNumberFormat="1" applyFont="1" applyAlignment="1"/>
    <xf numFmtId="2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wrapText="1"/>
    </xf>
    <xf numFmtId="166" fontId="0" fillId="0" borderId="0" xfId="0" applyNumberFormat="1" applyFont="1" applyAlignment="1">
      <alignment wrapText="1"/>
    </xf>
    <xf numFmtId="166" fontId="0" fillId="0" borderId="0" xfId="0" applyNumberFormat="1" applyFont="1" applyAlignment="1"/>
    <xf numFmtId="2" fontId="2" fillId="0" borderId="0" xfId="0" applyNumberFormat="1" applyFont="1" applyAlignment="1"/>
  </cellXfs>
  <cellStyles count="1">
    <cellStyle name="Normal" xfId="0" builtinId="0"/>
  </cellStyles>
  <dxfs count="6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ysClr val="windowText" lastClr="000000"/>
                </a:solidFill>
              </a:rPr>
              <a:t>Total P concentration in samples taken from AHS tile Nov 2018 thru June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graph!$B$2:$B$374</c:f>
              <c:numCache>
                <c:formatCode>m/d/yyyy\ h:mm</c:formatCode>
                <c:ptCount val="373"/>
                <c:pt idx="0">
                  <c:v>43406.040972222225</c:v>
                </c:pt>
                <c:pt idx="1">
                  <c:v>43406.043749999997</c:v>
                </c:pt>
                <c:pt idx="2">
                  <c:v>43406.107638888891</c:v>
                </c:pt>
                <c:pt idx="3">
                  <c:v>43406.274305555555</c:v>
                </c:pt>
                <c:pt idx="4">
                  <c:v>43406.357638888891</c:v>
                </c:pt>
                <c:pt idx="5">
                  <c:v>43406.524305555555</c:v>
                </c:pt>
                <c:pt idx="6">
                  <c:v>43406.857638888891</c:v>
                </c:pt>
                <c:pt idx="7">
                  <c:v>43407.357638888891</c:v>
                </c:pt>
                <c:pt idx="8">
                  <c:v>43408.357638888891</c:v>
                </c:pt>
                <c:pt idx="9">
                  <c:v>43409.426388888889</c:v>
                </c:pt>
                <c:pt idx="10">
                  <c:v>43410.426388888889</c:v>
                </c:pt>
                <c:pt idx="11">
                  <c:v>43410.674305555556</c:v>
                </c:pt>
                <c:pt idx="12">
                  <c:v>43410.843055555553</c:v>
                </c:pt>
                <c:pt idx="13">
                  <c:v>43411.09375</c:v>
                </c:pt>
                <c:pt idx="14">
                  <c:v>43411.327777777777</c:v>
                </c:pt>
                <c:pt idx="15">
                  <c:v>43411.426388888889</c:v>
                </c:pt>
                <c:pt idx="16">
                  <c:v>43412.404166666667</c:v>
                </c:pt>
                <c:pt idx="17">
                  <c:v>43413.404166666667</c:v>
                </c:pt>
                <c:pt idx="18">
                  <c:v>43413.928472222222</c:v>
                </c:pt>
                <c:pt idx="19">
                  <c:v>43413.987500000003</c:v>
                </c:pt>
                <c:pt idx="20">
                  <c:v>43414.071527777778</c:v>
                </c:pt>
                <c:pt idx="21">
                  <c:v>43414.237500000003</c:v>
                </c:pt>
                <c:pt idx="22">
                  <c:v>43414.404166666667</c:v>
                </c:pt>
                <c:pt idx="23">
                  <c:v>43414.404861111114</c:v>
                </c:pt>
                <c:pt idx="24">
                  <c:v>43414.570833333331</c:v>
                </c:pt>
                <c:pt idx="25">
                  <c:v>43414.820833333331</c:v>
                </c:pt>
                <c:pt idx="26">
                  <c:v>43415.404166666667</c:v>
                </c:pt>
                <c:pt idx="27">
                  <c:v>43416.404166666667</c:v>
                </c:pt>
                <c:pt idx="28">
                  <c:v>43417.416666666664</c:v>
                </c:pt>
                <c:pt idx="29">
                  <c:v>43417.716666666667</c:v>
                </c:pt>
                <c:pt idx="30">
                  <c:v>43417.741666666669</c:v>
                </c:pt>
                <c:pt idx="31">
                  <c:v>43417.75</c:v>
                </c:pt>
                <c:pt idx="32">
                  <c:v>43418</c:v>
                </c:pt>
                <c:pt idx="33">
                  <c:v>43418.416666666664</c:v>
                </c:pt>
                <c:pt idx="34">
                  <c:v>43423.456944444442</c:v>
                </c:pt>
                <c:pt idx="35">
                  <c:v>43424.456944444442</c:v>
                </c:pt>
                <c:pt idx="36">
                  <c:v>43429.456944444442</c:v>
                </c:pt>
                <c:pt idx="37">
                  <c:v>43430.456944444442</c:v>
                </c:pt>
                <c:pt idx="38">
                  <c:v>43430.522916666669</c:v>
                </c:pt>
                <c:pt idx="39">
                  <c:v>43430.537499999999</c:v>
                </c:pt>
                <c:pt idx="40">
                  <c:v>43430.557638888888</c:v>
                </c:pt>
                <c:pt idx="41">
                  <c:v>43431.456944444442</c:v>
                </c:pt>
                <c:pt idx="42">
                  <c:v>43432.456944444442</c:v>
                </c:pt>
                <c:pt idx="43">
                  <c:v>43433.456944444442</c:v>
                </c:pt>
                <c:pt idx="44">
                  <c:v>43434.456944444442</c:v>
                </c:pt>
                <c:pt idx="45">
                  <c:v>43437.461805555555</c:v>
                </c:pt>
                <c:pt idx="46">
                  <c:v>43438.583333333336</c:v>
                </c:pt>
                <c:pt idx="47">
                  <c:v>43444.572222222225</c:v>
                </c:pt>
                <c:pt idx="48">
                  <c:v>43445.583333333336</c:v>
                </c:pt>
                <c:pt idx="49">
                  <c:v>43447.416666666664</c:v>
                </c:pt>
                <c:pt idx="50">
                  <c:v>43448.17291666667</c:v>
                </c:pt>
                <c:pt idx="51">
                  <c:v>43449.17291666667</c:v>
                </c:pt>
                <c:pt idx="52">
                  <c:v>43451.17291666667</c:v>
                </c:pt>
                <c:pt idx="53">
                  <c:v>43454.623611111114</c:v>
                </c:pt>
                <c:pt idx="54">
                  <c:v>43455.43472222222</c:v>
                </c:pt>
                <c:pt idx="55">
                  <c:v>43455.436805555553</c:v>
                </c:pt>
                <c:pt idx="56">
                  <c:v>43455.456944444442</c:v>
                </c:pt>
                <c:pt idx="57">
                  <c:v>43455.540277777778</c:v>
                </c:pt>
                <c:pt idx="58">
                  <c:v>43455.623611111114</c:v>
                </c:pt>
                <c:pt idx="59">
                  <c:v>43455.624305555553</c:v>
                </c:pt>
                <c:pt idx="60">
                  <c:v>43455.706944444442</c:v>
                </c:pt>
                <c:pt idx="61">
                  <c:v>43455.790277777778</c:v>
                </c:pt>
                <c:pt idx="62">
                  <c:v>43455.873611111114</c:v>
                </c:pt>
                <c:pt idx="63">
                  <c:v>43455.956944444442</c:v>
                </c:pt>
                <c:pt idx="64">
                  <c:v>43456.040277777778</c:v>
                </c:pt>
                <c:pt idx="65">
                  <c:v>43456.123611111114</c:v>
                </c:pt>
                <c:pt idx="66">
                  <c:v>43456.206944444442</c:v>
                </c:pt>
                <c:pt idx="67">
                  <c:v>43456.623611111114</c:v>
                </c:pt>
                <c:pt idx="68">
                  <c:v>43463.458333333336</c:v>
                </c:pt>
                <c:pt idx="69">
                  <c:v>43464.52847222222</c:v>
                </c:pt>
                <c:pt idx="70">
                  <c:v>43465.618055555555</c:v>
                </c:pt>
                <c:pt idx="71">
                  <c:v>43466.148611111108</c:v>
                </c:pt>
                <c:pt idx="72">
                  <c:v>43466.152083333334</c:v>
                </c:pt>
                <c:pt idx="73">
                  <c:v>43466.166666666664</c:v>
                </c:pt>
                <c:pt idx="74">
                  <c:v>43466.25</c:v>
                </c:pt>
                <c:pt idx="75">
                  <c:v>43466.333333333336</c:v>
                </c:pt>
                <c:pt idx="76">
                  <c:v>43466.416666666664</c:v>
                </c:pt>
                <c:pt idx="77">
                  <c:v>43466.5</c:v>
                </c:pt>
                <c:pt idx="78">
                  <c:v>43466.583333333336</c:v>
                </c:pt>
                <c:pt idx="79">
                  <c:v>43466.666666666664</c:v>
                </c:pt>
                <c:pt idx="80">
                  <c:v>43466.75</c:v>
                </c:pt>
                <c:pt idx="81">
                  <c:v>43466.833333333336</c:v>
                </c:pt>
                <c:pt idx="82">
                  <c:v>43478.581250000003</c:v>
                </c:pt>
                <c:pt idx="83" formatCode="m/d/yyyy">
                  <c:v>43491</c:v>
                </c:pt>
                <c:pt idx="84" formatCode="m/d/yyyy">
                  <c:v>43497</c:v>
                </c:pt>
                <c:pt idx="85">
                  <c:v>43506.577777777777</c:v>
                </c:pt>
                <c:pt idx="86">
                  <c:v>43516.662499999999</c:v>
                </c:pt>
                <c:pt idx="87">
                  <c:v>43520.861805555556</c:v>
                </c:pt>
                <c:pt idx="88">
                  <c:v>43520.870833333334</c:v>
                </c:pt>
                <c:pt idx="89">
                  <c:v>43520.916666666664</c:v>
                </c:pt>
                <c:pt idx="90">
                  <c:v>43521</c:v>
                </c:pt>
                <c:pt idx="91">
                  <c:v>43521.083333333336</c:v>
                </c:pt>
                <c:pt idx="92">
                  <c:v>43521.166666666664</c:v>
                </c:pt>
                <c:pt idx="93">
                  <c:v>43521.25</c:v>
                </c:pt>
                <c:pt idx="94">
                  <c:v>43521.333333333336</c:v>
                </c:pt>
                <c:pt idx="95">
                  <c:v>43521.367361111108</c:v>
                </c:pt>
                <c:pt idx="96">
                  <c:v>43523.604861111111</c:v>
                </c:pt>
                <c:pt idx="97">
                  <c:v>43538.543055555558</c:v>
                </c:pt>
                <c:pt idx="98">
                  <c:v>43538.628472222219</c:v>
                </c:pt>
                <c:pt idx="99">
                  <c:v>43538.878472222219</c:v>
                </c:pt>
                <c:pt idx="100">
                  <c:v>43539.128472222219</c:v>
                </c:pt>
                <c:pt idx="101">
                  <c:v>43539.378472222219</c:v>
                </c:pt>
                <c:pt idx="102">
                  <c:v>43539.503472222219</c:v>
                </c:pt>
                <c:pt idx="103">
                  <c:v>43539.628472222219</c:v>
                </c:pt>
                <c:pt idx="104">
                  <c:v>43539.753472222219</c:v>
                </c:pt>
                <c:pt idx="105">
                  <c:v>43539.878472222219</c:v>
                </c:pt>
                <c:pt idx="106">
                  <c:v>43540.003472222219</c:v>
                </c:pt>
                <c:pt idx="107">
                  <c:v>43540.253472222219</c:v>
                </c:pt>
                <c:pt idx="108">
                  <c:v>43540.503472222219</c:v>
                </c:pt>
                <c:pt idx="109">
                  <c:v>43541.503472222219</c:v>
                </c:pt>
                <c:pt idx="110">
                  <c:v>43545.583333333336</c:v>
                </c:pt>
                <c:pt idx="111">
                  <c:v>43546.583333333336</c:v>
                </c:pt>
                <c:pt idx="112">
                  <c:v>43547.583333333336</c:v>
                </c:pt>
                <c:pt idx="113">
                  <c:v>43548.583333333336</c:v>
                </c:pt>
                <c:pt idx="114">
                  <c:v>43549.583333333336</c:v>
                </c:pt>
                <c:pt idx="115">
                  <c:v>43550.583333333336</c:v>
                </c:pt>
                <c:pt idx="116">
                  <c:v>43551.357638888891</c:v>
                </c:pt>
                <c:pt idx="117">
                  <c:v>43553.583333333336</c:v>
                </c:pt>
                <c:pt idx="118">
                  <c:v>43554.583333333336</c:v>
                </c:pt>
                <c:pt idx="119">
                  <c:v>43554.936111111114</c:v>
                </c:pt>
                <c:pt idx="120">
                  <c:v>43555.583333333336</c:v>
                </c:pt>
                <c:pt idx="121">
                  <c:v>43556.583333333336</c:v>
                </c:pt>
                <c:pt idx="122">
                  <c:v>43558.583333333336</c:v>
                </c:pt>
                <c:pt idx="123">
                  <c:v>43561.583333333336</c:v>
                </c:pt>
                <c:pt idx="124">
                  <c:v>43562.634027777778</c:v>
                </c:pt>
                <c:pt idx="125">
                  <c:v>43562.750694444447</c:v>
                </c:pt>
                <c:pt idx="126">
                  <c:v>43564.617361111108</c:v>
                </c:pt>
                <c:pt idx="127">
                  <c:v>43564.625694444447</c:v>
                </c:pt>
                <c:pt idx="128">
                  <c:v>43564.750694444447</c:v>
                </c:pt>
                <c:pt idx="129">
                  <c:v>43564.751388888886</c:v>
                </c:pt>
                <c:pt idx="130">
                  <c:v>43564.875694444447</c:v>
                </c:pt>
                <c:pt idx="131">
                  <c:v>43565.000694444447</c:v>
                </c:pt>
                <c:pt idx="132">
                  <c:v>43565.125694444447</c:v>
                </c:pt>
                <c:pt idx="133">
                  <c:v>43565.250694444447</c:v>
                </c:pt>
                <c:pt idx="134">
                  <c:v>43566.751388888886</c:v>
                </c:pt>
                <c:pt idx="135">
                  <c:v>43567.430555555555</c:v>
                </c:pt>
                <c:pt idx="136">
                  <c:v>43567.465277777781</c:v>
                </c:pt>
                <c:pt idx="137">
                  <c:v>43569.465277777781</c:v>
                </c:pt>
                <c:pt idx="138">
                  <c:v>43570.198611111111</c:v>
                </c:pt>
                <c:pt idx="139">
                  <c:v>43570.215277777781</c:v>
                </c:pt>
                <c:pt idx="140">
                  <c:v>43570.340277777781</c:v>
                </c:pt>
                <c:pt idx="141">
                  <c:v>43570.465277777781</c:v>
                </c:pt>
                <c:pt idx="142">
                  <c:v>43570.590277777781</c:v>
                </c:pt>
                <c:pt idx="143">
                  <c:v>43571.465277777781</c:v>
                </c:pt>
                <c:pt idx="144">
                  <c:v>43573.465277777781</c:v>
                </c:pt>
                <c:pt idx="145">
                  <c:v>43574.381944444445</c:v>
                </c:pt>
                <c:pt idx="146">
                  <c:v>43575.068055555559</c:v>
                </c:pt>
                <c:pt idx="147">
                  <c:v>43575.144444444442</c:v>
                </c:pt>
                <c:pt idx="148">
                  <c:v>43575.269444444442</c:v>
                </c:pt>
                <c:pt idx="149">
                  <c:v>43575.394444444442</c:v>
                </c:pt>
                <c:pt idx="150">
                  <c:v>43575.519444444442</c:v>
                </c:pt>
                <c:pt idx="151">
                  <c:v>43575.644444444442</c:v>
                </c:pt>
                <c:pt idx="152">
                  <c:v>43575.769444444442</c:v>
                </c:pt>
                <c:pt idx="153">
                  <c:v>43575.894444444442</c:v>
                </c:pt>
                <c:pt idx="154">
                  <c:v>43576.019444444442</c:v>
                </c:pt>
                <c:pt idx="155">
                  <c:v>43576.144444444442</c:v>
                </c:pt>
                <c:pt idx="156">
                  <c:v>43576.269444444442</c:v>
                </c:pt>
                <c:pt idx="157">
                  <c:v>43576.395138888889</c:v>
                </c:pt>
                <c:pt idx="158">
                  <c:v>43579.701388888891</c:v>
                </c:pt>
                <c:pt idx="159">
                  <c:v>43580.583333333336</c:v>
                </c:pt>
                <c:pt idx="160">
                  <c:v>43582.021527777775</c:v>
                </c:pt>
                <c:pt idx="161">
                  <c:v>43582.083333333336</c:v>
                </c:pt>
                <c:pt idx="162">
                  <c:v>43582.208333333336</c:v>
                </c:pt>
                <c:pt idx="163">
                  <c:v>43582.333333333336</c:v>
                </c:pt>
                <c:pt idx="164">
                  <c:v>43582.479166666664</c:v>
                </c:pt>
                <c:pt idx="165">
                  <c:v>43589.458333333336</c:v>
                </c:pt>
                <c:pt idx="166">
                  <c:v>43589.459722222222</c:v>
                </c:pt>
                <c:pt idx="167">
                  <c:v>43591.459722222222</c:v>
                </c:pt>
                <c:pt idx="168">
                  <c:v>43593.459722222222</c:v>
                </c:pt>
                <c:pt idx="169">
                  <c:v>43595.481944444444</c:v>
                </c:pt>
                <c:pt idx="170">
                  <c:v>43595.606249999997</c:v>
                </c:pt>
                <c:pt idx="171">
                  <c:v>43595.731249999997</c:v>
                </c:pt>
                <c:pt idx="172">
                  <c:v>43595.856249999997</c:v>
                </c:pt>
                <c:pt idx="173">
                  <c:v>43595.981249999997</c:v>
                </c:pt>
                <c:pt idx="174">
                  <c:v>43596.106249999997</c:v>
                </c:pt>
                <c:pt idx="175">
                  <c:v>43596.231249999997</c:v>
                </c:pt>
                <c:pt idx="176">
                  <c:v>43596.356249999997</c:v>
                </c:pt>
                <c:pt idx="177">
                  <c:v>43596.481944444444</c:v>
                </c:pt>
                <c:pt idx="178">
                  <c:v>43596.606249999997</c:v>
                </c:pt>
                <c:pt idx="179">
                  <c:v>43599.62777777778</c:v>
                </c:pt>
                <c:pt idx="180">
                  <c:v>43599.755555555559</c:v>
                </c:pt>
                <c:pt idx="181">
                  <c:v>43600.005555555559</c:v>
                </c:pt>
                <c:pt idx="182">
                  <c:v>43600.255555555559</c:v>
                </c:pt>
                <c:pt idx="183">
                  <c:v>43600.505555555559</c:v>
                </c:pt>
                <c:pt idx="184">
                  <c:v>43600.755555555559</c:v>
                </c:pt>
                <c:pt idx="185">
                  <c:v>43601.005555555559</c:v>
                </c:pt>
                <c:pt idx="186">
                  <c:v>43601.422222222223</c:v>
                </c:pt>
                <c:pt idx="187">
                  <c:v>43603.422222222223</c:v>
                </c:pt>
                <c:pt idx="188">
                  <c:v>43605.088888888888</c:v>
                </c:pt>
                <c:pt idx="189">
                  <c:v>43605.416666666664</c:v>
                </c:pt>
                <c:pt idx="190">
                  <c:v>43605.560416666667</c:v>
                </c:pt>
                <c:pt idx="191">
                  <c:v>43605.893750000003</c:v>
                </c:pt>
                <c:pt idx="192">
                  <c:v>43606.227083333331</c:v>
                </c:pt>
                <c:pt idx="193">
                  <c:v>43606.560416666667</c:v>
                </c:pt>
                <c:pt idx="194">
                  <c:v>43606.893750000003</c:v>
                </c:pt>
                <c:pt idx="195">
                  <c:v>43607.227083333331</c:v>
                </c:pt>
                <c:pt idx="196">
                  <c:v>43609.227083333331</c:v>
                </c:pt>
                <c:pt idx="197">
                  <c:v>43611.227083333331</c:v>
                </c:pt>
                <c:pt idx="198">
                  <c:v>43613.227083333331</c:v>
                </c:pt>
                <c:pt idx="199">
                  <c:v>43615.227083333331</c:v>
                </c:pt>
                <c:pt idx="200">
                  <c:v>43616.227083333331</c:v>
                </c:pt>
                <c:pt idx="201">
                  <c:v>43616.369444444441</c:v>
                </c:pt>
                <c:pt idx="202">
                  <c:v>43618.375694444447</c:v>
                </c:pt>
                <c:pt idx="203">
                  <c:v>43620.375694444447</c:v>
                </c:pt>
                <c:pt idx="204">
                  <c:v>43621.375694444447</c:v>
                </c:pt>
                <c:pt idx="205">
                  <c:v>43621.85833333333</c:v>
                </c:pt>
                <c:pt idx="206">
                  <c:v>43621.875694444447</c:v>
                </c:pt>
                <c:pt idx="207">
                  <c:v>43626.371527777781</c:v>
                </c:pt>
                <c:pt idx="208">
                  <c:v>43627.084722222222</c:v>
                </c:pt>
                <c:pt idx="209">
                  <c:v>43627.167361111111</c:v>
                </c:pt>
                <c:pt idx="210">
                  <c:v>43627.334027777775</c:v>
                </c:pt>
                <c:pt idx="211">
                  <c:v>43627.500694444447</c:v>
                </c:pt>
                <c:pt idx="212">
                  <c:v>43627.667361111111</c:v>
                </c:pt>
                <c:pt idx="213">
                  <c:v>43627.834027777775</c:v>
                </c:pt>
                <c:pt idx="214">
                  <c:v>43628.334027777775</c:v>
                </c:pt>
                <c:pt idx="215">
                  <c:v>43628.334027777775</c:v>
                </c:pt>
                <c:pt idx="216">
                  <c:v>43628.834027777775</c:v>
                </c:pt>
                <c:pt idx="217">
                  <c:v>43630.334027777775</c:v>
                </c:pt>
                <c:pt idx="218">
                  <c:v>43632.489583333336</c:v>
                </c:pt>
                <c:pt idx="219">
                  <c:v>43634.489583333336</c:v>
                </c:pt>
                <c:pt idx="220">
                  <c:v>43636.489583333336</c:v>
                </c:pt>
                <c:pt idx="221">
                  <c:v>43636.499305555553</c:v>
                </c:pt>
                <c:pt idx="222">
                  <c:v>43637.400694444441</c:v>
                </c:pt>
                <c:pt idx="223">
                  <c:v>43637.40625</c:v>
                </c:pt>
                <c:pt idx="224">
                  <c:v>43637.409722222219</c:v>
                </c:pt>
                <c:pt idx="225">
                  <c:v>43640.576388888891</c:v>
                </c:pt>
                <c:pt idx="226">
                  <c:v>43642.616666666669</c:v>
                </c:pt>
                <c:pt idx="227">
                  <c:v>43644.283333333333</c:v>
                </c:pt>
                <c:pt idx="228">
                  <c:v>43645.907638888886</c:v>
                </c:pt>
                <c:pt idx="229">
                  <c:v>43645.92083333333</c:v>
                </c:pt>
                <c:pt idx="230">
                  <c:v>43645.966666666667</c:v>
                </c:pt>
                <c:pt idx="231">
                  <c:v>43646.091666666667</c:v>
                </c:pt>
                <c:pt idx="232">
                  <c:v>43646.216666666667</c:v>
                </c:pt>
                <c:pt idx="233">
                  <c:v>43646.258333333331</c:v>
                </c:pt>
                <c:pt idx="234">
                  <c:v>43646.275000000001</c:v>
                </c:pt>
                <c:pt idx="235">
                  <c:v>43646.294444444444</c:v>
                </c:pt>
                <c:pt idx="236">
                  <c:v>43648.258333333331</c:v>
                </c:pt>
                <c:pt idx="237">
                  <c:v>43652.710416666669</c:v>
                </c:pt>
                <c:pt idx="238">
                  <c:v>43652.884027777778</c:v>
                </c:pt>
                <c:pt idx="239">
                  <c:v>43652.88958333333</c:v>
                </c:pt>
                <c:pt idx="240">
                  <c:v>43653.252083333333</c:v>
                </c:pt>
                <c:pt idx="241">
                  <c:v>43656.46875</c:v>
                </c:pt>
                <c:pt idx="242">
                  <c:v>43658.151388888888</c:v>
                </c:pt>
                <c:pt idx="243">
                  <c:v>43660.151388888888</c:v>
                </c:pt>
                <c:pt idx="244">
                  <c:v>43662.151388888888</c:v>
                </c:pt>
                <c:pt idx="245">
                  <c:v>43664.151388888888</c:v>
                </c:pt>
              </c:numCache>
            </c:numRef>
          </c:xVal>
          <c:yVal>
            <c:numRef>
              <c:f>graph!$E$2:$E$374</c:f>
              <c:numCache>
                <c:formatCode>General</c:formatCode>
                <c:ptCount val="373"/>
                <c:pt idx="0">
                  <c:v>179</c:v>
                </c:pt>
                <c:pt idx="1">
                  <c:v>179</c:v>
                </c:pt>
                <c:pt idx="2">
                  <c:v>111</c:v>
                </c:pt>
                <c:pt idx="3">
                  <c:v>281</c:v>
                </c:pt>
                <c:pt idx="4">
                  <c:v>76.599999999999994</c:v>
                </c:pt>
                <c:pt idx="5">
                  <c:v>137</c:v>
                </c:pt>
                <c:pt idx="6">
                  <c:v>63.7</c:v>
                </c:pt>
                <c:pt idx="7">
                  <c:v>174</c:v>
                </c:pt>
                <c:pt idx="8">
                  <c:v>69.099999999999994</c:v>
                </c:pt>
                <c:pt idx="9" formatCode="0.0">
                  <c:v>6.76</c:v>
                </c:pt>
                <c:pt idx="10" formatCode="0.0">
                  <c:v>6.49</c:v>
                </c:pt>
                <c:pt idx="11">
                  <c:v>686</c:v>
                </c:pt>
                <c:pt idx="12">
                  <c:v>177</c:v>
                </c:pt>
                <c:pt idx="13">
                  <c:v>53.8</c:v>
                </c:pt>
                <c:pt idx="14">
                  <c:v>28.8</c:v>
                </c:pt>
                <c:pt idx="15">
                  <c:v>139</c:v>
                </c:pt>
                <c:pt idx="16" formatCode="0.0">
                  <c:v>1.96</c:v>
                </c:pt>
                <c:pt idx="17">
                  <c:v>3.2</c:v>
                </c:pt>
                <c:pt idx="18">
                  <c:v>400</c:v>
                </c:pt>
                <c:pt idx="19">
                  <c:v>556</c:v>
                </c:pt>
                <c:pt idx="20">
                  <c:v>412</c:v>
                </c:pt>
                <c:pt idx="21">
                  <c:v>257</c:v>
                </c:pt>
                <c:pt idx="22">
                  <c:v>188</c:v>
                </c:pt>
                <c:pt idx="23">
                  <c:v>160</c:v>
                </c:pt>
                <c:pt idx="24">
                  <c:v>79.5</c:v>
                </c:pt>
                <c:pt idx="25">
                  <c:v>30.2</c:v>
                </c:pt>
                <c:pt idx="26">
                  <c:v>27.7</c:v>
                </c:pt>
                <c:pt idx="27" formatCode="0.0">
                  <c:v>0.35899999999999999</c:v>
                </c:pt>
                <c:pt idx="28">
                  <c:v>19.399999999999999</c:v>
                </c:pt>
                <c:pt idx="29">
                  <c:v>332</c:v>
                </c:pt>
                <c:pt idx="30">
                  <c:v>303</c:v>
                </c:pt>
                <c:pt idx="31">
                  <c:v>299</c:v>
                </c:pt>
                <c:pt idx="32">
                  <c:v>129</c:v>
                </c:pt>
                <c:pt idx="33">
                  <c:v>218</c:v>
                </c:pt>
                <c:pt idx="34">
                  <c:v>128</c:v>
                </c:pt>
                <c:pt idx="35" formatCode="0.0">
                  <c:v>60</c:v>
                </c:pt>
                <c:pt idx="36">
                  <c:v>490</c:v>
                </c:pt>
                <c:pt idx="37">
                  <c:v>225</c:v>
                </c:pt>
                <c:pt idx="38" formatCode="0.0">
                  <c:v>85</c:v>
                </c:pt>
                <c:pt idx="39">
                  <c:v>86.9</c:v>
                </c:pt>
                <c:pt idx="40">
                  <c:v>88.2</c:v>
                </c:pt>
                <c:pt idx="41">
                  <c:v>228</c:v>
                </c:pt>
                <c:pt idx="42">
                  <c:v>129</c:v>
                </c:pt>
                <c:pt idx="43">
                  <c:v>178</c:v>
                </c:pt>
                <c:pt idx="44">
                  <c:v>175</c:v>
                </c:pt>
                <c:pt idx="45">
                  <c:v>280</c:v>
                </c:pt>
                <c:pt idx="46">
                  <c:v>9.51</c:v>
                </c:pt>
                <c:pt idx="47">
                  <c:v>12.1</c:v>
                </c:pt>
                <c:pt idx="50">
                  <c:v>11.5</c:v>
                </c:pt>
                <c:pt idx="51">
                  <c:v>13.8</c:v>
                </c:pt>
                <c:pt idx="52">
                  <c:v>6.76</c:v>
                </c:pt>
                <c:pt idx="53">
                  <c:v>17.600000000000001</c:v>
                </c:pt>
                <c:pt idx="54">
                  <c:v>231</c:v>
                </c:pt>
                <c:pt idx="55">
                  <c:v>277</c:v>
                </c:pt>
                <c:pt idx="56">
                  <c:v>414</c:v>
                </c:pt>
                <c:pt idx="57">
                  <c:v>518</c:v>
                </c:pt>
                <c:pt idx="58">
                  <c:v>434</c:v>
                </c:pt>
                <c:pt idx="59">
                  <c:v>548</c:v>
                </c:pt>
                <c:pt idx="60">
                  <c:v>468</c:v>
                </c:pt>
                <c:pt idx="61">
                  <c:v>369</c:v>
                </c:pt>
                <c:pt idx="62">
                  <c:v>294</c:v>
                </c:pt>
                <c:pt idx="63">
                  <c:v>290</c:v>
                </c:pt>
                <c:pt idx="64">
                  <c:v>279</c:v>
                </c:pt>
                <c:pt idx="65">
                  <c:v>574</c:v>
                </c:pt>
                <c:pt idx="66">
                  <c:v>455</c:v>
                </c:pt>
                <c:pt idx="67">
                  <c:v>267</c:v>
                </c:pt>
                <c:pt idx="68">
                  <c:v>153</c:v>
                </c:pt>
                <c:pt idx="69">
                  <c:v>16.3</c:v>
                </c:pt>
                <c:pt idx="70">
                  <c:v>15.9</c:v>
                </c:pt>
                <c:pt idx="71">
                  <c:v>79.2</c:v>
                </c:pt>
                <c:pt idx="72">
                  <c:v>75.900000000000006</c:v>
                </c:pt>
                <c:pt idx="73">
                  <c:v>228</c:v>
                </c:pt>
                <c:pt idx="74">
                  <c:v>475</c:v>
                </c:pt>
                <c:pt idx="75">
                  <c:v>503</c:v>
                </c:pt>
                <c:pt idx="76">
                  <c:v>488</c:v>
                </c:pt>
                <c:pt idx="77">
                  <c:v>486</c:v>
                </c:pt>
                <c:pt idx="78">
                  <c:v>403</c:v>
                </c:pt>
                <c:pt idx="79">
                  <c:v>294</c:v>
                </c:pt>
                <c:pt idx="80">
                  <c:v>184</c:v>
                </c:pt>
                <c:pt idx="81">
                  <c:v>104</c:v>
                </c:pt>
                <c:pt idx="82" formatCode="0.0">
                  <c:v>5.61</c:v>
                </c:pt>
                <c:pt idx="83">
                  <c:v>147</c:v>
                </c:pt>
                <c:pt idx="84">
                  <c:v>12.4</c:v>
                </c:pt>
                <c:pt idx="85">
                  <c:v>9.6999999999999993</c:v>
                </c:pt>
                <c:pt idx="86">
                  <c:v>19</c:v>
                </c:pt>
                <c:pt idx="87">
                  <c:v>247</c:v>
                </c:pt>
                <c:pt idx="88">
                  <c:v>203</c:v>
                </c:pt>
                <c:pt idx="89">
                  <c:v>239</c:v>
                </c:pt>
                <c:pt idx="90">
                  <c:v>280</c:v>
                </c:pt>
                <c:pt idx="91">
                  <c:v>321</c:v>
                </c:pt>
                <c:pt idx="92">
                  <c:v>338</c:v>
                </c:pt>
                <c:pt idx="93">
                  <c:v>345</c:v>
                </c:pt>
                <c:pt idx="94">
                  <c:v>365</c:v>
                </c:pt>
                <c:pt idx="95">
                  <c:v>354</c:v>
                </c:pt>
                <c:pt idx="96">
                  <c:v>31.4</c:v>
                </c:pt>
                <c:pt idx="97">
                  <c:v>336</c:v>
                </c:pt>
                <c:pt idx="98">
                  <c:v>402</c:v>
                </c:pt>
                <c:pt idx="99">
                  <c:v>374</c:v>
                </c:pt>
                <c:pt idx="100">
                  <c:v>404</c:v>
                </c:pt>
                <c:pt idx="101">
                  <c:v>572</c:v>
                </c:pt>
                <c:pt idx="102">
                  <c:v>772</c:v>
                </c:pt>
                <c:pt idx="103">
                  <c:v>608</c:v>
                </c:pt>
                <c:pt idx="104">
                  <c:v>382</c:v>
                </c:pt>
                <c:pt idx="105">
                  <c:v>276</c:v>
                </c:pt>
                <c:pt idx="106">
                  <c:v>208</c:v>
                </c:pt>
                <c:pt idx="107">
                  <c:v>143</c:v>
                </c:pt>
                <c:pt idx="108">
                  <c:v>140</c:v>
                </c:pt>
                <c:pt idx="109">
                  <c:v>27.2</c:v>
                </c:pt>
                <c:pt idx="110">
                  <c:v>13</c:v>
                </c:pt>
                <c:pt idx="111">
                  <c:v>206</c:v>
                </c:pt>
                <c:pt idx="112">
                  <c:v>216</c:v>
                </c:pt>
                <c:pt idx="113">
                  <c:v>161</c:v>
                </c:pt>
                <c:pt idx="114">
                  <c:v>66.2</c:v>
                </c:pt>
                <c:pt idx="115">
                  <c:v>16.100000000000001</c:v>
                </c:pt>
                <c:pt idx="116">
                  <c:v>14.9</c:v>
                </c:pt>
                <c:pt idx="117">
                  <c:v>19</c:v>
                </c:pt>
                <c:pt idx="118">
                  <c:v>24.3</c:v>
                </c:pt>
                <c:pt idx="119">
                  <c:v>55.3</c:v>
                </c:pt>
                <c:pt idx="120">
                  <c:v>62.1</c:v>
                </c:pt>
                <c:pt idx="121">
                  <c:v>43.2</c:v>
                </c:pt>
                <c:pt idx="122">
                  <c:v>11.5</c:v>
                </c:pt>
                <c:pt idx="123">
                  <c:v>5.61</c:v>
                </c:pt>
                <c:pt idx="124">
                  <c:v>8.2899999999999991</c:v>
                </c:pt>
                <c:pt idx="125">
                  <c:v>22</c:v>
                </c:pt>
                <c:pt idx="126">
                  <c:v>238</c:v>
                </c:pt>
                <c:pt idx="127">
                  <c:v>444</c:v>
                </c:pt>
                <c:pt idx="128">
                  <c:v>284</c:v>
                </c:pt>
                <c:pt idx="129">
                  <c:v>259</c:v>
                </c:pt>
                <c:pt idx="130">
                  <c:v>162</c:v>
                </c:pt>
                <c:pt idx="131">
                  <c:v>126</c:v>
                </c:pt>
                <c:pt idx="132">
                  <c:v>96.1</c:v>
                </c:pt>
                <c:pt idx="133">
                  <c:v>77.599999999999994</c:v>
                </c:pt>
                <c:pt idx="134">
                  <c:v>13.6</c:v>
                </c:pt>
                <c:pt idx="135">
                  <c:v>13.5</c:v>
                </c:pt>
                <c:pt idx="136">
                  <c:v>13.5</c:v>
                </c:pt>
                <c:pt idx="137">
                  <c:v>17.8</c:v>
                </c:pt>
                <c:pt idx="143">
                  <c:v>25</c:v>
                </c:pt>
                <c:pt idx="145">
                  <c:v>13.1</c:v>
                </c:pt>
                <c:pt idx="146">
                  <c:v>173</c:v>
                </c:pt>
                <c:pt idx="147">
                  <c:v>709</c:v>
                </c:pt>
                <c:pt idx="148">
                  <c:v>678</c:v>
                </c:pt>
                <c:pt idx="149">
                  <c:v>327</c:v>
                </c:pt>
                <c:pt idx="150">
                  <c:v>175</c:v>
                </c:pt>
                <c:pt idx="151">
                  <c:v>588</c:v>
                </c:pt>
                <c:pt idx="152">
                  <c:v>316</c:v>
                </c:pt>
                <c:pt idx="153">
                  <c:v>155</c:v>
                </c:pt>
                <c:pt idx="154">
                  <c:v>104</c:v>
                </c:pt>
                <c:pt idx="155">
                  <c:v>74.599999999999994</c:v>
                </c:pt>
                <c:pt idx="156">
                  <c:v>63.3</c:v>
                </c:pt>
                <c:pt idx="157">
                  <c:v>53.8</c:v>
                </c:pt>
                <c:pt idx="158">
                  <c:v>15.6</c:v>
                </c:pt>
                <c:pt idx="159">
                  <c:v>12.7</c:v>
                </c:pt>
                <c:pt idx="160">
                  <c:v>414</c:v>
                </c:pt>
                <c:pt idx="161">
                  <c:v>405</c:v>
                </c:pt>
                <c:pt idx="162">
                  <c:v>483</c:v>
                </c:pt>
                <c:pt idx="163">
                  <c:v>500</c:v>
                </c:pt>
                <c:pt idx="164">
                  <c:v>414</c:v>
                </c:pt>
                <c:pt idx="165">
                  <c:v>36</c:v>
                </c:pt>
                <c:pt idx="166">
                  <c:v>22.7</c:v>
                </c:pt>
                <c:pt idx="167">
                  <c:v>16.5</c:v>
                </c:pt>
                <c:pt idx="168">
                  <c:v>22.5</c:v>
                </c:pt>
                <c:pt idx="169">
                  <c:v>806</c:v>
                </c:pt>
                <c:pt idx="170">
                  <c:v>918</c:v>
                </c:pt>
                <c:pt idx="171">
                  <c:v>515</c:v>
                </c:pt>
                <c:pt idx="172">
                  <c:v>269</c:v>
                </c:pt>
                <c:pt idx="173">
                  <c:v>167</c:v>
                </c:pt>
                <c:pt idx="174">
                  <c:v>94.2</c:v>
                </c:pt>
                <c:pt idx="175">
                  <c:v>59.7</c:v>
                </c:pt>
                <c:pt idx="176">
                  <c:v>49.2</c:v>
                </c:pt>
                <c:pt idx="177">
                  <c:v>39.799999999999997</c:v>
                </c:pt>
                <c:pt idx="178">
                  <c:v>35.200000000000003</c:v>
                </c:pt>
                <c:pt idx="179">
                  <c:v>148</c:v>
                </c:pt>
                <c:pt idx="180">
                  <c:v>104</c:v>
                </c:pt>
                <c:pt idx="181">
                  <c:v>57.9</c:v>
                </c:pt>
                <c:pt idx="182">
                  <c:v>33.799999999999997</c:v>
                </c:pt>
                <c:pt idx="183">
                  <c:v>31.7</c:v>
                </c:pt>
                <c:pt idx="184">
                  <c:v>23.6</c:v>
                </c:pt>
                <c:pt idx="185">
                  <c:v>22.2</c:v>
                </c:pt>
                <c:pt idx="186">
                  <c:v>38.200000000000003</c:v>
                </c:pt>
                <c:pt idx="187">
                  <c:v>67.8</c:v>
                </c:pt>
                <c:pt idx="188">
                  <c:v>289</c:v>
                </c:pt>
                <c:pt idx="189">
                  <c:v>254</c:v>
                </c:pt>
                <c:pt idx="190">
                  <c:v>131</c:v>
                </c:pt>
                <c:pt idx="191">
                  <c:v>54.3</c:v>
                </c:pt>
                <c:pt idx="192">
                  <c:v>35.5</c:v>
                </c:pt>
                <c:pt idx="193">
                  <c:v>28</c:v>
                </c:pt>
                <c:pt idx="194">
                  <c:v>15.3</c:v>
                </c:pt>
                <c:pt idx="195">
                  <c:v>46.4</c:v>
                </c:pt>
                <c:pt idx="196">
                  <c:v>21.2</c:v>
                </c:pt>
                <c:pt idx="197">
                  <c:v>40.700000000000003</c:v>
                </c:pt>
                <c:pt idx="198">
                  <c:v>123</c:v>
                </c:pt>
                <c:pt idx="199">
                  <c:v>156</c:v>
                </c:pt>
                <c:pt idx="200">
                  <c:v>25.2</c:v>
                </c:pt>
                <c:pt idx="201">
                  <c:v>33.200000000000003</c:v>
                </c:pt>
                <c:pt idx="202">
                  <c:v>47.1</c:v>
                </c:pt>
                <c:pt idx="203">
                  <c:v>24.5</c:v>
                </c:pt>
                <c:pt idx="204">
                  <c:v>114</c:v>
                </c:pt>
                <c:pt idx="205">
                  <c:v>237</c:v>
                </c:pt>
                <c:pt idx="206">
                  <c:v>1175</c:v>
                </c:pt>
                <c:pt idx="207">
                  <c:v>17.3</c:v>
                </c:pt>
                <c:pt idx="208">
                  <c:v>121</c:v>
                </c:pt>
                <c:pt idx="209">
                  <c:v>992</c:v>
                </c:pt>
                <c:pt idx="210">
                  <c:v>337</c:v>
                </c:pt>
                <c:pt idx="211">
                  <c:v>94.7</c:v>
                </c:pt>
                <c:pt idx="212">
                  <c:v>40.6</c:v>
                </c:pt>
                <c:pt idx="213">
                  <c:v>25.9</c:v>
                </c:pt>
                <c:pt idx="214">
                  <c:v>78.099999999999994</c:v>
                </c:pt>
                <c:pt idx="215">
                  <c:v>17.5</c:v>
                </c:pt>
                <c:pt idx="216">
                  <c:v>20.399999999999999</c:v>
                </c:pt>
                <c:pt idx="217">
                  <c:v>37.1</c:v>
                </c:pt>
                <c:pt idx="218">
                  <c:v>23.5</c:v>
                </c:pt>
                <c:pt idx="219">
                  <c:v>30.5</c:v>
                </c:pt>
                <c:pt idx="220">
                  <c:v>8</c:v>
                </c:pt>
                <c:pt idx="221">
                  <c:v>315</c:v>
                </c:pt>
                <c:pt idx="222">
                  <c:v>35.9</c:v>
                </c:pt>
                <c:pt idx="223">
                  <c:v>31.6</c:v>
                </c:pt>
                <c:pt idx="224">
                  <c:v>30.9</c:v>
                </c:pt>
                <c:pt idx="225">
                  <c:v>18.100000000000001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744280"/>
        <c:axId val="677743888"/>
      </c:scatterChart>
      <c:valAx>
        <c:axId val="67774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43888"/>
        <c:crosses val="autoZero"/>
        <c:crossBetween val="midCat"/>
        <c:majorUnit val="14"/>
        <c:minorUnit val="7"/>
      </c:valAx>
      <c:valAx>
        <c:axId val="6777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P (</a:t>
                </a:r>
                <a:r>
                  <a:rPr lang="en-US" sz="1400" cap="none" baseline="0"/>
                  <a:t>ug</a:t>
                </a:r>
                <a:r>
                  <a:rPr lang="en-US" sz="1400"/>
                  <a:t>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4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133349</xdr:rowOff>
    </xdr:from>
    <xdr:to>
      <xdr:col>25</xdr:col>
      <xdr:colOff>85725</xdr:colOff>
      <xdr:row>34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55"/>
  <sheetViews>
    <sheetView tabSelected="1" topLeftCell="B1" zoomScale="90" zoomScaleNormal="90" workbookViewId="0">
      <selection activeCell="E1" sqref="E1"/>
    </sheetView>
  </sheetViews>
  <sheetFormatPr defaultColWidth="14.42578125" defaultRowHeight="15" customHeight="1" x14ac:dyDescent="0.25"/>
  <cols>
    <col min="1" max="1" width="9.140625" style="5"/>
    <col min="2" max="2" width="18.42578125" style="5" customWidth="1"/>
    <col min="3" max="3" width="14.140625" style="5" customWidth="1"/>
    <col min="4" max="4" width="10.140625" customWidth="1"/>
    <col min="5" max="5" width="10.140625" style="6" customWidth="1"/>
    <col min="6" max="6" width="10" customWidth="1"/>
    <col min="7" max="7" width="10.85546875" style="6" customWidth="1"/>
    <col min="8" max="8" width="15.28515625" style="109" customWidth="1"/>
    <col min="9" max="9" width="25.85546875" style="70" customWidth="1"/>
    <col min="10" max="19" width="15.28515625" customWidth="1"/>
  </cols>
  <sheetData>
    <row r="1" spans="1:14" s="11" customFormat="1" x14ac:dyDescent="0.25">
      <c r="A1" s="5"/>
      <c r="B1" s="5"/>
      <c r="C1" s="5"/>
      <c r="D1" s="5"/>
      <c r="E1" s="6" t="s">
        <v>336</v>
      </c>
      <c r="F1" s="9" t="s">
        <v>0</v>
      </c>
      <c r="G1" s="12" t="s">
        <v>1</v>
      </c>
      <c r="H1" s="13" t="s">
        <v>252</v>
      </c>
      <c r="I1" s="89"/>
      <c r="J1" s="13" t="s">
        <v>119</v>
      </c>
      <c r="K1" s="10" t="s">
        <v>117</v>
      </c>
      <c r="L1" s="10"/>
      <c r="M1" s="10"/>
      <c r="N1" s="10"/>
    </row>
    <row r="2" spans="1:14" x14ac:dyDescent="0.25">
      <c r="A2" s="7">
        <v>110</v>
      </c>
      <c r="B2" s="26">
        <v>43406.040972222225</v>
      </c>
      <c r="C2" s="7" t="s">
        <v>239</v>
      </c>
      <c r="D2" s="2" t="s">
        <v>5</v>
      </c>
      <c r="E2" s="6">
        <v>179</v>
      </c>
      <c r="F2" s="1">
        <v>0</v>
      </c>
      <c r="G2" s="3" t="s">
        <v>118</v>
      </c>
      <c r="H2" s="15"/>
      <c r="I2" s="70" t="s">
        <v>251</v>
      </c>
      <c r="J2" s="6"/>
    </row>
    <row r="3" spans="1:14" x14ac:dyDescent="0.25">
      <c r="A3" s="7">
        <v>111</v>
      </c>
      <c r="B3" s="26">
        <v>43406.043749999997</v>
      </c>
      <c r="C3" s="7" t="s">
        <v>239</v>
      </c>
      <c r="D3" s="2" t="s">
        <v>6</v>
      </c>
      <c r="E3" s="6">
        <v>179</v>
      </c>
      <c r="F3" s="23">
        <v>0</v>
      </c>
      <c r="G3" s="40"/>
      <c r="H3" s="52"/>
      <c r="I3" s="60" t="s">
        <v>251</v>
      </c>
      <c r="J3" s="14"/>
      <c r="K3" s="41"/>
      <c r="L3" s="41"/>
    </row>
    <row r="4" spans="1:14" x14ac:dyDescent="0.25">
      <c r="A4" s="7">
        <v>112</v>
      </c>
      <c r="B4" s="26">
        <v>43406.107638888891</v>
      </c>
      <c r="C4" s="7" t="s">
        <v>239</v>
      </c>
      <c r="D4" s="2" t="s">
        <v>7</v>
      </c>
      <c r="E4" s="6">
        <v>111</v>
      </c>
      <c r="F4" s="14">
        <v>0</v>
      </c>
      <c r="G4" s="40"/>
      <c r="H4" s="52"/>
      <c r="I4" s="60" t="s">
        <v>251</v>
      </c>
      <c r="J4" s="14"/>
      <c r="K4" s="41"/>
      <c r="L4" s="41"/>
    </row>
    <row r="5" spans="1:14" x14ac:dyDescent="0.25">
      <c r="A5" s="7">
        <v>113</v>
      </c>
      <c r="B5" s="26">
        <v>43406.274305555555</v>
      </c>
      <c r="C5" s="7" t="s">
        <v>239</v>
      </c>
      <c r="D5" s="2" t="s">
        <v>8</v>
      </c>
      <c r="E5" s="55">
        <v>281</v>
      </c>
      <c r="F5" s="55">
        <v>3</v>
      </c>
      <c r="G5" s="56">
        <f>F5*3600*E5/1000000</f>
        <v>3.0348000000000002</v>
      </c>
      <c r="H5" s="102"/>
      <c r="I5" s="59" t="s">
        <v>255</v>
      </c>
      <c r="J5" s="16"/>
      <c r="K5" s="25"/>
      <c r="L5" s="41"/>
    </row>
    <row r="6" spans="1:14" x14ac:dyDescent="0.25">
      <c r="A6" s="7">
        <v>107</v>
      </c>
      <c r="B6" s="26">
        <v>43406.357638888891</v>
      </c>
      <c r="C6" s="7" t="s">
        <v>240</v>
      </c>
      <c r="D6" s="2" t="s">
        <v>2</v>
      </c>
      <c r="E6" s="14">
        <v>76.599999999999994</v>
      </c>
      <c r="F6" s="14">
        <v>0</v>
      </c>
      <c r="G6" s="14"/>
      <c r="H6" s="52"/>
      <c r="I6" s="60" t="s">
        <v>253</v>
      </c>
      <c r="J6" s="14"/>
      <c r="K6" s="41"/>
      <c r="L6" s="41"/>
    </row>
    <row r="7" spans="1:14" x14ac:dyDescent="0.25">
      <c r="A7" s="7">
        <v>114</v>
      </c>
      <c r="B7" s="26">
        <v>43406.524305555555</v>
      </c>
      <c r="C7" s="7" t="s">
        <v>239</v>
      </c>
      <c r="D7" s="2" t="s">
        <v>9</v>
      </c>
      <c r="E7" s="14">
        <v>137</v>
      </c>
      <c r="F7" s="14">
        <v>3</v>
      </c>
      <c r="G7" s="40">
        <f t="shared" ref="G7:G9" si="0">F7*3600*E7/1000000</f>
        <v>1.4796</v>
      </c>
      <c r="H7" s="52"/>
      <c r="I7" s="59" t="s">
        <v>255</v>
      </c>
      <c r="J7" s="14"/>
      <c r="K7" s="41"/>
      <c r="L7" s="41"/>
    </row>
    <row r="8" spans="1:14" x14ac:dyDescent="0.25">
      <c r="A8" s="7">
        <v>115</v>
      </c>
      <c r="B8" s="26">
        <v>43406.857638888891</v>
      </c>
      <c r="C8" s="7" t="s">
        <v>239</v>
      </c>
      <c r="D8" s="2" t="s">
        <v>10</v>
      </c>
      <c r="E8" s="14">
        <v>63.7</v>
      </c>
      <c r="F8" s="14">
        <v>3.5</v>
      </c>
      <c r="G8" s="40">
        <f t="shared" si="0"/>
        <v>0.80262</v>
      </c>
      <c r="H8" s="52"/>
      <c r="I8" s="59" t="s">
        <v>255</v>
      </c>
      <c r="J8" s="14"/>
      <c r="K8" s="41"/>
      <c r="L8" s="41"/>
    </row>
    <row r="9" spans="1:14" x14ac:dyDescent="0.25">
      <c r="A9" s="7">
        <v>108</v>
      </c>
      <c r="B9" s="26">
        <v>43407.357638888891</v>
      </c>
      <c r="C9" s="7" t="s">
        <v>240</v>
      </c>
      <c r="D9" s="2" t="s">
        <v>3</v>
      </c>
      <c r="E9" s="14">
        <v>174</v>
      </c>
      <c r="F9" s="14">
        <f>10+11+6+4</f>
        <v>31</v>
      </c>
      <c r="G9" s="40">
        <f t="shared" si="0"/>
        <v>19.418399999999998</v>
      </c>
      <c r="H9" s="52"/>
      <c r="I9" s="60" t="s">
        <v>254</v>
      </c>
      <c r="J9" s="14"/>
      <c r="K9" s="41"/>
      <c r="L9" s="41"/>
    </row>
    <row r="10" spans="1:14" x14ac:dyDescent="0.25">
      <c r="A10" s="7">
        <v>109</v>
      </c>
      <c r="B10" s="26">
        <v>43408.357638888891</v>
      </c>
      <c r="C10" s="7" t="s">
        <v>240</v>
      </c>
      <c r="D10" s="2" t="s">
        <v>4</v>
      </c>
      <c r="E10" s="57">
        <v>69.099999999999994</v>
      </c>
      <c r="F10" s="57">
        <f>4+75+95+57+19+12+8+7+4.5+3</f>
        <v>284.5</v>
      </c>
      <c r="G10" s="58">
        <f>F10*3600*E10*4/1000000</f>
        <v>283.08888000000002</v>
      </c>
      <c r="H10" s="103">
        <f>SUM(G5:G10)/1000</f>
        <v>0.3078243</v>
      </c>
      <c r="I10" s="81" t="s">
        <v>334</v>
      </c>
      <c r="J10" s="14"/>
      <c r="K10" s="41"/>
      <c r="L10" s="41"/>
    </row>
    <row r="11" spans="1:14" x14ac:dyDescent="0.25">
      <c r="A11" s="7">
        <v>116</v>
      </c>
      <c r="B11" s="26">
        <v>43409.426388888889</v>
      </c>
      <c r="C11" s="7" t="s">
        <v>240</v>
      </c>
      <c r="D11" s="2" t="s">
        <v>11</v>
      </c>
      <c r="E11" s="56">
        <v>6.76</v>
      </c>
      <c r="F11" s="55">
        <v>10</v>
      </c>
      <c r="G11" s="56">
        <f>F11*3600*40/1000000</f>
        <v>1.44</v>
      </c>
      <c r="H11" s="80"/>
      <c r="I11" s="60" t="s">
        <v>256</v>
      </c>
      <c r="J11" s="14"/>
      <c r="K11" s="41"/>
      <c r="L11" s="41"/>
    </row>
    <row r="12" spans="1:14" x14ac:dyDescent="0.25">
      <c r="A12" s="7">
        <v>117</v>
      </c>
      <c r="B12" s="26">
        <v>43410.426388888889</v>
      </c>
      <c r="C12" s="7" t="s">
        <v>240</v>
      </c>
      <c r="D12" s="2" t="s">
        <v>12</v>
      </c>
      <c r="E12" s="40">
        <v>6.49</v>
      </c>
      <c r="F12" s="14">
        <v>2.5</v>
      </c>
      <c r="G12" s="40">
        <f>F12*3600*40/1000000</f>
        <v>0.36</v>
      </c>
      <c r="H12" s="52"/>
      <c r="I12" s="60" t="s">
        <v>256</v>
      </c>
      <c r="J12" s="14"/>
      <c r="K12" s="41"/>
      <c r="L12" s="41"/>
    </row>
    <row r="13" spans="1:14" x14ac:dyDescent="0.25">
      <c r="A13" s="7">
        <v>119</v>
      </c>
      <c r="B13" s="26">
        <v>43410.674305555556</v>
      </c>
      <c r="C13" s="7" t="s">
        <v>239</v>
      </c>
      <c r="D13" s="2" t="s">
        <v>14</v>
      </c>
      <c r="E13" s="14">
        <v>686</v>
      </c>
      <c r="F13" s="53">
        <v>0.5</v>
      </c>
      <c r="G13" s="40">
        <f t="shared" ref="G13:G16" si="1">F13*3600*E13/1000000</f>
        <v>1.2347999999999999</v>
      </c>
      <c r="H13" s="52"/>
      <c r="I13" s="60"/>
      <c r="J13" s="14"/>
      <c r="K13" s="41"/>
      <c r="L13" s="41"/>
    </row>
    <row r="14" spans="1:14" x14ac:dyDescent="0.25">
      <c r="A14" s="7">
        <v>120</v>
      </c>
      <c r="B14" s="26">
        <v>43410.843055555553</v>
      </c>
      <c r="C14" s="7" t="s">
        <v>239</v>
      </c>
      <c r="D14" s="2" t="s">
        <v>15</v>
      </c>
      <c r="E14" s="14">
        <v>177</v>
      </c>
      <c r="F14" s="14">
        <f>8.5+10.5</f>
        <v>19</v>
      </c>
      <c r="G14" s="40">
        <f t="shared" si="1"/>
        <v>12.1068</v>
      </c>
      <c r="H14" s="52"/>
      <c r="I14" s="60"/>
      <c r="J14" s="14"/>
      <c r="K14" s="41"/>
      <c r="L14" s="41"/>
    </row>
    <row r="15" spans="1:14" x14ac:dyDescent="0.25">
      <c r="A15" s="7">
        <v>121</v>
      </c>
      <c r="B15" s="26">
        <v>43411.09375</v>
      </c>
      <c r="C15" s="7" t="s">
        <v>239</v>
      </c>
      <c r="D15" s="2" t="s">
        <v>16</v>
      </c>
      <c r="E15" s="14">
        <v>53.8</v>
      </c>
      <c r="F15" s="14">
        <f>8+7+6.5</f>
        <v>21.5</v>
      </c>
      <c r="G15" s="40">
        <f t="shared" si="1"/>
        <v>4.1641199999999996</v>
      </c>
      <c r="H15" s="53"/>
      <c r="I15" s="59"/>
      <c r="J15" s="16"/>
      <c r="K15" s="42"/>
      <c r="L15" s="43"/>
    </row>
    <row r="16" spans="1:14" x14ac:dyDescent="0.25">
      <c r="A16" s="7">
        <v>122</v>
      </c>
      <c r="B16" s="26">
        <v>43411.327777777777</v>
      </c>
      <c r="C16" s="7" t="s">
        <v>239</v>
      </c>
      <c r="D16" s="2" t="s">
        <v>17</v>
      </c>
      <c r="E16" s="14">
        <v>28.8</v>
      </c>
      <c r="F16" s="14">
        <v>15</v>
      </c>
      <c r="G16" s="40">
        <f t="shared" si="1"/>
        <v>1.5551999999999999</v>
      </c>
      <c r="H16" s="52"/>
      <c r="J16" s="14"/>
      <c r="K16" s="41"/>
      <c r="L16" s="41"/>
    </row>
    <row r="17" spans="1:12" x14ac:dyDescent="0.25">
      <c r="A17" s="7">
        <v>118</v>
      </c>
      <c r="B17" s="26">
        <v>43411.426388888889</v>
      </c>
      <c r="C17" s="7" t="s">
        <v>240</v>
      </c>
      <c r="D17" s="2" t="s">
        <v>13</v>
      </c>
      <c r="E17" s="14">
        <v>139</v>
      </c>
      <c r="F17" s="14">
        <v>0</v>
      </c>
      <c r="G17" s="52" t="s">
        <v>118</v>
      </c>
      <c r="H17" s="52"/>
      <c r="I17" s="60" t="s">
        <v>253</v>
      </c>
      <c r="J17" s="14"/>
      <c r="K17" s="41"/>
      <c r="L17" s="41"/>
    </row>
    <row r="18" spans="1:12" ht="15.75" customHeight="1" x14ac:dyDescent="0.25">
      <c r="A18" s="7">
        <v>123</v>
      </c>
      <c r="B18" s="26">
        <v>43412.404166666667</v>
      </c>
      <c r="C18" s="7" t="s">
        <v>240</v>
      </c>
      <c r="D18" s="2" t="s">
        <v>18</v>
      </c>
      <c r="E18" s="14">
        <v>1.96</v>
      </c>
      <c r="F18" s="14">
        <v>29</v>
      </c>
      <c r="G18" s="40">
        <f t="shared" ref="G18:G19" si="2">F18*3600*40/1000000</f>
        <v>4.1760000000000002</v>
      </c>
      <c r="H18" s="52"/>
      <c r="I18" s="60" t="s">
        <v>257</v>
      </c>
      <c r="J18" s="14"/>
      <c r="K18" s="41"/>
      <c r="L18" s="41"/>
    </row>
    <row r="19" spans="1:12" ht="15.75" customHeight="1" x14ac:dyDescent="0.25">
      <c r="A19" s="7">
        <v>124</v>
      </c>
      <c r="B19" s="26">
        <v>43413.404166666667</v>
      </c>
      <c r="C19" s="7" t="s">
        <v>240</v>
      </c>
      <c r="D19" s="2" t="s">
        <v>19</v>
      </c>
      <c r="E19" s="14">
        <v>3.2</v>
      </c>
      <c r="F19" s="14">
        <v>12</v>
      </c>
      <c r="G19" s="40">
        <f t="shared" si="2"/>
        <v>1.728</v>
      </c>
      <c r="H19" s="50">
        <f>SUM(G11:G19)/1000</f>
        <v>2.6764920000000005E-2</v>
      </c>
      <c r="I19" s="60" t="s">
        <v>257</v>
      </c>
      <c r="J19" s="14"/>
      <c r="K19" s="41"/>
      <c r="L19" s="41"/>
    </row>
    <row r="20" spans="1:12" ht="15.75" customHeight="1" x14ac:dyDescent="0.25">
      <c r="A20" s="62">
        <v>128</v>
      </c>
      <c r="B20" s="63">
        <v>43413.928472222222</v>
      </c>
      <c r="C20" s="62" t="s">
        <v>239</v>
      </c>
      <c r="D20" s="64" t="s">
        <v>23</v>
      </c>
      <c r="E20" s="55">
        <v>400</v>
      </c>
      <c r="F20" s="55">
        <v>1</v>
      </c>
      <c r="G20" s="56">
        <f t="shared" ref="G20:G27" si="3">F20*3600*E20/1000000</f>
        <v>1.44</v>
      </c>
      <c r="H20" s="80"/>
      <c r="J20" s="14"/>
      <c r="K20" s="41"/>
      <c r="L20" s="41"/>
    </row>
    <row r="21" spans="1:12" ht="15.75" customHeight="1" x14ac:dyDescent="0.25">
      <c r="A21" s="65">
        <v>129</v>
      </c>
      <c r="B21" s="66">
        <v>43413.987500000003</v>
      </c>
      <c r="C21" s="65" t="s">
        <v>239</v>
      </c>
      <c r="D21" s="38" t="s">
        <v>24</v>
      </c>
      <c r="E21" s="14">
        <v>556</v>
      </c>
      <c r="F21" s="14">
        <v>11</v>
      </c>
      <c r="G21" s="40">
        <f t="shared" si="3"/>
        <v>22.017600000000002</v>
      </c>
      <c r="H21" s="52"/>
      <c r="I21" s="60"/>
      <c r="J21" s="14"/>
      <c r="K21" s="41"/>
      <c r="L21" s="41"/>
    </row>
    <row r="22" spans="1:12" ht="15.75" customHeight="1" x14ac:dyDescent="0.25">
      <c r="A22" s="65">
        <v>130</v>
      </c>
      <c r="B22" s="66">
        <v>43414.071527777778</v>
      </c>
      <c r="C22" s="65" t="s">
        <v>239</v>
      </c>
      <c r="D22" s="38" t="s">
        <v>25</v>
      </c>
      <c r="E22" s="14">
        <v>412</v>
      </c>
      <c r="F22" s="14">
        <v>91</v>
      </c>
      <c r="G22" s="40">
        <f t="shared" si="3"/>
        <v>134.97120000000001</v>
      </c>
      <c r="H22" s="52"/>
      <c r="I22" s="60"/>
      <c r="J22" s="14"/>
      <c r="K22" s="41"/>
      <c r="L22" s="41"/>
    </row>
    <row r="23" spans="1:12" ht="15.75" customHeight="1" x14ac:dyDescent="0.25">
      <c r="A23" s="65">
        <v>131</v>
      </c>
      <c r="B23" s="66">
        <v>43414.237500000003</v>
      </c>
      <c r="C23" s="65" t="s">
        <v>239</v>
      </c>
      <c r="D23" s="38" t="s">
        <v>26</v>
      </c>
      <c r="E23" s="14">
        <v>257</v>
      </c>
      <c r="F23" s="14">
        <f>124+113</f>
        <v>237</v>
      </c>
      <c r="G23" s="40">
        <f t="shared" si="3"/>
        <v>219.2724</v>
      </c>
      <c r="H23" s="52"/>
      <c r="I23" s="60"/>
      <c r="J23" s="14"/>
      <c r="K23" s="41"/>
      <c r="L23" s="41"/>
    </row>
    <row r="24" spans="1:12" ht="15.75" customHeight="1" x14ac:dyDescent="0.25">
      <c r="A24" s="65">
        <v>125</v>
      </c>
      <c r="B24" s="66">
        <v>43414.404166666667</v>
      </c>
      <c r="C24" s="65" t="s">
        <v>240</v>
      </c>
      <c r="D24" s="38" t="s">
        <v>20</v>
      </c>
      <c r="E24" s="14">
        <v>188</v>
      </c>
      <c r="F24" s="35">
        <v>0</v>
      </c>
      <c r="G24" s="53" t="s">
        <v>118</v>
      </c>
      <c r="H24" s="52"/>
      <c r="I24" s="60" t="s">
        <v>253</v>
      </c>
      <c r="J24" s="14"/>
      <c r="K24" s="41"/>
      <c r="L24" s="41"/>
    </row>
    <row r="25" spans="1:12" ht="15.75" customHeight="1" x14ac:dyDescent="0.25">
      <c r="A25" s="65">
        <v>132</v>
      </c>
      <c r="B25" s="66">
        <v>43414.404861111114</v>
      </c>
      <c r="C25" s="65" t="s">
        <v>239</v>
      </c>
      <c r="D25" s="38" t="s">
        <v>27</v>
      </c>
      <c r="E25" s="14">
        <v>160</v>
      </c>
      <c r="F25" s="14">
        <f>98+70</f>
        <v>168</v>
      </c>
      <c r="G25" s="40">
        <f t="shared" si="3"/>
        <v>96.768000000000001</v>
      </c>
      <c r="H25" s="52"/>
      <c r="I25" s="60"/>
      <c r="J25" s="14"/>
      <c r="K25" s="41"/>
      <c r="L25" s="41"/>
    </row>
    <row r="26" spans="1:12" ht="15.75" customHeight="1" x14ac:dyDescent="0.25">
      <c r="A26" s="65">
        <v>133</v>
      </c>
      <c r="B26" s="66">
        <v>43414.570833333331</v>
      </c>
      <c r="C26" s="65" t="s">
        <v>239</v>
      </c>
      <c r="D26" s="38" t="s">
        <v>28</v>
      </c>
      <c r="E26" s="14">
        <v>79.5</v>
      </c>
      <c r="F26" s="14">
        <f>50+29</f>
        <v>79</v>
      </c>
      <c r="G26" s="40">
        <f t="shared" si="3"/>
        <v>22.6098</v>
      </c>
      <c r="H26" s="53"/>
      <c r="I26" s="59"/>
      <c r="J26" s="16"/>
      <c r="K26" s="42"/>
      <c r="L26" s="43"/>
    </row>
    <row r="27" spans="1:12" ht="15.75" customHeight="1" x14ac:dyDescent="0.25">
      <c r="A27" s="65">
        <v>134</v>
      </c>
      <c r="B27" s="66">
        <v>43414.820833333331</v>
      </c>
      <c r="C27" s="65" t="s">
        <v>239</v>
      </c>
      <c r="D27" s="38" t="s">
        <v>29</v>
      </c>
      <c r="E27" s="14">
        <v>30.2</v>
      </c>
      <c r="F27" s="40">
        <f>17+14+11</f>
        <v>42</v>
      </c>
      <c r="G27" s="40">
        <f t="shared" si="3"/>
        <v>4.5662399999999996</v>
      </c>
      <c r="H27" s="52"/>
      <c r="I27" s="60"/>
      <c r="J27" s="14"/>
      <c r="K27" s="41"/>
      <c r="L27" s="41"/>
    </row>
    <row r="28" spans="1:12" ht="15.75" customHeight="1" x14ac:dyDescent="0.25">
      <c r="A28" s="65">
        <v>126</v>
      </c>
      <c r="B28" s="66">
        <v>43415.404166666667</v>
      </c>
      <c r="C28" s="65" t="s">
        <v>240</v>
      </c>
      <c r="D28" s="38" t="s">
        <v>21</v>
      </c>
      <c r="E28" s="14">
        <v>27.7</v>
      </c>
      <c r="F28" s="14">
        <v>47</v>
      </c>
      <c r="G28" s="40">
        <f t="shared" ref="G28:G30" si="4">F28*3600*40/1000000</f>
        <v>6.7679999999999998</v>
      </c>
      <c r="H28" s="52"/>
      <c r="I28" s="60"/>
      <c r="J28" s="14"/>
      <c r="K28" s="41"/>
      <c r="L28" s="41"/>
    </row>
    <row r="29" spans="1:12" ht="15.75" customHeight="1" x14ac:dyDescent="0.25">
      <c r="A29" s="65">
        <v>127</v>
      </c>
      <c r="B29" s="66">
        <v>43416.404166666667</v>
      </c>
      <c r="C29" s="65" t="s">
        <v>240</v>
      </c>
      <c r="D29" s="38" t="s">
        <v>22</v>
      </c>
      <c r="E29" s="40">
        <v>0.35899999999999999</v>
      </c>
      <c r="F29" s="14">
        <v>36</v>
      </c>
      <c r="G29" s="40">
        <f t="shared" si="4"/>
        <v>5.1840000000000002</v>
      </c>
      <c r="H29" s="52"/>
      <c r="I29" s="60"/>
      <c r="J29" s="25"/>
      <c r="K29" s="41"/>
      <c r="L29" s="41"/>
    </row>
    <row r="30" spans="1:12" ht="15.75" customHeight="1" x14ac:dyDescent="0.25">
      <c r="A30" s="65">
        <v>135</v>
      </c>
      <c r="B30" s="66">
        <v>43417.416666666664</v>
      </c>
      <c r="C30" s="65" t="s">
        <v>240</v>
      </c>
      <c r="D30" s="38" t="s">
        <v>30</v>
      </c>
      <c r="E30" s="14">
        <v>19.399999999999999</v>
      </c>
      <c r="F30" s="14">
        <f>21+4</f>
        <v>25</v>
      </c>
      <c r="G30" s="40">
        <f t="shared" si="4"/>
        <v>3.6</v>
      </c>
      <c r="H30" s="50">
        <f>SUM(G20:G30)/1000</f>
        <v>0.51719724</v>
      </c>
      <c r="I30" s="60"/>
      <c r="J30" s="14"/>
      <c r="K30" s="41"/>
      <c r="L30" s="41"/>
    </row>
    <row r="31" spans="1:12" ht="15.75" customHeight="1" x14ac:dyDescent="0.25">
      <c r="A31" s="62">
        <v>137</v>
      </c>
      <c r="B31" s="63">
        <v>43417.716666666667</v>
      </c>
      <c r="C31" s="62" t="s">
        <v>239</v>
      </c>
      <c r="D31" s="64" t="s">
        <v>32</v>
      </c>
      <c r="E31" s="55">
        <v>332</v>
      </c>
      <c r="F31" s="55">
        <v>0</v>
      </c>
      <c r="G31" s="55"/>
      <c r="H31" s="80"/>
      <c r="I31" s="70" t="s">
        <v>258</v>
      </c>
      <c r="J31" s="14"/>
      <c r="K31" s="41"/>
      <c r="L31" s="41"/>
    </row>
    <row r="32" spans="1:12" ht="15.75" customHeight="1" x14ac:dyDescent="0.25">
      <c r="A32" s="65">
        <v>138</v>
      </c>
      <c r="B32" s="66">
        <v>43417.731249999997</v>
      </c>
      <c r="C32" s="65" t="s">
        <v>239</v>
      </c>
      <c r="D32" s="38" t="s">
        <v>33</v>
      </c>
      <c r="E32" s="14">
        <v>299</v>
      </c>
      <c r="F32" s="14">
        <v>0</v>
      </c>
      <c r="G32" s="53" t="s">
        <v>118</v>
      </c>
      <c r="H32" s="53"/>
      <c r="I32" s="59" t="s">
        <v>258</v>
      </c>
      <c r="J32" s="16"/>
      <c r="K32" s="25"/>
      <c r="L32" s="41"/>
    </row>
    <row r="33" spans="1:12" ht="15.75" customHeight="1" x14ac:dyDescent="0.25">
      <c r="A33" s="65">
        <v>139</v>
      </c>
      <c r="B33" s="66">
        <v>43417.741666666669</v>
      </c>
      <c r="C33" s="65" t="s">
        <v>239</v>
      </c>
      <c r="D33" s="38" t="s">
        <v>34</v>
      </c>
      <c r="E33" s="14">
        <v>303</v>
      </c>
      <c r="F33" s="14">
        <v>4</v>
      </c>
      <c r="G33" s="40">
        <f t="shared" ref="G33:G37" si="5">F33*3600*E33/1000000</f>
        <v>4.3632</v>
      </c>
      <c r="H33" s="52"/>
      <c r="I33" s="60"/>
      <c r="J33" s="14"/>
      <c r="K33" s="41"/>
      <c r="L33" s="41"/>
    </row>
    <row r="34" spans="1:12" ht="15.75" customHeight="1" x14ac:dyDescent="0.25">
      <c r="A34" s="65">
        <v>140</v>
      </c>
      <c r="B34" s="66">
        <v>43418</v>
      </c>
      <c r="C34" s="65" t="s">
        <v>239</v>
      </c>
      <c r="D34" s="38" t="s">
        <v>35</v>
      </c>
      <c r="E34" s="14">
        <v>129</v>
      </c>
      <c r="F34" s="14">
        <v>33.5</v>
      </c>
      <c r="G34" s="40">
        <f t="shared" si="5"/>
        <v>15.557399999999999</v>
      </c>
      <c r="H34" s="52"/>
      <c r="I34" s="60"/>
      <c r="J34" s="14"/>
      <c r="K34" s="41"/>
      <c r="L34" s="41"/>
    </row>
    <row r="35" spans="1:12" ht="15.75" customHeight="1" x14ac:dyDescent="0.25">
      <c r="A35" s="65">
        <v>136</v>
      </c>
      <c r="B35" s="66">
        <v>43418.416666666664</v>
      </c>
      <c r="C35" s="65" t="s">
        <v>240</v>
      </c>
      <c r="D35" s="38" t="s">
        <v>31</v>
      </c>
      <c r="E35" s="14">
        <v>218</v>
      </c>
      <c r="F35" s="14">
        <v>0</v>
      </c>
      <c r="G35" s="40"/>
      <c r="H35" s="52"/>
      <c r="I35" s="60" t="s">
        <v>253</v>
      </c>
      <c r="J35" s="14"/>
      <c r="K35" s="41"/>
      <c r="L35" s="41"/>
    </row>
    <row r="36" spans="1:12" ht="15.75" customHeight="1" x14ac:dyDescent="0.25">
      <c r="A36" s="65">
        <v>141</v>
      </c>
      <c r="B36" s="66">
        <v>43423.456944444442</v>
      </c>
      <c r="C36" s="65" t="s">
        <v>240</v>
      </c>
      <c r="D36" s="38" t="s">
        <v>36</v>
      </c>
      <c r="E36" s="14">
        <v>128</v>
      </c>
      <c r="F36" s="14">
        <v>123</v>
      </c>
      <c r="G36" s="40">
        <f t="shared" si="5"/>
        <v>56.678400000000003</v>
      </c>
      <c r="H36" s="52"/>
      <c r="J36" s="14"/>
      <c r="K36" s="41"/>
      <c r="L36" s="41"/>
    </row>
    <row r="37" spans="1:12" ht="15.75" customHeight="1" x14ac:dyDescent="0.25">
      <c r="A37" s="65">
        <v>142</v>
      </c>
      <c r="B37" s="66">
        <v>43424.456944444442</v>
      </c>
      <c r="C37" s="65" t="s">
        <v>240</v>
      </c>
      <c r="D37" s="38" t="s">
        <v>37</v>
      </c>
      <c r="E37" s="40">
        <v>60</v>
      </c>
      <c r="F37" s="14">
        <v>7</v>
      </c>
      <c r="G37" s="40">
        <f t="shared" si="5"/>
        <v>1.512</v>
      </c>
      <c r="H37" s="52"/>
      <c r="I37" s="60"/>
      <c r="J37" s="14"/>
      <c r="K37" s="41"/>
      <c r="L37" s="41"/>
    </row>
    <row r="38" spans="1:12" ht="15.75" customHeight="1" x14ac:dyDescent="0.25">
      <c r="A38" s="67">
        <v>143</v>
      </c>
      <c r="B38" s="68">
        <v>43429.456944444442</v>
      </c>
      <c r="C38" s="67" t="s">
        <v>240</v>
      </c>
      <c r="D38" s="69" t="s">
        <v>38</v>
      </c>
      <c r="E38" s="71">
        <v>490</v>
      </c>
      <c r="F38" s="57">
        <v>20</v>
      </c>
      <c r="G38" s="58">
        <f>F38*3600*E37/1000000</f>
        <v>4.32</v>
      </c>
      <c r="H38" s="103">
        <f>SUM(G31:G38)/1000</f>
        <v>8.2431000000000018E-2</v>
      </c>
      <c r="I38" s="70" t="s">
        <v>259</v>
      </c>
      <c r="J38" s="14"/>
      <c r="K38" s="41"/>
      <c r="L38" s="41"/>
    </row>
    <row r="39" spans="1:12" ht="15.75" customHeight="1" x14ac:dyDescent="0.25">
      <c r="A39" s="62">
        <v>144</v>
      </c>
      <c r="B39" s="63">
        <v>43430.456944444442</v>
      </c>
      <c r="C39" s="62" t="s">
        <v>240</v>
      </c>
      <c r="D39" s="64" t="s">
        <v>39</v>
      </c>
      <c r="E39" s="55">
        <v>225</v>
      </c>
      <c r="F39" s="55">
        <v>18</v>
      </c>
      <c r="G39" s="56">
        <f t="shared" ref="G39" si="6">F39*3600*E39/1000000</f>
        <v>14.58</v>
      </c>
      <c r="H39" s="80"/>
      <c r="J39" s="14"/>
      <c r="K39" s="44"/>
      <c r="L39" s="41"/>
    </row>
    <row r="40" spans="1:12" ht="15.75" customHeight="1" x14ac:dyDescent="0.25">
      <c r="A40" s="65">
        <v>149</v>
      </c>
      <c r="B40" s="66">
        <v>43430.522916666669</v>
      </c>
      <c r="C40" s="65" t="s">
        <v>239</v>
      </c>
      <c r="D40" s="38" t="s">
        <v>44</v>
      </c>
      <c r="E40" s="40">
        <v>85</v>
      </c>
      <c r="F40" s="14">
        <v>0</v>
      </c>
      <c r="G40" s="14"/>
      <c r="H40" s="53"/>
      <c r="I40" s="59"/>
      <c r="J40" s="16"/>
      <c r="K40" s="45"/>
      <c r="L40" s="41"/>
    </row>
    <row r="41" spans="1:12" ht="15.75" customHeight="1" x14ac:dyDescent="0.25">
      <c r="A41" s="65">
        <v>150</v>
      </c>
      <c r="B41" s="66">
        <v>43430.537499999999</v>
      </c>
      <c r="C41" s="65" t="s">
        <v>239</v>
      </c>
      <c r="D41" s="38" t="s">
        <v>45</v>
      </c>
      <c r="E41" s="14">
        <v>86.9</v>
      </c>
      <c r="F41" s="14">
        <v>0</v>
      </c>
      <c r="G41" s="14"/>
      <c r="H41" s="52"/>
      <c r="I41" s="60"/>
      <c r="J41" s="14"/>
      <c r="K41" s="41"/>
      <c r="L41" s="41"/>
    </row>
    <row r="42" spans="1:12" ht="15.75" customHeight="1" x14ac:dyDescent="0.25">
      <c r="A42" s="65">
        <v>151</v>
      </c>
      <c r="B42" s="66">
        <v>43430.557638888888</v>
      </c>
      <c r="C42" s="65" t="s">
        <v>239</v>
      </c>
      <c r="D42" s="38" t="s">
        <v>46</v>
      </c>
      <c r="E42" s="14">
        <v>88.2</v>
      </c>
      <c r="F42" s="14">
        <v>0</v>
      </c>
      <c r="G42" s="14"/>
      <c r="H42" s="53"/>
      <c r="I42" s="59"/>
      <c r="J42" s="16"/>
      <c r="K42" s="17"/>
      <c r="L42" s="41"/>
    </row>
    <row r="43" spans="1:12" ht="15.75" customHeight="1" x14ac:dyDescent="0.25">
      <c r="A43" s="65">
        <v>145</v>
      </c>
      <c r="B43" s="66">
        <v>43431.456944444442</v>
      </c>
      <c r="C43" s="65" t="s">
        <v>240</v>
      </c>
      <c r="D43" s="38" t="s">
        <v>40</v>
      </c>
      <c r="E43" s="14">
        <v>228</v>
      </c>
      <c r="F43" s="14">
        <f>4+6.5+20+51+63+91+83+106.5+102+77/2</f>
        <v>565.5</v>
      </c>
      <c r="G43" s="40">
        <f t="shared" ref="G43:G46" si="7">F43*3600*E43/1000000</f>
        <v>464.16239999999999</v>
      </c>
      <c r="H43" s="53"/>
      <c r="J43" s="16"/>
      <c r="K43" s="17"/>
      <c r="L43" s="44"/>
    </row>
    <row r="44" spans="1:12" s="5" customFormat="1" ht="15.75" customHeight="1" x14ac:dyDescent="0.25">
      <c r="A44" s="65">
        <v>146</v>
      </c>
      <c r="B44" s="66">
        <v>43432.456944444442</v>
      </c>
      <c r="C44" s="65" t="s">
        <v>240</v>
      </c>
      <c r="D44" s="38" t="s">
        <v>41</v>
      </c>
      <c r="E44" s="14">
        <v>129</v>
      </c>
      <c r="F44" s="40">
        <f>77/2+67+69+76.5+69.5+59+44+26+19.5+17+15+14+12.5/2</f>
        <v>521.25</v>
      </c>
      <c r="G44" s="40">
        <f t="shared" si="7"/>
        <v>242.0685</v>
      </c>
      <c r="H44" s="53"/>
      <c r="I44" s="59"/>
      <c r="J44" s="16"/>
      <c r="K44" s="17"/>
      <c r="L44" s="44"/>
    </row>
    <row r="45" spans="1:12" ht="15.75" customHeight="1" x14ac:dyDescent="0.25">
      <c r="A45" s="65">
        <v>147</v>
      </c>
      <c r="B45" s="66">
        <v>43433.456944444442</v>
      </c>
      <c r="C45" s="65" t="s">
        <v>240</v>
      </c>
      <c r="D45" s="38" t="s">
        <v>42</v>
      </c>
      <c r="E45" s="14">
        <v>178</v>
      </c>
      <c r="F45" s="40">
        <f>12.5/2+11.5+11+14+20+23+23+21+20+18+17+16+15/2</f>
        <v>208.25</v>
      </c>
      <c r="G45" s="40">
        <f t="shared" si="7"/>
        <v>133.44659999999999</v>
      </c>
      <c r="H45" s="104"/>
      <c r="I45" s="90"/>
      <c r="J45" s="16"/>
      <c r="K45" s="17"/>
      <c r="L45" s="41"/>
    </row>
    <row r="46" spans="1:12" ht="15.75" customHeight="1" x14ac:dyDescent="0.25">
      <c r="A46" s="67">
        <v>148</v>
      </c>
      <c r="B46" s="68">
        <v>43434.456944444442</v>
      </c>
      <c r="C46" s="67" t="s">
        <v>240</v>
      </c>
      <c r="D46" s="69" t="s">
        <v>43</v>
      </c>
      <c r="E46" s="57">
        <v>175</v>
      </c>
      <c r="F46" s="57">
        <f>15/2+18+51+68+59+42+23+18.5+15+13+12+11+10/2</f>
        <v>343</v>
      </c>
      <c r="G46" s="58">
        <f t="shared" si="7"/>
        <v>216.09</v>
      </c>
      <c r="H46" s="103">
        <f>SUM(G39:G46)/1000</f>
        <v>1.0703474999999998</v>
      </c>
      <c r="I46" s="59" t="s">
        <v>261</v>
      </c>
      <c r="J46" s="16"/>
      <c r="K46" s="45"/>
      <c r="L46" s="41"/>
    </row>
    <row r="47" spans="1:12" s="5" customFormat="1" ht="15.75" customHeight="1" x14ac:dyDescent="0.25">
      <c r="A47" s="73"/>
      <c r="B47" s="72"/>
      <c r="C47" s="73"/>
      <c r="D47" s="74"/>
      <c r="E47" s="75"/>
      <c r="F47" s="75">
        <f>10/2+9+9+8+8+8+21+18+15+36+10</f>
        <v>147</v>
      </c>
      <c r="G47" s="61">
        <f>F47*3600*40/1000000</f>
        <v>21.167999999999999</v>
      </c>
      <c r="H47" s="105">
        <f>SUM(G47)/1000</f>
        <v>2.1167999999999999E-2</v>
      </c>
      <c r="I47" s="59" t="s">
        <v>260</v>
      </c>
      <c r="J47" s="16"/>
      <c r="K47" s="45"/>
      <c r="L47" s="41"/>
    </row>
    <row r="48" spans="1:12" ht="15.75" customHeight="1" x14ac:dyDescent="0.25">
      <c r="A48" s="73">
        <v>152</v>
      </c>
      <c r="B48" s="72">
        <v>43437.461805555555</v>
      </c>
      <c r="C48" s="73"/>
      <c r="D48" s="74" t="s">
        <v>47</v>
      </c>
      <c r="E48" s="75">
        <v>280</v>
      </c>
      <c r="F48" s="75">
        <f>9+22+56+140+140+100+70+50+40+18+17+16</f>
        <v>678</v>
      </c>
      <c r="G48" s="61">
        <f>F48*3600*E48*2/1000000</f>
        <v>1366.848</v>
      </c>
      <c r="H48" s="105">
        <f>SUM(G48)/1000</f>
        <v>1.3668480000000001</v>
      </c>
      <c r="I48" s="81" t="s">
        <v>272</v>
      </c>
      <c r="J48" s="46"/>
      <c r="K48" s="41"/>
      <c r="L48" s="41"/>
    </row>
    <row r="49" spans="1:14" ht="15.75" customHeight="1" x14ac:dyDescent="0.25">
      <c r="A49" s="62">
        <v>153</v>
      </c>
      <c r="B49" s="63">
        <v>43438.583333333336</v>
      </c>
      <c r="C49" s="62" t="s">
        <v>241</v>
      </c>
      <c r="D49" s="64" t="s">
        <v>48</v>
      </c>
      <c r="E49" s="55">
        <v>9.51</v>
      </c>
      <c r="F49" s="55">
        <f>15+13+11+10+9+8+39</f>
        <v>105</v>
      </c>
      <c r="G49" s="56">
        <f>F49*3600*30/1000000</f>
        <v>11.34</v>
      </c>
      <c r="H49" s="76"/>
      <c r="I49" s="47" t="s">
        <v>262</v>
      </c>
      <c r="J49" s="46"/>
      <c r="K49" s="41"/>
      <c r="L49" s="41"/>
    </row>
    <row r="50" spans="1:14" ht="15.75" customHeight="1" x14ac:dyDescent="0.25">
      <c r="A50" s="65">
        <v>154</v>
      </c>
      <c r="B50" s="66">
        <v>43444.572222222225</v>
      </c>
      <c r="C50" s="65" t="s">
        <v>242</v>
      </c>
      <c r="D50" s="38" t="s">
        <v>49</v>
      </c>
      <c r="E50" s="14">
        <v>12.1</v>
      </c>
      <c r="F50" s="14">
        <v>147</v>
      </c>
      <c r="G50" s="40">
        <f>F50*3600*30/1000000</f>
        <v>15.875999999999999</v>
      </c>
      <c r="H50" s="46"/>
      <c r="I50" s="47" t="s">
        <v>262</v>
      </c>
      <c r="J50" s="46"/>
      <c r="K50" s="41"/>
      <c r="L50" s="41"/>
    </row>
    <row r="51" spans="1:14" ht="15.75" customHeight="1" x14ac:dyDescent="0.25">
      <c r="A51" s="65">
        <v>154.5</v>
      </c>
      <c r="B51" s="66">
        <v>43445.583333333336</v>
      </c>
      <c r="C51" s="65" t="s">
        <v>243</v>
      </c>
      <c r="D51" s="38"/>
      <c r="E51" s="14"/>
      <c r="F51" s="52" t="s">
        <v>118</v>
      </c>
      <c r="G51" s="46"/>
      <c r="H51" s="50"/>
      <c r="I51" s="47"/>
      <c r="J51" s="16"/>
      <c r="K51" s="41"/>
      <c r="L51" s="41"/>
    </row>
    <row r="52" spans="1:14" ht="15.75" customHeight="1" x14ac:dyDescent="0.25">
      <c r="A52" s="65">
        <v>155</v>
      </c>
      <c r="B52" s="66">
        <v>43447.416666666664</v>
      </c>
      <c r="C52" s="65" t="s">
        <v>242</v>
      </c>
      <c r="D52" s="38"/>
      <c r="E52" s="14"/>
      <c r="F52" s="48"/>
      <c r="G52" s="14"/>
      <c r="H52" s="52"/>
      <c r="I52" s="47"/>
      <c r="J52" s="14"/>
      <c r="K52" s="41"/>
      <c r="L52" s="41"/>
      <c r="M52" s="41"/>
      <c r="N52" s="41"/>
    </row>
    <row r="53" spans="1:14" ht="15.75" customHeight="1" x14ac:dyDescent="0.25">
      <c r="A53" s="77">
        <v>156</v>
      </c>
      <c r="B53" s="66">
        <v>43448.17291666667</v>
      </c>
      <c r="C53" s="65" t="s">
        <v>243</v>
      </c>
      <c r="D53" s="38" t="s">
        <v>50</v>
      </c>
      <c r="E53" s="14">
        <v>11.5</v>
      </c>
      <c r="F53" s="14">
        <v>26</v>
      </c>
      <c r="G53" s="40">
        <f t="shared" ref="G53:G56" si="8">F53*3600*30/1000000</f>
        <v>2.8079999999999998</v>
      </c>
      <c r="H53" s="52"/>
      <c r="I53" s="47" t="s">
        <v>262</v>
      </c>
      <c r="J53" s="14"/>
      <c r="K53" s="14"/>
      <c r="L53" s="14"/>
      <c r="M53" s="4"/>
      <c r="N53" s="4"/>
    </row>
    <row r="54" spans="1:14" ht="15.75" customHeight="1" x14ac:dyDescent="0.25">
      <c r="A54" s="77">
        <v>157</v>
      </c>
      <c r="B54" s="66">
        <v>43449.17291666667</v>
      </c>
      <c r="C54" s="65" t="s">
        <v>243</v>
      </c>
      <c r="D54" s="38" t="s">
        <v>51</v>
      </c>
      <c r="E54" s="14">
        <v>13.8</v>
      </c>
      <c r="F54" s="14">
        <v>5</v>
      </c>
      <c r="G54" s="40">
        <f t="shared" si="8"/>
        <v>0.54</v>
      </c>
      <c r="H54" s="52"/>
      <c r="I54" s="47" t="s">
        <v>262</v>
      </c>
      <c r="J54" s="14"/>
      <c r="K54" s="41"/>
      <c r="L54" s="41"/>
    </row>
    <row r="55" spans="1:14" ht="15.75" customHeight="1" x14ac:dyDescent="0.25">
      <c r="A55" s="77">
        <v>158</v>
      </c>
      <c r="B55" s="66">
        <v>43451.17291666667</v>
      </c>
      <c r="C55" s="65" t="s">
        <v>243</v>
      </c>
      <c r="D55" s="38" t="s">
        <v>52</v>
      </c>
      <c r="E55" s="14">
        <v>6.76</v>
      </c>
      <c r="F55" s="14">
        <v>8</v>
      </c>
      <c r="G55" s="40">
        <f t="shared" si="8"/>
        <v>0.86399999999999999</v>
      </c>
      <c r="H55" s="21"/>
      <c r="I55" s="47" t="s">
        <v>262</v>
      </c>
      <c r="J55" s="23"/>
      <c r="K55" s="41"/>
      <c r="L55" s="41"/>
    </row>
    <row r="56" spans="1:14" ht="15.75" customHeight="1" x14ac:dyDescent="0.25">
      <c r="A56" s="78">
        <v>158.5</v>
      </c>
      <c r="B56" s="68">
        <v>43454.623611111114</v>
      </c>
      <c r="C56" s="67" t="s">
        <v>244</v>
      </c>
      <c r="D56" s="69" t="s">
        <v>53</v>
      </c>
      <c r="E56" s="57">
        <v>17.600000000000001</v>
      </c>
      <c r="F56" s="57">
        <v>11</v>
      </c>
      <c r="G56" s="58">
        <f t="shared" si="8"/>
        <v>1.1879999999999999</v>
      </c>
      <c r="H56" s="103">
        <f>SUM(G49:G56)/1000</f>
        <v>3.2615999999999999E-2</v>
      </c>
      <c r="I56" s="47" t="s">
        <v>262</v>
      </c>
      <c r="J56" s="14"/>
      <c r="K56" s="41"/>
      <c r="L56" s="41"/>
    </row>
    <row r="57" spans="1:14" ht="15.75" customHeight="1" x14ac:dyDescent="0.25">
      <c r="A57" s="79">
        <v>159</v>
      </c>
      <c r="B57" s="63">
        <v>43455.43472222222</v>
      </c>
      <c r="C57" s="62" t="s">
        <v>239</v>
      </c>
      <c r="D57" s="64" t="s">
        <v>54</v>
      </c>
      <c r="E57" s="55">
        <v>231</v>
      </c>
      <c r="F57" s="55"/>
      <c r="G57" s="56" t="s">
        <v>118</v>
      </c>
      <c r="H57" s="106"/>
      <c r="J57" s="14"/>
      <c r="K57" s="41"/>
      <c r="L57" s="41"/>
    </row>
    <row r="58" spans="1:14" ht="15.75" customHeight="1" x14ac:dyDescent="0.25">
      <c r="A58" s="77">
        <v>160</v>
      </c>
      <c r="B58" s="66">
        <v>43455.436805555553</v>
      </c>
      <c r="C58" s="65" t="s">
        <v>239</v>
      </c>
      <c r="D58" s="38" t="s">
        <v>55</v>
      </c>
      <c r="E58" s="14">
        <v>277</v>
      </c>
      <c r="F58" s="41"/>
      <c r="G58" s="14"/>
      <c r="H58" s="21"/>
      <c r="I58" s="60"/>
      <c r="J58" s="14"/>
      <c r="K58" s="41"/>
      <c r="L58" s="41"/>
    </row>
    <row r="59" spans="1:14" ht="15.75" customHeight="1" x14ac:dyDescent="0.25">
      <c r="A59" s="77">
        <v>161</v>
      </c>
      <c r="B59" s="66">
        <v>43455.456944444442</v>
      </c>
      <c r="C59" s="65" t="s">
        <v>239</v>
      </c>
      <c r="D59" s="38" t="s">
        <v>56</v>
      </c>
      <c r="E59" s="14">
        <v>414</v>
      </c>
      <c r="F59" s="14">
        <f>3/2</f>
        <v>1.5</v>
      </c>
      <c r="G59" s="40">
        <f>F59*3600*AVERAGE(E57:E59)/1000000</f>
        <v>1.6596</v>
      </c>
      <c r="H59" s="52"/>
      <c r="I59" s="49" t="s">
        <v>263</v>
      </c>
      <c r="J59" s="14"/>
      <c r="K59" s="41"/>
      <c r="L59" s="41"/>
    </row>
    <row r="60" spans="1:14" ht="15.75" customHeight="1" x14ac:dyDescent="0.25">
      <c r="A60" s="77">
        <v>162</v>
      </c>
      <c r="B60" s="66">
        <v>43455.540277777778</v>
      </c>
      <c r="C60" s="65" t="s">
        <v>239</v>
      </c>
      <c r="D60" s="38" t="s">
        <v>57</v>
      </c>
      <c r="E60" s="14">
        <v>518</v>
      </c>
      <c r="F60" s="14">
        <f>3/2+20/2</f>
        <v>11.5</v>
      </c>
      <c r="G60" s="40">
        <f>F60*3600*E60/1000000</f>
        <v>21.4452</v>
      </c>
      <c r="H60" s="52"/>
      <c r="I60" s="60"/>
      <c r="J60" s="14"/>
      <c r="K60" s="41"/>
      <c r="L60" s="41"/>
    </row>
    <row r="61" spans="1:14" ht="15.75" customHeight="1" x14ac:dyDescent="0.25">
      <c r="A61" s="77">
        <v>162.5</v>
      </c>
      <c r="B61" s="66">
        <v>43455.623611111114</v>
      </c>
      <c r="C61" s="65" t="s">
        <v>245</v>
      </c>
      <c r="D61" s="38" t="s">
        <v>58</v>
      </c>
      <c r="E61" s="14">
        <v>434</v>
      </c>
      <c r="F61" s="52" t="s">
        <v>118</v>
      </c>
      <c r="G61" s="53" t="s">
        <v>118</v>
      </c>
      <c r="H61" s="52"/>
      <c r="I61" s="60" t="s">
        <v>253</v>
      </c>
      <c r="J61" s="14"/>
      <c r="K61" s="41"/>
      <c r="L61" s="41"/>
    </row>
    <row r="62" spans="1:14" ht="15.75" customHeight="1" x14ac:dyDescent="0.25">
      <c r="A62" s="77">
        <v>163</v>
      </c>
      <c r="B62" s="66">
        <v>43455.624305555553</v>
      </c>
      <c r="C62" s="65" t="s">
        <v>239</v>
      </c>
      <c r="D62" s="38" t="s">
        <v>59</v>
      </c>
      <c r="E62" s="14">
        <v>548</v>
      </c>
      <c r="F62" s="14">
        <f>20/2+84/2</f>
        <v>52</v>
      </c>
      <c r="G62" s="40">
        <f>F62*3600*E62/1000000</f>
        <v>102.5856</v>
      </c>
      <c r="H62" s="52"/>
      <c r="I62" s="60"/>
      <c r="J62" s="14"/>
      <c r="K62" s="41"/>
      <c r="L62" s="41"/>
    </row>
    <row r="63" spans="1:14" ht="15.75" customHeight="1" x14ac:dyDescent="0.25">
      <c r="A63" s="77">
        <v>164</v>
      </c>
      <c r="B63" s="66">
        <v>43455.706944444442</v>
      </c>
      <c r="C63" s="65" t="s">
        <v>239</v>
      </c>
      <c r="D63" s="38" t="s">
        <v>60</v>
      </c>
      <c r="E63" s="14">
        <v>468</v>
      </c>
      <c r="F63" s="14">
        <f>84/2+120/2</f>
        <v>102</v>
      </c>
      <c r="G63" s="40">
        <f t="shared" ref="G63:G72" si="9">F63*3600*E63/1000000</f>
        <v>171.84960000000001</v>
      </c>
      <c r="H63" s="52"/>
      <c r="I63" s="60"/>
      <c r="J63" s="14"/>
      <c r="K63" s="41"/>
      <c r="L63" s="41"/>
    </row>
    <row r="64" spans="1:14" ht="15.75" customHeight="1" x14ac:dyDescent="0.25">
      <c r="A64" s="77">
        <v>165</v>
      </c>
      <c r="B64" s="66">
        <v>43455.790277777778</v>
      </c>
      <c r="C64" s="65" t="s">
        <v>239</v>
      </c>
      <c r="D64" s="38" t="s">
        <v>61</v>
      </c>
      <c r="E64" s="14">
        <v>369</v>
      </c>
      <c r="F64" s="14">
        <f>120/2+80/2</f>
        <v>100</v>
      </c>
      <c r="G64" s="40">
        <f t="shared" si="9"/>
        <v>132.84</v>
      </c>
      <c r="H64" s="52"/>
      <c r="I64" s="60"/>
      <c r="J64" s="14"/>
      <c r="K64" s="41"/>
      <c r="L64" s="41"/>
    </row>
    <row r="65" spans="1:12" ht="15.75" customHeight="1" x14ac:dyDescent="0.25">
      <c r="A65" s="77">
        <v>166</v>
      </c>
      <c r="B65" s="66">
        <v>43455.873611111114</v>
      </c>
      <c r="C65" s="65" t="s">
        <v>239</v>
      </c>
      <c r="D65" s="38" t="s">
        <v>62</v>
      </c>
      <c r="E65" s="14">
        <v>294</v>
      </c>
      <c r="F65" s="14">
        <f>80/2+56/2</f>
        <v>68</v>
      </c>
      <c r="G65" s="40">
        <f t="shared" si="9"/>
        <v>71.971199999999996</v>
      </c>
      <c r="H65" s="52"/>
      <c r="I65" s="60"/>
      <c r="J65" s="14"/>
      <c r="K65" s="41"/>
      <c r="L65" s="41"/>
    </row>
    <row r="66" spans="1:12" ht="15.75" customHeight="1" x14ac:dyDescent="0.25">
      <c r="A66" s="77">
        <v>167</v>
      </c>
      <c r="B66" s="66">
        <v>43455.956944444442</v>
      </c>
      <c r="C66" s="65" t="s">
        <v>239</v>
      </c>
      <c r="D66" s="38" t="s">
        <v>63</v>
      </c>
      <c r="E66" s="14">
        <v>290</v>
      </c>
      <c r="F66" s="14">
        <f>56/2+44/2</f>
        <v>50</v>
      </c>
      <c r="G66" s="40">
        <f t="shared" si="9"/>
        <v>52.2</v>
      </c>
      <c r="H66" s="46"/>
      <c r="I66" s="47"/>
      <c r="J66" s="16"/>
      <c r="K66" s="25"/>
      <c r="L66" s="41"/>
    </row>
    <row r="67" spans="1:12" ht="15.75" customHeight="1" x14ac:dyDescent="0.25">
      <c r="A67" s="78">
        <v>168</v>
      </c>
      <c r="B67" s="68">
        <v>43456.040277777778</v>
      </c>
      <c r="C67" s="67" t="s">
        <v>239</v>
      </c>
      <c r="D67" s="69" t="s">
        <v>64</v>
      </c>
      <c r="E67" s="57">
        <v>279</v>
      </c>
      <c r="F67" s="57">
        <f>44/2+42/2</f>
        <v>43</v>
      </c>
      <c r="G67" s="58">
        <f t="shared" si="9"/>
        <v>43.1892</v>
      </c>
      <c r="H67" s="103">
        <f>SUM(G57:G67)/1000</f>
        <v>0.59774040000000006</v>
      </c>
      <c r="I67" s="60"/>
      <c r="J67" s="14"/>
      <c r="K67" s="44"/>
      <c r="L67" s="41"/>
    </row>
    <row r="68" spans="1:12" ht="15.75" customHeight="1" x14ac:dyDescent="0.25">
      <c r="A68" s="79">
        <v>169</v>
      </c>
      <c r="B68" s="63">
        <v>43456.123611111114</v>
      </c>
      <c r="C68" s="62" t="s">
        <v>239</v>
      </c>
      <c r="D68" s="64" t="s">
        <v>65</v>
      </c>
      <c r="E68" s="55">
        <v>574</v>
      </c>
      <c r="F68" s="55">
        <f>42/2+134/2</f>
        <v>88</v>
      </c>
      <c r="G68" s="56">
        <f t="shared" si="9"/>
        <v>181.8432</v>
      </c>
      <c r="H68" s="76"/>
      <c r="I68" s="47"/>
      <c r="J68" s="46"/>
      <c r="K68" s="41"/>
      <c r="L68" s="41"/>
    </row>
    <row r="69" spans="1:12" ht="15.75" customHeight="1" x14ac:dyDescent="0.25">
      <c r="A69" s="77">
        <v>170</v>
      </c>
      <c r="B69" s="66">
        <v>43456.206944444442</v>
      </c>
      <c r="C69" s="65" t="s">
        <v>239</v>
      </c>
      <c r="D69" s="38" t="s">
        <v>66</v>
      </c>
      <c r="E69" s="14">
        <v>455</v>
      </c>
      <c r="F69" s="14">
        <f>134/2+137/2</f>
        <v>135.5</v>
      </c>
      <c r="G69" s="40">
        <f t="shared" si="9"/>
        <v>221.94900000000001</v>
      </c>
      <c r="H69" s="46"/>
      <c r="I69" s="47"/>
      <c r="J69" s="46"/>
      <c r="K69" s="41"/>
      <c r="L69" s="41"/>
    </row>
    <row r="70" spans="1:12" ht="15.75" customHeight="1" x14ac:dyDescent="0.25">
      <c r="A70" s="77">
        <v>170.5</v>
      </c>
      <c r="B70" s="66">
        <v>43456.623611111114</v>
      </c>
      <c r="C70" s="65" t="s">
        <v>246</v>
      </c>
      <c r="D70" s="38" t="s">
        <v>67</v>
      </c>
      <c r="E70" s="14">
        <v>267</v>
      </c>
      <c r="F70" s="14">
        <f>137/2+118+84+61+59+52</f>
        <v>442.5</v>
      </c>
      <c r="G70" s="40">
        <f t="shared" si="9"/>
        <v>425.33100000000002</v>
      </c>
      <c r="H70" s="46"/>
      <c r="I70" s="47"/>
      <c r="J70" s="46"/>
      <c r="K70" s="41"/>
      <c r="L70" s="41"/>
    </row>
    <row r="71" spans="1:12" s="5" customFormat="1" ht="15.75" customHeight="1" x14ac:dyDescent="0.25">
      <c r="A71" s="78"/>
      <c r="B71" s="68"/>
      <c r="C71" s="67"/>
      <c r="D71" s="69"/>
      <c r="E71" s="58"/>
      <c r="F71" s="57">
        <f>36+20+16+14+12+10+9+8</f>
        <v>125</v>
      </c>
      <c r="G71" s="58">
        <f>F71*3600*60/1000000</f>
        <v>27</v>
      </c>
      <c r="H71" s="103">
        <f>SUM(G68:G71)/1000</f>
        <v>0.85612319999999997</v>
      </c>
      <c r="I71" s="47" t="s">
        <v>264</v>
      </c>
      <c r="J71" s="46"/>
      <c r="K71" s="41"/>
      <c r="L71" s="41"/>
    </row>
    <row r="72" spans="1:12" ht="15.75" customHeight="1" x14ac:dyDescent="0.25">
      <c r="A72" s="62">
        <v>171</v>
      </c>
      <c r="B72" s="63">
        <v>43463.458333333336</v>
      </c>
      <c r="C72" s="62" t="s">
        <v>242</v>
      </c>
      <c r="D72" s="64" t="s">
        <v>68</v>
      </c>
      <c r="E72" s="55">
        <v>153</v>
      </c>
      <c r="F72" s="55">
        <v>78</v>
      </c>
      <c r="G72" s="56">
        <f t="shared" si="9"/>
        <v>42.962400000000002</v>
      </c>
      <c r="H72" s="76"/>
      <c r="I72" s="47" t="s">
        <v>266</v>
      </c>
      <c r="J72" s="46"/>
      <c r="K72" s="41"/>
      <c r="L72" s="41"/>
    </row>
    <row r="73" spans="1:12" ht="15.75" customHeight="1" x14ac:dyDescent="0.25">
      <c r="A73" s="65">
        <v>172</v>
      </c>
      <c r="B73" s="66">
        <v>43464.52847222222</v>
      </c>
      <c r="C73" s="65" t="s">
        <v>243</v>
      </c>
      <c r="D73" s="38" t="s">
        <v>69</v>
      </c>
      <c r="E73" s="14">
        <v>16.3</v>
      </c>
      <c r="F73" s="14">
        <f>21+18+20+28+9+28+12+18</f>
        <v>154</v>
      </c>
      <c r="G73" s="40">
        <f>F73*3600*30/1000000</f>
        <v>16.632000000000001</v>
      </c>
      <c r="H73" s="46"/>
      <c r="I73" s="47" t="s">
        <v>265</v>
      </c>
      <c r="J73" s="46"/>
      <c r="K73" s="41"/>
      <c r="L73" s="41"/>
    </row>
    <row r="74" spans="1:12" ht="15.75" customHeight="1" x14ac:dyDescent="0.25">
      <c r="A74" s="67">
        <v>173</v>
      </c>
      <c r="B74" s="68">
        <v>43465.618055555555</v>
      </c>
      <c r="C74" s="67" t="s">
        <v>242</v>
      </c>
      <c r="D74" s="69" t="s">
        <v>70</v>
      </c>
      <c r="E74" s="57">
        <v>15.9</v>
      </c>
      <c r="F74" s="57"/>
      <c r="G74" s="57" t="s">
        <v>118</v>
      </c>
      <c r="H74" s="103">
        <f>SUM(G72:G74)/1000</f>
        <v>5.9594400000000006E-2</v>
      </c>
      <c r="I74" s="47" t="s">
        <v>253</v>
      </c>
      <c r="J74" s="46"/>
      <c r="K74" s="41"/>
      <c r="L74" s="41"/>
    </row>
    <row r="75" spans="1:12" ht="15.75" customHeight="1" x14ac:dyDescent="0.25">
      <c r="A75" s="62">
        <v>175</v>
      </c>
      <c r="B75" s="63">
        <v>43466.148611111108</v>
      </c>
      <c r="C75" s="62" t="s">
        <v>239</v>
      </c>
      <c r="D75" s="64" t="s">
        <v>72</v>
      </c>
      <c r="E75" s="55">
        <v>79.2</v>
      </c>
      <c r="F75" s="80" t="s">
        <v>118</v>
      </c>
      <c r="G75" s="55"/>
      <c r="H75" s="76"/>
      <c r="I75" s="47" t="s">
        <v>267</v>
      </c>
      <c r="J75" s="46"/>
      <c r="K75" s="41"/>
      <c r="L75" s="41"/>
    </row>
    <row r="76" spans="1:12" ht="15.75" customHeight="1" x14ac:dyDescent="0.25">
      <c r="A76" s="65">
        <v>176</v>
      </c>
      <c r="B76" s="66">
        <v>43466.152083333334</v>
      </c>
      <c r="C76" s="65" t="s">
        <v>239</v>
      </c>
      <c r="D76" s="38" t="s">
        <v>73</v>
      </c>
      <c r="E76" s="14">
        <v>75.900000000000006</v>
      </c>
      <c r="F76" s="52" t="s">
        <v>118</v>
      </c>
      <c r="G76" s="50" t="s">
        <v>118</v>
      </c>
      <c r="H76" s="46"/>
      <c r="I76" s="47" t="s">
        <v>267</v>
      </c>
      <c r="J76" s="46"/>
      <c r="K76" s="41"/>
      <c r="L76" s="41"/>
    </row>
    <row r="77" spans="1:12" ht="15.75" customHeight="1" x14ac:dyDescent="0.25">
      <c r="A77" s="65">
        <v>177</v>
      </c>
      <c r="B77" s="66">
        <v>43466.166666666664</v>
      </c>
      <c r="C77" s="65" t="s">
        <v>239</v>
      </c>
      <c r="D77" s="38" t="s">
        <v>74</v>
      </c>
      <c r="E77" s="14">
        <v>228</v>
      </c>
      <c r="F77" s="14">
        <v>5</v>
      </c>
      <c r="G77" s="40">
        <f>F77*3600*E77/1000000</f>
        <v>4.1040000000000001</v>
      </c>
      <c r="H77" s="46"/>
      <c r="I77" s="47"/>
      <c r="J77" s="46"/>
      <c r="K77" s="41"/>
      <c r="L77" s="41"/>
    </row>
    <row r="78" spans="1:12" ht="15.75" customHeight="1" x14ac:dyDescent="0.25">
      <c r="A78" s="65">
        <v>178</v>
      </c>
      <c r="B78" s="66">
        <v>43466.25</v>
      </c>
      <c r="C78" s="65" t="s">
        <v>239</v>
      </c>
      <c r="D78" s="38" t="s">
        <v>75</v>
      </c>
      <c r="E78" s="14">
        <v>475</v>
      </c>
      <c r="F78" s="14">
        <v>7</v>
      </c>
      <c r="G78" s="40">
        <f t="shared" ref="G78:G85" si="10">F78*3600*E78/1000000</f>
        <v>11.97</v>
      </c>
      <c r="H78" s="46"/>
      <c r="I78" s="47"/>
      <c r="J78" s="46"/>
      <c r="K78" s="41"/>
      <c r="L78" s="41"/>
    </row>
    <row r="79" spans="1:12" ht="15.75" customHeight="1" x14ac:dyDescent="0.25">
      <c r="A79" s="65">
        <v>179</v>
      </c>
      <c r="B79" s="66">
        <v>43466.333333333336</v>
      </c>
      <c r="C79" s="65" t="s">
        <v>239</v>
      </c>
      <c r="D79" s="38" t="s">
        <v>76</v>
      </c>
      <c r="E79" s="14">
        <v>503</v>
      </c>
      <c r="F79" s="14">
        <v>9.5</v>
      </c>
      <c r="G79" s="40">
        <f t="shared" si="10"/>
        <v>17.2026</v>
      </c>
      <c r="H79" s="46"/>
      <c r="I79" s="47"/>
      <c r="J79" s="46"/>
      <c r="K79" s="41"/>
      <c r="L79" s="41"/>
    </row>
    <row r="80" spans="1:12" ht="15.75" customHeight="1" x14ac:dyDescent="0.25">
      <c r="A80" s="65">
        <v>180</v>
      </c>
      <c r="B80" s="66">
        <v>43466.416666666664</v>
      </c>
      <c r="C80" s="65" t="s">
        <v>239</v>
      </c>
      <c r="D80" s="38" t="s">
        <v>77</v>
      </c>
      <c r="E80" s="14">
        <v>488</v>
      </c>
      <c r="F80" s="14">
        <v>11</v>
      </c>
      <c r="G80" s="40">
        <f t="shared" si="10"/>
        <v>19.3248</v>
      </c>
      <c r="H80" s="46"/>
      <c r="I80" s="47"/>
      <c r="J80" s="46"/>
      <c r="K80" s="41"/>
      <c r="L80" s="41"/>
    </row>
    <row r="81" spans="1:12" ht="15.75" customHeight="1" x14ac:dyDescent="0.25">
      <c r="A81" s="65">
        <v>181</v>
      </c>
      <c r="B81" s="66">
        <v>43466.5</v>
      </c>
      <c r="C81" s="65" t="s">
        <v>239</v>
      </c>
      <c r="D81" s="38" t="s">
        <v>78</v>
      </c>
      <c r="E81" s="14">
        <v>486</v>
      </c>
      <c r="F81" s="14">
        <v>11.5</v>
      </c>
      <c r="G81" s="40">
        <f t="shared" si="10"/>
        <v>20.1204</v>
      </c>
      <c r="H81" s="46"/>
      <c r="I81" s="47"/>
      <c r="J81" s="46"/>
      <c r="K81" s="41"/>
      <c r="L81" s="41"/>
    </row>
    <row r="82" spans="1:12" ht="15.75" customHeight="1" x14ac:dyDescent="0.25">
      <c r="A82" s="65">
        <v>182</v>
      </c>
      <c r="B82" s="66">
        <v>43466.583333333336</v>
      </c>
      <c r="C82" s="65" t="s">
        <v>239</v>
      </c>
      <c r="D82" s="38" t="s">
        <v>79</v>
      </c>
      <c r="E82" s="14">
        <v>403</v>
      </c>
      <c r="F82" s="14">
        <v>12</v>
      </c>
      <c r="G82" s="40">
        <f t="shared" si="10"/>
        <v>17.409600000000001</v>
      </c>
      <c r="H82" s="46"/>
      <c r="I82" s="47"/>
      <c r="J82" s="16"/>
      <c r="K82" s="25"/>
      <c r="L82" s="41"/>
    </row>
    <row r="83" spans="1:12" ht="15.75" customHeight="1" x14ac:dyDescent="0.25">
      <c r="A83" s="65">
        <v>183</v>
      </c>
      <c r="B83" s="66">
        <v>43466.666666666664</v>
      </c>
      <c r="C83" s="65" t="s">
        <v>239</v>
      </c>
      <c r="D83" s="38" t="s">
        <v>80</v>
      </c>
      <c r="E83" s="14">
        <v>294</v>
      </c>
      <c r="F83" s="14">
        <v>10.5</v>
      </c>
      <c r="G83" s="40">
        <f t="shared" si="10"/>
        <v>11.113200000000001</v>
      </c>
      <c r="H83" s="52"/>
      <c r="I83" s="60"/>
      <c r="J83" s="16"/>
      <c r="K83" s="25"/>
    </row>
    <row r="84" spans="1:12" ht="15.75" customHeight="1" x14ac:dyDescent="0.25">
      <c r="A84" s="65">
        <v>184</v>
      </c>
      <c r="B84" s="66">
        <v>43466.75</v>
      </c>
      <c r="C84" s="65" t="s">
        <v>239</v>
      </c>
      <c r="D84" s="38" t="s">
        <v>81</v>
      </c>
      <c r="E84" s="14">
        <v>184</v>
      </c>
      <c r="F84" s="35">
        <v>9</v>
      </c>
      <c r="G84" s="40">
        <f t="shared" si="10"/>
        <v>5.9615999999999998</v>
      </c>
      <c r="H84" s="52"/>
      <c r="I84" s="16"/>
      <c r="J84" s="16"/>
      <c r="K84" s="16"/>
      <c r="L84" s="16"/>
    </row>
    <row r="85" spans="1:12" ht="15.75" customHeight="1" x14ac:dyDescent="0.25">
      <c r="A85" s="65">
        <v>185</v>
      </c>
      <c r="B85" s="66">
        <v>43466.833333333336</v>
      </c>
      <c r="C85" s="65" t="s">
        <v>239</v>
      </c>
      <c r="D85" s="38" t="s">
        <v>82</v>
      </c>
      <c r="E85" s="14">
        <v>104</v>
      </c>
      <c r="F85" s="14">
        <v>7.5</v>
      </c>
      <c r="G85" s="40">
        <f t="shared" si="10"/>
        <v>2.8079999999999998</v>
      </c>
      <c r="H85" s="52"/>
      <c r="I85" s="60"/>
      <c r="J85" s="16"/>
      <c r="K85" s="25"/>
    </row>
    <row r="86" spans="1:12" s="5" customFormat="1" ht="15.75" customHeight="1" x14ac:dyDescent="0.25">
      <c r="A86" s="67"/>
      <c r="B86" s="68"/>
      <c r="C86" s="67"/>
      <c r="D86" s="69"/>
      <c r="E86" s="57"/>
      <c r="F86" s="57">
        <f>6.5+6+6+19</f>
        <v>37.5</v>
      </c>
      <c r="G86" s="58">
        <f>F86*3600*104/1000000</f>
        <v>14.04</v>
      </c>
      <c r="H86" s="103">
        <f>SUM(G75:G86)/1000</f>
        <v>0.1240542</v>
      </c>
      <c r="I86" s="60" t="s">
        <v>268</v>
      </c>
      <c r="J86" s="16"/>
      <c r="K86" s="25"/>
      <c r="L86" s="21"/>
    </row>
    <row r="87" spans="1:12" ht="15.75" customHeight="1" x14ac:dyDescent="0.25">
      <c r="A87" s="73">
        <v>174</v>
      </c>
      <c r="B87" s="72">
        <v>43478.581250000003</v>
      </c>
      <c r="C87" s="73" t="s">
        <v>242</v>
      </c>
      <c r="D87" s="74" t="s">
        <v>71</v>
      </c>
      <c r="E87" s="61">
        <v>5.61</v>
      </c>
      <c r="F87" s="75">
        <f>40+29+30+95+35</f>
        <v>229</v>
      </c>
      <c r="G87" s="61">
        <f>F87*3600*30/1000000</f>
        <v>24.731999999999999</v>
      </c>
      <c r="H87" s="105">
        <f>SUM(G87)/1000</f>
        <v>2.4732000000000001E-2</v>
      </c>
      <c r="I87" s="60" t="s">
        <v>269</v>
      </c>
      <c r="J87" s="14"/>
      <c r="K87" s="41"/>
      <c r="L87" s="21"/>
    </row>
    <row r="88" spans="1:12" ht="15.75" customHeight="1" x14ac:dyDescent="0.25">
      <c r="A88" s="73">
        <v>186</v>
      </c>
      <c r="B88" s="82">
        <v>43491</v>
      </c>
      <c r="C88" s="73" t="s">
        <v>242</v>
      </c>
      <c r="D88" s="73" t="s">
        <v>86</v>
      </c>
      <c r="E88" s="83">
        <v>147</v>
      </c>
      <c r="F88" s="75">
        <f>1+3+8+18+51+90+117+110+82+65+50+36+23+18+16+14.5+13+12+11+9.5+9</f>
        <v>757</v>
      </c>
      <c r="G88" s="61">
        <f>F88*3600*E88*3/1000000</f>
        <v>1201.8132000000001</v>
      </c>
      <c r="H88" s="105">
        <f>SUM(G88)/1000</f>
        <v>1.2018132000000001</v>
      </c>
      <c r="I88" s="84" t="s">
        <v>270</v>
      </c>
      <c r="J88" s="14"/>
      <c r="K88" s="41"/>
      <c r="L88" s="21"/>
    </row>
    <row r="89" spans="1:12" ht="15.75" customHeight="1" x14ac:dyDescent="0.25">
      <c r="A89" s="73">
        <v>187</v>
      </c>
      <c r="B89" s="82">
        <v>43497</v>
      </c>
      <c r="C89" s="73" t="s">
        <v>242</v>
      </c>
      <c r="D89" s="73" t="s">
        <v>87</v>
      </c>
      <c r="E89" s="83">
        <v>12.4</v>
      </c>
      <c r="F89" s="75">
        <f>8+7+6+5+5+5+12+9+64+18</f>
        <v>139</v>
      </c>
      <c r="G89" s="61">
        <f>F89*3600*30/1000000</f>
        <v>15.012</v>
      </c>
      <c r="H89" s="105">
        <f>SUM(G89)/1000</f>
        <v>1.5012000000000001E-2</v>
      </c>
      <c r="I89" s="60" t="s">
        <v>271</v>
      </c>
      <c r="J89" s="14"/>
      <c r="K89" s="41"/>
      <c r="L89" s="41"/>
    </row>
    <row r="90" spans="1:12" ht="15.75" customHeight="1" x14ac:dyDescent="0.25">
      <c r="A90" s="65"/>
      <c r="B90" s="86"/>
      <c r="C90" s="65"/>
      <c r="D90" s="65"/>
      <c r="E90" s="87"/>
      <c r="F90" s="96">
        <f>91/66.5*SUM(F59:F67)</f>
        <v>585.68421052631584</v>
      </c>
      <c r="G90" s="40"/>
      <c r="H90" s="88">
        <f>91/66.5*H67</f>
        <v>0.81796054736842116</v>
      </c>
      <c r="I90" s="81" t="s">
        <v>275</v>
      </c>
      <c r="J90" s="14"/>
      <c r="K90" s="41"/>
      <c r="L90" s="41"/>
    </row>
    <row r="91" spans="1:12" ht="15.75" customHeight="1" x14ac:dyDescent="0.25">
      <c r="A91" s="62">
        <v>188</v>
      </c>
      <c r="B91" s="63">
        <v>43506.577777777777</v>
      </c>
      <c r="C91" s="62" t="s">
        <v>242</v>
      </c>
      <c r="D91" s="62" t="s">
        <v>88</v>
      </c>
      <c r="E91" s="93">
        <v>9.6999999999999993</v>
      </c>
      <c r="F91" s="55">
        <f>24+3+48+48</f>
        <v>123</v>
      </c>
      <c r="G91" s="56">
        <f>F91*3600*20/1000000</f>
        <v>8.8559999999999999</v>
      </c>
      <c r="H91" s="80"/>
      <c r="I91" s="60" t="s">
        <v>273</v>
      </c>
      <c r="J91" s="14"/>
      <c r="K91" s="41"/>
      <c r="L91" s="41"/>
    </row>
    <row r="92" spans="1:12" ht="15.75" customHeight="1" x14ac:dyDescent="0.25">
      <c r="A92" s="67">
        <v>189</v>
      </c>
      <c r="B92" s="68">
        <v>43516.662499999999</v>
      </c>
      <c r="C92" s="67" t="s">
        <v>242</v>
      </c>
      <c r="D92" s="67" t="s">
        <v>89</v>
      </c>
      <c r="E92" s="94">
        <v>19</v>
      </c>
      <c r="F92" s="95">
        <f>113+16</f>
        <v>129</v>
      </c>
      <c r="G92" s="58">
        <f t="shared" ref="G92" si="11">F92*3600*E92/1000000</f>
        <v>8.8236000000000008</v>
      </c>
      <c r="H92" s="103">
        <f>SUM(G91:G92)/1000</f>
        <v>1.76796E-2</v>
      </c>
      <c r="I92" s="60" t="s">
        <v>274</v>
      </c>
      <c r="J92" s="14"/>
      <c r="K92" s="41"/>
      <c r="L92" s="41"/>
    </row>
    <row r="93" spans="1:12" ht="15.75" customHeight="1" x14ac:dyDescent="0.25">
      <c r="A93" s="62">
        <v>191</v>
      </c>
      <c r="B93" s="63">
        <v>43520.861805555556</v>
      </c>
      <c r="C93" s="62" t="s">
        <v>239</v>
      </c>
      <c r="D93" s="62" t="s">
        <v>91</v>
      </c>
      <c r="E93" s="93">
        <v>247</v>
      </c>
      <c r="F93" s="55"/>
      <c r="G93" s="97" t="s">
        <v>118</v>
      </c>
      <c r="H93" s="80"/>
      <c r="I93" s="60" t="s">
        <v>276</v>
      </c>
      <c r="J93" s="14"/>
      <c r="K93" s="41"/>
      <c r="L93" s="41"/>
    </row>
    <row r="94" spans="1:12" ht="15.75" customHeight="1" x14ac:dyDescent="0.25">
      <c r="A94" s="65">
        <v>192</v>
      </c>
      <c r="B94" s="66">
        <v>43520.870833333334</v>
      </c>
      <c r="C94" s="65" t="s">
        <v>239</v>
      </c>
      <c r="D94" s="65" t="s">
        <v>92</v>
      </c>
      <c r="E94" s="87">
        <v>203</v>
      </c>
      <c r="F94" s="14">
        <v>9</v>
      </c>
      <c r="G94" s="40">
        <f>F94*3600*E94/1000000</f>
        <v>6.5772000000000004</v>
      </c>
      <c r="H94" s="52"/>
      <c r="I94" s="60"/>
      <c r="J94" s="14"/>
      <c r="K94" s="41"/>
      <c r="L94" s="41"/>
    </row>
    <row r="95" spans="1:12" ht="15.75" customHeight="1" x14ac:dyDescent="0.25">
      <c r="A95" s="65">
        <v>193</v>
      </c>
      <c r="B95" s="66">
        <v>43520.916666666664</v>
      </c>
      <c r="C95" s="65" t="s">
        <v>239</v>
      </c>
      <c r="D95" s="65" t="s">
        <v>93</v>
      </c>
      <c r="E95" s="87">
        <v>239</v>
      </c>
      <c r="F95" s="14">
        <v>4</v>
      </c>
      <c r="G95" s="40">
        <f t="shared" ref="G95:G158" si="12">F95*3600*E95/1000000</f>
        <v>3.4416000000000002</v>
      </c>
      <c r="H95" s="52"/>
      <c r="I95" s="60"/>
      <c r="J95" s="14"/>
      <c r="K95" s="41"/>
      <c r="L95" s="41"/>
    </row>
    <row r="96" spans="1:12" ht="15.75" customHeight="1" x14ac:dyDescent="0.25">
      <c r="A96" s="65">
        <v>194</v>
      </c>
      <c r="B96" s="66">
        <v>43521</v>
      </c>
      <c r="C96" s="65" t="s">
        <v>239</v>
      </c>
      <c r="D96" s="65" t="s">
        <v>94</v>
      </c>
      <c r="E96" s="87">
        <v>280</v>
      </c>
      <c r="F96" s="14">
        <v>4.5</v>
      </c>
      <c r="G96" s="40">
        <f t="shared" si="12"/>
        <v>4.5359999999999996</v>
      </c>
      <c r="H96" s="52"/>
      <c r="I96" s="60"/>
      <c r="J96" s="14"/>
      <c r="K96" s="41"/>
      <c r="L96" s="41"/>
    </row>
    <row r="97" spans="1:12" ht="15.75" customHeight="1" x14ac:dyDescent="0.25">
      <c r="A97" s="65">
        <v>195</v>
      </c>
      <c r="B97" s="66">
        <v>43521.083333333336</v>
      </c>
      <c r="C97" s="65" t="s">
        <v>239</v>
      </c>
      <c r="D97" s="65" t="s">
        <v>95</v>
      </c>
      <c r="E97" s="87">
        <v>321</v>
      </c>
      <c r="F97" s="14">
        <v>5</v>
      </c>
      <c r="G97" s="40">
        <f t="shared" si="12"/>
        <v>5.7779999999999996</v>
      </c>
      <c r="H97" s="52"/>
      <c r="I97" s="91"/>
      <c r="J97" s="16"/>
      <c r="K97" s="25"/>
      <c r="L97" s="21"/>
    </row>
    <row r="98" spans="1:12" s="5" customFormat="1" ht="15.75" customHeight="1" x14ac:dyDescent="0.25">
      <c r="A98" s="65">
        <v>196</v>
      </c>
      <c r="B98" s="66">
        <v>43521.166666666664</v>
      </c>
      <c r="C98" s="65" t="s">
        <v>239</v>
      </c>
      <c r="D98" s="65" t="s">
        <v>96</v>
      </c>
      <c r="E98" s="87">
        <v>338</v>
      </c>
      <c r="F98" s="14">
        <v>4.5</v>
      </c>
      <c r="G98" s="40">
        <f t="shared" si="12"/>
        <v>5.4756</v>
      </c>
      <c r="H98" s="50"/>
      <c r="I98" s="91"/>
      <c r="J98" s="16"/>
      <c r="K98" s="25"/>
      <c r="L98" s="21"/>
    </row>
    <row r="99" spans="1:12" ht="15.75" customHeight="1" x14ac:dyDescent="0.25">
      <c r="A99" s="65">
        <v>197</v>
      </c>
      <c r="B99" s="66">
        <v>43521.25</v>
      </c>
      <c r="C99" s="65" t="s">
        <v>239</v>
      </c>
      <c r="D99" s="65" t="s">
        <v>97</v>
      </c>
      <c r="E99" s="87">
        <v>345</v>
      </c>
      <c r="F99" s="14">
        <v>4.5</v>
      </c>
      <c r="G99" s="40">
        <f t="shared" si="12"/>
        <v>5.5890000000000004</v>
      </c>
      <c r="H99" s="50"/>
      <c r="I99" s="60"/>
      <c r="J99" s="14"/>
      <c r="K99" s="41"/>
      <c r="L99" s="41"/>
    </row>
    <row r="100" spans="1:12" ht="15.75" customHeight="1" x14ac:dyDescent="0.25">
      <c r="A100" s="65">
        <v>198</v>
      </c>
      <c r="B100" s="66">
        <v>43521.333333333336</v>
      </c>
      <c r="C100" s="65" t="s">
        <v>239</v>
      </c>
      <c r="D100" s="65" t="s">
        <v>98</v>
      </c>
      <c r="E100" s="87">
        <v>365</v>
      </c>
      <c r="F100" s="14">
        <v>4</v>
      </c>
      <c r="G100" s="40">
        <f t="shared" si="12"/>
        <v>5.2560000000000002</v>
      </c>
      <c r="H100" s="52"/>
      <c r="I100" s="60"/>
      <c r="J100" s="14"/>
      <c r="K100" s="41"/>
      <c r="L100" s="41"/>
    </row>
    <row r="101" spans="1:12" ht="15.75" customHeight="1" x14ac:dyDescent="0.25">
      <c r="A101" s="65">
        <v>199</v>
      </c>
      <c r="B101" s="66">
        <v>43521.367361111108</v>
      </c>
      <c r="C101" s="65" t="s">
        <v>239</v>
      </c>
      <c r="D101" s="65" t="s">
        <v>99</v>
      </c>
      <c r="E101" s="87">
        <v>354</v>
      </c>
      <c r="F101" s="14">
        <v>4</v>
      </c>
      <c r="G101" s="40">
        <f t="shared" si="12"/>
        <v>5.0975999999999999</v>
      </c>
      <c r="H101" s="52"/>
      <c r="I101" s="60"/>
      <c r="J101" s="14"/>
      <c r="K101" s="41"/>
      <c r="L101" s="41"/>
    </row>
    <row r="102" spans="1:12" ht="15.75" customHeight="1" x14ac:dyDescent="0.25">
      <c r="A102" s="67">
        <v>190</v>
      </c>
      <c r="B102" s="68">
        <v>43523.604861111111</v>
      </c>
      <c r="C102" s="67" t="s">
        <v>242</v>
      </c>
      <c r="D102" s="67" t="s">
        <v>90</v>
      </c>
      <c r="E102" s="94">
        <v>31.4</v>
      </c>
      <c r="F102" s="57">
        <v>27</v>
      </c>
      <c r="G102" s="58">
        <f>F102*3600*E102*4/1000000</f>
        <v>12.208320000000001</v>
      </c>
      <c r="H102" s="103">
        <f>SUM(G93:G102)/1000</f>
        <v>5.3959319999999998E-2</v>
      </c>
      <c r="I102" s="60" t="s">
        <v>277</v>
      </c>
      <c r="J102" s="14"/>
      <c r="K102" s="41"/>
      <c r="L102" s="41"/>
    </row>
    <row r="103" spans="1:12" s="5" customFormat="1" ht="15.75" customHeight="1" x14ac:dyDescent="0.25">
      <c r="A103" s="73"/>
      <c r="B103" s="72"/>
      <c r="C103" s="73"/>
      <c r="D103" s="73"/>
      <c r="E103" s="83"/>
      <c r="F103" s="75">
        <f>10+18</f>
        <v>28</v>
      </c>
      <c r="G103" s="61">
        <f>F103*3600*20/1000000</f>
        <v>2.016</v>
      </c>
      <c r="H103" s="107">
        <f>SUM(G103)/1000</f>
        <v>2.016E-3</v>
      </c>
      <c r="I103" s="60" t="s">
        <v>278</v>
      </c>
      <c r="J103" s="14"/>
      <c r="K103" s="41"/>
      <c r="L103" s="41"/>
    </row>
    <row r="104" spans="1:12" ht="15.75" customHeight="1" x14ac:dyDescent="0.25">
      <c r="A104" s="62">
        <v>201</v>
      </c>
      <c r="B104" s="63">
        <v>43538.543055555558</v>
      </c>
      <c r="C104" s="62" t="s">
        <v>242</v>
      </c>
      <c r="D104" s="110" t="s">
        <v>120</v>
      </c>
      <c r="E104" s="111">
        <v>336</v>
      </c>
      <c r="F104" s="55">
        <v>1</v>
      </c>
      <c r="G104" s="56">
        <f t="shared" si="12"/>
        <v>1.2096</v>
      </c>
      <c r="H104" s="80"/>
      <c r="I104" s="60"/>
      <c r="J104" s="14"/>
      <c r="K104" s="41"/>
      <c r="L104" s="41"/>
    </row>
    <row r="105" spans="1:12" ht="15.75" customHeight="1" x14ac:dyDescent="0.25">
      <c r="A105" s="65">
        <v>202</v>
      </c>
      <c r="B105" s="66">
        <v>43538.628472222219</v>
      </c>
      <c r="C105" s="65" t="s">
        <v>239</v>
      </c>
      <c r="D105" s="112" t="s">
        <v>121</v>
      </c>
      <c r="E105" s="54">
        <v>402</v>
      </c>
      <c r="F105" s="14">
        <v>3.5</v>
      </c>
      <c r="G105" s="40">
        <f t="shared" si="12"/>
        <v>5.0651999999999999</v>
      </c>
      <c r="H105" s="52"/>
      <c r="I105" s="60"/>
      <c r="J105" s="14"/>
      <c r="K105" s="41"/>
      <c r="L105" s="41"/>
    </row>
    <row r="106" spans="1:12" ht="15.75" customHeight="1" x14ac:dyDescent="0.25">
      <c r="A106" s="65">
        <v>203</v>
      </c>
      <c r="B106" s="66">
        <v>43538.878472222219</v>
      </c>
      <c r="C106" s="65" t="s">
        <v>239</v>
      </c>
      <c r="D106" s="112" t="s">
        <v>122</v>
      </c>
      <c r="E106" s="54">
        <v>374</v>
      </c>
      <c r="F106" s="14">
        <f>6+6+6</f>
        <v>18</v>
      </c>
      <c r="G106" s="40">
        <f t="shared" si="12"/>
        <v>24.235199999999999</v>
      </c>
      <c r="H106" s="52"/>
      <c r="I106" s="60"/>
      <c r="J106" s="14"/>
      <c r="K106" s="41"/>
      <c r="L106" s="41"/>
    </row>
    <row r="107" spans="1:12" ht="15.75" customHeight="1" x14ac:dyDescent="0.25">
      <c r="A107" s="65">
        <v>204</v>
      </c>
      <c r="B107" s="66">
        <v>43539.128472222219</v>
      </c>
      <c r="C107" s="65" t="s">
        <v>239</v>
      </c>
      <c r="D107" s="112" t="s">
        <v>123</v>
      </c>
      <c r="E107" s="54">
        <v>404</v>
      </c>
      <c r="F107" s="14">
        <f>6+6+6.5</f>
        <v>18.5</v>
      </c>
      <c r="G107" s="40">
        <f t="shared" si="12"/>
        <v>26.906400000000001</v>
      </c>
      <c r="H107" s="52"/>
      <c r="I107" s="60"/>
      <c r="J107" s="14"/>
      <c r="K107" s="41"/>
      <c r="L107" s="41"/>
    </row>
    <row r="108" spans="1:12" ht="15.75" customHeight="1" x14ac:dyDescent="0.25">
      <c r="A108" s="65">
        <v>205</v>
      </c>
      <c r="B108" s="66">
        <v>43539.378472222219</v>
      </c>
      <c r="C108" s="65" t="s">
        <v>239</v>
      </c>
      <c r="D108" s="112" t="s">
        <v>124</v>
      </c>
      <c r="E108" s="54">
        <v>572</v>
      </c>
      <c r="F108" s="14">
        <f>7+7+7</f>
        <v>21</v>
      </c>
      <c r="G108" s="40">
        <f t="shared" si="12"/>
        <v>43.243200000000002</v>
      </c>
      <c r="H108" s="52"/>
      <c r="I108" s="60"/>
      <c r="J108" s="14"/>
      <c r="K108" s="41"/>
      <c r="L108" s="41"/>
    </row>
    <row r="109" spans="1:12" ht="15.75" customHeight="1" x14ac:dyDescent="0.25">
      <c r="A109" s="65">
        <v>206</v>
      </c>
      <c r="B109" s="66">
        <v>43539.503472222219</v>
      </c>
      <c r="C109" s="65" t="s">
        <v>239</v>
      </c>
      <c r="D109" s="112" t="s">
        <v>125</v>
      </c>
      <c r="E109" s="54">
        <v>772</v>
      </c>
      <c r="F109" s="14">
        <v>10</v>
      </c>
      <c r="G109" s="40">
        <f t="shared" si="12"/>
        <v>27.792000000000002</v>
      </c>
      <c r="H109" s="52"/>
      <c r="I109" s="60"/>
      <c r="J109" s="14"/>
      <c r="K109" s="41"/>
      <c r="L109" s="41"/>
    </row>
    <row r="110" spans="1:12" ht="15.75" customHeight="1" x14ac:dyDescent="0.25">
      <c r="A110" s="65">
        <v>207</v>
      </c>
      <c r="B110" s="66">
        <v>43539.628472222219</v>
      </c>
      <c r="C110" s="65" t="s">
        <v>239</v>
      </c>
      <c r="D110" s="112" t="s">
        <v>126</v>
      </c>
      <c r="E110" s="54">
        <v>608</v>
      </c>
      <c r="F110" s="14">
        <f>70+0.5*91</f>
        <v>115.5</v>
      </c>
      <c r="G110" s="40">
        <f t="shared" si="12"/>
        <v>252.8064</v>
      </c>
      <c r="H110" s="52"/>
      <c r="I110" s="60"/>
      <c r="J110" s="14"/>
      <c r="K110" s="41"/>
      <c r="L110" s="41"/>
    </row>
    <row r="111" spans="1:12" ht="15.75" customHeight="1" x14ac:dyDescent="0.25">
      <c r="A111" s="65">
        <v>208</v>
      </c>
      <c r="B111" s="66">
        <v>43539.753472222219</v>
      </c>
      <c r="C111" s="65" t="s">
        <v>239</v>
      </c>
      <c r="D111" s="112" t="s">
        <v>127</v>
      </c>
      <c r="E111" s="54">
        <v>382</v>
      </c>
      <c r="F111" s="14">
        <f>0.5*91+69</f>
        <v>114.5</v>
      </c>
      <c r="G111" s="40">
        <f t="shared" si="12"/>
        <v>157.46039999999999</v>
      </c>
      <c r="H111" s="52"/>
      <c r="I111" s="60"/>
      <c r="J111" s="14"/>
      <c r="K111" s="41"/>
      <c r="L111" s="41"/>
    </row>
    <row r="112" spans="1:12" ht="15.75" customHeight="1" x14ac:dyDescent="0.25">
      <c r="A112" s="65">
        <v>209</v>
      </c>
      <c r="B112" s="66">
        <v>43539.878472222219</v>
      </c>
      <c r="C112" s="65" t="s">
        <v>239</v>
      </c>
      <c r="D112" s="112" t="s">
        <v>128</v>
      </c>
      <c r="E112" s="54">
        <v>276</v>
      </c>
      <c r="F112" s="14">
        <f>45+0.5*23</f>
        <v>56.5</v>
      </c>
      <c r="G112" s="40">
        <f t="shared" si="12"/>
        <v>56.138399999999997</v>
      </c>
      <c r="H112" s="52"/>
      <c r="I112" s="91"/>
      <c r="J112" s="16"/>
      <c r="K112" s="25"/>
      <c r="L112" s="41"/>
    </row>
    <row r="113" spans="1:14" s="5" customFormat="1" ht="15.75" customHeight="1" x14ac:dyDescent="0.25">
      <c r="A113" s="65">
        <v>210</v>
      </c>
      <c r="B113" s="66">
        <v>43540.003472222219</v>
      </c>
      <c r="C113" s="65" t="s">
        <v>239</v>
      </c>
      <c r="D113" s="112" t="s">
        <v>129</v>
      </c>
      <c r="E113" s="54">
        <v>208</v>
      </c>
      <c r="F113" s="14">
        <f>0.5*23+16.5</f>
        <v>28</v>
      </c>
      <c r="G113" s="40">
        <f t="shared" si="12"/>
        <v>20.9664</v>
      </c>
      <c r="H113" s="50"/>
      <c r="I113" s="91"/>
      <c r="J113" s="16"/>
      <c r="K113" s="21"/>
      <c r="L113" s="41"/>
      <c r="M113" s="20"/>
    </row>
    <row r="114" spans="1:14" s="5" customFormat="1" ht="15.75" customHeight="1" x14ac:dyDescent="0.25">
      <c r="A114" s="65">
        <v>211</v>
      </c>
      <c r="B114" s="66">
        <v>43540.253472222219</v>
      </c>
      <c r="C114" s="65" t="s">
        <v>239</v>
      </c>
      <c r="D114" s="112" t="s">
        <v>130</v>
      </c>
      <c r="E114" s="54">
        <v>143</v>
      </c>
      <c r="F114" s="14">
        <f>14+11.5+10</f>
        <v>35.5</v>
      </c>
      <c r="G114" s="40">
        <f t="shared" si="12"/>
        <v>18.275400000000001</v>
      </c>
      <c r="H114" s="50"/>
      <c r="I114" s="91"/>
      <c r="J114" s="16"/>
      <c r="K114" s="21"/>
      <c r="L114" s="41"/>
      <c r="M114" s="20"/>
    </row>
    <row r="115" spans="1:14" s="5" customFormat="1" ht="15.75" customHeight="1" x14ac:dyDescent="0.25">
      <c r="A115" s="65">
        <v>212</v>
      </c>
      <c r="B115" s="66">
        <v>43540.503472222219</v>
      </c>
      <c r="C115" s="65" t="s">
        <v>239</v>
      </c>
      <c r="D115" s="112" t="s">
        <v>131</v>
      </c>
      <c r="E115" s="54">
        <v>140</v>
      </c>
      <c r="F115" s="14">
        <f>9+8+7.5</f>
        <v>24.5</v>
      </c>
      <c r="G115" s="40">
        <f t="shared" si="12"/>
        <v>12.348000000000001</v>
      </c>
      <c r="H115" s="50"/>
      <c r="I115" s="91"/>
      <c r="J115" s="16"/>
      <c r="K115" s="21"/>
      <c r="L115" s="41"/>
      <c r="M115" s="20"/>
    </row>
    <row r="116" spans="1:14" s="5" customFormat="1" ht="15.75" customHeight="1" x14ac:dyDescent="0.25">
      <c r="A116" s="67">
        <v>213</v>
      </c>
      <c r="B116" s="68">
        <v>43541.503472222219</v>
      </c>
      <c r="C116" s="67" t="s">
        <v>239</v>
      </c>
      <c r="D116" s="113" t="s">
        <v>132</v>
      </c>
      <c r="E116" s="114">
        <v>27.2</v>
      </c>
      <c r="F116" s="57">
        <f>8+8+7+6+31</f>
        <v>60</v>
      </c>
      <c r="G116" s="58">
        <f>F116*3600*E116*2/1000000</f>
        <v>11.750400000000001</v>
      </c>
      <c r="H116" s="103">
        <f>SUM(G104:G116)/1000</f>
        <v>0.65819700000000003</v>
      </c>
      <c r="I116" s="91" t="s">
        <v>279</v>
      </c>
      <c r="J116" s="16"/>
      <c r="K116" s="25"/>
      <c r="L116" s="41"/>
    </row>
    <row r="117" spans="1:14" ht="15.75" customHeight="1" x14ac:dyDescent="0.25">
      <c r="A117" s="115" t="s">
        <v>206</v>
      </c>
      <c r="B117" s="72">
        <v>43545.583333333336</v>
      </c>
      <c r="C117" s="73" t="s">
        <v>243</v>
      </c>
      <c r="D117" s="116" t="s">
        <v>194</v>
      </c>
      <c r="E117" s="117">
        <v>13</v>
      </c>
      <c r="F117" s="75">
        <f>35+15</f>
        <v>50</v>
      </c>
      <c r="G117" s="61">
        <f>F117*3600*E117/1000000</f>
        <v>2.34</v>
      </c>
      <c r="H117" s="107">
        <f>SUM(G117)/1000</f>
        <v>2.3400000000000001E-3</v>
      </c>
      <c r="I117" s="60" t="s">
        <v>280</v>
      </c>
      <c r="J117" s="14"/>
      <c r="K117" s="51"/>
      <c r="L117" s="41"/>
    </row>
    <row r="118" spans="1:14" ht="15.75" customHeight="1" x14ac:dyDescent="0.25">
      <c r="A118" s="118" t="s">
        <v>207</v>
      </c>
      <c r="B118" s="63">
        <v>43546.583333333336</v>
      </c>
      <c r="C118" s="62" t="s">
        <v>243</v>
      </c>
      <c r="D118" s="119" t="s">
        <v>195</v>
      </c>
      <c r="E118" s="111">
        <v>206</v>
      </c>
      <c r="F118" s="55">
        <f>13.5+24</f>
        <v>37.5</v>
      </c>
      <c r="G118" s="56">
        <f t="shared" si="12"/>
        <v>27.81</v>
      </c>
      <c r="H118" s="80"/>
      <c r="I118" s="91"/>
      <c r="J118" s="16"/>
      <c r="K118" s="25"/>
      <c r="L118" s="41"/>
    </row>
    <row r="119" spans="1:14" ht="15.75" customHeight="1" x14ac:dyDescent="0.25">
      <c r="A119" s="120" t="s">
        <v>208</v>
      </c>
      <c r="B119" s="66">
        <v>43547.583333333336</v>
      </c>
      <c r="C119" s="65" t="s">
        <v>243</v>
      </c>
      <c r="D119" s="85" t="s">
        <v>196</v>
      </c>
      <c r="E119" s="54">
        <v>216</v>
      </c>
      <c r="F119" s="14">
        <f>8+14+33+46+57+45+30+19+15.5+12.5+11+10</f>
        <v>301</v>
      </c>
      <c r="G119" s="40">
        <f t="shared" si="12"/>
        <v>234.05760000000001</v>
      </c>
      <c r="H119" s="50"/>
      <c r="I119" s="60"/>
      <c r="J119" s="14"/>
      <c r="K119" s="41"/>
      <c r="L119" s="41"/>
    </row>
    <row r="120" spans="1:14" ht="15.75" customHeight="1" x14ac:dyDescent="0.25">
      <c r="A120" s="120" t="s">
        <v>209</v>
      </c>
      <c r="B120" s="66">
        <v>43548.583333333336</v>
      </c>
      <c r="C120" s="65" t="s">
        <v>243</v>
      </c>
      <c r="D120" s="85" t="s">
        <v>197</v>
      </c>
      <c r="E120" s="54">
        <v>161</v>
      </c>
      <c r="F120" s="14">
        <f>21+60+55+25+15+11+8.5+7.5+6+6+6+7</f>
        <v>228</v>
      </c>
      <c r="G120" s="40">
        <f t="shared" si="12"/>
        <v>132.14879999999999</v>
      </c>
      <c r="H120" s="52"/>
      <c r="I120" s="60"/>
      <c r="J120" s="14"/>
      <c r="K120" s="41"/>
      <c r="L120" s="41"/>
    </row>
    <row r="121" spans="1:14" ht="15.75" customHeight="1" x14ac:dyDescent="0.25">
      <c r="A121" s="67">
        <v>214</v>
      </c>
      <c r="B121" s="68">
        <v>43549.583333333336</v>
      </c>
      <c r="C121" s="67" t="s">
        <v>243</v>
      </c>
      <c r="D121" s="113" t="s">
        <v>133</v>
      </c>
      <c r="E121" s="114">
        <v>66.2</v>
      </c>
      <c r="F121" s="57">
        <f>10+11+13+13+11.5+10+8.5+7+6+5+5+6</f>
        <v>106</v>
      </c>
      <c r="G121" s="58">
        <f t="shared" si="12"/>
        <v>25.26192</v>
      </c>
      <c r="H121" s="103">
        <f>SUM(G118:G121)/1000</f>
        <v>0.41927831999999993</v>
      </c>
      <c r="I121" s="60" t="s">
        <v>281</v>
      </c>
      <c r="J121" s="14"/>
      <c r="K121" s="41"/>
      <c r="L121" s="41"/>
    </row>
    <row r="122" spans="1:14" ht="15.75" customHeight="1" x14ac:dyDescent="0.25">
      <c r="A122" s="62">
        <v>215</v>
      </c>
      <c r="B122" s="63">
        <v>43550.583333333336</v>
      </c>
      <c r="C122" s="62" t="s">
        <v>243</v>
      </c>
      <c r="D122" s="121" t="s">
        <v>134</v>
      </c>
      <c r="E122" s="111">
        <v>16.100000000000001</v>
      </c>
      <c r="F122" s="55">
        <f>35+28</f>
        <v>63</v>
      </c>
      <c r="G122" s="56">
        <f t="shared" si="12"/>
        <v>3.6514800000000003</v>
      </c>
      <c r="H122" s="80"/>
      <c r="I122" s="60"/>
      <c r="J122" s="14"/>
      <c r="K122" s="41"/>
      <c r="L122" s="41"/>
    </row>
    <row r="123" spans="1:14" ht="15.75" customHeight="1" x14ac:dyDescent="0.25">
      <c r="A123" s="65">
        <v>216</v>
      </c>
      <c r="B123" s="66">
        <v>43551.357638888891</v>
      </c>
      <c r="C123" s="65" t="s">
        <v>242</v>
      </c>
      <c r="D123" s="122" t="s">
        <v>135</v>
      </c>
      <c r="E123" s="54">
        <v>14.9</v>
      </c>
      <c r="F123" s="14"/>
      <c r="G123" s="50" t="s">
        <v>118</v>
      </c>
      <c r="H123" s="52"/>
      <c r="I123" s="60" t="s">
        <v>253</v>
      </c>
      <c r="J123" s="14"/>
      <c r="K123" s="41"/>
      <c r="L123" s="41"/>
    </row>
    <row r="124" spans="1:14" ht="15.75" customHeight="1" x14ac:dyDescent="0.25">
      <c r="A124" s="65">
        <v>217</v>
      </c>
      <c r="B124" s="66">
        <v>43553.583333333336</v>
      </c>
      <c r="C124" s="65" t="s">
        <v>243</v>
      </c>
      <c r="D124" s="112" t="s">
        <v>136</v>
      </c>
      <c r="E124" s="54">
        <v>19</v>
      </c>
      <c r="F124" s="14">
        <v>62</v>
      </c>
      <c r="G124" s="40">
        <f t="shared" si="12"/>
        <v>4.2408000000000001</v>
      </c>
      <c r="H124" s="52"/>
      <c r="I124" s="91"/>
      <c r="J124" s="16"/>
      <c r="K124" s="25"/>
      <c r="L124" s="41"/>
    </row>
    <row r="125" spans="1:14" s="5" customFormat="1" ht="15.75" customHeight="1" x14ac:dyDescent="0.25">
      <c r="A125" s="65">
        <v>218</v>
      </c>
      <c r="B125" s="66">
        <v>43554.583333333336</v>
      </c>
      <c r="C125" s="65" t="s">
        <v>243</v>
      </c>
      <c r="D125" s="112" t="s">
        <v>137</v>
      </c>
      <c r="E125" s="54">
        <v>24.3</v>
      </c>
      <c r="F125" s="14">
        <v>23</v>
      </c>
      <c r="G125" s="40">
        <f t="shared" si="12"/>
        <v>2.0120399999999998</v>
      </c>
      <c r="H125" s="50"/>
      <c r="I125" s="91"/>
      <c r="J125" s="16"/>
      <c r="K125" s="25"/>
      <c r="L125" s="41"/>
      <c r="M125" s="20"/>
      <c r="N125" s="19"/>
    </row>
    <row r="126" spans="1:14" s="5" customFormat="1" ht="15.75" customHeight="1" x14ac:dyDescent="0.25">
      <c r="A126" s="65">
        <v>219</v>
      </c>
      <c r="B126" s="66">
        <v>43554.936111111114</v>
      </c>
      <c r="C126" s="65" t="s">
        <v>239</v>
      </c>
      <c r="D126" s="112" t="s">
        <v>138</v>
      </c>
      <c r="E126" s="54">
        <v>55.3</v>
      </c>
      <c r="F126" s="52" t="s">
        <v>118</v>
      </c>
      <c r="G126" s="39"/>
      <c r="H126" s="50"/>
      <c r="I126" s="91" t="s">
        <v>253</v>
      </c>
      <c r="J126" s="16"/>
      <c r="K126" s="25"/>
      <c r="L126" s="41"/>
      <c r="M126" s="20"/>
      <c r="N126" s="19"/>
    </row>
    <row r="127" spans="1:14" s="5" customFormat="1" ht="15.75" customHeight="1" x14ac:dyDescent="0.25">
      <c r="A127" s="65">
        <v>220</v>
      </c>
      <c r="B127" s="66">
        <v>43555.583333333336</v>
      </c>
      <c r="C127" s="65" t="s">
        <v>243</v>
      </c>
      <c r="D127" s="112" t="s">
        <v>139</v>
      </c>
      <c r="E127" s="54">
        <v>62.1</v>
      </c>
      <c r="F127" s="14">
        <f>13+49</f>
        <v>62</v>
      </c>
      <c r="G127" s="40">
        <f t="shared" si="12"/>
        <v>13.860720000000001</v>
      </c>
      <c r="H127" s="50"/>
      <c r="I127" s="91"/>
      <c r="J127" s="16"/>
      <c r="K127" s="25"/>
      <c r="L127" s="21" t="s">
        <v>230</v>
      </c>
      <c r="M127" s="20"/>
      <c r="N127" s="19"/>
    </row>
    <row r="128" spans="1:14" s="5" customFormat="1" ht="15.75" customHeight="1" x14ac:dyDescent="0.25">
      <c r="A128" s="65">
        <v>221</v>
      </c>
      <c r="B128" s="66">
        <v>43556.583333333336</v>
      </c>
      <c r="C128" s="65" t="s">
        <v>243</v>
      </c>
      <c r="D128" s="112" t="s">
        <v>140</v>
      </c>
      <c r="E128" s="54">
        <v>43.2</v>
      </c>
      <c r="F128" s="14">
        <v>57</v>
      </c>
      <c r="G128" s="40">
        <f t="shared" si="12"/>
        <v>8.8646399999999996</v>
      </c>
      <c r="H128" s="50"/>
      <c r="I128" s="91"/>
      <c r="J128" s="16"/>
      <c r="K128" s="25"/>
      <c r="L128" s="41"/>
      <c r="M128" s="20"/>
      <c r="N128" s="19"/>
    </row>
    <row r="129" spans="1:14" s="5" customFormat="1" ht="15.75" customHeight="1" x14ac:dyDescent="0.25">
      <c r="A129" s="65">
        <v>222</v>
      </c>
      <c r="B129" s="66">
        <v>43558.583333333336</v>
      </c>
      <c r="C129" s="65" t="s">
        <v>243</v>
      </c>
      <c r="D129" s="112" t="s">
        <v>198</v>
      </c>
      <c r="E129" s="54">
        <v>11.5</v>
      </c>
      <c r="F129" s="14">
        <v>56</v>
      </c>
      <c r="G129" s="40">
        <f>F129*3600*20/1000000</f>
        <v>4.032</v>
      </c>
      <c r="H129" s="50"/>
      <c r="I129" s="91" t="s">
        <v>282</v>
      </c>
      <c r="J129" s="16"/>
      <c r="K129" s="25"/>
      <c r="L129" s="41"/>
      <c r="M129" s="20"/>
      <c r="N129" s="19"/>
    </row>
    <row r="130" spans="1:14" s="5" customFormat="1" ht="15.75" customHeight="1" x14ac:dyDescent="0.25">
      <c r="A130" s="65">
        <v>223</v>
      </c>
      <c r="B130" s="66">
        <v>43561.583333333336</v>
      </c>
      <c r="C130" s="65" t="s">
        <v>243</v>
      </c>
      <c r="D130" s="112" t="s">
        <v>199</v>
      </c>
      <c r="E130" s="54">
        <v>5.61</v>
      </c>
      <c r="F130" s="14">
        <v>40</v>
      </c>
      <c r="G130" s="40">
        <f t="shared" ref="G130" si="13">F130*3600*20/1000000</f>
        <v>2.88</v>
      </c>
      <c r="H130" s="50"/>
      <c r="I130" s="91" t="s">
        <v>282</v>
      </c>
      <c r="J130" s="16"/>
      <c r="K130" s="25"/>
      <c r="L130" s="41"/>
      <c r="M130" s="20"/>
      <c r="N130" s="19"/>
    </row>
    <row r="131" spans="1:14" s="5" customFormat="1" ht="15.75" customHeight="1" x14ac:dyDescent="0.25">
      <c r="A131" s="65">
        <v>224</v>
      </c>
      <c r="B131" s="66">
        <v>43562.634027777778</v>
      </c>
      <c r="C131" s="65" t="s">
        <v>242</v>
      </c>
      <c r="D131" s="112" t="s">
        <v>200</v>
      </c>
      <c r="E131" s="54">
        <v>8.2899999999999991</v>
      </c>
      <c r="F131" s="14"/>
      <c r="G131" s="40"/>
      <c r="H131" s="50"/>
      <c r="I131" s="91" t="s">
        <v>253</v>
      </c>
      <c r="J131" s="16"/>
      <c r="K131" s="25"/>
      <c r="L131" s="21" t="s">
        <v>231</v>
      </c>
      <c r="M131" s="20"/>
      <c r="N131" s="19"/>
    </row>
    <row r="132" spans="1:14" s="5" customFormat="1" ht="15.75" customHeight="1" x14ac:dyDescent="0.25">
      <c r="A132" s="65">
        <v>225</v>
      </c>
      <c r="B132" s="66">
        <v>43567.430555555555</v>
      </c>
      <c r="C132" s="65" t="s">
        <v>242</v>
      </c>
      <c r="D132" s="65" t="s">
        <v>210</v>
      </c>
      <c r="E132" s="87">
        <v>13.5</v>
      </c>
      <c r="F132" s="14"/>
      <c r="G132" s="39"/>
      <c r="H132" s="50"/>
      <c r="I132" s="91" t="s">
        <v>253</v>
      </c>
      <c r="J132" s="16"/>
      <c r="K132" s="25"/>
      <c r="L132" s="21" t="s">
        <v>232</v>
      </c>
      <c r="M132" s="20"/>
      <c r="N132" s="19"/>
    </row>
    <row r="133" spans="1:14" s="5" customFormat="1" ht="15.75" customHeight="1" x14ac:dyDescent="0.25">
      <c r="A133" s="67">
        <v>227</v>
      </c>
      <c r="B133" s="68">
        <v>43562.750694444447</v>
      </c>
      <c r="C133" s="67" t="s">
        <v>243</v>
      </c>
      <c r="D133" s="67" t="s">
        <v>212</v>
      </c>
      <c r="E133" s="94">
        <v>22</v>
      </c>
      <c r="F133" s="95">
        <f>11+40</f>
        <v>51</v>
      </c>
      <c r="G133" s="58">
        <f t="shared" si="12"/>
        <v>4.0392000000000001</v>
      </c>
      <c r="H133" s="103">
        <f>SUM(G122:G133)/1000</f>
        <v>4.3580880000000009E-2</v>
      </c>
      <c r="I133" s="91" t="s">
        <v>283</v>
      </c>
      <c r="J133" s="16"/>
      <c r="K133" s="25"/>
      <c r="L133" s="41"/>
      <c r="M133" s="20"/>
      <c r="N133" s="19"/>
    </row>
    <row r="134" spans="1:14" s="5" customFormat="1" ht="15.75" customHeight="1" x14ac:dyDescent="0.25">
      <c r="A134" s="62">
        <v>229</v>
      </c>
      <c r="B134" s="63">
        <v>43564.617361111108</v>
      </c>
      <c r="C134" s="62" t="s">
        <v>239</v>
      </c>
      <c r="D134" s="62" t="s">
        <v>214</v>
      </c>
      <c r="E134" s="93">
        <v>238</v>
      </c>
      <c r="F134" s="55">
        <v>4</v>
      </c>
      <c r="G134" s="56">
        <f t="shared" si="12"/>
        <v>3.4272</v>
      </c>
      <c r="H134" s="97"/>
      <c r="I134" s="91"/>
      <c r="J134" s="16"/>
      <c r="K134" s="25"/>
      <c r="L134" s="41"/>
      <c r="M134" s="20"/>
      <c r="N134" s="19"/>
    </row>
    <row r="135" spans="1:14" s="5" customFormat="1" ht="15.75" customHeight="1" x14ac:dyDescent="0.25">
      <c r="A135" s="65">
        <v>230</v>
      </c>
      <c r="B135" s="66">
        <v>43564.625694444447</v>
      </c>
      <c r="C135" s="65" t="s">
        <v>239</v>
      </c>
      <c r="D135" s="65" t="s">
        <v>215</v>
      </c>
      <c r="E135" s="87">
        <v>444</v>
      </c>
      <c r="F135" s="14">
        <v>10</v>
      </c>
      <c r="G135" s="40">
        <f t="shared" si="12"/>
        <v>15.984</v>
      </c>
      <c r="H135" s="50"/>
      <c r="I135" s="91"/>
      <c r="J135" s="16"/>
      <c r="K135" s="25"/>
      <c r="L135" s="41"/>
      <c r="M135" s="20"/>
      <c r="N135" s="19"/>
    </row>
    <row r="136" spans="1:14" s="5" customFormat="1" ht="15.75" customHeight="1" x14ac:dyDescent="0.25">
      <c r="A136" s="65">
        <v>228</v>
      </c>
      <c r="B136" s="66">
        <v>43564.750694444447</v>
      </c>
      <c r="C136" s="65" t="s">
        <v>243</v>
      </c>
      <c r="D136" s="65" t="s">
        <v>213</v>
      </c>
      <c r="E136" s="87">
        <v>284</v>
      </c>
      <c r="F136" s="14">
        <v>0</v>
      </c>
      <c r="G136" s="53" t="s">
        <v>118</v>
      </c>
      <c r="H136" s="50"/>
      <c r="I136" s="91" t="s">
        <v>253</v>
      </c>
      <c r="J136" s="16"/>
      <c r="K136" s="25"/>
      <c r="L136" s="41"/>
      <c r="M136" s="20"/>
      <c r="N136" s="19"/>
    </row>
    <row r="137" spans="1:14" s="5" customFormat="1" ht="15.75" customHeight="1" x14ac:dyDescent="0.25">
      <c r="A137" s="65">
        <v>231</v>
      </c>
      <c r="B137" s="66">
        <v>43564.751388888886</v>
      </c>
      <c r="C137" s="65" t="s">
        <v>239</v>
      </c>
      <c r="D137" s="65" t="s">
        <v>216</v>
      </c>
      <c r="E137" s="87">
        <v>259</v>
      </c>
      <c r="F137" s="14">
        <v>50</v>
      </c>
      <c r="G137" s="40">
        <f t="shared" si="12"/>
        <v>46.62</v>
      </c>
      <c r="H137" s="50"/>
      <c r="I137" s="91"/>
      <c r="J137" s="16"/>
      <c r="K137" s="25"/>
      <c r="L137" s="41"/>
      <c r="M137" s="20"/>
      <c r="N137" s="19"/>
    </row>
    <row r="138" spans="1:14" s="5" customFormat="1" ht="15.75" customHeight="1" x14ac:dyDescent="0.25">
      <c r="A138" s="65">
        <v>232</v>
      </c>
      <c r="B138" s="66">
        <v>43564.875694444447</v>
      </c>
      <c r="C138" s="65" t="s">
        <v>239</v>
      </c>
      <c r="D138" s="65" t="s">
        <v>217</v>
      </c>
      <c r="E138" s="87">
        <v>162</v>
      </c>
      <c r="F138" s="14">
        <f>20+15*0.5</f>
        <v>27.5</v>
      </c>
      <c r="G138" s="40">
        <f t="shared" si="12"/>
        <v>16.038</v>
      </c>
      <c r="H138" s="50"/>
      <c r="I138" s="91"/>
      <c r="J138" s="16"/>
      <c r="K138" s="25"/>
      <c r="L138" s="41"/>
      <c r="M138" s="20"/>
      <c r="N138" s="19"/>
    </row>
    <row r="139" spans="1:14" s="5" customFormat="1" ht="15.75" customHeight="1" x14ac:dyDescent="0.25">
      <c r="A139" s="65">
        <v>233</v>
      </c>
      <c r="B139" s="66">
        <v>43565.000694444447</v>
      </c>
      <c r="C139" s="65" t="s">
        <v>239</v>
      </c>
      <c r="D139" s="65" t="s">
        <v>218</v>
      </c>
      <c r="E139" s="87">
        <v>126</v>
      </c>
      <c r="F139" s="14">
        <f>15*0.5+12</f>
        <v>19.5</v>
      </c>
      <c r="G139" s="40">
        <f t="shared" si="12"/>
        <v>8.8452000000000002</v>
      </c>
      <c r="H139" s="50"/>
      <c r="I139" s="91"/>
      <c r="J139" s="16"/>
      <c r="K139" s="25"/>
      <c r="L139" s="41"/>
      <c r="M139" s="20"/>
      <c r="N139" s="19"/>
    </row>
    <row r="140" spans="1:14" s="5" customFormat="1" ht="15.75" customHeight="1" x14ac:dyDescent="0.25">
      <c r="A140" s="65">
        <v>234</v>
      </c>
      <c r="B140" s="66">
        <v>43565.125694444447</v>
      </c>
      <c r="C140" s="65" t="s">
        <v>239</v>
      </c>
      <c r="D140" s="65" t="s">
        <v>219</v>
      </c>
      <c r="E140" s="87">
        <v>96.1</v>
      </c>
      <c r="F140" s="14">
        <f>10.5+9*0.5</f>
        <v>15</v>
      </c>
      <c r="G140" s="40">
        <f t="shared" si="12"/>
        <v>5.1894</v>
      </c>
      <c r="H140" s="50"/>
      <c r="I140" s="91"/>
      <c r="J140" s="16"/>
      <c r="K140" s="25"/>
      <c r="L140" s="41"/>
      <c r="M140" s="20"/>
      <c r="N140" s="19"/>
    </row>
    <row r="141" spans="1:14" s="5" customFormat="1" ht="15.75" customHeight="1" x14ac:dyDescent="0.25">
      <c r="A141" s="65">
        <v>235</v>
      </c>
      <c r="B141" s="66">
        <v>43565.250694444447</v>
      </c>
      <c r="C141" s="65" t="s">
        <v>239</v>
      </c>
      <c r="D141" s="65" t="s">
        <v>220</v>
      </c>
      <c r="E141" s="87">
        <v>77.599999999999994</v>
      </c>
      <c r="F141" s="52">
        <f>9*0.5+7.5</f>
        <v>12</v>
      </c>
      <c r="G141" s="40">
        <f t="shared" si="12"/>
        <v>3.3523199999999997</v>
      </c>
      <c r="H141" s="50"/>
      <c r="I141" s="91"/>
      <c r="J141" s="16"/>
      <c r="K141" s="25"/>
      <c r="L141" s="41"/>
      <c r="M141" s="20"/>
      <c r="N141" s="19"/>
    </row>
    <row r="142" spans="1:14" s="5" customFormat="1" ht="15.75" customHeight="1" x14ac:dyDescent="0.25">
      <c r="A142" s="67">
        <v>226</v>
      </c>
      <c r="B142" s="68">
        <v>43566.751388888886</v>
      </c>
      <c r="C142" s="67" t="s">
        <v>243</v>
      </c>
      <c r="D142" s="67" t="s">
        <v>211</v>
      </c>
      <c r="E142" s="94">
        <v>13.6</v>
      </c>
      <c r="F142" s="57">
        <f>58+29</f>
        <v>87</v>
      </c>
      <c r="G142" s="58">
        <f t="shared" si="12"/>
        <v>4.2595200000000002</v>
      </c>
      <c r="H142" s="103">
        <f>SUM(G134:G142)/1000</f>
        <v>0.10371564000000001</v>
      </c>
      <c r="I142" s="91"/>
      <c r="J142" s="16"/>
      <c r="K142" s="25"/>
      <c r="L142" s="41"/>
      <c r="M142" s="20"/>
      <c r="N142" s="19"/>
    </row>
    <row r="143" spans="1:14" s="5" customFormat="1" ht="15.75" customHeight="1" x14ac:dyDescent="0.25">
      <c r="A143" s="62">
        <v>237</v>
      </c>
      <c r="B143" s="63">
        <v>43567.465277777781</v>
      </c>
      <c r="C143" s="62" t="s">
        <v>243</v>
      </c>
      <c r="D143" s="62" t="s">
        <v>222</v>
      </c>
      <c r="E143" s="93">
        <v>13.5</v>
      </c>
      <c r="F143" s="55">
        <v>20</v>
      </c>
      <c r="G143" s="56">
        <f t="shared" si="12"/>
        <v>0.97199999999999998</v>
      </c>
      <c r="H143" s="97"/>
      <c r="I143" s="91"/>
      <c r="J143" s="16"/>
      <c r="K143" s="25"/>
      <c r="L143" s="41"/>
      <c r="M143" s="20"/>
      <c r="N143" s="19"/>
    </row>
    <row r="144" spans="1:14" s="5" customFormat="1" ht="15.75" customHeight="1" x14ac:dyDescent="0.25">
      <c r="A144" s="67">
        <v>238</v>
      </c>
      <c r="B144" s="68">
        <v>43569.465277777781</v>
      </c>
      <c r="C144" s="67" t="s">
        <v>243</v>
      </c>
      <c r="D144" s="67" t="s">
        <v>223</v>
      </c>
      <c r="E144" s="94">
        <v>17.8</v>
      </c>
      <c r="F144" s="95">
        <f>42+8</f>
        <v>50</v>
      </c>
      <c r="G144" s="58">
        <f t="shared" si="12"/>
        <v>3.2040000000000002</v>
      </c>
      <c r="H144" s="123">
        <f>SUM(G143:G144)/1000</f>
        <v>4.176E-3</v>
      </c>
      <c r="I144" s="91"/>
      <c r="J144" s="16"/>
      <c r="K144" s="25"/>
      <c r="L144" s="41"/>
      <c r="M144" s="20"/>
      <c r="N144" s="19"/>
    </row>
    <row r="145" spans="1:14" s="5" customFormat="1" ht="15.75" customHeight="1" x14ac:dyDescent="0.25">
      <c r="A145" s="62">
        <v>241</v>
      </c>
      <c r="B145" s="63">
        <v>43570.198611111111</v>
      </c>
      <c r="C145" s="62" t="s">
        <v>239</v>
      </c>
      <c r="D145" s="62" t="s">
        <v>234</v>
      </c>
      <c r="E145" s="93">
        <v>471</v>
      </c>
      <c r="F145" s="55">
        <f>4+9*0.5</f>
        <v>8.5</v>
      </c>
      <c r="G145" s="56">
        <f t="shared" si="12"/>
        <v>14.412599999999999</v>
      </c>
      <c r="H145" s="97" t="s">
        <v>284</v>
      </c>
      <c r="I145" s="91"/>
      <c r="J145" s="16"/>
      <c r="K145" s="25"/>
      <c r="L145" s="41"/>
      <c r="M145" s="20"/>
      <c r="N145" s="19"/>
    </row>
    <row r="146" spans="1:14" s="5" customFormat="1" ht="15.75" customHeight="1" x14ac:dyDescent="0.25">
      <c r="A146" s="65">
        <v>243</v>
      </c>
      <c r="B146" s="66">
        <v>43570.215277777781</v>
      </c>
      <c r="C146" s="65" t="s">
        <v>239</v>
      </c>
      <c r="D146" s="65" t="s">
        <v>235</v>
      </c>
      <c r="E146" s="87">
        <v>298</v>
      </c>
      <c r="F146" s="14">
        <f>9*0.5</f>
        <v>4.5</v>
      </c>
      <c r="G146" s="40">
        <f t="shared" si="12"/>
        <v>4.8276000000000003</v>
      </c>
      <c r="H146" s="50"/>
      <c r="I146" s="91"/>
      <c r="J146" s="16"/>
      <c r="K146" s="25"/>
      <c r="L146" s="41"/>
      <c r="M146" s="20"/>
      <c r="N146" s="19"/>
    </row>
    <row r="147" spans="1:14" s="5" customFormat="1" ht="15.75" customHeight="1" x14ac:dyDescent="0.25">
      <c r="A147" s="65">
        <v>244</v>
      </c>
      <c r="B147" s="66">
        <v>43570.340277777781</v>
      </c>
      <c r="C147" s="65" t="s">
        <v>239</v>
      </c>
      <c r="D147" s="65" t="s">
        <v>236</v>
      </c>
      <c r="E147" s="87">
        <v>250</v>
      </c>
      <c r="F147" s="14">
        <v>10.5</v>
      </c>
      <c r="G147" s="40">
        <f t="shared" si="12"/>
        <v>9.4499999999999993</v>
      </c>
      <c r="H147" s="50"/>
      <c r="I147" s="91"/>
      <c r="J147" s="16"/>
      <c r="K147" s="25"/>
      <c r="L147" s="41"/>
      <c r="M147" s="20"/>
      <c r="N147" s="19"/>
    </row>
    <row r="148" spans="1:14" s="5" customFormat="1" ht="15.75" customHeight="1" x14ac:dyDescent="0.25">
      <c r="A148" s="65">
        <v>245</v>
      </c>
      <c r="B148" s="66">
        <v>43570.465277777781</v>
      </c>
      <c r="C148" s="65" t="s">
        <v>239</v>
      </c>
      <c r="D148" s="65" t="s">
        <v>237</v>
      </c>
      <c r="E148" s="87">
        <v>162</v>
      </c>
      <c r="F148" s="14">
        <f>9.5+9*0.5</f>
        <v>14</v>
      </c>
      <c r="G148" s="40">
        <f t="shared" si="12"/>
        <v>8.1647999999999996</v>
      </c>
      <c r="H148" s="50"/>
      <c r="I148" s="91"/>
      <c r="J148" s="16"/>
      <c r="K148" s="25"/>
      <c r="L148" s="41"/>
      <c r="M148" s="20"/>
      <c r="N148" s="19"/>
    </row>
    <row r="149" spans="1:14" s="5" customFormat="1" ht="15.75" customHeight="1" x14ac:dyDescent="0.25">
      <c r="A149" s="65">
        <v>246</v>
      </c>
      <c r="B149" s="66">
        <v>43570.590277777781</v>
      </c>
      <c r="C149" s="65" t="s">
        <v>239</v>
      </c>
      <c r="D149" s="65" t="s">
        <v>238</v>
      </c>
      <c r="E149" s="87">
        <v>115</v>
      </c>
      <c r="F149" s="14">
        <f>9*0.5+8.5</f>
        <v>13</v>
      </c>
      <c r="G149" s="40">
        <f t="shared" si="12"/>
        <v>5.3819999999999997</v>
      </c>
      <c r="H149" s="50"/>
      <c r="I149" s="91"/>
      <c r="J149" s="16"/>
      <c r="K149" s="25"/>
      <c r="L149" s="41"/>
      <c r="M149" s="20"/>
      <c r="N149" s="19"/>
    </row>
    <row r="150" spans="1:14" s="5" customFormat="1" ht="15.75" customHeight="1" x14ac:dyDescent="0.25">
      <c r="A150" s="65">
        <v>239</v>
      </c>
      <c r="B150" s="66">
        <v>43571.465277777781</v>
      </c>
      <c r="C150" s="65" t="s">
        <v>243</v>
      </c>
      <c r="D150" s="65" t="s">
        <v>224</v>
      </c>
      <c r="E150" s="87">
        <f>32+26</f>
        <v>58</v>
      </c>
      <c r="F150" s="14">
        <v>8</v>
      </c>
      <c r="G150" s="40">
        <f t="shared" si="12"/>
        <v>1.6704000000000001</v>
      </c>
      <c r="H150" s="50"/>
      <c r="I150" s="91"/>
      <c r="J150" s="16"/>
      <c r="K150" s="25"/>
      <c r="L150" s="41"/>
      <c r="M150" s="20"/>
      <c r="N150" s="19"/>
    </row>
    <row r="151" spans="1:14" s="5" customFormat="1" ht="15.75" customHeight="1" x14ac:dyDescent="0.25">
      <c r="A151" s="67">
        <v>240</v>
      </c>
      <c r="B151" s="68">
        <v>43573.465277777781</v>
      </c>
      <c r="C151" s="67" t="s">
        <v>243</v>
      </c>
      <c r="D151" s="67" t="s">
        <v>233</v>
      </c>
      <c r="E151" s="94">
        <v>14.3</v>
      </c>
      <c r="F151" s="57">
        <v>56</v>
      </c>
      <c r="G151" s="58">
        <f t="shared" si="12"/>
        <v>2.8828800000000001</v>
      </c>
      <c r="H151" s="103">
        <f>SUM(G145:G151)/1000</f>
        <v>4.6790280000000004E-2</v>
      </c>
      <c r="J151" s="16"/>
      <c r="K151" s="25"/>
      <c r="L151" s="41"/>
      <c r="M151" s="20"/>
      <c r="N151" s="19"/>
    </row>
    <row r="152" spans="1:14" s="5" customFormat="1" ht="15.75" customHeight="1" x14ac:dyDescent="0.25">
      <c r="A152" s="73">
        <v>236</v>
      </c>
      <c r="B152" s="72">
        <v>43574.381944444445</v>
      </c>
      <c r="C152" s="73" t="s">
        <v>242</v>
      </c>
      <c r="D152" s="73" t="s">
        <v>221</v>
      </c>
      <c r="E152" s="83">
        <v>13.1</v>
      </c>
      <c r="F152" s="75">
        <f>12+35</f>
        <v>47</v>
      </c>
      <c r="G152" s="61">
        <f t="shared" si="12"/>
        <v>2.21652</v>
      </c>
      <c r="H152" s="107">
        <f>SUM(G152)/1000</f>
        <v>2.21652E-3</v>
      </c>
      <c r="I152" s="91" t="s">
        <v>285</v>
      </c>
      <c r="J152" s="16"/>
      <c r="K152" s="25"/>
      <c r="L152" s="41"/>
      <c r="M152" s="20"/>
      <c r="N152" s="19"/>
    </row>
    <row r="153" spans="1:14" s="5" customFormat="1" ht="15.75" customHeight="1" x14ac:dyDescent="0.25">
      <c r="A153" s="62">
        <v>247</v>
      </c>
      <c r="B153" s="63">
        <v>43575.068055555559</v>
      </c>
      <c r="C153" s="62" t="s">
        <v>239</v>
      </c>
      <c r="D153" s="62" t="s">
        <v>225</v>
      </c>
      <c r="E153" s="93">
        <v>173</v>
      </c>
      <c r="F153" s="102">
        <v>2</v>
      </c>
      <c r="G153" s="56">
        <f t="shared" si="12"/>
        <v>1.2456</v>
      </c>
      <c r="H153" s="97"/>
      <c r="I153" s="91"/>
      <c r="J153" s="16"/>
      <c r="K153" s="25"/>
      <c r="L153" s="41"/>
      <c r="M153" s="20"/>
      <c r="N153" s="19"/>
    </row>
    <row r="154" spans="1:14" s="5" customFormat="1" ht="15.75" customHeight="1" x14ac:dyDescent="0.25">
      <c r="A154" s="65">
        <v>248</v>
      </c>
      <c r="B154" s="66">
        <v>43575.144444444442</v>
      </c>
      <c r="C154" s="65" t="s">
        <v>239</v>
      </c>
      <c r="D154" s="112" t="s">
        <v>201</v>
      </c>
      <c r="E154" s="54">
        <v>709</v>
      </c>
      <c r="F154" s="40">
        <v>117</v>
      </c>
      <c r="G154" s="40">
        <f t="shared" si="12"/>
        <v>298.63080000000002</v>
      </c>
      <c r="H154" s="50"/>
      <c r="I154" s="91"/>
      <c r="J154" s="16"/>
      <c r="K154" s="25"/>
      <c r="L154" s="41"/>
      <c r="M154" s="20"/>
      <c r="N154" s="19"/>
    </row>
    <row r="155" spans="1:14" s="5" customFormat="1" ht="15.75" customHeight="1" x14ac:dyDescent="0.25">
      <c r="A155" s="65">
        <v>249</v>
      </c>
      <c r="B155" s="66">
        <v>43575.269444444442</v>
      </c>
      <c r="C155" s="65" t="s">
        <v>239</v>
      </c>
      <c r="D155" s="112" t="s">
        <v>202</v>
      </c>
      <c r="E155" s="54">
        <v>678</v>
      </c>
      <c r="F155" s="14">
        <f>113+136*0.5</f>
        <v>181</v>
      </c>
      <c r="G155" s="40">
        <f t="shared" si="12"/>
        <v>441.78480000000002</v>
      </c>
      <c r="H155" s="50"/>
      <c r="I155" s="60"/>
      <c r="J155" s="41"/>
      <c r="K155" s="41"/>
      <c r="L155" s="54"/>
    </row>
    <row r="156" spans="1:14" s="5" customFormat="1" ht="15.75" customHeight="1" x14ac:dyDescent="0.25">
      <c r="A156" s="65">
        <v>250</v>
      </c>
      <c r="B156" s="66">
        <v>43575.394444444442</v>
      </c>
      <c r="C156" s="65" t="s">
        <v>239</v>
      </c>
      <c r="D156" s="112" t="s">
        <v>203</v>
      </c>
      <c r="E156" s="54">
        <v>327</v>
      </c>
      <c r="F156" s="14">
        <f>136*0.5+96</f>
        <v>164</v>
      </c>
      <c r="G156" s="40">
        <f t="shared" si="12"/>
        <v>193.0608</v>
      </c>
      <c r="H156" s="21"/>
      <c r="I156" s="91"/>
      <c r="J156" s="16"/>
      <c r="K156" s="25"/>
      <c r="L156" s="54"/>
    </row>
    <row r="157" spans="1:14" s="5" customFormat="1" ht="15.75" customHeight="1" x14ac:dyDescent="0.25">
      <c r="A157" s="65">
        <v>251</v>
      </c>
      <c r="B157" s="66">
        <v>43575.519444444442</v>
      </c>
      <c r="C157" s="65" t="s">
        <v>239</v>
      </c>
      <c r="D157" s="122" t="s">
        <v>204</v>
      </c>
      <c r="E157" s="54">
        <v>175</v>
      </c>
      <c r="F157" s="14">
        <v>56</v>
      </c>
      <c r="G157" s="40">
        <f t="shared" si="12"/>
        <v>35.28</v>
      </c>
      <c r="H157" s="50"/>
      <c r="I157" s="91"/>
      <c r="J157" s="16"/>
      <c r="K157" s="25"/>
      <c r="L157" s="54"/>
    </row>
    <row r="158" spans="1:14" s="5" customFormat="1" ht="15.75" customHeight="1" x14ac:dyDescent="0.25">
      <c r="A158" s="65">
        <v>252</v>
      </c>
      <c r="B158" s="66">
        <v>43575.644444444442</v>
      </c>
      <c r="C158" s="65" t="s">
        <v>239</v>
      </c>
      <c r="D158" s="112" t="s">
        <v>205</v>
      </c>
      <c r="E158" s="54">
        <v>588</v>
      </c>
      <c r="F158" s="14">
        <f>38+130</f>
        <v>168</v>
      </c>
      <c r="G158" s="40">
        <f t="shared" si="12"/>
        <v>355.62240000000003</v>
      </c>
      <c r="H158" s="50"/>
      <c r="I158" s="91"/>
      <c r="J158" s="16"/>
      <c r="K158" s="25"/>
      <c r="L158" s="54"/>
    </row>
    <row r="159" spans="1:14" s="5" customFormat="1" ht="15.75" customHeight="1" x14ac:dyDescent="0.25">
      <c r="A159" s="65">
        <v>253</v>
      </c>
      <c r="B159" s="66">
        <v>43575.769444444442</v>
      </c>
      <c r="C159" s="65" t="s">
        <v>239</v>
      </c>
      <c r="D159" s="65" t="s">
        <v>226</v>
      </c>
      <c r="E159" s="87">
        <v>316</v>
      </c>
      <c r="F159" s="14">
        <v>110</v>
      </c>
      <c r="G159" s="40">
        <f t="shared" ref="G159:G224" si="14">F159*3600*E159/1000000</f>
        <v>125.136</v>
      </c>
      <c r="H159" s="50"/>
      <c r="I159" s="91"/>
      <c r="J159" s="16"/>
      <c r="K159" s="25"/>
      <c r="L159" s="54"/>
    </row>
    <row r="160" spans="1:14" ht="15.75" customHeight="1" x14ac:dyDescent="0.25">
      <c r="A160" s="65">
        <v>254</v>
      </c>
      <c r="B160" s="66">
        <v>43575.894444444442</v>
      </c>
      <c r="C160" s="65" t="s">
        <v>239</v>
      </c>
      <c r="D160" s="65" t="s">
        <v>227</v>
      </c>
      <c r="E160" s="87">
        <v>155</v>
      </c>
      <c r="F160" s="14">
        <f>76+50</f>
        <v>126</v>
      </c>
      <c r="G160" s="40">
        <f t="shared" si="14"/>
        <v>70.308000000000007</v>
      </c>
      <c r="H160" s="50"/>
      <c r="I160" s="60"/>
      <c r="J160" s="14"/>
      <c r="K160" s="41"/>
      <c r="L160" s="41"/>
    </row>
    <row r="161" spans="1:12" ht="15.75" customHeight="1" x14ac:dyDescent="0.25">
      <c r="A161" s="65">
        <v>255</v>
      </c>
      <c r="B161" s="66">
        <v>43576.019444444442</v>
      </c>
      <c r="C161" s="65" t="s">
        <v>239</v>
      </c>
      <c r="D161" s="65" t="s">
        <v>228</v>
      </c>
      <c r="E161" s="87">
        <v>104</v>
      </c>
      <c r="F161" s="14">
        <v>34</v>
      </c>
      <c r="G161" s="40">
        <f t="shared" si="14"/>
        <v>12.7296</v>
      </c>
      <c r="H161" s="52"/>
      <c r="I161" s="91"/>
      <c r="J161" s="16"/>
      <c r="K161" s="25"/>
      <c r="L161" s="41"/>
    </row>
    <row r="162" spans="1:12" ht="15.75" customHeight="1" x14ac:dyDescent="0.25">
      <c r="A162" s="65">
        <v>256</v>
      </c>
      <c r="B162" s="66">
        <v>43576.144444444442</v>
      </c>
      <c r="C162" s="65" t="s">
        <v>239</v>
      </c>
      <c r="D162" s="65" t="s">
        <v>229</v>
      </c>
      <c r="E162" s="87">
        <v>74.599999999999994</v>
      </c>
      <c r="F162" s="14">
        <f>20+18</f>
        <v>38</v>
      </c>
      <c r="G162" s="40">
        <f t="shared" si="14"/>
        <v>10.20528</v>
      </c>
      <c r="H162" s="50"/>
      <c r="I162" s="60"/>
      <c r="J162" s="14"/>
      <c r="K162" s="41"/>
      <c r="L162" s="41"/>
    </row>
    <row r="163" spans="1:12" ht="15.75" customHeight="1" x14ac:dyDescent="0.25">
      <c r="A163" s="65">
        <v>257</v>
      </c>
      <c r="B163" s="66">
        <v>43576.269444444442</v>
      </c>
      <c r="C163" s="65" t="s">
        <v>239</v>
      </c>
      <c r="D163" s="65" t="s">
        <v>100</v>
      </c>
      <c r="E163" s="87">
        <v>63.3</v>
      </c>
      <c r="F163" s="14">
        <v>15.5</v>
      </c>
      <c r="G163" s="40">
        <f t="shared" si="14"/>
        <v>3.5321400000000001</v>
      </c>
      <c r="H163" s="52"/>
      <c r="I163" s="60"/>
      <c r="J163" s="14"/>
      <c r="K163" s="41"/>
      <c r="L163" s="21"/>
    </row>
    <row r="164" spans="1:12" ht="15.75" customHeight="1" x14ac:dyDescent="0.25">
      <c r="A164" s="65">
        <v>258</v>
      </c>
      <c r="B164" s="66">
        <v>43576.395138888889</v>
      </c>
      <c r="C164" s="65" t="s">
        <v>239</v>
      </c>
      <c r="D164" s="65" t="s">
        <v>101</v>
      </c>
      <c r="E164" s="87">
        <v>53.8</v>
      </c>
      <c r="F164" s="14">
        <f>14+12.5</f>
        <v>26.5</v>
      </c>
      <c r="G164" s="40">
        <f t="shared" si="14"/>
        <v>5.1325200000000004</v>
      </c>
      <c r="H164" s="52"/>
      <c r="I164" s="60"/>
      <c r="J164" s="14"/>
      <c r="K164" s="21"/>
      <c r="L164" s="41"/>
    </row>
    <row r="165" spans="1:12" ht="15.75" customHeight="1" x14ac:dyDescent="0.25">
      <c r="A165" s="67">
        <v>259</v>
      </c>
      <c r="B165" s="68">
        <v>43579.701388888891</v>
      </c>
      <c r="C165" s="67" t="s">
        <v>242</v>
      </c>
      <c r="D165" s="67" t="s">
        <v>102</v>
      </c>
      <c r="E165" s="94">
        <v>15.6</v>
      </c>
      <c r="F165" s="57">
        <f>66+63+44+21</f>
        <v>194</v>
      </c>
      <c r="G165" s="58">
        <f>F165*3600*E165*2/1000000</f>
        <v>21.79008</v>
      </c>
      <c r="H165" s="103">
        <f>SUM(G153:G165)/1000</f>
        <v>1.5744580199999998</v>
      </c>
      <c r="I165" s="60" t="s">
        <v>286</v>
      </c>
      <c r="J165" s="14"/>
      <c r="K165" s="41"/>
      <c r="L165" s="41"/>
    </row>
    <row r="166" spans="1:12" ht="15.75" customHeight="1" x14ac:dyDescent="0.25">
      <c r="A166" s="73">
        <v>261</v>
      </c>
      <c r="B166" s="72">
        <v>43580.583333333336</v>
      </c>
      <c r="C166" s="73" t="s">
        <v>243</v>
      </c>
      <c r="D166" s="73" t="s">
        <v>104</v>
      </c>
      <c r="E166" s="83">
        <v>12.7</v>
      </c>
      <c r="F166" s="75">
        <f>18+22</f>
        <v>40</v>
      </c>
      <c r="G166" s="61">
        <f>F166*3600*20/1000000</f>
        <v>2.88</v>
      </c>
      <c r="H166" s="107">
        <f>SUM(G166)/1000</f>
        <v>2.8799999999999997E-3</v>
      </c>
      <c r="I166" s="60" t="s">
        <v>287</v>
      </c>
      <c r="J166" s="14"/>
      <c r="K166" s="41"/>
      <c r="L166" s="41"/>
    </row>
    <row r="167" spans="1:12" ht="15.75" customHeight="1" x14ac:dyDescent="0.25">
      <c r="A167" s="62">
        <v>262</v>
      </c>
      <c r="B167" s="63">
        <v>43582.021527777775</v>
      </c>
      <c r="C167" s="62" t="s">
        <v>239</v>
      </c>
      <c r="D167" s="62" t="s">
        <v>105</v>
      </c>
      <c r="E167" s="93">
        <v>414</v>
      </c>
      <c r="F167" s="55">
        <v>2</v>
      </c>
      <c r="G167" s="56">
        <f t="shared" si="14"/>
        <v>2.9807999999999999</v>
      </c>
      <c r="H167" s="80"/>
      <c r="I167" s="60"/>
      <c r="J167" s="14"/>
      <c r="K167" s="41"/>
      <c r="L167" s="41"/>
    </row>
    <row r="168" spans="1:12" ht="15.75" customHeight="1" x14ac:dyDescent="0.25">
      <c r="A168" s="65">
        <v>263</v>
      </c>
      <c r="B168" s="66">
        <v>43582.083333333336</v>
      </c>
      <c r="C168" s="65" t="s">
        <v>239</v>
      </c>
      <c r="D168" s="65" t="s">
        <v>106</v>
      </c>
      <c r="E168" s="87">
        <v>405</v>
      </c>
      <c r="F168" s="14">
        <v>20</v>
      </c>
      <c r="G168" s="40">
        <f t="shared" si="14"/>
        <v>29.16</v>
      </c>
      <c r="H168" s="52"/>
      <c r="I168" s="92"/>
      <c r="J168" s="16"/>
      <c r="K168" s="25"/>
      <c r="L168" s="41"/>
    </row>
    <row r="169" spans="1:12" ht="15.75" customHeight="1" x14ac:dyDescent="0.25">
      <c r="A169" s="65">
        <v>264</v>
      </c>
      <c r="B169" s="66">
        <v>43582.208333333336</v>
      </c>
      <c r="C169" s="65" t="s">
        <v>239</v>
      </c>
      <c r="D169" s="65" t="s">
        <v>107</v>
      </c>
      <c r="E169" s="87">
        <v>483</v>
      </c>
      <c r="F169" s="14">
        <f>58+50*0.5</f>
        <v>83</v>
      </c>
      <c r="G169" s="40">
        <f t="shared" si="14"/>
        <v>144.32040000000001</v>
      </c>
      <c r="H169" s="108"/>
      <c r="I169" s="91"/>
      <c r="J169" s="16"/>
      <c r="K169" s="41"/>
      <c r="L169" s="41"/>
    </row>
    <row r="170" spans="1:12" ht="15.75" customHeight="1" x14ac:dyDescent="0.25">
      <c r="A170" s="65">
        <v>265</v>
      </c>
      <c r="B170" s="66">
        <v>43582.333333333336</v>
      </c>
      <c r="C170" s="65" t="s">
        <v>239</v>
      </c>
      <c r="D170" s="65" t="s">
        <v>108</v>
      </c>
      <c r="E170" s="87">
        <v>500</v>
      </c>
      <c r="F170" s="14">
        <f>50*0.5+80</f>
        <v>105</v>
      </c>
      <c r="G170" s="40">
        <f t="shared" si="14"/>
        <v>189</v>
      </c>
      <c r="H170" s="50"/>
      <c r="I170" s="60"/>
      <c r="J170" s="14"/>
      <c r="K170" s="21"/>
      <c r="L170" s="41"/>
    </row>
    <row r="171" spans="1:12" ht="15.75" customHeight="1" x14ac:dyDescent="0.25">
      <c r="A171" s="65">
        <v>260</v>
      </c>
      <c r="B171" s="124">
        <v>43582.479166666664</v>
      </c>
      <c r="C171" s="65" t="s">
        <v>242</v>
      </c>
      <c r="D171" s="65" t="s">
        <v>103</v>
      </c>
      <c r="E171" s="87">
        <v>414</v>
      </c>
      <c r="F171" s="14">
        <f>138+115</f>
        <v>253</v>
      </c>
      <c r="G171" s="40">
        <f t="shared" si="14"/>
        <v>377.07119999999998</v>
      </c>
      <c r="H171" s="52"/>
      <c r="I171" s="60"/>
      <c r="J171" s="14"/>
      <c r="K171" s="41"/>
      <c r="L171" s="41"/>
    </row>
    <row r="172" spans="1:12" s="5" customFormat="1" ht="15.75" customHeight="1" x14ac:dyDescent="0.25">
      <c r="A172" s="67"/>
      <c r="B172" s="125"/>
      <c r="C172" s="67"/>
      <c r="D172" s="67"/>
      <c r="E172" s="94"/>
      <c r="F172" s="57">
        <f>80+50+28+18+15+13</f>
        <v>204</v>
      </c>
      <c r="G172" s="58">
        <f>F172*3600*100/1000000</f>
        <v>73.44</v>
      </c>
      <c r="H172" s="103">
        <f>SUM(G167:G172)/1000</f>
        <v>0.81597240000000015</v>
      </c>
      <c r="I172" s="60" t="s">
        <v>288</v>
      </c>
      <c r="J172" s="14"/>
      <c r="K172" s="41"/>
      <c r="L172" s="41"/>
    </row>
    <row r="173" spans="1:12" ht="15.75" customHeight="1" x14ac:dyDescent="0.25">
      <c r="A173" s="62">
        <v>266</v>
      </c>
      <c r="B173" s="126">
        <v>43589.458333333336</v>
      </c>
      <c r="C173" s="62" t="s">
        <v>242</v>
      </c>
      <c r="D173" s="62" t="s">
        <v>109</v>
      </c>
      <c r="E173" s="93">
        <v>36</v>
      </c>
      <c r="F173" s="80" t="s">
        <v>118</v>
      </c>
      <c r="G173" s="56"/>
      <c r="H173" s="80"/>
      <c r="I173" s="60" t="s">
        <v>253</v>
      </c>
      <c r="J173" s="14"/>
      <c r="K173" s="21"/>
      <c r="L173" s="41"/>
    </row>
    <row r="174" spans="1:12" ht="15.75" customHeight="1" x14ac:dyDescent="0.25">
      <c r="A174" s="65">
        <v>267</v>
      </c>
      <c r="B174" s="66">
        <v>43589.459722222222</v>
      </c>
      <c r="C174" s="65" t="s">
        <v>243</v>
      </c>
      <c r="D174" s="65" t="s">
        <v>110</v>
      </c>
      <c r="E174" s="87">
        <v>22.7</v>
      </c>
      <c r="F174" s="14">
        <f>12+11+10+9+8+8+8+7+6+6+6+5+36+30+20+16+33+16</f>
        <v>247</v>
      </c>
      <c r="G174" s="40">
        <f t="shared" si="14"/>
        <v>20.184840000000001</v>
      </c>
      <c r="H174" s="52"/>
      <c r="I174" s="60"/>
      <c r="J174" s="14"/>
      <c r="K174" s="41"/>
      <c r="L174" s="41"/>
    </row>
    <row r="175" spans="1:12" ht="15.75" customHeight="1" x14ac:dyDescent="0.25">
      <c r="A175" s="65">
        <v>268</v>
      </c>
      <c r="B175" s="66">
        <v>43591.459722222222</v>
      </c>
      <c r="C175" s="65" t="s">
        <v>247</v>
      </c>
      <c r="D175" s="65" t="s">
        <v>111</v>
      </c>
      <c r="E175" s="87">
        <v>16.5</v>
      </c>
      <c r="F175" s="14">
        <v>61</v>
      </c>
      <c r="G175" s="40">
        <f t="shared" si="14"/>
        <v>3.6234000000000002</v>
      </c>
      <c r="H175" s="52"/>
      <c r="I175" s="60"/>
      <c r="J175" s="14"/>
      <c r="K175" s="41"/>
      <c r="L175" s="41"/>
    </row>
    <row r="176" spans="1:12" ht="15.75" customHeight="1" x14ac:dyDescent="0.25">
      <c r="A176" s="67">
        <v>269</v>
      </c>
      <c r="B176" s="68">
        <v>43593.459722222222</v>
      </c>
      <c r="C176" s="67" t="s">
        <v>247</v>
      </c>
      <c r="D176" s="67" t="s">
        <v>112</v>
      </c>
      <c r="E176" s="94">
        <v>22.5</v>
      </c>
      <c r="F176" s="57">
        <f>31+19</f>
        <v>50</v>
      </c>
      <c r="G176" s="58">
        <f t="shared" si="14"/>
        <v>4.05</v>
      </c>
      <c r="H176" s="103">
        <f>SUM(G173:G176)/1000</f>
        <v>2.7858240000000003E-2</v>
      </c>
      <c r="I176" s="60" t="s">
        <v>291</v>
      </c>
      <c r="J176" s="14"/>
      <c r="K176" s="41"/>
      <c r="L176" s="41"/>
    </row>
    <row r="177" spans="1:12" ht="15.75" customHeight="1" x14ac:dyDescent="0.25">
      <c r="A177" s="62">
        <v>270</v>
      </c>
      <c r="B177" s="63">
        <v>43595.481944444444</v>
      </c>
      <c r="C177" s="62" t="s">
        <v>239</v>
      </c>
      <c r="D177" s="121" t="s">
        <v>141</v>
      </c>
      <c r="E177" s="111">
        <v>806</v>
      </c>
      <c r="F177" s="55">
        <v>5</v>
      </c>
      <c r="G177" s="56">
        <f t="shared" si="14"/>
        <v>14.507999999999999</v>
      </c>
      <c r="H177" s="80"/>
      <c r="J177" s="14"/>
      <c r="K177" s="41"/>
      <c r="L177" s="41"/>
    </row>
    <row r="178" spans="1:12" ht="15.75" customHeight="1" x14ac:dyDescent="0.25">
      <c r="A178" s="65">
        <v>271</v>
      </c>
      <c r="B178" s="66">
        <v>43595.606249999997</v>
      </c>
      <c r="C178" s="65" t="s">
        <v>239</v>
      </c>
      <c r="D178" s="112" t="s">
        <v>142</v>
      </c>
      <c r="E178" s="54">
        <v>918</v>
      </c>
      <c r="F178" s="14">
        <f>50+50*0.5</f>
        <v>75</v>
      </c>
      <c r="G178" s="40">
        <f t="shared" si="14"/>
        <v>247.86</v>
      </c>
      <c r="H178" s="52"/>
      <c r="I178" s="60"/>
      <c r="J178" s="14"/>
      <c r="K178" s="41"/>
      <c r="L178" s="41"/>
    </row>
    <row r="179" spans="1:12" ht="15.75" customHeight="1" x14ac:dyDescent="0.25">
      <c r="A179" s="65">
        <v>272</v>
      </c>
      <c r="B179" s="66">
        <v>43595.731249999997</v>
      </c>
      <c r="C179" s="65" t="s">
        <v>239</v>
      </c>
      <c r="D179" s="112" t="s">
        <v>143</v>
      </c>
      <c r="E179" s="54">
        <v>515</v>
      </c>
      <c r="F179" s="14">
        <f>50/2+20</f>
        <v>45</v>
      </c>
      <c r="G179" s="40">
        <f t="shared" si="14"/>
        <v>83.43</v>
      </c>
      <c r="H179" s="52"/>
      <c r="I179" s="60"/>
      <c r="J179" s="14"/>
      <c r="K179" s="41"/>
      <c r="L179" s="41"/>
    </row>
    <row r="180" spans="1:12" ht="15.75" customHeight="1" x14ac:dyDescent="0.25">
      <c r="A180" s="65">
        <v>273</v>
      </c>
      <c r="B180" s="66">
        <v>43595.856249999997</v>
      </c>
      <c r="C180" s="65" t="s">
        <v>239</v>
      </c>
      <c r="D180" s="112" t="s">
        <v>144</v>
      </c>
      <c r="E180" s="54">
        <v>269</v>
      </c>
      <c r="F180" s="14">
        <v>15</v>
      </c>
      <c r="G180" s="40">
        <f t="shared" si="14"/>
        <v>14.526</v>
      </c>
      <c r="H180" s="52"/>
      <c r="I180" s="60"/>
      <c r="J180" s="14"/>
      <c r="K180" s="41"/>
      <c r="L180" s="41"/>
    </row>
    <row r="181" spans="1:12" ht="15.75" customHeight="1" x14ac:dyDescent="0.25">
      <c r="A181" s="65">
        <v>274</v>
      </c>
      <c r="B181" s="66">
        <v>43595.981249999997</v>
      </c>
      <c r="C181" s="65" t="s">
        <v>239</v>
      </c>
      <c r="D181" s="112" t="s">
        <v>145</v>
      </c>
      <c r="E181" s="54">
        <v>167</v>
      </c>
      <c r="F181" s="14">
        <f>12+10.5</f>
        <v>22.5</v>
      </c>
      <c r="G181" s="40">
        <f t="shared" si="14"/>
        <v>13.526999999999999</v>
      </c>
      <c r="H181" s="52"/>
      <c r="I181" s="60"/>
      <c r="J181" s="14"/>
      <c r="K181" s="41"/>
      <c r="L181" s="41"/>
    </row>
    <row r="182" spans="1:12" ht="15.75" customHeight="1" x14ac:dyDescent="0.25">
      <c r="A182" s="65">
        <v>275</v>
      </c>
      <c r="B182" s="66">
        <v>43596.106249999997</v>
      </c>
      <c r="C182" s="65" t="s">
        <v>239</v>
      </c>
      <c r="D182" s="112" t="s">
        <v>146</v>
      </c>
      <c r="E182" s="54">
        <v>94.2</v>
      </c>
      <c r="F182" s="14">
        <v>9.5</v>
      </c>
      <c r="G182" s="40">
        <f t="shared" si="14"/>
        <v>3.2216399999999998</v>
      </c>
      <c r="H182" s="52"/>
      <c r="I182" s="60"/>
      <c r="J182" s="14"/>
      <c r="K182" s="41"/>
      <c r="L182" s="41"/>
    </row>
    <row r="183" spans="1:12" ht="15.75" customHeight="1" x14ac:dyDescent="0.25">
      <c r="A183" s="65">
        <v>276</v>
      </c>
      <c r="B183" s="66">
        <v>43596.231249999997</v>
      </c>
      <c r="C183" s="65" t="s">
        <v>239</v>
      </c>
      <c r="D183" s="112" t="s">
        <v>147</v>
      </c>
      <c r="E183" s="54">
        <v>59.7</v>
      </c>
      <c r="F183" s="14">
        <f>8+8.5</f>
        <v>16.5</v>
      </c>
      <c r="G183" s="40">
        <f t="shared" si="14"/>
        <v>3.5461800000000001</v>
      </c>
      <c r="H183" s="52"/>
      <c r="I183" s="91"/>
      <c r="J183" s="16"/>
      <c r="K183" s="25"/>
      <c r="L183" s="41"/>
    </row>
    <row r="184" spans="1:12" s="5" customFormat="1" ht="15.75" customHeight="1" x14ac:dyDescent="0.25">
      <c r="A184" s="65">
        <v>277</v>
      </c>
      <c r="B184" s="66">
        <v>43596.356249999997</v>
      </c>
      <c r="C184" s="65" t="s">
        <v>239</v>
      </c>
      <c r="D184" s="112" t="s">
        <v>148</v>
      </c>
      <c r="E184" s="54">
        <v>49.2</v>
      </c>
      <c r="F184" s="14">
        <v>7</v>
      </c>
      <c r="G184" s="40">
        <f t="shared" si="14"/>
        <v>1.2398400000000001</v>
      </c>
      <c r="H184" s="50"/>
      <c r="I184" s="91"/>
      <c r="J184" s="16"/>
      <c r="K184" s="25"/>
      <c r="L184" s="41"/>
    </row>
    <row r="185" spans="1:12" ht="15.75" customHeight="1" x14ac:dyDescent="0.25">
      <c r="A185" s="65">
        <v>278</v>
      </c>
      <c r="B185" s="66">
        <v>43596.481944444444</v>
      </c>
      <c r="C185" s="65" t="s">
        <v>239</v>
      </c>
      <c r="D185" s="112" t="s">
        <v>149</v>
      </c>
      <c r="E185" s="54">
        <v>39.799999999999997</v>
      </c>
      <c r="F185" s="14">
        <f>7+7.5</f>
        <v>14.5</v>
      </c>
      <c r="G185" s="40">
        <f t="shared" si="14"/>
        <v>2.0775599999999996</v>
      </c>
      <c r="H185" s="50"/>
      <c r="I185" s="60"/>
      <c r="J185" s="14"/>
      <c r="K185" s="41"/>
      <c r="L185" s="41"/>
    </row>
    <row r="186" spans="1:12" ht="15.75" customHeight="1" x14ac:dyDescent="0.25">
      <c r="A186" s="67">
        <v>279</v>
      </c>
      <c r="B186" s="68">
        <v>43596.606249999997</v>
      </c>
      <c r="C186" s="67" t="s">
        <v>239</v>
      </c>
      <c r="D186" s="113" t="s">
        <v>150</v>
      </c>
      <c r="E186" s="114">
        <v>35.200000000000003</v>
      </c>
      <c r="F186" s="57">
        <f>12+21+24+20+31</f>
        <v>108</v>
      </c>
      <c r="G186" s="58">
        <f t="shared" si="14"/>
        <v>13.685760000000002</v>
      </c>
      <c r="H186" s="103">
        <f>SUM(G177:G186)/1000</f>
        <v>0.39762197999999999</v>
      </c>
      <c r="I186" s="60" t="s">
        <v>292</v>
      </c>
      <c r="J186" s="14"/>
      <c r="K186" s="41"/>
      <c r="L186" s="41"/>
    </row>
    <row r="187" spans="1:12" ht="15.75" customHeight="1" x14ac:dyDescent="0.25">
      <c r="A187" s="62">
        <v>280</v>
      </c>
      <c r="B187" s="63">
        <v>43599.62777777778</v>
      </c>
      <c r="C187" s="62" t="s">
        <v>242</v>
      </c>
      <c r="D187" s="121" t="s">
        <v>151</v>
      </c>
      <c r="E187" s="111">
        <v>148</v>
      </c>
      <c r="F187" s="55">
        <f>10.5+12+11+10+10+9.5</f>
        <v>63</v>
      </c>
      <c r="G187" s="56">
        <f>F187*3600*200/1000000</f>
        <v>45.36</v>
      </c>
      <c r="H187" s="80"/>
      <c r="I187" s="81" t="s">
        <v>293</v>
      </c>
      <c r="J187" s="14"/>
      <c r="K187" s="41"/>
      <c r="L187" s="41"/>
    </row>
    <row r="188" spans="1:12" ht="15.75" customHeight="1" x14ac:dyDescent="0.25">
      <c r="A188" s="65">
        <v>281</v>
      </c>
      <c r="B188" s="66">
        <v>43599.755555555559</v>
      </c>
      <c r="C188" s="65" t="s">
        <v>239</v>
      </c>
      <c r="D188" s="112" t="s">
        <v>152</v>
      </c>
      <c r="E188" s="54">
        <v>104</v>
      </c>
      <c r="F188" s="14">
        <v>9</v>
      </c>
      <c r="G188" s="40">
        <f t="shared" si="14"/>
        <v>3.3696000000000002</v>
      </c>
      <c r="H188" s="52"/>
      <c r="I188" s="60"/>
      <c r="J188" s="14"/>
      <c r="K188" s="41"/>
      <c r="L188" s="41"/>
    </row>
    <row r="189" spans="1:12" ht="15.75" customHeight="1" x14ac:dyDescent="0.25">
      <c r="A189" s="65">
        <v>282</v>
      </c>
      <c r="B189" s="66">
        <v>43600.005555555559</v>
      </c>
      <c r="C189" s="65" t="s">
        <v>239</v>
      </c>
      <c r="D189" s="112" t="s">
        <v>153</v>
      </c>
      <c r="E189" s="54">
        <v>57.9</v>
      </c>
      <c r="F189" s="14">
        <v>24</v>
      </c>
      <c r="G189" s="40">
        <f t="shared" si="14"/>
        <v>5.0025599999999999</v>
      </c>
      <c r="H189" s="52"/>
      <c r="I189" s="60"/>
      <c r="J189" s="14"/>
      <c r="K189" s="41"/>
      <c r="L189" s="41"/>
    </row>
    <row r="190" spans="1:12" ht="15.75" customHeight="1" x14ac:dyDescent="0.25">
      <c r="A190" s="65">
        <v>283</v>
      </c>
      <c r="B190" s="66">
        <v>43600.255555555559</v>
      </c>
      <c r="C190" s="65" t="s">
        <v>239</v>
      </c>
      <c r="D190" s="112" t="s">
        <v>154</v>
      </c>
      <c r="E190" s="54">
        <v>33.799999999999997</v>
      </c>
      <c r="F190" s="14">
        <v>21</v>
      </c>
      <c r="G190" s="40">
        <f t="shared" si="14"/>
        <v>2.5552800000000002</v>
      </c>
      <c r="H190" s="52"/>
      <c r="I190" s="60"/>
      <c r="J190" s="14"/>
      <c r="K190" s="41"/>
      <c r="L190" s="41"/>
    </row>
    <row r="191" spans="1:12" ht="15.75" customHeight="1" x14ac:dyDescent="0.25">
      <c r="A191" s="65">
        <v>284</v>
      </c>
      <c r="B191" s="66">
        <v>43600.505555555559</v>
      </c>
      <c r="C191" s="65" t="s">
        <v>239</v>
      </c>
      <c r="D191" s="112" t="s">
        <v>155</v>
      </c>
      <c r="E191" s="54">
        <v>31.7</v>
      </c>
      <c r="F191" s="14">
        <v>18</v>
      </c>
      <c r="G191" s="40">
        <f t="shared" si="14"/>
        <v>2.05416</v>
      </c>
      <c r="H191" s="52"/>
      <c r="I191" s="91"/>
      <c r="J191" s="16"/>
      <c r="K191" s="25"/>
      <c r="L191" s="41"/>
    </row>
    <row r="192" spans="1:12" ht="15.75" customHeight="1" x14ac:dyDescent="0.25">
      <c r="A192" s="65">
        <v>285</v>
      </c>
      <c r="B192" s="66">
        <v>43600.755555555559</v>
      </c>
      <c r="C192" s="65" t="s">
        <v>239</v>
      </c>
      <c r="D192" s="112" t="s">
        <v>156</v>
      </c>
      <c r="E192" s="54">
        <v>23.6</v>
      </c>
      <c r="F192" s="14">
        <v>17</v>
      </c>
      <c r="G192" s="40">
        <f t="shared" si="14"/>
        <v>1.44432</v>
      </c>
      <c r="H192" s="50"/>
      <c r="I192" s="60"/>
      <c r="J192" s="14"/>
      <c r="K192" s="41"/>
      <c r="L192" s="41"/>
    </row>
    <row r="193" spans="1:12" ht="15.75" customHeight="1" x14ac:dyDescent="0.25">
      <c r="A193" s="67">
        <v>286</v>
      </c>
      <c r="B193" s="68">
        <v>43601.005555555559</v>
      </c>
      <c r="C193" s="67" t="s">
        <v>239</v>
      </c>
      <c r="D193" s="113" t="s">
        <v>157</v>
      </c>
      <c r="E193" s="114">
        <v>22.2</v>
      </c>
      <c r="F193" s="57">
        <v>15</v>
      </c>
      <c r="G193" s="58">
        <f t="shared" si="14"/>
        <v>1.1988000000000001</v>
      </c>
      <c r="H193" s="103">
        <f>SUM(G187:G193)/1000</f>
        <v>6.0984720000000006E-2</v>
      </c>
      <c r="I193" s="60"/>
      <c r="J193" s="14"/>
      <c r="K193" s="41"/>
      <c r="L193" s="41"/>
    </row>
    <row r="194" spans="1:12" ht="15.75" customHeight="1" x14ac:dyDescent="0.25">
      <c r="A194" s="62">
        <v>287</v>
      </c>
      <c r="B194" s="63">
        <v>43601.422222222223</v>
      </c>
      <c r="C194" s="62" t="s">
        <v>247</v>
      </c>
      <c r="D194" s="121" t="s">
        <v>158</v>
      </c>
      <c r="E194" s="111">
        <v>38.200000000000003</v>
      </c>
      <c r="F194" s="55">
        <v>21</v>
      </c>
      <c r="G194" s="56">
        <f t="shared" si="14"/>
        <v>2.8879199999999998</v>
      </c>
      <c r="H194" s="80"/>
      <c r="I194" s="60"/>
      <c r="J194" s="14"/>
      <c r="K194" s="41"/>
      <c r="L194" s="41"/>
    </row>
    <row r="195" spans="1:12" ht="15.75" customHeight="1" x14ac:dyDescent="0.25">
      <c r="A195" s="67">
        <v>288</v>
      </c>
      <c r="B195" s="68">
        <v>43603.422222222223</v>
      </c>
      <c r="C195" s="67" t="s">
        <v>247</v>
      </c>
      <c r="D195" s="113" t="s">
        <v>159</v>
      </c>
      <c r="E195" s="114">
        <v>67.8</v>
      </c>
      <c r="F195" s="57">
        <f>25+9+35+28</f>
        <v>97</v>
      </c>
      <c r="G195" s="58">
        <f t="shared" si="14"/>
        <v>23.67576</v>
      </c>
      <c r="H195" s="103">
        <f>SUM(G194:G195)/1000</f>
        <v>2.6563680000000003E-2</v>
      </c>
      <c r="I195" s="60"/>
      <c r="J195" s="14"/>
      <c r="K195" s="41"/>
      <c r="L195" s="41"/>
    </row>
    <row r="196" spans="1:12" ht="15.75" customHeight="1" x14ac:dyDescent="0.25">
      <c r="A196" s="62">
        <v>289</v>
      </c>
      <c r="B196" s="63">
        <v>43605.088888888888</v>
      </c>
      <c r="C196" s="62" t="s">
        <v>248</v>
      </c>
      <c r="D196" s="121" t="s">
        <v>160</v>
      </c>
      <c r="E196" s="111">
        <v>289</v>
      </c>
      <c r="F196" s="55">
        <f>25+39+60</f>
        <v>124</v>
      </c>
      <c r="G196" s="56">
        <f t="shared" si="14"/>
        <v>129.00960000000001</v>
      </c>
      <c r="H196" s="80"/>
      <c r="I196" s="81" t="s">
        <v>294</v>
      </c>
      <c r="J196" s="14"/>
      <c r="K196" s="41"/>
      <c r="L196" s="41"/>
    </row>
    <row r="197" spans="1:12" ht="15.75" customHeight="1" x14ac:dyDescent="0.25">
      <c r="A197" s="65">
        <v>290</v>
      </c>
      <c r="B197" s="124">
        <v>43605.416666666664</v>
      </c>
      <c r="C197" s="65" t="s">
        <v>242</v>
      </c>
      <c r="D197" s="112" t="s">
        <v>161</v>
      </c>
      <c r="E197" s="54">
        <v>254</v>
      </c>
      <c r="F197" s="14">
        <f>66+37+40+32</f>
        <v>175</v>
      </c>
      <c r="G197" s="40">
        <f>F197*3600*E197*2/1000000</f>
        <v>320.04000000000002</v>
      </c>
      <c r="H197" s="52"/>
      <c r="I197" s="60" t="s">
        <v>295</v>
      </c>
      <c r="J197" s="14"/>
      <c r="K197" s="41"/>
      <c r="L197" s="41"/>
    </row>
    <row r="198" spans="1:12" ht="15.75" customHeight="1" x14ac:dyDescent="0.25">
      <c r="A198" s="65">
        <v>291</v>
      </c>
      <c r="B198" s="66">
        <v>43605.560416666667</v>
      </c>
      <c r="C198" s="65" t="s">
        <v>239</v>
      </c>
      <c r="D198" s="112" t="s">
        <v>162</v>
      </c>
      <c r="E198" s="54">
        <v>131</v>
      </c>
      <c r="F198" s="14">
        <f>21+17.5</f>
        <v>38.5</v>
      </c>
      <c r="G198" s="40">
        <f t="shared" si="14"/>
        <v>18.156600000000001</v>
      </c>
      <c r="H198" s="52"/>
      <c r="I198" s="60"/>
      <c r="J198" s="14"/>
      <c r="K198" s="41"/>
      <c r="L198" s="41"/>
    </row>
    <row r="199" spans="1:12" ht="15.75" customHeight="1" x14ac:dyDescent="0.25">
      <c r="A199" s="65">
        <v>292</v>
      </c>
      <c r="B199" s="66">
        <v>43605.893750000003</v>
      </c>
      <c r="C199" s="65" t="s">
        <v>239</v>
      </c>
      <c r="D199" s="112" t="s">
        <v>163</v>
      </c>
      <c r="E199" s="54">
        <v>54.3</v>
      </c>
      <c r="F199" s="14">
        <f>16+14+12.5+11.5</f>
        <v>54</v>
      </c>
      <c r="G199" s="40">
        <f t="shared" si="14"/>
        <v>10.55592</v>
      </c>
      <c r="H199" s="52"/>
      <c r="I199" s="60"/>
      <c r="J199" s="14"/>
      <c r="K199" s="41"/>
      <c r="L199" s="41"/>
    </row>
    <row r="200" spans="1:12" ht="15.75" customHeight="1" x14ac:dyDescent="0.25">
      <c r="A200" s="65">
        <v>293</v>
      </c>
      <c r="B200" s="66">
        <v>43606.227083333331</v>
      </c>
      <c r="C200" s="65" t="s">
        <v>239</v>
      </c>
      <c r="D200" s="112" t="s">
        <v>164</v>
      </c>
      <c r="E200" s="54">
        <v>35.5</v>
      </c>
      <c r="F200" s="14">
        <f>10.5+10+9+8</f>
        <v>37.5</v>
      </c>
      <c r="G200" s="40">
        <f t="shared" si="14"/>
        <v>4.7925000000000004</v>
      </c>
      <c r="H200" s="52"/>
      <c r="I200" s="91"/>
      <c r="J200" s="16"/>
      <c r="K200" s="25"/>
      <c r="L200" s="41"/>
    </row>
    <row r="201" spans="1:12" ht="15.75" customHeight="1" x14ac:dyDescent="0.25">
      <c r="A201" s="65">
        <v>294</v>
      </c>
      <c r="B201" s="66">
        <v>43606.560416666667</v>
      </c>
      <c r="C201" s="65" t="s">
        <v>239</v>
      </c>
      <c r="D201" s="112" t="s">
        <v>165</v>
      </c>
      <c r="E201" s="54">
        <v>28</v>
      </c>
      <c r="F201" s="14">
        <f>8+7+7+7+6.5</f>
        <v>35.5</v>
      </c>
      <c r="G201" s="40">
        <f t="shared" si="14"/>
        <v>3.5783999999999998</v>
      </c>
      <c r="H201" s="50"/>
      <c r="I201" s="60"/>
      <c r="J201" s="14"/>
      <c r="K201" s="41"/>
      <c r="L201" s="41"/>
    </row>
    <row r="202" spans="1:12" ht="15.75" customHeight="1" x14ac:dyDescent="0.25">
      <c r="A202" s="67">
        <v>295</v>
      </c>
      <c r="B202" s="68">
        <v>43606.893750000003</v>
      </c>
      <c r="C202" s="67" t="s">
        <v>239</v>
      </c>
      <c r="D202" s="113" t="s">
        <v>166</v>
      </c>
      <c r="E202" s="114">
        <v>15.3</v>
      </c>
      <c r="F202" s="57">
        <f>6+6+6+6.5</f>
        <v>24.5</v>
      </c>
      <c r="G202" s="58">
        <f t="shared" si="14"/>
        <v>1.3494600000000001</v>
      </c>
      <c r="H202" s="103">
        <f>SUM(G196:G202)/1000</f>
        <v>0.48748248000000011</v>
      </c>
      <c r="I202" s="60"/>
      <c r="J202" s="14"/>
      <c r="K202" s="41"/>
      <c r="L202" s="41"/>
    </row>
    <row r="203" spans="1:12" ht="15.75" customHeight="1" x14ac:dyDescent="0.25">
      <c r="A203" s="7">
        <v>296</v>
      </c>
      <c r="B203" s="26">
        <v>43607.227083333331</v>
      </c>
      <c r="C203" s="7" t="s">
        <v>247</v>
      </c>
      <c r="D203" s="20" t="s">
        <v>167</v>
      </c>
      <c r="E203" s="19">
        <v>46.4</v>
      </c>
      <c r="F203" s="14"/>
      <c r="G203" s="53" t="s">
        <v>118</v>
      </c>
      <c r="H203" s="52"/>
      <c r="I203" s="60" t="s">
        <v>296</v>
      </c>
      <c r="J203" s="14"/>
      <c r="K203" s="41"/>
      <c r="L203" s="41"/>
    </row>
    <row r="204" spans="1:12" ht="15.75" customHeight="1" x14ac:dyDescent="0.25">
      <c r="A204" s="62">
        <v>297</v>
      </c>
      <c r="B204" s="63">
        <v>43609.227083333331</v>
      </c>
      <c r="C204" s="62" t="s">
        <v>247</v>
      </c>
      <c r="D204" s="121" t="s">
        <v>168</v>
      </c>
      <c r="E204" s="111">
        <v>21.2</v>
      </c>
      <c r="F204" s="55">
        <f>5+5+5+4+35+36+9</f>
        <v>99</v>
      </c>
      <c r="G204" s="56">
        <f t="shared" si="14"/>
        <v>7.5556799999999997</v>
      </c>
      <c r="H204" s="80"/>
      <c r="I204" s="91"/>
      <c r="J204" s="16"/>
      <c r="K204" s="17"/>
      <c r="L204" s="41"/>
    </row>
    <row r="205" spans="1:12" ht="15.75" customHeight="1" x14ac:dyDescent="0.25">
      <c r="A205" s="67">
        <v>298</v>
      </c>
      <c r="B205" s="68">
        <v>43611.227083333331</v>
      </c>
      <c r="C205" s="67" t="s">
        <v>247</v>
      </c>
      <c r="D205" s="113" t="s">
        <v>169</v>
      </c>
      <c r="E205" s="114">
        <v>40.700000000000003</v>
      </c>
      <c r="F205" s="57">
        <f>18+27</f>
        <v>45</v>
      </c>
      <c r="G205" s="58">
        <f t="shared" si="14"/>
        <v>6.5933999999999999</v>
      </c>
      <c r="H205" s="103">
        <f>SUM(G204:G205)/1000</f>
        <v>1.414908E-2</v>
      </c>
      <c r="I205" s="91"/>
      <c r="J205" s="16"/>
      <c r="K205" s="17"/>
      <c r="L205" s="41"/>
    </row>
    <row r="206" spans="1:12" ht="15.75" customHeight="1" x14ac:dyDescent="0.25">
      <c r="A206" s="62">
        <v>299</v>
      </c>
      <c r="B206" s="63">
        <v>43613.227083333331</v>
      </c>
      <c r="C206" s="62" t="s">
        <v>247</v>
      </c>
      <c r="D206" s="121" t="s">
        <v>170</v>
      </c>
      <c r="E206" s="111">
        <v>123</v>
      </c>
      <c r="F206" s="55">
        <f>39+36+8</f>
        <v>83</v>
      </c>
      <c r="G206" s="56">
        <f t="shared" si="14"/>
        <v>36.752400000000002</v>
      </c>
      <c r="H206" s="97"/>
      <c r="I206" s="60" t="s">
        <v>297</v>
      </c>
      <c r="J206" s="14"/>
      <c r="K206" s="41"/>
      <c r="L206" s="41"/>
    </row>
    <row r="207" spans="1:12" ht="15.75" customHeight="1" x14ac:dyDescent="0.25">
      <c r="A207" s="65">
        <v>300</v>
      </c>
      <c r="B207" s="66">
        <v>43615.227083333331</v>
      </c>
      <c r="C207" s="65" t="s">
        <v>247</v>
      </c>
      <c r="D207" s="112" t="s">
        <v>171</v>
      </c>
      <c r="E207" s="54">
        <v>156</v>
      </c>
      <c r="F207" s="14">
        <f>10+10+19+20+17+12.5+11.5+10+10+9+8+8+7.5+7+7+6+6+6+6+6+5.5+5</f>
        <v>207</v>
      </c>
      <c r="G207" s="40">
        <f t="shared" si="14"/>
        <v>116.2512</v>
      </c>
      <c r="H207" s="52"/>
      <c r="I207" s="81" t="s">
        <v>298</v>
      </c>
      <c r="J207" s="14"/>
      <c r="K207" s="41"/>
      <c r="L207" s="41"/>
    </row>
    <row r="208" spans="1:12" ht="15.75" customHeight="1" x14ac:dyDescent="0.25">
      <c r="A208" s="67">
        <v>301</v>
      </c>
      <c r="B208" s="68">
        <v>43616.227083333331</v>
      </c>
      <c r="C208" s="67" t="s">
        <v>249</v>
      </c>
      <c r="D208" s="113" t="s">
        <v>172</v>
      </c>
      <c r="E208" s="114">
        <v>25.2</v>
      </c>
      <c r="F208" s="57">
        <v>52</v>
      </c>
      <c r="G208" s="58">
        <f t="shared" si="14"/>
        <v>4.7174399999999999</v>
      </c>
      <c r="H208" s="103">
        <f>SUM(G206:G208)/1000</f>
        <v>0.15772104000000001</v>
      </c>
      <c r="I208" s="60"/>
      <c r="J208" s="14"/>
      <c r="K208" s="41"/>
      <c r="L208" s="41"/>
    </row>
    <row r="209" spans="1:14" ht="15.75" customHeight="1" x14ac:dyDescent="0.25">
      <c r="A209" s="7">
        <v>302</v>
      </c>
      <c r="B209" s="26">
        <v>43616.369444444441</v>
      </c>
      <c r="C209" s="7" t="s">
        <v>242</v>
      </c>
      <c r="D209" s="7" t="s">
        <v>113</v>
      </c>
      <c r="E209" s="8">
        <v>33.200000000000003</v>
      </c>
      <c r="F209" s="52" t="s">
        <v>118</v>
      </c>
      <c r="G209" s="40"/>
      <c r="H209" s="52"/>
      <c r="I209" s="60" t="s">
        <v>253</v>
      </c>
      <c r="J209" s="14"/>
      <c r="K209" s="41"/>
      <c r="L209" s="41"/>
    </row>
    <row r="210" spans="1:14" ht="15.75" customHeight="1" x14ac:dyDescent="0.25">
      <c r="A210" s="62">
        <v>303</v>
      </c>
      <c r="B210" s="63">
        <v>43618.375694444447</v>
      </c>
      <c r="C210" s="62" t="s">
        <v>247</v>
      </c>
      <c r="D210" s="62" t="s">
        <v>114</v>
      </c>
      <c r="E210" s="93">
        <v>47.1</v>
      </c>
      <c r="F210" s="55">
        <f>27+42</f>
        <v>69</v>
      </c>
      <c r="G210" s="56">
        <f t="shared" si="14"/>
        <v>11.69964</v>
      </c>
      <c r="H210" s="80"/>
      <c r="I210" s="60"/>
      <c r="J210" s="14"/>
      <c r="K210" s="41"/>
      <c r="L210" s="41"/>
    </row>
    <row r="211" spans="1:14" ht="15.75" customHeight="1" x14ac:dyDescent="0.25">
      <c r="A211" s="65">
        <v>304</v>
      </c>
      <c r="B211" s="66">
        <v>43620.375694444447</v>
      </c>
      <c r="C211" s="65" t="s">
        <v>247</v>
      </c>
      <c r="D211" s="65" t="s">
        <v>115</v>
      </c>
      <c r="E211" s="87">
        <v>24.5</v>
      </c>
      <c r="F211" s="14">
        <v>40</v>
      </c>
      <c r="G211" s="40">
        <f t="shared" si="14"/>
        <v>3.528</v>
      </c>
      <c r="H211" s="52"/>
      <c r="I211" s="60"/>
      <c r="J211" s="14"/>
      <c r="K211" s="41"/>
      <c r="L211" s="41"/>
    </row>
    <row r="212" spans="1:14" ht="15.75" customHeight="1" x14ac:dyDescent="0.25">
      <c r="A212" s="67">
        <v>305</v>
      </c>
      <c r="B212" s="68">
        <v>43621.375694444447</v>
      </c>
      <c r="C212" s="67" t="s">
        <v>249</v>
      </c>
      <c r="D212" s="67" t="s">
        <v>116</v>
      </c>
      <c r="E212" s="94">
        <v>114</v>
      </c>
      <c r="F212" s="57">
        <v>17</v>
      </c>
      <c r="G212" s="58">
        <f t="shared" si="14"/>
        <v>6.9767999999999999</v>
      </c>
      <c r="H212" s="103">
        <f>SUM(G210:G212)/1000</f>
        <v>2.2204440000000002E-2</v>
      </c>
      <c r="I212" s="91"/>
      <c r="J212" s="16"/>
      <c r="K212" s="17"/>
      <c r="L212" s="21"/>
    </row>
    <row r="213" spans="1:14" ht="15.75" customHeight="1" x14ac:dyDescent="0.25">
      <c r="A213" s="62">
        <v>306</v>
      </c>
      <c r="B213" s="63">
        <v>43621.85833333333</v>
      </c>
      <c r="C213" s="62" t="s">
        <v>239</v>
      </c>
      <c r="D213" s="121" t="s">
        <v>173</v>
      </c>
      <c r="E213" s="111">
        <v>237</v>
      </c>
      <c r="F213" s="80" t="s">
        <v>118</v>
      </c>
      <c r="G213" s="102" t="s">
        <v>118</v>
      </c>
      <c r="H213" s="97"/>
      <c r="I213" s="60" t="s">
        <v>299</v>
      </c>
      <c r="J213" s="14"/>
      <c r="K213" s="41"/>
      <c r="L213" s="41"/>
    </row>
    <row r="214" spans="1:14" ht="15.75" customHeight="1" x14ac:dyDescent="0.25">
      <c r="A214" s="65">
        <v>307</v>
      </c>
      <c r="B214" s="66">
        <v>43621.875694444447</v>
      </c>
      <c r="C214" s="65" t="s">
        <v>250</v>
      </c>
      <c r="D214" s="112" t="s">
        <v>174</v>
      </c>
      <c r="E214" s="54">
        <v>1175</v>
      </c>
      <c r="F214" s="14">
        <v>75</v>
      </c>
      <c r="G214" s="40">
        <f t="shared" si="14"/>
        <v>317.25</v>
      </c>
      <c r="H214" s="52"/>
      <c r="I214" s="60"/>
      <c r="J214" s="14"/>
      <c r="K214" s="41"/>
      <c r="L214" s="41"/>
    </row>
    <row r="215" spans="1:14" s="5" customFormat="1" ht="15.75" customHeight="1" x14ac:dyDescent="0.25">
      <c r="A215" s="67"/>
      <c r="B215" s="68"/>
      <c r="C215" s="67"/>
      <c r="D215" s="113"/>
      <c r="E215" s="114"/>
      <c r="F215" s="57">
        <f>170+180+150+106+70+45+30+19+17+15+13+12+11</f>
        <v>838</v>
      </c>
      <c r="G215" s="58">
        <f>F215*3600*500/1000000</f>
        <v>1508.4</v>
      </c>
      <c r="H215" s="103">
        <f>(1.83+3)/2</f>
        <v>2.415</v>
      </c>
      <c r="I215" s="81" t="s">
        <v>324</v>
      </c>
      <c r="J215" s="14"/>
      <c r="K215" s="41"/>
      <c r="L215" s="41"/>
      <c r="N215" s="137"/>
    </row>
    <row r="216" spans="1:14" ht="15.75" customHeight="1" x14ac:dyDescent="0.25">
      <c r="A216" s="73">
        <v>308</v>
      </c>
      <c r="B216" s="72">
        <v>43626.371527777781</v>
      </c>
      <c r="C216" s="73" t="s">
        <v>242</v>
      </c>
      <c r="D216" s="127" t="s">
        <v>175</v>
      </c>
      <c r="E216" s="117">
        <v>17.3</v>
      </c>
      <c r="F216" s="75">
        <f>87+49+36+26</f>
        <v>198</v>
      </c>
      <c r="G216" s="61">
        <f t="shared" si="14"/>
        <v>12.331440000000001</v>
      </c>
      <c r="H216" s="103">
        <f>SUM(G216)/1000</f>
        <v>1.2331440000000001E-2</v>
      </c>
      <c r="I216" s="60"/>
      <c r="J216" s="14"/>
      <c r="K216" s="41"/>
      <c r="L216" s="41"/>
    </row>
    <row r="217" spans="1:14" ht="15.75" customHeight="1" x14ac:dyDescent="0.25">
      <c r="A217" s="62">
        <v>309</v>
      </c>
      <c r="B217" s="63">
        <v>43628.334027777775</v>
      </c>
      <c r="C217" s="62" t="s">
        <v>247</v>
      </c>
      <c r="D217" s="121" t="s">
        <v>176</v>
      </c>
      <c r="E217" s="111">
        <v>78.099999999999994</v>
      </c>
      <c r="F217" s="80" t="s">
        <v>118</v>
      </c>
      <c r="G217" s="102" t="s">
        <v>118</v>
      </c>
      <c r="H217" s="80"/>
      <c r="I217" s="60" t="s">
        <v>253</v>
      </c>
      <c r="J217" s="14"/>
      <c r="K217" s="41"/>
      <c r="L217" s="41"/>
    </row>
    <row r="218" spans="1:14" ht="15.75" customHeight="1" x14ac:dyDescent="0.25">
      <c r="A218" s="65">
        <v>310</v>
      </c>
      <c r="B218" s="66">
        <v>43627.084722222222</v>
      </c>
      <c r="C218" s="65" t="s">
        <v>239</v>
      </c>
      <c r="D218" s="112" t="s">
        <v>177</v>
      </c>
      <c r="E218" s="54">
        <v>121</v>
      </c>
      <c r="F218" s="14">
        <v>2</v>
      </c>
      <c r="G218" s="40">
        <f t="shared" si="14"/>
        <v>0.87119999999999997</v>
      </c>
      <c r="H218" s="52"/>
      <c r="I218" s="60"/>
      <c r="J218" s="14"/>
      <c r="K218" s="41"/>
      <c r="L218" s="41"/>
    </row>
    <row r="219" spans="1:14" ht="15.75" customHeight="1" x14ac:dyDescent="0.25">
      <c r="A219" s="65">
        <v>311</v>
      </c>
      <c r="B219" s="66">
        <v>43627.167361111111</v>
      </c>
      <c r="C219" s="65" t="s">
        <v>239</v>
      </c>
      <c r="D219" s="112" t="s">
        <v>178</v>
      </c>
      <c r="E219" s="54">
        <v>992</v>
      </c>
      <c r="F219" s="14">
        <v>23</v>
      </c>
      <c r="G219" s="40">
        <f t="shared" si="14"/>
        <v>82.137600000000006</v>
      </c>
      <c r="H219" s="52"/>
      <c r="I219" s="60"/>
      <c r="J219" s="14"/>
      <c r="K219" s="41"/>
      <c r="L219" s="41"/>
    </row>
    <row r="220" spans="1:14" ht="15.75" customHeight="1" x14ac:dyDescent="0.25">
      <c r="A220" s="65">
        <v>312</v>
      </c>
      <c r="B220" s="66">
        <v>43627.334027777775</v>
      </c>
      <c r="C220" s="65" t="s">
        <v>239</v>
      </c>
      <c r="D220" s="112" t="s">
        <v>179</v>
      </c>
      <c r="E220" s="54">
        <v>337</v>
      </c>
      <c r="F220" s="14">
        <f>45+18</f>
        <v>63</v>
      </c>
      <c r="G220" s="40">
        <f t="shared" si="14"/>
        <v>76.431600000000003</v>
      </c>
      <c r="H220" s="52"/>
      <c r="I220" s="60"/>
      <c r="J220" s="14"/>
      <c r="K220" s="41"/>
      <c r="L220" s="41"/>
    </row>
    <row r="221" spans="1:14" ht="15.75" customHeight="1" x14ac:dyDescent="0.25">
      <c r="A221" s="65">
        <v>313</v>
      </c>
      <c r="B221" s="66">
        <v>43627.500694444447</v>
      </c>
      <c r="C221" s="65" t="s">
        <v>239</v>
      </c>
      <c r="D221" s="112" t="s">
        <v>180</v>
      </c>
      <c r="E221" s="54">
        <v>94.7</v>
      </c>
      <c r="F221" s="14">
        <f>13+11</f>
        <v>24</v>
      </c>
      <c r="G221" s="40">
        <f t="shared" si="14"/>
        <v>8.1820799999999991</v>
      </c>
      <c r="H221" s="52"/>
      <c r="I221" s="60"/>
      <c r="J221" s="14"/>
      <c r="K221" s="41"/>
      <c r="L221" s="41"/>
    </row>
    <row r="222" spans="1:14" ht="15.75" customHeight="1" x14ac:dyDescent="0.25">
      <c r="A222" s="65">
        <v>314</v>
      </c>
      <c r="B222" s="66">
        <v>43627.667361111111</v>
      </c>
      <c r="C222" s="65" t="s">
        <v>239</v>
      </c>
      <c r="D222" s="112" t="s">
        <v>181</v>
      </c>
      <c r="E222" s="54">
        <v>40.6</v>
      </c>
      <c r="F222" s="14">
        <f>9.5+9</f>
        <v>18.5</v>
      </c>
      <c r="G222" s="40">
        <f t="shared" si="14"/>
        <v>2.7039599999999999</v>
      </c>
      <c r="H222" s="52"/>
      <c r="I222" s="91"/>
      <c r="J222" s="16"/>
      <c r="K222" s="25"/>
      <c r="L222" s="41"/>
    </row>
    <row r="223" spans="1:14" ht="15.75" customHeight="1" x14ac:dyDescent="0.25">
      <c r="A223" s="65">
        <v>315</v>
      </c>
      <c r="B223" s="66">
        <v>43627.834027777775</v>
      </c>
      <c r="C223" s="65" t="s">
        <v>239</v>
      </c>
      <c r="D223" s="112" t="s">
        <v>182</v>
      </c>
      <c r="E223" s="54">
        <v>25.9</v>
      </c>
      <c r="F223" s="14">
        <f>8+8</f>
        <v>16</v>
      </c>
      <c r="G223" s="40">
        <f t="shared" si="14"/>
        <v>1.4918400000000001</v>
      </c>
      <c r="H223" s="50"/>
      <c r="I223" s="60"/>
      <c r="J223" s="14"/>
      <c r="K223" s="41"/>
      <c r="L223" s="41"/>
    </row>
    <row r="224" spans="1:14" ht="15.75" customHeight="1" x14ac:dyDescent="0.25">
      <c r="A224" s="67">
        <v>316</v>
      </c>
      <c r="B224" s="68">
        <v>43628.334027777775</v>
      </c>
      <c r="C224" s="67" t="s">
        <v>239</v>
      </c>
      <c r="D224" s="113" t="s">
        <v>183</v>
      </c>
      <c r="E224" s="114">
        <v>17.5</v>
      </c>
      <c r="F224" s="57">
        <f>7+7+6+6+6+5.5</f>
        <v>37.5</v>
      </c>
      <c r="G224" s="58">
        <f t="shared" si="14"/>
        <v>2.3624999999999998</v>
      </c>
      <c r="H224" s="103">
        <f>SUM(G217:G224)/1000</f>
        <v>0.17418078000000001</v>
      </c>
      <c r="I224" s="60"/>
      <c r="J224" s="14"/>
      <c r="K224" s="41"/>
      <c r="L224" s="41"/>
    </row>
    <row r="225" spans="1:12" ht="15.75" customHeight="1" x14ac:dyDescent="0.25">
      <c r="A225" s="62">
        <v>317</v>
      </c>
      <c r="B225" s="63">
        <v>43628.834027777775</v>
      </c>
      <c r="C225" s="62" t="s">
        <v>239</v>
      </c>
      <c r="D225" s="121" t="s">
        <v>184</v>
      </c>
      <c r="E225" s="111">
        <v>20.399999999999999</v>
      </c>
      <c r="F225" s="55">
        <f>29.5</f>
        <v>29.5</v>
      </c>
      <c r="G225" s="56">
        <f t="shared" ref="G225:G255" si="15">F225*3600*E225/1000000</f>
        <v>2.16648</v>
      </c>
      <c r="H225" s="80"/>
      <c r="I225" s="60"/>
      <c r="J225" s="14"/>
      <c r="K225" s="41"/>
      <c r="L225" s="41"/>
    </row>
    <row r="226" spans="1:12" ht="15.75" customHeight="1" x14ac:dyDescent="0.25">
      <c r="A226" s="65">
        <v>318</v>
      </c>
      <c r="B226" s="66">
        <v>43630.334027777775</v>
      </c>
      <c r="C226" s="65" t="s">
        <v>247</v>
      </c>
      <c r="D226" s="112" t="s">
        <v>185</v>
      </c>
      <c r="E226" s="54">
        <v>37.1</v>
      </c>
      <c r="F226" s="52">
        <v>52</v>
      </c>
      <c r="G226" s="40">
        <f t="shared" si="15"/>
        <v>6.9451200000000002</v>
      </c>
      <c r="H226" s="52"/>
      <c r="I226" s="60"/>
      <c r="J226" s="14"/>
      <c r="K226" s="41"/>
      <c r="L226" s="41"/>
    </row>
    <row r="227" spans="1:12" ht="15.75" customHeight="1" x14ac:dyDescent="0.25">
      <c r="A227" s="65">
        <v>319</v>
      </c>
      <c r="B227" s="66">
        <v>43637.40625</v>
      </c>
      <c r="C227" s="65" t="s">
        <v>242</v>
      </c>
      <c r="D227" s="122" t="s">
        <v>186</v>
      </c>
      <c r="E227" s="54">
        <v>31.6</v>
      </c>
      <c r="F227" s="14"/>
      <c r="G227" s="53" t="s">
        <v>118</v>
      </c>
      <c r="H227" s="52"/>
      <c r="I227" s="60" t="s">
        <v>253</v>
      </c>
      <c r="J227" s="14"/>
      <c r="K227" s="41"/>
      <c r="L227" s="41"/>
    </row>
    <row r="228" spans="1:12" ht="15.75" customHeight="1" x14ac:dyDescent="0.25">
      <c r="A228" s="65">
        <v>320</v>
      </c>
      <c r="B228" s="66">
        <v>43632.489583333336</v>
      </c>
      <c r="C228" s="65" t="s">
        <v>247</v>
      </c>
      <c r="D228" s="112" t="s">
        <v>187</v>
      </c>
      <c r="E228" s="54">
        <v>23.5</v>
      </c>
      <c r="F228" s="14">
        <f>23+36</f>
        <v>59</v>
      </c>
      <c r="G228" s="40">
        <f t="shared" si="15"/>
        <v>4.9913999999999996</v>
      </c>
      <c r="H228" s="52"/>
      <c r="I228" s="60"/>
      <c r="J228" s="14"/>
      <c r="K228" s="41"/>
      <c r="L228" s="41"/>
    </row>
    <row r="229" spans="1:12" s="5" customFormat="1" ht="15.75" customHeight="1" x14ac:dyDescent="0.25">
      <c r="A229" s="65">
        <v>321</v>
      </c>
      <c r="B229" s="66">
        <v>43634.489583333336</v>
      </c>
      <c r="C229" s="65" t="s">
        <v>247</v>
      </c>
      <c r="D229" s="112" t="s">
        <v>188</v>
      </c>
      <c r="E229" s="54">
        <v>30.5</v>
      </c>
      <c r="F229" s="14">
        <v>40</v>
      </c>
      <c r="G229" s="40">
        <f t="shared" si="15"/>
        <v>4.3920000000000003</v>
      </c>
      <c r="H229" s="52"/>
      <c r="I229" s="60"/>
      <c r="J229" s="14"/>
      <c r="K229" s="21"/>
      <c r="L229" s="41"/>
    </row>
    <row r="230" spans="1:12" ht="15.75" customHeight="1" x14ac:dyDescent="0.25">
      <c r="A230" s="67">
        <v>322</v>
      </c>
      <c r="B230" s="68">
        <v>43636.489583333336</v>
      </c>
      <c r="C230" s="67" t="s">
        <v>247</v>
      </c>
      <c r="D230" s="113" t="s">
        <v>189</v>
      </c>
      <c r="E230" s="114">
        <v>8</v>
      </c>
      <c r="F230" s="57">
        <v>32</v>
      </c>
      <c r="G230" s="58">
        <f>F230*3600*30/1000000</f>
        <v>3.456</v>
      </c>
      <c r="H230" s="103">
        <f>SUM(G225:G230)/1000</f>
        <v>2.1950999999999998E-2</v>
      </c>
      <c r="I230" s="60" t="s">
        <v>323</v>
      </c>
      <c r="J230" s="14"/>
      <c r="K230" s="41"/>
      <c r="L230" s="41"/>
    </row>
    <row r="231" spans="1:12" ht="15.75" customHeight="1" x14ac:dyDescent="0.25">
      <c r="A231" s="7">
        <v>323</v>
      </c>
      <c r="B231" s="26">
        <v>43636.499305555553</v>
      </c>
      <c r="C231" s="7" t="s">
        <v>239</v>
      </c>
      <c r="D231" s="20" t="s">
        <v>190</v>
      </c>
      <c r="E231" s="19">
        <v>315</v>
      </c>
      <c r="F231" s="14"/>
      <c r="G231" s="40">
        <f t="shared" si="15"/>
        <v>0</v>
      </c>
      <c r="H231" s="50">
        <f>H215</f>
        <v>2.415</v>
      </c>
      <c r="I231" s="81" t="s">
        <v>333</v>
      </c>
      <c r="J231" s="14"/>
      <c r="K231" s="41"/>
      <c r="L231" s="41"/>
    </row>
    <row r="232" spans="1:12" ht="15.75" customHeight="1" x14ac:dyDescent="0.25">
      <c r="A232" s="7">
        <v>324</v>
      </c>
      <c r="B232" s="26">
        <v>43637.400694444441</v>
      </c>
      <c r="C232" s="7" t="s">
        <v>239</v>
      </c>
      <c r="D232" s="20" t="s">
        <v>191</v>
      </c>
      <c r="E232" s="19">
        <v>35.9</v>
      </c>
      <c r="F232" s="14"/>
      <c r="G232" s="53" t="s">
        <v>118</v>
      </c>
      <c r="H232" s="52"/>
      <c r="I232" s="60"/>
      <c r="J232" s="60" t="s">
        <v>331</v>
      </c>
      <c r="K232" s="41"/>
      <c r="L232" s="41"/>
    </row>
    <row r="233" spans="1:12" ht="15.75" customHeight="1" x14ac:dyDescent="0.25">
      <c r="A233" s="7">
        <v>325</v>
      </c>
      <c r="B233" s="63">
        <v>43637.409722222219</v>
      </c>
      <c r="C233" s="62" t="s">
        <v>242</v>
      </c>
      <c r="D233" s="110" t="s">
        <v>192</v>
      </c>
      <c r="E233" s="111">
        <v>30.9</v>
      </c>
      <c r="F233" s="55"/>
      <c r="G233" s="102" t="s">
        <v>118</v>
      </c>
      <c r="H233" s="80"/>
      <c r="I233" s="60" t="s">
        <v>253</v>
      </c>
      <c r="J233" s="60" t="s">
        <v>332</v>
      </c>
      <c r="K233" s="41"/>
      <c r="L233" s="41"/>
    </row>
    <row r="234" spans="1:12" ht="15.75" customHeight="1" x14ac:dyDescent="0.25">
      <c r="A234" s="7">
        <v>326</v>
      </c>
      <c r="B234" s="66">
        <v>43640.576388888891</v>
      </c>
      <c r="C234" s="65" t="s">
        <v>242</v>
      </c>
      <c r="D234" s="112" t="s">
        <v>193</v>
      </c>
      <c r="E234" s="54">
        <v>18.100000000000001</v>
      </c>
      <c r="F234" s="14">
        <v>50</v>
      </c>
      <c r="G234" s="40">
        <f t="shared" si="15"/>
        <v>3.2580000000000005</v>
      </c>
      <c r="H234" s="52"/>
      <c r="I234" s="60"/>
      <c r="J234" s="14"/>
      <c r="K234" s="41"/>
      <c r="L234" s="41"/>
    </row>
    <row r="235" spans="1:12" ht="15.75" customHeight="1" x14ac:dyDescent="0.25">
      <c r="A235" s="7">
        <v>327</v>
      </c>
      <c r="B235" s="66">
        <v>43642.616666666669</v>
      </c>
      <c r="C235" s="65" t="s">
        <v>247</v>
      </c>
      <c r="D235" s="65" t="s">
        <v>300</v>
      </c>
      <c r="E235" s="87">
        <v>15.8</v>
      </c>
      <c r="F235" s="14">
        <v>27</v>
      </c>
      <c r="G235" s="40">
        <f t="shared" si="15"/>
        <v>1.53576</v>
      </c>
      <c r="H235" s="52"/>
      <c r="I235" s="60"/>
      <c r="J235" s="14"/>
      <c r="K235" s="41"/>
      <c r="L235" s="41"/>
    </row>
    <row r="236" spans="1:12" ht="15.75" customHeight="1" x14ac:dyDescent="0.25">
      <c r="A236" s="7">
        <v>328</v>
      </c>
      <c r="B236" s="68">
        <v>43644.283333333333</v>
      </c>
      <c r="C236" s="67" t="s">
        <v>248</v>
      </c>
      <c r="D236" s="67" t="s">
        <v>301</v>
      </c>
      <c r="E236" s="94">
        <v>10.7</v>
      </c>
      <c r="F236" s="95">
        <f>21+20</f>
        <v>41</v>
      </c>
      <c r="G236" s="58">
        <f t="shared" si="15"/>
        <v>1.5793200000000001</v>
      </c>
      <c r="H236" s="103">
        <f>SUM(G233:G236)/1000</f>
        <v>6.3730800000000006E-3</v>
      </c>
      <c r="J236" s="6"/>
    </row>
    <row r="237" spans="1:12" ht="15.75" customHeight="1" x14ac:dyDescent="0.25">
      <c r="A237" s="7">
        <v>329</v>
      </c>
      <c r="B237" s="63">
        <v>43646.258333333331</v>
      </c>
      <c r="C237" s="62" t="s">
        <v>247</v>
      </c>
      <c r="D237" s="62" t="s">
        <v>302</v>
      </c>
      <c r="E237" s="93">
        <v>370</v>
      </c>
      <c r="F237" s="55"/>
      <c r="G237" s="102" t="s">
        <v>118</v>
      </c>
      <c r="H237" s="106"/>
      <c r="I237" s="70" t="s">
        <v>253</v>
      </c>
    </row>
    <row r="238" spans="1:12" ht="15.75" customHeight="1" x14ac:dyDescent="0.25">
      <c r="A238" s="7">
        <v>330</v>
      </c>
      <c r="B238" s="66">
        <v>43645.907638888886</v>
      </c>
      <c r="C238" s="65" t="s">
        <v>239</v>
      </c>
      <c r="D238" s="65" t="s">
        <v>303</v>
      </c>
      <c r="E238" s="87">
        <v>188</v>
      </c>
      <c r="F238" s="14"/>
      <c r="G238" s="53" t="s">
        <v>118</v>
      </c>
      <c r="H238" s="21"/>
      <c r="I238" s="70" t="s">
        <v>325</v>
      </c>
    </row>
    <row r="239" spans="1:12" ht="15" customHeight="1" x14ac:dyDescent="0.25">
      <c r="A239" s="7">
        <v>331</v>
      </c>
      <c r="B239" s="66">
        <v>43645.92083333333</v>
      </c>
      <c r="C239" s="65" t="s">
        <v>239</v>
      </c>
      <c r="D239" s="65" t="s">
        <v>304</v>
      </c>
      <c r="E239" s="87">
        <v>866</v>
      </c>
      <c r="F239" s="138">
        <v>1</v>
      </c>
      <c r="G239" s="40">
        <f>F239*3600*(E238+E239)/2/1000000</f>
        <v>1.8972</v>
      </c>
      <c r="H239" s="21"/>
    </row>
    <row r="240" spans="1:12" ht="15" customHeight="1" x14ac:dyDescent="0.25">
      <c r="A240" s="7">
        <v>332</v>
      </c>
      <c r="B240" s="66">
        <v>43645.966666666667</v>
      </c>
      <c r="C240" s="65" t="s">
        <v>239</v>
      </c>
      <c r="D240" s="65" t="s">
        <v>305</v>
      </c>
      <c r="E240" s="87">
        <v>794</v>
      </c>
      <c r="F240" s="14">
        <v>13</v>
      </c>
      <c r="G240" s="40">
        <f t="shared" si="15"/>
        <v>37.159199999999998</v>
      </c>
      <c r="H240" s="21"/>
    </row>
    <row r="241" spans="1:10" ht="15" customHeight="1" x14ac:dyDescent="0.25">
      <c r="A241" s="7">
        <v>333</v>
      </c>
      <c r="B241" s="66">
        <v>43646.091666666667</v>
      </c>
      <c r="C241" s="65" t="s">
        <v>239</v>
      </c>
      <c r="D241" s="65" t="s">
        <v>306</v>
      </c>
      <c r="E241" s="87">
        <v>240</v>
      </c>
      <c r="F241" s="14">
        <v>6.5</v>
      </c>
      <c r="G241" s="40">
        <f t="shared" si="15"/>
        <v>5.6159999999999997</v>
      </c>
      <c r="H241" s="21"/>
    </row>
    <row r="242" spans="1:10" ht="15" customHeight="1" x14ac:dyDescent="0.25">
      <c r="A242" s="7">
        <v>334</v>
      </c>
      <c r="B242" s="66">
        <v>43646.216666666667</v>
      </c>
      <c r="C242" s="65" t="s">
        <v>239</v>
      </c>
      <c r="D242" s="65" t="s">
        <v>307</v>
      </c>
      <c r="E242" s="87">
        <v>84.5</v>
      </c>
      <c r="F242" s="14">
        <v>4.5</v>
      </c>
      <c r="G242" s="40">
        <f t="shared" si="15"/>
        <v>1.3689</v>
      </c>
      <c r="H242" s="21"/>
    </row>
    <row r="243" spans="1:10" ht="15" customHeight="1" x14ac:dyDescent="0.25">
      <c r="A243" s="7">
        <v>335</v>
      </c>
      <c r="B243" s="66">
        <v>43646.275000000001</v>
      </c>
      <c r="C243" s="65" t="s">
        <v>239</v>
      </c>
      <c r="D243" s="65" t="s">
        <v>308</v>
      </c>
      <c r="E243" s="87">
        <v>63.1</v>
      </c>
      <c r="F243" s="14"/>
      <c r="G243" s="53" t="s">
        <v>118</v>
      </c>
      <c r="H243" s="52"/>
      <c r="I243" s="70" t="s">
        <v>326</v>
      </c>
      <c r="J243" s="6"/>
    </row>
    <row r="244" spans="1:10" ht="15" customHeight="1" x14ac:dyDescent="0.25">
      <c r="A244" s="7">
        <v>336</v>
      </c>
      <c r="B244" s="66">
        <v>43646.294444444444</v>
      </c>
      <c r="C244" s="65" t="s">
        <v>239</v>
      </c>
      <c r="D244" s="65" t="s">
        <v>309</v>
      </c>
      <c r="E244" s="87">
        <v>63.9</v>
      </c>
      <c r="F244" s="14"/>
      <c r="G244" s="53" t="s">
        <v>118</v>
      </c>
      <c r="H244" s="52"/>
      <c r="I244" s="70" t="s">
        <v>326</v>
      </c>
      <c r="J244" s="6"/>
    </row>
    <row r="245" spans="1:10" ht="15" customHeight="1" x14ac:dyDescent="0.25">
      <c r="A245" s="7">
        <v>337</v>
      </c>
      <c r="B245" s="68">
        <v>43648.258333333331</v>
      </c>
      <c r="C245" s="67" t="s">
        <v>247</v>
      </c>
      <c r="D245" s="67" t="s">
        <v>310</v>
      </c>
      <c r="E245" s="94">
        <v>30.7</v>
      </c>
      <c r="F245" s="57">
        <f>58+58</f>
        <v>116</v>
      </c>
      <c r="G245" s="58">
        <f t="shared" si="15"/>
        <v>12.820320000000001</v>
      </c>
      <c r="H245" s="103">
        <f>SUM(G237:G245)/1000</f>
        <v>5.8861619999999996E-2</v>
      </c>
      <c r="I245" s="70" t="s">
        <v>327</v>
      </c>
      <c r="J245" s="6"/>
    </row>
    <row r="246" spans="1:10" ht="15" customHeight="1" x14ac:dyDescent="0.25">
      <c r="A246" s="7">
        <v>338</v>
      </c>
      <c r="B246" s="63">
        <v>43656.46875</v>
      </c>
      <c r="C246" s="62" t="s">
        <v>242</v>
      </c>
      <c r="D246" s="62" t="s">
        <v>311</v>
      </c>
      <c r="E246" s="93">
        <v>34.9</v>
      </c>
      <c r="F246" s="55">
        <v>45</v>
      </c>
      <c r="G246" s="56">
        <f t="shared" si="15"/>
        <v>5.6538000000000004</v>
      </c>
      <c r="H246" s="80"/>
      <c r="J246" s="6"/>
    </row>
    <row r="247" spans="1:10" ht="15" customHeight="1" x14ac:dyDescent="0.25">
      <c r="A247" s="7">
        <v>339</v>
      </c>
      <c r="B247" s="66">
        <v>43653.252083333333</v>
      </c>
      <c r="C247" s="65" t="s">
        <v>247</v>
      </c>
      <c r="D247" s="65" t="s">
        <v>312</v>
      </c>
      <c r="E247" s="87">
        <v>14.6</v>
      </c>
      <c r="F247" s="14"/>
      <c r="G247" s="53" t="s">
        <v>118</v>
      </c>
      <c r="H247" s="52"/>
      <c r="I247" s="70" t="s">
        <v>329</v>
      </c>
      <c r="J247" s="6"/>
    </row>
    <row r="248" spans="1:10" ht="15" customHeight="1" x14ac:dyDescent="0.25">
      <c r="A248" s="7">
        <v>340</v>
      </c>
      <c r="B248" s="66">
        <v>43652.710416666669</v>
      </c>
      <c r="C248" s="65" t="s">
        <v>239</v>
      </c>
      <c r="D248" s="65" t="s">
        <v>313</v>
      </c>
      <c r="E248" s="87">
        <v>596</v>
      </c>
      <c r="F248" s="14">
        <v>18</v>
      </c>
      <c r="G248" s="40">
        <f t="shared" si="15"/>
        <v>38.620800000000003</v>
      </c>
      <c r="H248" s="52"/>
      <c r="I248" s="70" t="s">
        <v>330</v>
      </c>
      <c r="J248" s="6"/>
    </row>
    <row r="249" spans="1:10" ht="15" customHeight="1" x14ac:dyDescent="0.25">
      <c r="A249" s="7">
        <v>341</v>
      </c>
      <c r="B249" s="66">
        <v>43652.88958333333</v>
      </c>
      <c r="C249" s="65" t="s">
        <v>239</v>
      </c>
      <c r="D249" s="65" t="s">
        <v>314</v>
      </c>
      <c r="E249" s="87">
        <v>40.4</v>
      </c>
      <c r="F249" s="14"/>
      <c r="G249" s="53" t="s">
        <v>118</v>
      </c>
      <c r="H249" s="52"/>
      <c r="I249" s="70" t="s">
        <v>328</v>
      </c>
      <c r="J249" s="6"/>
    </row>
    <row r="250" spans="1:10" ht="15" customHeight="1" x14ac:dyDescent="0.25">
      <c r="A250" s="7">
        <v>342</v>
      </c>
      <c r="B250" s="66">
        <v>43652.884027777778</v>
      </c>
      <c r="C250" s="65" t="s">
        <v>239</v>
      </c>
      <c r="D250" s="65" t="s">
        <v>315</v>
      </c>
      <c r="E250" s="87">
        <v>73.5</v>
      </c>
      <c r="F250" s="14">
        <v>3.5</v>
      </c>
      <c r="G250" s="40">
        <f t="shared" si="15"/>
        <v>0.92610000000000003</v>
      </c>
      <c r="H250" s="52"/>
    </row>
    <row r="251" spans="1:10" ht="15" customHeight="1" x14ac:dyDescent="0.25">
      <c r="A251" s="7">
        <v>343</v>
      </c>
      <c r="B251" s="66">
        <v>43658.151388888888</v>
      </c>
      <c r="C251" s="65" t="s">
        <v>247</v>
      </c>
      <c r="D251" s="65" t="s">
        <v>316</v>
      </c>
      <c r="E251" s="87">
        <v>30.1</v>
      </c>
      <c r="F251" s="52">
        <v>8</v>
      </c>
      <c r="G251" s="40">
        <f t="shared" si="15"/>
        <v>0.86687999999999998</v>
      </c>
      <c r="H251" s="21"/>
    </row>
    <row r="252" spans="1:10" ht="15" customHeight="1" x14ac:dyDescent="0.25">
      <c r="A252" s="7">
        <v>344</v>
      </c>
      <c r="B252" s="66">
        <v>43660.151388888888</v>
      </c>
      <c r="C252" s="65" t="s">
        <v>247</v>
      </c>
      <c r="D252" s="65" t="s">
        <v>317</v>
      </c>
      <c r="E252" s="87">
        <v>11.4</v>
      </c>
      <c r="F252" s="14">
        <v>10</v>
      </c>
      <c r="G252" s="40">
        <f t="shared" si="15"/>
        <v>0.41039999999999999</v>
      </c>
      <c r="H252" s="21"/>
    </row>
    <row r="253" spans="1:10" ht="15" customHeight="1" x14ac:dyDescent="0.25">
      <c r="A253" s="7">
        <v>345</v>
      </c>
      <c r="B253" s="66">
        <v>43662.151388888888</v>
      </c>
      <c r="C253" s="65" t="s">
        <v>247</v>
      </c>
      <c r="D253" s="65" t="s">
        <v>318</v>
      </c>
      <c r="E253" s="87">
        <v>12.3</v>
      </c>
      <c r="F253" s="14">
        <v>8</v>
      </c>
      <c r="G253" s="40">
        <f t="shared" si="15"/>
        <v>0.35424</v>
      </c>
      <c r="H253" s="21"/>
    </row>
    <row r="254" spans="1:10" ht="15" customHeight="1" x14ac:dyDescent="0.25">
      <c r="A254" s="7">
        <v>346</v>
      </c>
      <c r="B254" s="66">
        <v>43664.151388888888</v>
      </c>
      <c r="C254" s="65" t="s">
        <v>247</v>
      </c>
      <c r="D254" s="139" t="s">
        <v>319</v>
      </c>
      <c r="E254" s="87">
        <v>22</v>
      </c>
      <c r="F254" s="14">
        <v>6</v>
      </c>
      <c r="G254" s="40">
        <f t="shared" si="15"/>
        <v>0.47520000000000001</v>
      </c>
      <c r="H254" s="21"/>
    </row>
    <row r="255" spans="1:10" ht="15" customHeight="1" x14ac:dyDescent="0.25">
      <c r="A255" s="7">
        <v>347</v>
      </c>
      <c r="B255" s="68">
        <v>43667.147222222222</v>
      </c>
      <c r="C255" s="67" t="s">
        <v>247</v>
      </c>
      <c r="D255" s="140" t="s">
        <v>320</v>
      </c>
      <c r="E255" s="94">
        <v>24.7</v>
      </c>
      <c r="F255" s="57">
        <v>4</v>
      </c>
      <c r="G255" s="58">
        <f t="shared" si="15"/>
        <v>0.35568</v>
      </c>
      <c r="H255" s="103">
        <f>SUM(G246:G255)/1000</f>
        <v>4.7663100000000007E-2</v>
      </c>
    </row>
    <row r="256" spans="1:10" ht="15" customHeight="1" x14ac:dyDescent="0.25">
      <c r="A256" s="7"/>
      <c r="B256" s="26"/>
    </row>
    <row r="257" spans="1:15" s="101" customFormat="1" ht="15" customHeight="1" x14ac:dyDescent="0.25">
      <c r="A257" s="128"/>
      <c r="B257" s="129"/>
      <c r="E257" s="98"/>
      <c r="F257" s="98"/>
      <c r="G257" s="98"/>
      <c r="H257" s="98"/>
      <c r="I257" s="130"/>
      <c r="J257" s="131"/>
      <c r="L257" s="132">
        <f>35*0.404686</f>
        <v>14.164009999999999</v>
      </c>
      <c r="M257" s="133" t="s">
        <v>83</v>
      </c>
      <c r="N257" s="146">
        <f>H258/L257</f>
        <v>1.2154350051552083</v>
      </c>
      <c r="O257" s="101" t="s">
        <v>335</v>
      </c>
    </row>
    <row r="258" spans="1:15" s="101" customFormat="1" ht="15" customHeight="1" x14ac:dyDescent="0.25">
      <c r="A258" s="128"/>
      <c r="B258" s="129"/>
      <c r="E258" s="98"/>
      <c r="F258" s="134">
        <f>SUM(F2:F257)</f>
        <v>15740.184210526317</v>
      </c>
      <c r="G258" s="98" t="s">
        <v>322</v>
      </c>
      <c r="H258" s="99">
        <f>SUM(H2:H257)</f>
        <v>17.215433567368422</v>
      </c>
      <c r="I258" s="130" t="s">
        <v>289</v>
      </c>
      <c r="J258" s="131"/>
      <c r="L258" s="133">
        <v>35</v>
      </c>
      <c r="M258" s="133" t="s">
        <v>85</v>
      </c>
      <c r="N258" s="132">
        <f>H259/L258</f>
        <v>1.0834130627670497</v>
      </c>
      <c r="O258" s="101" t="s">
        <v>321</v>
      </c>
    </row>
    <row r="259" spans="1:15" s="101" customFormat="1" ht="15" customHeight="1" x14ac:dyDescent="0.25">
      <c r="E259" s="98"/>
      <c r="F259" s="98"/>
      <c r="G259" s="98"/>
      <c r="H259" s="100">
        <f>H258/0.454</f>
        <v>37.919457196846743</v>
      </c>
      <c r="I259" s="130" t="s">
        <v>84</v>
      </c>
      <c r="J259" s="98"/>
    </row>
    <row r="260" spans="1:15" s="101" customFormat="1" ht="15.75" customHeight="1" x14ac:dyDescent="0.25">
      <c r="E260" s="98"/>
      <c r="G260" s="98"/>
      <c r="H260" s="98"/>
      <c r="I260" s="135"/>
      <c r="J260" s="98"/>
    </row>
    <row r="261" spans="1:15" s="101" customFormat="1" ht="15.75" customHeight="1" x14ac:dyDescent="0.25">
      <c r="E261" s="98"/>
      <c r="F261" s="136">
        <f>F258*3600/1000</f>
        <v>56664.663157894734</v>
      </c>
      <c r="G261" s="98" t="s">
        <v>290</v>
      </c>
      <c r="H261" s="98"/>
      <c r="I261" s="135"/>
      <c r="J261" s="98"/>
    </row>
    <row r="262" spans="1:15" ht="15.75" customHeight="1" x14ac:dyDescent="0.25">
      <c r="F262" s="24"/>
      <c r="G262" s="15"/>
      <c r="H262" s="15"/>
      <c r="J262" s="6"/>
    </row>
    <row r="263" spans="1:15" ht="15.75" customHeight="1" x14ac:dyDescent="0.25"/>
    <row r="264" spans="1:15" ht="15.75" customHeight="1" x14ac:dyDescent="0.25"/>
    <row r="265" spans="1:15" ht="15.75" customHeight="1" x14ac:dyDescent="0.25"/>
    <row r="266" spans="1:15" ht="15.75" customHeight="1" x14ac:dyDescent="0.25"/>
    <row r="267" spans="1:15" ht="15.75" customHeight="1" x14ac:dyDescent="0.25"/>
    <row r="268" spans="1:15" ht="15.75" customHeight="1" x14ac:dyDescent="0.25"/>
    <row r="269" spans="1:15" ht="15.75" customHeight="1" x14ac:dyDescent="0.25">
      <c r="D269" s="2"/>
    </row>
    <row r="270" spans="1:15" ht="15.75" customHeight="1" x14ac:dyDescent="0.25">
      <c r="D270" s="2"/>
    </row>
    <row r="271" spans="1:15" ht="15.75" customHeight="1" x14ac:dyDescent="0.25">
      <c r="D271" s="2"/>
    </row>
    <row r="272" spans="1:15" ht="15.75" customHeight="1" x14ac:dyDescent="0.25">
      <c r="D272" s="2"/>
    </row>
    <row r="273" spans="4:4" ht="15.75" customHeight="1" x14ac:dyDescent="0.25">
      <c r="D273" s="2"/>
    </row>
    <row r="274" spans="4:4" ht="15.75" customHeight="1" x14ac:dyDescent="0.25">
      <c r="D274" s="2"/>
    </row>
    <row r="275" spans="4:4" ht="15.75" customHeight="1" x14ac:dyDescent="0.25">
      <c r="D275" s="2"/>
    </row>
    <row r="276" spans="4:4" ht="15.75" customHeight="1" x14ac:dyDescent="0.25">
      <c r="D276" s="2"/>
    </row>
    <row r="277" spans="4:4" ht="15.75" customHeight="1" x14ac:dyDescent="0.25">
      <c r="D277" s="2"/>
    </row>
    <row r="278" spans="4:4" ht="15.75" customHeight="1" x14ac:dyDescent="0.25">
      <c r="D278" s="2"/>
    </row>
    <row r="279" spans="4:4" ht="15.75" customHeight="1" x14ac:dyDescent="0.25">
      <c r="D279" s="2"/>
    </row>
    <row r="280" spans="4:4" ht="15.75" customHeight="1" x14ac:dyDescent="0.25">
      <c r="D280" s="2"/>
    </row>
    <row r="281" spans="4:4" ht="15.75" customHeight="1" x14ac:dyDescent="0.25">
      <c r="D281" s="2"/>
    </row>
    <row r="282" spans="4:4" ht="15.75" customHeight="1" x14ac:dyDescent="0.25">
      <c r="D282" s="2"/>
    </row>
    <row r="283" spans="4:4" ht="15.75" customHeight="1" x14ac:dyDescent="0.25">
      <c r="D283" s="2"/>
    </row>
    <row r="284" spans="4:4" ht="15.75" customHeight="1" x14ac:dyDescent="0.25">
      <c r="D284" s="2"/>
    </row>
    <row r="285" spans="4:4" ht="15.75" customHeight="1" x14ac:dyDescent="0.25">
      <c r="D285" s="2"/>
    </row>
    <row r="286" spans="4:4" ht="15.75" customHeight="1" x14ac:dyDescent="0.25">
      <c r="D286" s="2"/>
    </row>
    <row r="287" spans="4:4" ht="15.75" customHeight="1" x14ac:dyDescent="0.25">
      <c r="D287" s="2"/>
    </row>
    <row r="288" spans="4:4" ht="15.75" customHeight="1" x14ac:dyDescent="0.25">
      <c r="D288" s="2"/>
    </row>
    <row r="289" spans="4:4" ht="15.75" customHeight="1" x14ac:dyDescent="0.25">
      <c r="D289" s="2"/>
    </row>
    <row r="290" spans="4:4" ht="15.75" customHeight="1" x14ac:dyDescent="0.25">
      <c r="D290" s="2"/>
    </row>
    <row r="291" spans="4:4" ht="15.75" customHeight="1" x14ac:dyDescent="0.25">
      <c r="D291" s="2"/>
    </row>
    <row r="292" spans="4:4" ht="15.75" customHeight="1" x14ac:dyDescent="0.25">
      <c r="D292" s="2"/>
    </row>
    <row r="293" spans="4:4" ht="15.75" customHeight="1" x14ac:dyDescent="0.25">
      <c r="D293" s="2"/>
    </row>
    <row r="294" spans="4:4" ht="15.75" customHeight="1" x14ac:dyDescent="0.25">
      <c r="D294" s="2"/>
    </row>
    <row r="295" spans="4:4" ht="15.75" customHeight="1" x14ac:dyDescent="0.25">
      <c r="D295" s="2"/>
    </row>
    <row r="296" spans="4:4" ht="15.75" customHeight="1" x14ac:dyDescent="0.25">
      <c r="D296" s="2"/>
    </row>
    <row r="297" spans="4:4" ht="15.75" customHeight="1" x14ac:dyDescent="0.25">
      <c r="D297" s="2"/>
    </row>
    <row r="298" spans="4:4" ht="15.75" customHeight="1" x14ac:dyDescent="0.25">
      <c r="D298" s="2"/>
    </row>
    <row r="299" spans="4:4" ht="15.75" customHeight="1" x14ac:dyDescent="0.25">
      <c r="D299" s="2"/>
    </row>
    <row r="300" spans="4:4" ht="15.75" customHeight="1" x14ac:dyDescent="0.25">
      <c r="D300" s="2"/>
    </row>
    <row r="301" spans="4:4" ht="15.75" customHeight="1" x14ac:dyDescent="0.25">
      <c r="D301" s="2"/>
    </row>
    <row r="302" spans="4:4" ht="15.75" customHeight="1" x14ac:dyDescent="0.25">
      <c r="D302" s="2"/>
    </row>
    <row r="303" spans="4:4" ht="15.75" customHeight="1" x14ac:dyDescent="0.25">
      <c r="D303" s="2"/>
    </row>
    <row r="304" spans="4:4" ht="15.75" customHeight="1" x14ac:dyDescent="0.25">
      <c r="D304" s="2"/>
    </row>
    <row r="305" spans="4:4" ht="15.75" customHeight="1" x14ac:dyDescent="0.25">
      <c r="D305" s="2"/>
    </row>
    <row r="306" spans="4:4" ht="15.75" customHeight="1" x14ac:dyDescent="0.25">
      <c r="D306" s="2"/>
    </row>
    <row r="307" spans="4:4" ht="15.75" customHeight="1" x14ac:dyDescent="0.25">
      <c r="D307" s="2"/>
    </row>
    <row r="308" spans="4:4" ht="15.75" customHeight="1" x14ac:dyDescent="0.25">
      <c r="D308" s="2"/>
    </row>
    <row r="309" spans="4:4" ht="15.75" customHeight="1" x14ac:dyDescent="0.25">
      <c r="D309" s="2"/>
    </row>
    <row r="310" spans="4:4" ht="15.75" customHeight="1" x14ac:dyDescent="0.25">
      <c r="D310" s="2"/>
    </row>
    <row r="311" spans="4:4" ht="15.75" customHeight="1" x14ac:dyDescent="0.25">
      <c r="D311" s="2"/>
    </row>
    <row r="312" spans="4:4" ht="15.75" customHeight="1" x14ac:dyDescent="0.25">
      <c r="D312" s="2"/>
    </row>
    <row r="313" spans="4:4" ht="15.75" customHeight="1" x14ac:dyDescent="0.25">
      <c r="D313" s="2"/>
    </row>
    <row r="314" spans="4:4" ht="15.75" customHeight="1" x14ac:dyDescent="0.25">
      <c r="D314" s="2"/>
    </row>
    <row r="315" spans="4:4" ht="15.75" customHeight="1" x14ac:dyDescent="0.25">
      <c r="D315" s="2"/>
    </row>
    <row r="316" spans="4:4" ht="15.75" customHeight="1" x14ac:dyDescent="0.25">
      <c r="D316" s="2"/>
    </row>
    <row r="317" spans="4:4" ht="15.75" customHeight="1" x14ac:dyDescent="0.25">
      <c r="D317" s="2"/>
    </row>
    <row r="318" spans="4:4" ht="15.75" customHeight="1" x14ac:dyDescent="0.25">
      <c r="D318" s="2"/>
    </row>
    <row r="319" spans="4:4" ht="15.75" customHeight="1" x14ac:dyDescent="0.25">
      <c r="D319" s="2"/>
    </row>
    <row r="320" spans="4:4" ht="15.75" customHeight="1" x14ac:dyDescent="0.25">
      <c r="D320" s="2"/>
    </row>
    <row r="321" spans="4:4" ht="15.75" customHeight="1" x14ac:dyDescent="0.25">
      <c r="D321" s="2"/>
    </row>
    <row r="322" spans="4:4" ht="15.75" customHeight="1" x14ac:dyDescent="0.25">
      <c r="D322" s="2"/>
    </row>
    <row r="323" spans="4:4" ht="15.75" customHeight="1" x14ac:dyDescent="0.25">
      <c r="D323" s="2"/>
    </row>
    <row r="324" spans="4:4" ht="15.75" customHeight="1" x14ac:dyDescent="0.25">
      <c r="D324" s="2"/>
    </row>
    <row r="325" spans="4:4" ht="15.75" customHeight="1" x14ac:dyDescent="0.25">
      <c r="D325" s="2"/>
    </row>
    <row r="326" spans="4:4" ht="15.75" customHeight="1" x14ac:dyDescent="0.25">
      <c r="D326" s="2"/>
    </row>
    <row r="327" spans="4:4" ht="15.75" customHeight="1" x14ac:dyDescent="0.25">
      <c r="D327" s="2"/>
    </row>
    <row r="328" spans="4:4" ht="15.75" customHeight="1" x14ac:dyDescent="0.25">
      <c r="D328" s="2"/>
    </row>
    <row r="329" spans="4:4" ht="15.75" customHeight="1" x14ac:dyDescent="0.25">
      <c r="D329" s="2"/>
    </row>
    <row r="330" spans="4:4" ht="15.75" customHeight="1" x14ac:dyDescent="0.25">
      <c r="D330" s="2"/>
    </row>
    <row r="331" spans="4:4" ht="15.75" customHeight="1" x14ac:dyDescent="0.25">
      <c r="D331" s="2"/>
    </row>
    <row r="332" spans="4:4" ht="15.75" customHeight="1" x14ac:dyDescent="0.25">
      <c r="D332" s="2"/>
    </row>
    <row r="333" spans="4:4" ht="15.75" customHeight="1" x14ac:dyDescent="0.25">
      <c r="D333" s="2"/>
    </row>
    <row r="334" spans="4:4" ht="15.75" customHeight="1" x14ac:dyDescent="0.25">
      <c r="D334" s="2"/>
    </row>
    <row r="335" spans="4:4" ht="15.75" customHeight="1" x14ac:dyDescent="0.25">
      <c r="D335" s="2"/>
    </row>
    <row r="336" spans="4:4" ht="15.75" customHeight="1" x14ac:dyDescent="0.25">
      <c r="D336" s="2"/>
    </row>
    <row r="337" spans="4:4" ht="15.75" customHeight="1" x14ac:dyDescent="0.25">
      <c r="D337" s="2"/>
    </row>
    <row r="338" spans="4:4" ht="15.75" customHeight="1" x14ac:dyDescent="0.25">
      <c r="D338" s="2"/>
    </row>
    <row r="339" spans="4:4" ht="15.75" customHeight="1" x14ac:dyDescent="0.25">
      <c r="D339" s="2"/>
    </row>
    <row r="340" spans="4:4" ht="15.75" customHeight="1" x14ac:dyDescent="0.25">
      <c r="D340" s="2"/>
    </row>
    <row r="341" spans="4:4" ht="15.75" customHeight="1" x14ac:dyDescent="0.25">
      <c r="D341" s="2"/>
    </row>
    <row r="342" spans="4:4" ht="15.75" customHeight="1" x14ac:dyDescent="0.25">
      <c r="D342" s="2"/>
    </row>
    <row r="343" spans="4:4" ht="15.75" customHeight="1" x14ac:dyDescent="0.25">
      <c r="D343" s="2"/>
    </row>
    <row r="344" spans="4:4" ht="15.75" customHeight="1" x14ac:dyDescent="0.25">
      <c r="D344" s="2"/>
    </row>
    <row r="345" spans="4:4" ht="15.75" customHeight="1" x14ac:dyDescent="0.25">
      <c r="D345" s="2"/>
    </row>
    <row r="346" spans="4:4" ht="15.75" customHeight="1" x14ac:dyDescent="0.25">
      <c r="D346" s="2"/>
    </row>
    <row r="347" spans="4:4" ht="15.75" customHeight="1" x14ac:dyDescent="0.25">
      <c r="D347" s="2"/>
    </row>
    <row r="348" spans="4:4" ht="15.75" customHeight="1" x14ac:dyDescent="0.25">
      <c r="D348" s="2"/>
    </row>
    <row r="349" spans="4:4" ht="15.75" customHeight="1" x14ac:dyDescent="0.25">
      <c r="D349" s="2"/>
    </row>
    <row r="350" spans="4:4" ht="15.75" customHeight="1" x14ac:dyDescent="0.25">
      <c r="D350" s="2"/>
    </row>
    <row r="351" spans="4:4" ht="15.75" customHeight="1" x14ac:dyDescent="0.25">
      <c r="D351" s="2"/>
    </row>
    <row r="352" spans="4:4" ht="15.75" customHeight="1" x14ac:dyDescent="0.25">
      <c r="D352" s="2"/>
    </row>
    <row r="353" spans="4:4" ht="15.75" customHeight="1" x14ac:dyDescent="0.25">
      <c r="D353" s="2"/>
    </row>
    <row r="354" spans="4:4" ht="15.75" customHeight="1" x14ac:dyDescent="0.25">
      <c r="D354" s="2"/>
    </row>
    <row r="355" spans="4:4" ht="15.75" customHeight="1" x14ac:dyDescent="0.25">
      <c r="D355" s="2"/>
    </row>
    <row r="356" spans="4:4" ht="15.75" customHeight="1" x14ac:dyDescent="0.25">
      <c r="D356" s="2"/>
    </row>
    <row r="357" spans="4:4" ht="15.75" customHeight="1" x14ac:dyDescent="0.25">
      <c r="D357" s="2"/>
    </row>
    <row r="358" spans="4:4" ht="15.75" customHeight="1" x14ac:dyDescent="0.25">
      <c r="D358" s="2"/>
    </row>
    <row r="359" spans="4:4" ht="15.75" customHeight="1" x14ac:dyDescent="0.25">
      <c r="D359" s="2"/>
    </row>
    <row r="360" spans="4:4" ht="15.75" customHeight="1" x14ac:dyDescent="0.25">
      <c r="D360" s="2"/>
    </row>
    <row r="361" spans="4:4" ht="15.75" customHeight="1" x14ac:dyDescent="0.25">
      <c r="D361" s="2"/>
    </row>
    <row r="362" spans="4:4" ht="15.75" customHeight="1" x14ac:dyDescent="0.25">
      <c r="D362" s="2"/>
    </row>
    <row r="363" spans="4:4" ht="15.75" customHeight="1" x14ac:dyDescent="0.25">
      <c r="D363" s="2"/>
    </row>
    <row r="364" spans="4:4" ht="15.75" customHeight="1" x14ac:dyDescent="0.25">
      <c r="D364" s="2"/>
    </row>
    <row r="365" spans="4:4" ht="15.75" customHeight="1" x14ac:dyDescent="0.25">
      <c r="D365" s="2"/>
    </row>
    <row r="366" spans="4:4" ht="15.75" customHeight="1" x14ac:dyDescent="0.25">
      <c r="D366" s="2"/>
    </row>
    <row r="367" spans="4:4" ht="15.75" customHeight="1" x14ac:dyDescent="0.25">
      <c r="D367" s="2"/>
    </row>
    <row r="368" spans="4:4" ht="15.75" customHeight="1" x14ac:dyDescent="0.25">
      <c r="D368" s="2"/>
    </row>
    <row r="369" spans="4:4" ht="15.75" customHeight="1" x14ac:dyDescent="0.25">
      <c r="D369" s="2"/>
    </row>
    <row r="370" spans="4:4" ht="15.75" customHeight="1" x14ac:dyDescent="0.25">
      <c r="D370" s="2"/>
    </row>
    <row r="371" spans="4:4" ht="15.75" customHeight="1" x14ac:dyDescent="0.25">
      <c r="D371" s="2"/>
    </row>
    <row r="372" spans="4:4" ht="15.75" customHeight="1" x14ac:dyDescent="0.25">
      <c r="D372" s="2"/>
    </row>
    <row r="373" spans="4:4" ht="15.75" customHeight="1" x14ac:dyDescent="0.25">
      <c r="D373" s="2"/>
    </row>
    <row r="374" spans="4:4" ht="15.75" customHeight="1" x14ac:dyDescent="0.25">
      <c r="D374" s="2"/>
    </row>
    <row r="375" spans="4:4" ht="15.75" customHeight="1" x14ac:dyDescent="0.25">
      <c r="D375" s="2"/>
    </row>
    <row r="376" spans="4:4" ht="15.75" customHeight="1" x14ac:dyDescent="0.25">
      <c r="D376" s="2"/>
    </row>
    <row r="377" spans="4:4" ht="15.75" customHeight="1" x14ac:dyDescent="0.25">
      <c r="D377" s="2"/>
    </row>
    <row r="378" spans="4:4" ht="15.75" customHeight="1" x14ac:dyDescent="0.25">
      <c r="D378" s="2"/>
    </row>
    <row r="379" spans="4:4" ht="15.75" customHeight="1" x14ac:dyDescent="0.25">
      <c r="D379" s="2"/>
    </row>
    <row r="380" spans="4:4" ht="15.75" customHeight="1" x14ac:dyDescent="0.25">
      <c r="D380" s="2"/>
    </row>
    <row r="381" spans="4:4" ht="15.75" customHeight="1" x14ac:dyDescent="0.25">
      <c r="D381" s="2"/>
    </row>
    <row r="382" spans="4:4" ht="15.75" customHeight="1" x14ac:dyDescent="0.25">
      <c r="D382" s="2"/>
    </row>
    <row r="383" spans="4:4" ht="15.75" customHeight="1" x14ac:dyDescent="0.25">
      <c r="D383" s="2"/>
    </row>
    <row r="384" spans="4:4" ht="15.75" customHeight="1" x14ac:dyDescent="0.25">
      <c r="D384" s="2"/>
    </row>
    <row r="385" spans="4:4" ht="15.75" customHeight="1" x14ac:dyDescent="0.25">
      <c r="D385" s="2"/>
    </row>
    <row r="386" spans="4:4" ht="15.75" customHeight="1" x14ac:dyDescent="0.25">
      <c r="D386" s="2"/>
    </row>
    <row r="387" spans="4:4" ht="15.75" customHeight="1" x14ac:dyDescent="0.25">
      <c r="D387" s="2"/>
    </row>
    <row r="388" spans="4:4" ht="15.75" customHeight="1" x14ac:dyDescent="0.25">
      <c r="D388" s="2"/>
    </row>
    <row r="389" spans="4:4" ht="15.75" customHeight="1" x14ac:dyDescent="0.25">
      <c r="D389" s="2"/>
    </row>
    <row r="390" spans="4:4" ht="15.75" customHeight="1" x14ac:dyDescent="0.25">
      <c r="D390" s="2"/>
    </row>
    <row r="391" spans="4:4" ht="15.75" customHeight="1" x14ac:dyDescent="0.25">
      <c r="D391" s="2"/>
    </row>
    <row r="392" spans="4:4" ht="15.75" customHeight="1" x14ac:dyDescent="0.25">
      <c r="D392" s="2"/>
    </row>
    <row r="393" spans="4:4" ht="15.75" customHeight="1" x14ac:dyDescent="0.25">
      <c r="D393" s="2"/>
    </row>
    <row r="394" spans="4:4" ht="15.75" customHeight="1" x14ac:dyDescent="0.25">
      <c r="D394" s="2"/>
    </row>
    <row r="395" spans="4:4" ht="15.75" customHeight="1" x14ac:dyDescent="0.25">
      <c r="D395" s="2"/>
    </row>
    <row r="396" spans="4:4" ht="15.75" customHeight="1" x14ac:dyDescent="0.25">
      <c r="D396" s="2"/>
    </row>
    <row r="397" spans="4:4" ht="15.75" customHeight="1" x14ac:dyDescent="0.25">
      <c r="D397" s="2"/>
    </row>
    <row r="398" spans="4:4" ht="15.75" customHeight="1" x14ac:dyDescent="0.25">
      <c r="D398" s="2"/>
    </row>
    <row r="399" spans="4:4" ht="15.75" customHeight="1" x14ac:dyDescent="0.25">
      <c r="D399" s="2"/>
    </row>
    <row r="400" spans="4:4" ht="15.75" customHeight="1" x14ac:dyDescent="0.25">
      <c r="D400" s="2"/>
    </row>
    <row r="401" spans="4:4" ht="15.75" customHeight="1" x14ac:dyDescent="0.25">
      <c r="D401" s="2"/>
    </row>
    <row r="402" spans="4:4" ht="15.75" customHeight="1" x14ac:dyDescent="0.25">
      <c r="D402" s="2"/>
    </row>
    <row r="403" spans="4:4" ht="15.75" customHeight="1" x14ac:dyDescent="0.25">
      <c r="D403" s="2"/>
    </row>
    <row r="404" spans="4:4" ht="15.75" customHeight="1" x14ac:dyDescent="0.25">
      <c r="D404" s="2"/>
    </row>
    <row r="405" spans="4:4" ht="15.75" customHeight="1" x14ac:dyDescent="0.25">
      <c r="D405" s="2"/>
    </row>
    <row r="406" spans="4:4" ht="15.75" customHeight="1" x14ac:dyDescent="0.25">
      <c r="D406" s="2"/>
    </row>
    <row r="407" spans="4:4" ht="15.75" customHeight="1" x14ac:dyDescent="0.25">
      <c r="D407" s="2"/>
    </row>
    <row r="408" spans="4:4" ht="15.75" customHeight="1" x14ac:dyDescent="0.25">
      <c r="D408" s="2"/>
    </row>
    <row r="409" spans="4:4" ht="15.75" customHeight="1" x14ac:dyDescent="0.25">
      <c r="D409" s="2"/>
    </row>
    <row r="410" spans="4:4" ht="15.75" customHeight="1" x14ac:dyDescent="0.25">
      <c r="D410" s="2"/>
    </row>
    <row r="411" spans="4:4" ht="15.75" customHeight="1" x14ac:dyDescent="0.25">
      <c r="D411" s="2"/>
    </row>
    <row r="412" spans="4:4" ht="15.75" customHeight="1" x14ac:dyDescent="0.25">
      <c r="D412" s="2"/>
    </row>
    <row r="413" spans="4:4" ht="15.75" customHeight="1" x14ac:dyDescent="0.25">
      <c r="D413" s="2"/>
    </row>
    <row r="414" spans="4:4" ht="15.75" customHeight="1" x14ac:dyDescent="0.25">
      <c r="D414" s="2"/>
    </row>
    <row r="415" spans="4:4" ht="15.75" customHeight="1" x14ac:dyDescent="0.25">
      <c r="D415" s="2"/>
    </row>
    <row r="416" spans="4:4" ht="15.75" customHeight="1" x14ac:dyDescent="0.25">
      <c r="D416" s="2"/>
    </row>
    <row r="417" spans="4:4" ht="15.75" customHeight="1" x14ac:dyDescent="0.25">
      <c r="D417" s="2"/>
    </row>
    <row r="418" spans="4:4" ht="15.75" customHeight="1" x14ac:dyDescent="0.25">
      <c r="D418" s="2"/>
    </row>
    <row r="419" spans="4:4" ht="15.75" customHeight="1" x14ac:dyDescent="0.25">
      <c r="D419" s="2"/>
    </row>
    <row r="420" spans="4:4" ht="15.75" customHeight="1" x14ac:dyDescent="0.25">
      <c r="D420" s="2"/>
    </row>
    <row r="421" spans="4:4" ht="15.75" customHeight="1" x14ac:dyDescent="0.25">
      <c r="D421" s="2"/>
    </row>
    <row r="422" spans="4:4" ht="15.75" customHeight="1" x14ac:dyDescent="0.25">
      <c r="D422" s="2"/>
    </row>
    <row r="423" spans="4:4" ht="15.75" customHeight="1" x14ac:dyDescent="0.25">
      <c r="D423" s="2"/>
    </row>
    <row r="424" spans="4:4" ht="15.75" customHeight="1" x14ac:dyDescent="0.25">
      <c r="D424" s="2"/>
    </row>
    <row r="425" spans="4:4" ht="15.75" customHeight="1" x14ac:dyDescent="0.25">
      <c r="D425" s="2"/>
    </row>
    <row r="426" spans="4:4" ht="15.75" customHeight="1" x14ac:dyDescent="0.25">
      <c r="D426" s="2"/>
    </row>
    <row r="427" spans="4:4" ht="15.75" customHeight="1" x14ac:dyDescent="0.25">
      <c r="D427" s="2"/>
    </row>
    <row r="428" spans="4:4" ht="15.75" customHeight="1" x14ac:dyDescent="0.25">
      <c r="D428" s="2"/>
    </row>
    <row r="429" spans="4:4" ht="15.75" customHeight="1" x14ac:dyDescent="0.25">
      <c r="D429" s="2"/>
    </row>
    <row r="430" spans="4:4" ht="15.75" customHeight="1" x14ac:dyDescent="0.25">
      <c r="D430" s="2"/>
    </row>
    <row r="431" spans="4:4" ht="15.75" customHeight="1" x14ac:dyDescent="0.25">
      <c r="D431" s="2"/>
    </row>
    <row r="432" spans="4:4" ht="15.75" customHeight="1" x14ac:dyDescent="0.25">
      <c r="D432" s="2"/>
    </row>
    <row r="433" spans="4:4" ht="15.75" customHeight="1" x14ac:dyDescent="0.25">
      <c r="D433" s="2"/>
    </row>
    <row r="434" spans="4:4" ht="15.75" customHeight="1" x14ac:dyDescent="0.25">
      <c r="D434" s="2"/>
    </row>
    <row r="435" spans="4:4" ht="15.75" customHeight="1" x14ac:dyDescent="0.25">
      <c r="D435" s="2"/>
    </row>
    <row r="436" spans="4:4" ht="15.75" customHeight="1" x14ac:dyDescent="0.25">
      <c r="D436" s="2"/>
    </row>
    <row r="437" spans="4:4" ht="15.75" customHeight="1" x14ac:dyDescent="0.25">
      <c r="D437" s="2"/>
    </row>
    <row r="438" spans="4:4" ht="15.75" customHeight="1" x14ac:dyDescent="0.25">
      <c r="D438" s="2"/>
    </row>
    <row r="439" spans="4:4" ht="15.75" customHeight="1" x14ac:dyDescent="0.25">
      <c r="D439" s="2"/>
    </row>
    <row r="440" spans="4:4" ht="15.75" customHeight="1" x14ac:dyDescent="0.25">
      <c r="D440" s="2"/>
    </row>
    <row r="441" spans="4:4" ht="15.75" customHeight="1" x14ac:dyDescent="0.25">
      <c r="D441" s="2"/>
    </row>
    <row r="442" spans="4:4" ht="15.75" customHeight="1" x14ac:dyDescent="0.25">
      <c r="D442" s="2"/>
    </row>
    <row r="443" spans="4:4" ht="15.75" customHeight="1" x14ac:dyDescent="0.25">
      <c r="D443" s="2"/>
    </row>
    <row r="444" spans="4:4" ht="15.75" customHeight="1" x14ac:dyDescent="0.25">
      <c r="D444" s="2"/>
    </row>
    <row r="445" spans="4:4" ht="15.75" customHeight="1" x14ac:dyDescent="0.25">
      <c r="D445" s="2"/>
    </row>
    <row r="446" spans="4:4" ht="15.75" customHeight="1" x14ac:dyDescent="0.25">
      <c r="D446" s="2"/>
    </row>
    <row r="447" spans="4:4" ht="15.75" customHeight="1" x14ac:dyDescent="0.25">
      <c r="D447" s="2"/>
    </row>
    <row r="448" spans="4:4" ht="15.75" customHeight="1" x14ac:dyDescent="0.25">
      <c r="D448" s="2"/>
    </row>
    <row r="449" spans="4:4" ht="15.75" customHeight="1" x14ac:dyDescent="0.25">
      <c r="D449" s="2"/>
    </row>
    <row r="450" spans="4:4" ht="15.75" customHeight="1" x14ac:dyDescent="0.25">
      <c r="D450" s="2"/>
    </row>
    <row r="451" spans="4:4" ht="15.75" customHeight="1" x14ac:dyDescent="0.25">
      <c r="D451" s="2"/>
    </row>
    <row r="452" spans="4:4" ht="15.75" customHeight="1" x14ac:dyDescent="0.25">
      <c r="D452" s="2"/>
    </row>
    <row r="453" spans="4:4" ht="15.75" customHeight="1" x14ac:dyDescent="0.25">
      <c r="D453" s="2"/>
    </row>
    <row r="454" spans="4:4" ht="15.75" customHeight="1" x14ac:dyDescent="0.25">
      <c r="D454" s="2"/>
    </row>
    <row r="455" spans="4:4" ht="15.75" customHeight="1" x14ac:dyDescent="0.25">
      <c r="D455" s="2"/>
    </row>
    <row r="456" spans="4:4" ht="15.75" customHeight="1" x14ac:dyDescent="0.25">
      <c r="D456" s="2"/>
    </row>
    <row r="457" spans="4:4" ht="15.75" customHeight="1" x14ac:dyDescent="0.25">
      <c r="D457" s="2"/>
    </row>
    <row r="458" spans="4:4" ht="15.75" customHeight="1" x14ac:dyDescent="0.25">
      <c r="D458" s="2"/>
    </row>
    <row r="459" spans="4:4" ht="15.75" customHeight="1" x14ac:dyDescent="0.25">
      <c r="D459" s="2"/>
    </row>
    <row r="460" spans="4:4" ht="15.75" customHeight="1" x14ac:dyDescent="0.25">
      <c r="D460" s="2"/>
    </row>
    <row r="461" spans="4:4" ht="15.75" customHeight="1" x14ac:dyDescent="0.25">
      <c r="D461" s="2"/>
    </row>
    <row r="462" spans="4:4" ht="15.75" customHeight="1" x14ac:dyDescent="0.25">
      <c r="D462" s="2"/>
    </row>
    <row r="463" spans="4:4" ht="15.75" customHeight="1" x14ac:dyDescent="0.25">
      <c r="D463" s="2"/>
    </row>
    <row r="464" spans="4:4" ht="15.75" customHeight="1" x14ac:dyDescent="0.25">
      <c r="D464" s="2"/>
    </row>
    <row r="465" spans="4:4" ht="15.75" customHeight="1" x14ac:dyDescent="0.25">
      <c r="D465" s="2"/>
    </row>
    <row r="466" spans="4:4" ht="15.75" customHeight="1" x14ac:dyDescent="0.25">
      <c r="D466" s="2"/>
    </row>
    <row r="467" spans="4:4" ht="15.75" customHeight="1" x14ac:dyDescent="0.25">
      <c r="D467" s="2"/>
    </row>
    <row r="468" spans="4:4" ht="15.75" customHeight="1" x14ac:dyDescent="0.25">
      <c r="D468" s="2"/>
    </row>
    <row r="469" spans="4:4" ht="15.75" customHeight="1" x14ac:dyDescent="0.25">
      <c r="D469" s="2"/>
    </row>
    <row r="470" spans="4:4" ht="15.75" customHeight="1" x14ac:dyDescent="0.25">
      <c r="D470" s="2"/>
    </row>
    <row r="471" spans="4:4" ht="15.75" customHeight="1" x14ac:dyDescent="0.25">
      <c r="D471" s="2"/>
    </row>
    <row r="472" spans="4:4" ht="15.75" customHeight="1" x14ac:dyDescent="0.25">
      <c r="D472" s="2"/>
    </row>
    <row r="473" spans="4:4" ht="15.75" customHeight="1" x14ac:dyDescent="0.25">
      <c r="D473" s="2"/>
    </row>
    <row r="474" spans="4:4" ht="15.75" customHeight="1" x14ac:dyDescent="0.25">
      <c r="D474" s="2"/>
    </row>
    <row r="475" spans="4:4" ht="15.75" customHeight="1" x14ac:dyDescent="0.25">
      <c r="D475" s="2"/>
    </row>
    <row r="476" spans="4:4" ht="15.75" customHeight="1" x14ac:dyDescent="0.25">
      <c r="D476" s="2"/>
    </row>
    <row r="477" spans="4:4" ht="15.75" customHeight="1" x14ac:dyDescent="0.25">
      <c r="D477" s="2"/>
    </row>
    <row r="478" spans="4:4" ht="15.75" customHeight="1" x14ac:dyDescent="0.25">
      <c r="D478" s="2"/>
    </row>
    <row r="479" spans="4:4" ht="15.75" customHeight="1" x14ac:dyDescent="0.25">
      <c r="D479" s="2"/>
    </row>
    <row r="480" spans="4:4" ht="15.75" customHeight="1" x14ac:dyDescent="0.25">
      <c r="D480" s="2"/>
    </row>
    <row r="481" spans="4:4" ht="15.75" customHeight="1" x14ac:dyDescent="0.25">
      <c r="D481" s="2"/>
    </row>
    <row r="482" spans="4:4" ht="15.75" customHeight="1" x14ac:dyDescent="0.25">
      <c r="D482" s="2"/>
    </row>
    <row r="483" spans="4:4" ht="15.75" customHeight="1" x14ac:dyDescent="0.25">
      <c r="D483" s="2"/>
    </row>
    <row r="484" spans="4:4" ht="15.75" customHeight="1" x14ac:dyDescent="0.25">
      <c r="D484" s="2"/>
    </row>
    <row r="485" spans="4:4" ht="15.75" customHeight="1" x14ac:dyDescent="0.25">
      <c r="D485" s="2"/>
    </row>
    <row r="486" spans="4:4" ht="15.75" customHeight="1" x14ac:dyDescent="0.25">
      <c r="D486" s="2"/>
    </row>
    <row r="487" spans="4:4" ht="15.75" customHeight="1" x14ac:dyDescent="0.25">
      <c r="D487" s="2"/>
    </row>
    <row r="488" spans="4:4" ht="15.75" customHeight="1" x14ac:dyDescent="0.25">
      <c r="D488" s="2"/>
    </row>
    <row r="489" spans="4:4" ht="15.75" customHeight="1" x14ac:dyDescent="0.25">
      <c r="D489" s="2"/>
    </row>
    <row r="490" spans="4:4" ht="15.75" customHeight="1" x14ac:dyDescent="0.25">
      <c r="D490" s="2"/>
    </row>
    <row r="491" spans="4:4" ht="15.75" customHeight="1" x14ac:dyDescent="0.25">
      <c r="D491" s="2"/>
    </row>
    <row r="492" spans="4:4" ht="15.75" customHeight="1" x14ac:dyDescent="0.25">
      <c r="D492" s="2"/>
    </row>
    <row r="493" spans="4:4" ht="15.75" customHeight="1" x14ac:dyDescent="0.25">
      <c r="D493" s="2"/>
    </row>
    <row r="494" spans="4:4" ht="15.75" customHeight="1" x14ac:dyDescent="0.25">
      <c r="D494" s="2"/>
    </row>
    <row r="495" spans="4:4" ht="15.75" customHeight="1" x14ac:dyDescent="0.25">
      <c r="D495" s="2"/>
    </row>
    <row r="496" spans="4:4" ht="15.75" customHeight="1" x14ac:dyDescent="0.25">
      <c r="D496" s="2"/>
    </row>
    <row r="497" spans="4:4" ht="15.75" customHeight="1" x14ac:dyDescent="0.25">
      <c r="D497" s="2"/>
    </row>
    <row r="498" spans="4:4" ht="15.75" customHeight="1" x14ac:dyDescent="0.25">
      <c r="D498" s="2"/>
    </row>
    <row r="499" spans="4:4" ht="15.75" customHeight="1" x14ac:dyDescent="0.25">
      <c r="D499" s="2"/>
    </row>
    <row r="500" spans="4:4" ht="15.75" customHeight="1" x14ac:dyDescent="0.25">
      <c r="D500" s="2"/>
    </row>
    <row r="501" spans="4:4" ht="15.75" customHeight="1" x14ac:dyDescent="0.25">
      <c r="D501" s="2"/>
    </row>
    <row r="502" spans="4:4" ht="15.75" customHeight="1" x14ac:dyDescent="0.25">
      <c r="D502" s="2"/>
    </row>
    <row r="503" spans="4:4" ht="15.75" customHeight="1" x14ac:dyDescent="0.25">
      <c r="D503" s="2"/>
    </row>
    <row r="504" spans="4:4" ht="15.75" customHeight="1" x14ac:dyDescent="0.25">
      <c r="D504" s="2"/>
    </row>
    <row r="505" spans="4:4" ht="15.75" customHeight="1" x14ac:dyDescent="0.25">
      <c r="D505" s="2"/>
    </row>
    <row r="506" spans="4:4" ht="15.75" customHeight="1" x14ac:dyDescent="0.25">
      <c r="D506" s="2"/>
    </row>
    <row r="507" spans="4:4" ht="15.75" customHeight="1" x14ac:dyDescent="0.25">
      <c r="D507" s="2"/>
    </row>
    <row r="508" spans="4:4" ht="15.75" customHeight="1" x14ac:dyDescent="0.25">
      <c r="D508" s="2"/>
    </row>
    <row r="509" spans="4:4" ht="15.75" customHeight="1" x14ac:dyDescent="0.25">
      <c r="D509" s="2"/>
    </row>
    <row r="510" spans="4:4" ht="15.75" customHeight="1" x14ac:dyDescent="0.25">
      <c r="D510" s="2"/>
    </row>
    <row r="511" spans="4:4" ht="15.75" customHeight="1" x14ac:dyDescent="0.25">
      <c r="D511" s="2"/>
    </row>
    <row r="512" spans="4:4" ht="15.75" customHeight="1" x14ac:dyDescent="0.25">
      <c r="D512" s="2"/>
    </row>
    <row r="513" spans="4:4" ht="15.75" customHeight="1" x14ac:dyDescent="0.25">
      <c r="D513" s="2"/>
    </row>
    <row r="514" spans="4:4" ht="15.75" customHeight="1" x14ac:dyDescent="0.25">
      <c r="D514" s="2"/>
    </row>
    <row r="515" spans="4:4" ht="15.75" customHeight="1" x14ac:dyDescent="0.25">
      <c r="D515" s="2"/>
    </row>
    <row r="516" spans="4:4" ht="15.75" customHeight="1" x14ac:dyDescent="0.25">
      <c r="D516" s="2"/>
    </row>
    <row r="517" spans="4:4" ht="15.75" customHeight="1" x14ac:dyDescent="0.25">
      <c r="D517" s="2"/>
    </row>
    <row r="518" spans="4:4" ht="15.75" customHeight="1" x14ac:dyDescent="0.25">
      <c r="D518" s="2"/>
    </row>
    <row r="519" spans="4:4" ht="15.75" customHeight="1" x14ac:dyDescent="0.25">
      <c r="D519" s="2"/>
    </row>
    <row r="520" spans="4:4" ht="15.75" customHeight="1" x14ac:dyDescent="0.25">
      <c r="D520" s="2"/>
    </row>
    <row r="521" spans="4:4" ht="15.75" customHeight="1" x14ac:dyDescent="0.25">
      <c r="D521" s="2"/>
    </row>
    <row r="522" spans="4:4" ht="15.75" customHeight="1" x14ac:dyDescent="0.25">
      <c r="D522" s="2"/>
    </row>
    <row r="523" spans="4:4" ht="15.75" customHeight="1" x14ac:dyDescent="0.25">
      <c r="D523" s="2"/>
    </row>
    <row r="524" spans="4:4" ht="15.75" customHeight="1" x14ac:dyDescent="0.25">
      <c r="D524" s="2"/>
    </row>
    <row r="525" spans="4:4" ht="15.75" customHeight="1" x14ac:dyDescent="0.25">
      <c r="D525" s="2"/>
    </row>
    <row r="526" spans="4:4" ht="15.75" customHeight="1" x14ac:dyDescent="0.25">
      <c r="D526" s="2"/>
    </row>
    <row r="527" spans="4:4" ht="15.75" customHeight="1" x14ac:dyDescent="0.25">
      <c r="D527" s="2"/>
    </row>
    <row r="528" spans="4:4" ht="15.75" customHeight="1" x14ac:dyDescent="0.25">
      <c r="D528" s="2"/>
    </row>
    <row r="529" spans="4:4" ht="15.75" customHeight="1" x14ac:dyDescent="0.25">
      <c r="D529" s="2"/>
    </row>
    <row r="530" spans="4:4" ht="15.75" customHeight="1" x14ac:dyDescent="0.25">
      <c r="D530" s="2"/>
    </row>
    <row r="531" spans="4:4" ht="15.75" customHeight="1" x14ac:dyDescent="0.25">
      <c r="D531" s="2"/>
    </row>
    <row r="532" spans="4:4" ht="15.75" customHeight="1" x14ac:dyDescent="0.25">
      <c r="D532" s="2"/>
    </row>
    <row r="533" spans="4:4" ht="15.75" customHeight="1" x14ac:dyDescent="0.25">
      <c r="D533" s="2"/>
    </row>
    <row r="534" spans="4:4" ht="15.75" customHeight="1" x14ac:dyDescent="0.25">
      <c r="D534" s="2"/>
    </row>
    <row r="535" spans="4:4" ht="15.75" customHeight="1" x14ac:dyDescent="0.25">
      <c r="D535" s="2"/>
    </row>
    <row r="536" spans="4:4" ht="15.75" customHeight="1" x14ac:dyDescent="0.25">
      <c r="D536" s="2"/>
    </row>
    <row r="537" spans="4:4" ht="15.75" customHeight="1" x14ac:dyDescent="0.25">
      <c r="D537" s="2"/>
    </row>
    <row r="538" spans="4:4" ht="15.75" customHeight="1" x14ac:dyDescent="0.25">
      <c r="D538" s="2"/>
    </row>
    <row r="539" spans="4:4" ht="15.75" customHeight="1" x14ac:dyDescent="0.25">
      <c r="D539" s="2"/>
    </row>
    <row r="540" spans="4:4" ht="15.75" customHeight="1" x14ac:dyDescent="0.25">
      <c r="D540" s="2"/>
    </row>
    <row r="541" spans="4:4" ht="15.75" customHeight="1" x14ac:dyDescent="0.25">
      <c r="D541" s="2"/>
    </row>
    <row r="542" spans="4:4" ht="15.75" customHeight="1" x14ac:dyDescent="0.25">
      <c r="D542" s="2"/>
    </row>
    <row r="543" spans="4:4" ht="15.75" customHeight="1" x14ac:dyDescent="0.25">
      <c r="D543" s="2"/>
    </row>
    <row r="544" spans="4:4" ht="15.75" customHeight="1" x14ac:dyDescent="0.25">
      <c r="D544" s="2"/>
    </row>
    <row r="545" spans="4:4" ht="15.75" customHeight="1" x14ac:dyDescent="0.25">
      <c r="D545" s="2"/>
    </row>
    <row r="546" spans="4:4" ht="15.75" customHeight="1" x14ac:dyDescent="0.25">
      <c r="D546" s="2"/>
    </row>
    <row r="547" spans="4:4" ht="15.75" customHeight="1" x14ac:dyDescent="0.25">
      <c r="D547" s="2"/>
    </row>
    <row r="548" spans="4:4" ht="15.75" customHeight="1" x14ac:dyDescent="0.25">
      <c r="D548" s="2"/>
    </row>
    <row r="549" spans="4:4" ht="15.75" customHeight="1" x14ac:dyDescent="0.25">
      <c r="D549" s="2"/>
    </row>
    <row r="550" spans="4:4" ht="15.75" customHeight="1" x14ac:dyDescent="0.25">
      <c r="D550" s="2"/>
    </row>
    <row r="551" spans="4:4" ht="15.75" customHeight="1" x14ac:dyDescent="0.25">
      <c r="D551" s="2"/>
    </row>
    <row r="552" spans="4:4" ht="15.75" customHeight="1" x14ac:dyDescent="0.25">
      <c r="D552" s="2"/>
    </row>
    <row r="553" spans="4:4" ht="15.75" customHeight="1" x14ac:dyDescent="0.25">
      <c r="D553" s="2"/>
    </row>
    <row r="554" spans="4:4" ht="15.75" customHeight="1" x14ac:dyDescent="0.25">
      <c r="D554" s="2"/>
    </row>
    <row r="555" spans="4:4" ht="15.75" customHeight="1" x14ac:dyDescent="0.25">
      <c r="D555" s="2"/>
    </row>
    <row r="556" spans="4:4" ht="15.75" customHeight="1" x14ac:dyDescent="0.25">
      <c r="D556" s="2"/>
    </row>
    <row r="557" spans="4:4" ht="15.75" customHeight="1" x14ac:dyDescent="0.25">
      <c r="D557" s="2"/>
    </row>
    <row r="558" spans="4:4" ht="15.75" customHeight="1" x14ac:dyDescent="0.25">
      <c r="D558" s="2"/>
    </row>
    <row r="559" spans="4:4" ht="15.75" customHeight="1" x14ac:dyDescent="0.25">
      <c r="D559" s="2"/>
    </row>
    <row r="560" spans="4:4" ht="15.75" customHeight="1" x14ac:dyDescent="0.25">
      <c r="D560" s="2"/>
    </row>
    <row r="561" spans="4:4" ht="15.75" customHeight="1" x14ac:dyDescent="0.25">
      <c r="D561" s="2"/>
    </row>
    <row r="562" spans="4:4" ht="15.75" customHeight="1" x14ac:dyDescent="0.25">
      <c r="D562" s="2"/>
    </row>
    <row r="563" spans="4:4" ht="15.75" customHeight="1" x14ac:dyDescent="0.25">
      <c r="D563" s="2"/>
    </row>
    <row r="564" spans="4:4" ht="15.75" customHeight="1" x14ac:dyDescent="0.25">
      <c r="D564" s="2"/>
    </row>
    <row r="565" spans="4:4" ht="15.75" customHeight="1" x14ac:dyDescent="0.25">
      <c r="D565" s="2"/>
    </row>
    <row r="566" spans="4:4" ht="15.75" customHeight="1" x14ac:dyDescent="0.25">
      <c r="D566" s="2"/>
    </row>
    <row r="567" spans="4:4" ht="15.75" customHeight="1" x14ac:dyDescent="0.25">
      <c r="D567" s="2"/>
    </row>
    <row r="568" spans="4:4" ht="15.75" customHeight="1" x14ac:dyDescent="0.25">
      <c r="D568" s="2"/>
    </row>
    <row r="569" spans="4:4" ht="15.75" customHeight="1" x14ac:dyDescent="0.25">
      <c r="D569" s="2"/>
    </row>
    <row r="570" spans="4:4" ht="15.75" customHeight="1" x14ac:dyDescent="0.25">
      <c r="D570" s="2"/>
    </row>
    <row r="571" spans="4:4" ht="15.75" customHeight="1" x14ac:dyDescent="0.25">
      <c r="D571" s="2"/>
    </row>
    <row r="572" spans="4:4" ht="15.75" customHeight="1" x14ac:dyDescent="0.25">
      <c r="D572" s="2"/>
    </row>
    <row r="573" spans="4:4" ht="15.75" customHeight="1" x14ac:dyDescent="0.25">
      <c r="D573" s="2"/>
    </row>
    <row r="574" spans="4:4" ht="15.75" customHeight="1" x14ac:dyDescent="0.25">
      <c r="D574" s="2"/>
    </row>
    <row r="575" spans="4:4" ht="15.75" customHeight="1" x14ac:dyDescent="0.25">
      <c r="D575" s="2"/>
    </row>
    <row r="576" spans="4:4" ht="15.75" customHeight="1" x14ac:dyDescent="0.25">
      <c r="D576" s="2"/>
    </row>
    <row r="577" spans="4:4" ht="15.75" customHeight="1" x14ac:dyDescent="0.25">
      <c r="D577" s="2"/>
    </row>
    <row r="578" spans="4:4" ht="15.75" customHeight="1" x14ac:dyDescent="0.25">
      <c r="D578" s="2"/>
    </row>
    <row r="579" spans="4:4" ht="15.75" customHeight="1" x14ac:dyDescent="0.25">
      <c r="D579" s="2"/>
    </row>
    <row r="580" spans="4:4" ht="15.75" customHeight="1" x14ac:dyDescent="0.25">
      <c r="D580" s="2"/>
    </row>
    <row r="581" spans="4:4" ht="15.75" customHeight="1" x14ac:dyDescent="0.25">
      <c r="D581" s="2"/>
    </row>
    <row r="582" spans="4:4" ht="15.75" customHeight="1" x14ac:dyDescent="0.25">
      <c r="D582" s="2"/>
    </row>
    <row r="583" spans="4:4" ht="15.75" customHeight="1" x14ac:dyDescent="0.25">
      <c r="D583" s="2"/>
    </row>
    <row r="584" spans="4:4" ht="15.75" customHeight="1" x14ac:dyDescent="0.25">
      <c r="D584" s="2"/>
    </row>
    <row r="585" spans="4:4" ht="15.75" customHeight="1" x14ac:dyDescent="0.25">
      <c r="D585" s="2"/>
    </row>
    <row r="586" spans="4:4" ht="15.75" customHeight="1" x14ac:dyDescent="0.25">
      <c r="D586" s="2"/>
    </row>
    <row r="587" spans="4:4" ht="15.75" customHeight="1" x14ac:dyDescent="0.25">
      <c r="D587" s="2"/>
    </row>
    <row r="588" spans="4:4" ht="15.75" customHeight="1" x14ac:dyDescent="0.25">
      <c r="D588" s="2"/>
    </row>
    <row r="589" spans="4:4" ht="15.75" customHeight="1" x14ac:dyDescent="0.25">
      <c r="D589" s="2"/>
    </row>
    <row r="590" spans="4:4" ht="15.75" customHeight="1" x14ac:dyDescent="0.25">
      <c r="D590" s="2"/>
    </row>
    <row r="591" spans="4:4" ht="15.75" customHeight="1" x14ac:dyDescent="0.25">
      <c r="D591" s="2"/>
    </row>
    <row r="592" spans="4:4" ht="15.75" customHeight="1" x14ac:dyDescent="0.25">
      <c r="D592" s="2"/>
    </row>
    <row r="593" spans="4:4" ht="15.75" customHeight="1" x14ac:dyDescent="0.25">
      <c r="D593" s="2"/>
    </row>
    <row r="594" spans="4:4" ht="15.75" customHeight="1" x14ac:dyDescent="0.25">
      <c r="D594" s="2"/>
    </row>
    <row r="595" spans="4:4" ht="15.75" customHeight="1" x14ac:dyDescent="0.25">
      <c r="D595" s="2"/>
    </row>
    <row r="596" spans="4:4" ht="15.75" customHeight="1" x14ac:dyDescent="0.25">
      <c r="D596" s="2"/>
    </row>
    <row r="597" spans="4:4" ht="15.75" customHeight="1" x14ac:dyDescent="0.25">
      <c r="D597" s="2"/>
    </row>
    <row r="598" spans="4:4" ht="15.75" customHeight="1" x14ac:dyDescent="0.25">
      <c r="D598" s="2"/>
    </row>
    <row r="599" spans="4:4" ht="15.75" customHeight="1" x14ac:dyDescent="0.25">
      <c r="D599" s="2"/>
    </row>
    <row r="600" spans="4:4" ht="15.75" customHeight="1" x14ac:dyDescent="0.25">
      <c r="D600" s="2"/>
    </row>
    <row r="601" spans="4:4" ht="15.75" customHeight="1" x14ac:dyDescent="0.25">
      <c r="D601" s="2"/>
    </row>
    <row r="602" spans="4:4" ht="15.75" customHeight="1" x14ac:dyDescent="0.25">
      <c r="D602" s="2"/>
    </row>
    <row r="603" spans="4:4" ht="15.75" customHeight="1" x14ac:dyDescent="0.25">
      <c r="D603" s="2"/>
    </row>
    <row r="604" spans="4:4" ht="15.75" customHeight="1" x14ac:dyDescent="0.25">
      <c r="D604" s="2"/>
    </row>
    <row r="605" spans="4:4" ht="15.75" customHeight="1" x14ac:dyDescent="0.25">
      <c r="D605" s="2"/>
    </row>
    <row r="606" spans="4:4" ht="15.75" customHeight="1" x14ac:dyDescent="0.25">
      <c r="D606" s="2"/>
    </row>
    <row r="607" spans="4:4" ht="15.75" customHeight="1" x14ac:dyDescent="0.25">
      <c r="D607" s="2"/>
    </row>
    <row r="608" spans="4:4" ht="15.75" customHeight="1" x14ac:dyDescent="0.25">
      <c r="D608" s="2"/>
    </row>
    <row r="609" spans="4:4" ht="15.75" customHeight="1" x14ac:dyDescent="0.25">
      <c r="D609" s="2"/>
    </row>
    <row r="610" spans="4:4" ht="15.75" customHeight="1" x14ac:dyDescent="0.25">
      <c r="D610" s="2"/>
    </row>
    <row r="611" spans="4:4" ht="15.75" customHeight="1" x14ac:dyDescent="0.25">
      <c r="D611" s="2"/>
    </row>
    <row r="612" spans="4:4" ht="15.75" customHeight="1" x14ac:dyDescent="0.25">
      <c r="D612" s="2"/>
    </row>
    <row r="613" spans="4:4" ht="15.75" customHeight="1" x14ac:dyDescent="0.25">
      <c r="D613" s="2"/>
    </row>
    <row r="614" spans="4:4" ht="15.75" customHeight="1" x14ac:dyDescent="0.25">
      <c r="D614" s="2"/>
    </row>
    <row r="615" spans="4:4" ht="15.75" customHeight="1" x14ac:dyDescent="0.25">
      <c r="D615" s="2"/>
    </row>
    <row r="616" spans="4:4" ht="15.75" customHeight="1" x14ac:dyDescent="0.25">
      <c r="D616" s="2"/>
    </row>
    <row r="617" spans="4:4" ht="15.75" customHeight="1" x14ac:dyDescent="0.25">
      <c r="D617" s="2"/>
    </row>
    <row r="618" spans="4:4" ht="15.75" customHeight="1" x14ac:dyDescent="0.25">
      <c r="D618" s="2"/>
    </row>
    <row r="619" spans="4:4" ht="15.75" customHeight="1" x14ac:dyDescent="0.25">
      <c r="D619" s="2"/>
    </row>
    <row r="620" spans="4:4" ht="15.75" customHeight="1" x14ac:dyDescent="0.25">
      <c r="D620" s="2"/>
    </row>
    <row r="621" spans="4:4" ht="15.75" customHeight="1" x14ac:dyDescent="0.25">
      <c r="D621" s="2"/>
    </row>
    <row r="622" spans="4:4" ht="15.75" customHeight="1" x14ac:dyDescent="0.25">
      <c r="D622" s="2"/>
    </row>
    <row r="623" spans="4:4" ht="15.75" customHeight="1" x14ac:dyDescent="0.25">
      <c r="D623" s="2"/>
    </row>
    <row r="624" spans="4:4" ht="15.75" customHeight="1" x14ac:dyDescent="0.25">
      <c r="D624" s="2"/>
    </row>
    <row r="625" spans="4:4" ht="15.75" customHeight="1" x14ac:dyDescent="0.25">
      <c r="D625" s="2"/>
    </row>
    <row r="626" spans="4:4" ht="15.75" customHeight="1" x14ac:dyDescent="0.25">
      <c r="D626" s="2"/>
    </row>
    <row r="627" spans="4:4" ht="15.75" customHeight="1" x14ac:dyDescent="0.25">
      <c r="D627" s="2"/>
    </row>
    <row r="628" spans="4:4" ht="15.75" customHeight="1" x14ac:dyDescent="0.25">
      <c r="D628" s="2"/>
    </row>
    <row r="629" spans="4:4" ht="15.75" customHeight="1" x14ac:dyDescent="0.25">
      <c r="D629" s="2"/>
    </row>
    <row r="630" spans="4:4" ht="15.75" customHeight="1" x14ac:dyDescent="0.25">
      <c r="D630" s="2"/>
    </row>
    <row r="631" spans="4:4" ht="15.75" customHeight="1" x14ac:dyDescent="0.25">
      <c r="D631" s="2"/>
    </row>
    <row r="632" spans="4:4" ht="15.75" customHeight="1" x14ac:dyDescent="0.25">
      <c r="D632" s="2"/>
    </row>
    <row r="633" spans="4:4" ht="15.75" customHeight="1" x14ac:dyDescent="0.25">
      <c r="D633" s="2"/>
    </row>
    <row r="634" spans="4:4" ht="15.75" customHeight="1" x14ac:dyDescent="0.25">
      <c r="D634" s="2"/>
    </row>
    <row r="635" spans="4:4" ht="15.75" customHeight="1" x14ac:dyDescent="0.25">
      <c r="D635" s="2"/>
    </row>
    <row r="636" spans="4:4" ht="15.75" customHeight="1" x14ac:dyDescent="0.25">
      <c r="D636" s="2"/>
    </row>
    <row r="637" spans="4:4" ht="15.75" customHeight="1" x14ac:dyDescent="0.25">
      <c r="D637" s="2"/>
    </row>
    <row r="638" spans="4:4" ht="15.75" customHeight="1" x14ac:dyDescent="0.25">
      <c r="D638" s="2"/>
    </row>
    <row r="639" spans="4:4" ht="15.75" customHeight="1" x14ac:dyDescent="0.25">
      <c r="D639" s="2"/>
    </row>
    <row r="640" spans="4:4" ht="15.75" customHeight="1" x14ac:dyDescent="0.25">
      <c r="D640" s="2"/>
    </row>
    <row r="641" spans="4:4" ht="15.75" customHeight="1" x14ac:dyDescent="0.25">
      <c r="D641" s="2"/>
    </row>
    <row r="642" spans="4:4" ht="15.75" customHeight="1" x14ac:dyDescent="0.25">
      <c r="D642" s="2"/>
    </row>
    <row r="643" spans="4:4" ht="15.75" customHeight="1" x14ac:dyDescent="0.25">
      <c r="D643" s="2"/>
    </row>
    <row r="644" spans="4:4" ht="15.75" customHeight="1" x14ac:dyDescent="0.25">
      <c r="D644" s="2"/>
    </row>
    <row r="645" spans="4:4" ht="15.75" customHeight="1" x14ac:dyDescent="0.25">
      <c r="D645" s="2"/>
    </row>
    <row r="646" spans="4:4" ht="15.75" customHeight="1" x14ac:dyDescent="0.25">
      <c r="D646" s="2"/>
    </row>
    <row r="647" spans="4:4" ht="15.75" customHeight="1" x14ac:dyDescent="0.25">
      <c r="D647" s="2"/>
    </row>
    <row r="648" spans="4:4" ht="15.75" customHeight="1" x14ac:dyDescent="0.25">
      <c r="D648" s="2"/>
    </row>
    <row r="649" spans="4:4" ht="15.75" customHeight="1" x14ac:dyDescent="0.25">
      <c r="D649" s="2"/>
    </row>
    <row r="650" spans="4:4" ht="15.75" customHeight="1" x14ac:dyDescent="0.25">
      <c r="D650" s="2"/>
    </row>
    <row r="651" spans="4:4" ht="15.75" customHeight="1" x14ac:dyDescent="0.25">
      <c r="D651" s="2"/>
    </row>
    <row r="652" spans="4:4" ht="15.75" customHeight="1" x14ac:dyDescent="0.25">
      <c r="D652" s="2"/>
    </row>
    <row r="653" spans="4:4" ht="15.75" customHeight="1" x14ac:dyDescent="0.25">
      <c r="D653" s="2"/>
    </row>
    <row r="654" spans="4:4" ht="15.75" customHeight="1" x14ac:dyDescent="0.25">
      <c r="D654" s="2"/>
    </row>
    <row r="655" spans="4:4" ht="15.75" customHeight="1" x14ac:dyDescent="0.25">
      <c r="D655" s="2"/>
    </row>
    <row r="656" spans="4:4" ht="15.75" customHeight="1" x14ac:dyDescent="0.25">
      <c r="D656" s="2"/>
    </row>
    <row r="657" spans="4:4" ht="15.75" customHeight="1" x14ac:dyDescent="0.25">
      <c r="D657" s="2"/>
    </row>
    <row r="658" spans="4:4" ht="15.75" customHeight="1" x14ac:dyDescent="0.25">
      <c r="D658" s="2"/>
    </row>
    <row r="659" spans="4:4" ht="15.75" customHeight="1" x14ac:dyDescent="0.25">
      <c r="D659" s="2"/>
    </row>
    <row r="660" spans="4:4" ht="15.75" customHeight="1" x14ac:dyDescent="0.25">
      <c r="D660" s="2"/>
    </row>
    <row r="661" spans="4:4" ht="15.75" customHeight="1" x14ac:dyDescent="0.25">
      <c r="D661" s="2"/>
    </row>
    <row r="662" spans="4:4" ht="15.75" customHeight="1" x14ac:dyDescent="0.25">
      <c r="D662" s="2"/>
    </row>
    <row r="663" spans="4:4" ht="15.75" customHeight="1" x14ac:dyDescent="0.25">
      <c r="D663" s="2"/>
    </row>
    <row r="664" spans="4:4" ht="15.75" customHeight="1" x14ac:dyDescent="0.25">
      <c r="D664" s="2"/>
    </row>
    <row r="665" spans="4:4" ht="15.75" customHeight="1" x14ac:dyDescent="0.25">
      <c r="D665" s="2"/>
    </row>
    <row r="666" spans="4:4" ht="15.75" customHeight="1" x14ac:dyDescent="0.25">
      <c r="D666" s="2"/>
    </row>
    <row r="667" spans="4:4" ht="15.75" customHeight="1" x14ac:dyDescent="0.25">
      <c r="D667" s="2"/>
    </row>
    <row r="668" spans="4:4" ht="15.75" customHeight="1" x14ac:dyDescent="0.25">
      <c r="D668" s="2"/>
    </row>
    <row r="669" spans="4:4" ht="15.75" customHeight="1" x14ac:dyDescent="0.25">
      <c r="D669" s="2"/>
    </row>
    <row r="670" spans="4:4" ht="15.75" customHeight="1" x14ac:dyDescent="0.25">
      <c r="D670" s="2"/>
    </row>
    <row r="671" spans="4:4" ht="15.75" customHeight="1" x14ac:dyDescent="0.25">
      <c r="D671" s="2"/>
    </row>
    <row r="672" spans="4:4" ht="15.75" customHeight="1" x14ac:dyDescent="0.25">
      <c r="D672" s="2"/>
    </row>
    <row r="673" spans="4:4" ht="15.75" customHeight="1" x14ac:dyDescent="0.25">
      <c r="D673" s="2"/>
    </row>
    <row r="674" spans="4:4" ht="15.75" customHeight="1" x14ac:dyDescent="0.25">
      <c r="D674" s="2"/>
    </row>
    <row r="675" spans="4:4" ht="15.75" customHeight="1" x14ac:dyDescent="0.25">
      <c r="D675" s="2"/>
    </row>
    <row r="676" spans="4:4" ht="15.75" customHeight="1" x14ac:dyDescent="0.25">
      <c r="D676" s="2"/>
    </row>
    <row r="677" spans="4:4" ht="15.75" customHeight="1" x14ac:dyDescent="0.25">
      <c r="D677" s="2"/>
    </row>
    <row r="678" spans="4:4" ht="15.75" customHeight="1" x14ac:dyDescent="0.25">
      <c r="D678" s="2"/>
    </row>
    <row r="679" spans="4:4" ht="15.75" customHeight="1" x14ac:dyDescent="0.25">
      <c r="D679" s="2"/>
    </row>
    <row r="680" spans="4:4" ht="15.75" customHeight="1" x14ac:dyDescent="0.25">
      <c r="D680" s="2"/>
    </row>
    <row r="681" spans="4:4" ht="15.75" customHeight="1" x14ac:dyDescent="0.25">
      <c r="D681" s="2"/>
    </row>
    <row r="682" spans="4:4" ht="15.75" customHeight="1" x14ac:dyDescent="0.25">
      <c r="D682" s="2"/>
    </row>
    <row r="683" spans="4:4" ht="15.75" customHeight="1" x14ac:dyDescent="0.25">
      <c r="D683" s="2"/>
    </row>
    <row r="684" spans="4:4" ht="15.75" customHeight="1" x14ac:dyDescent="0.25">
      <c r="D684" s="2"/>
    </row>
    <row r="685" spans="4:4" ht="15.75" customHeight="1" x14ac:dyDescent="0.25">
      <c r="D685" s="2"/>
    </row>
    <row r="686" spans="4:4" ht="15.75" customHeight="1" x14ac:dyDescent="0.25">
      <c r="D686" s="2"/>
    </row>
    <row r="687" spans="4:4" ht="15.75" customHeight="1" x14ac:dyDescent="0.25">
      <c r="D687" s="2"/>
    </row>
    <row r="688" spans="4:4" ht="15.75" customHeight="1" x14ac:dyDescent="0.25">
      <c r="D688" s="2"/>
    </row>
    <row r="689" spans="4:4" ht="15.75" customHeight="1" x14ac:dyDescent="0.25">
      <c r="D689" s="2"/>
    </row>
    <row r="690" spans="4:4" ht="15.75" customHeight="1" x14ac:dyDescent="0.25">
      <c r="D690" s="2"/>
    </row>
    <row r="691" spans="4:4" ht="15.75" customHeight="1" x14ac:dyDescent="0.25">
      <c r="D691" s="2"/>
    </row>
    <row r="692" spans="4:4" ht="15.75" customHeight="1" x14ac:dyDescent="0.25">
      <c r="D692" s="2"/>
    </row>
    <row r="693" spans="4:4" ht="15.75" customHeight="1" x14ac:dyDescent="0.25">
      <c r="D693" s="2"/>
    </row>
    <row r="694" spans="4:4" ht="15.75" customHeight="1" x14ac:dyDescent="0.25">
      <c r="D694" s="2"/>
    </row>
    <row r="695" spans="4:4" ht="15.75" customHeight="1" x14ac:dyDescent="0.25">
      <c r="D695" s="2"/>
    </row>
    <row r="696" spans="4:4" ht="15.75" customHeight="1" x14ac:dyDescent="0.25">
      <c r="D696" s="2"/>
    </row>
    <row r="697" spans="4:4" ht="15.75" customHeight="1" x14ac:dyDescent="0.25">
      <c r="D697" s="2"/>
    </row>
    <row r="698" spans="4:4" ht="15.75" customHeight="1" x14ac:dyDescent="0.25">
      <c r="D698" s="2"/>
    </row>
    <row r="699" spans="4:4" ht="15.75" customHeight="1" x14ac:dyDescent="0.25">
      <c r="D699" s="2"/>
    </row>
    <row r="700" spans="4:4" ht="15.75" customHeight="1" x14ac:dyDescent="0.25">
      <c r="D700" s="2"/>
    </row>
    <row r="701" spans="4:4" ht="15.75" customHeight="1" x14ac:dyDescent="0.25">
      <c r="D701" s="2"/>
    </row>
    <row r="702" spans="4:4" ht="15.75" customHeight="1" x14ac:dyDescent="0.25">
      <c r="D702" s="2"/>
    </row>
    <row r="703" spans="4:4" ht="15.75" customHeight="1" x14ac:dyDescent="0.25">
      <c r="D703" s="2"/>
    </row>
    <row r="704" spans="4:4" ht="15.75" customHeight="1" x14ac:dyDescent="0.25">
      <c r="D704" s="2"/>
    </row>
    <row r="705" spans="4:4" ht="15.75" customHeight="1" x14ac:dyDescent="0.25">
      <c r="D705" s="2"/>
    </row>
    <row r="706" spans="4:4" ht="15.75" customHeight="1" x14ac:dyDescent="0.25">
      <c r="D706" s="2"/>
    </row>
    <row r="707" spans="4:4" ht="15.75" customHeight="1" x14ac:dyDescent="0.25">
      <c r="D707" s="2"/>
    </row>
    <row r="708" spans="4:4" ht="15.75" customHeight="1" x14ac:dyDescent="0.25">
      <c r="D708" s="2"/>
    </row>
    <row r="709" spans="4:4" ht="15.75" customHeight="1" x14ac:dyDescent="0.25">
      <c r="D709" s="2"/>
    </row>
    <row r="710" spans="4:4" ht="15.75" customHeight="1" x14ac:dyDescent="0.25">
      <c r="D710" s="2"/>
    </row>
    <row r="711" spans="4:4" ht="15.75" customHeight="1" x14ac:dyDescent="0.25">
      <c r="D711" s="2"/>
    </row>
    <row r="712" spans="4:4" ht="15.75" customHeight="1" x14ac:dyDescent="0.25">
      <c r="D712" s="2"/>
    </row>
    <row r="713" spans="4:4" ht="15.75" customHeight="1" x14ac:dyDescent="0.25">
      <c r="D713" s="2"/>
    </row>
    <row r="714" spans="4:4" ht="15.75" customHeight="1" x14ac:dyDescent="0.25">
      <c r="D714" s="2"/>
    </row>
    <row r="715" spans="4:4" ht="15.75" customHeight="1" x14ac:dyDescent="0.25">
      <c r="D715" s="2"/>
    </row>
    <row r="716" spans="4:4" ht="15.75" customHeight="1" x14ac:dyDescent="0.25">
      <c r="D716" s="2"/>
    </row>
    <row r="717" spans="4:4" ht="15.75" customHeight="1" x14ac:dyDescent="0.25">
      <c r="D717" s="2"/>
    </row>
    <row r="718" spans="4:4" ht="15.75" customHeight="1" x14ac:dyDescent="0.25">
      <c r="D718" s="2"/>
    </row>
    <row r="719" spans="4:4" ht="15.75" customHeight="1" x14ac:dyDescent="0.25">
      <c r="D719" s="2"/>
    </row>
    <row r="720" spans="4:4" ht="15.75" customHeight="1" x14ac:dyDescent="0.25">
      <c r="D720" s="2"/>
    </row>
    <row r="721" spans="4:4" ht="15.75" customHeight="1" x14ac:dyDescent="0.25">
      <c r="D721" s="2"/>
    </row>
    <row r="722" spans="4:4" ht="15.75" customHeight="1" x14ac:dyDescent="0.25">
      <c r="D722" s="2"/>
    </row>
    <row r="723" spans="4:4" ht="15.75" customHeight="1" x14ac:dyDescent="0.25">
      <c r="D723" s="2"/>
    </row>
    <row r="724" spans="4:4" ht="15.75" customHeight="1" x14ac:dyDescent="0.25">
      <c r="D724" s="2"/>
    </row>
    <row r="725" spans="4:4" ht="15.75" customHeight="1" x14ac:dyDescent="0.25">
      <c r="D725" s="2"/>
    </row>
    <row r="726" spans="4:4" ht="15.75" customHeight="1" x14ac:dyDescent="0.25">
      <c r="D726" s="2"/>
    </row>
    <row r="727" spans="4:4" ht="15.75" customHeight="1" x14ac:dyDescent="0.25">
      <c r="D727" s="2"/>
    </row>
    <row r="728" spans="4:4" ht="15.75" customHeight="1" x14ac:dyDescent="0.25">
      <c r="D728" s="2"/>
    </row>
    <row r="729" spans="4:4" ht="15.75" customHeight="1" x14ac:dyDescent="0.25">
      <c r="D729" s="2"/>
    </row>
    <row r="730" spans="4:4" ht="15.75" customHeight="1" x14ac:dyDescent="0.25">
      <c r="D730" s="2"/>
    </row>
    <row r="731" spans="4:4" ht="15.75" customHeight="1" x14ac:dyDescent="0.25">
      <c r="D731" s="2"/>
    </row>
    <row r="732" spans="4:4" ht="15.75" customHeight="1" x14ac:dyDescent="0.25">
      <c r="D732" s="2"/>
    </row>
    <row r="733" spans="4:4" ht="15.75" customHeight="1" x14ac:dyDescent="0.25">
      <c r="D733" s="2"/>
    </row>
    <row r="734" spans="4:4" ht="15.75" customHeight="1" x14ac:dyDescent="0.25">
      <c r="D734" s="2"/>
    </row>
    <row r="735" spans="4:4" ht="15.75" customHeight="1" x14ac:dyDescent="0.25">
      <c r="D735" s="2"/>
    </row>
    <row r="736" spans="4:4" ht="15.75" customHeight="1" x14ac:dyDescent="0.25">
      <c r="D736" s="2"/>
    </row>
    <row r="737" spans="4:4" ht="15.75" customHeight="1" x14ac:dyDescent="0.25">
      <c r="D737" s="2"/>
    </row>
    <row r="738" spans="4:4" ht="15.75" customHeight="1" x14ac:dyDescent="0.25">
      <c r="D738" s="2"/>
    </row>
    <row r="739" spans="4:4" ht="15.75" customHeight="1" x14ac:dyDescent="0.25">
      <c r="D739" s="2"/>
    </row>
    <row r="740" spans="4:4" ht="15.75" customHeight="1" x14ac:dyDescent="0.25">
      <c r="D740" s="2"/>
    </row>
    <row r="741" spans="4:4" ht="15.75" customHeight="1" x14ac:dyDescent="0.25">
      <c r="D741" s="2"/>
    </row>
    <row r="742" spans="4:4" ht="15.75" customHeight="1" x14ac:dyDescent="0.25">
      <c r="D742" s="2"/>
    </row>
    <row r="743" spans="4:4" ht="15.75" customHeight="1" x14ac:dyDescent="0.25">
      <c r="D743" s="2"/>
    </row>
    <row r="744" spans="4:4" ht="15.75" customHeight="1" x14ac:dyDescent="0.25">
      <c r="D744" s="2"/>
    </row>
    <row r="745" spans="4:4" ht="15.75" customHeight="1" x14ac:dyDescent="0.25">
      <c r="D745" s="2"/>
    </row>
    <row r="746" spans="4:4" ht="15.75" customHeight="1" x14ac:dyDescent="0.25">
      <c r="D746" s="2"/>
    </row>
    <row r="747" spans="4:4" ht="15.75" customHeight="1" x14ac:dyDescent="0.25">
      <c r="D747" s="2"/>
    </row>
    <row r="748" spans="4:4" ht="15.75" customHeight="1" x14ac:dyDescent="0.25">
      <c r="D748" s="2"/>
    </row>
    <row r="749" spans="4:4" ht="15.75" customHeight="1" x14ac:dyDescent="0.25">
      <c r="D749" s="2"/>
    </row>
    <row r="750" spans="4:4" ht="15.75" customHeight="1" x14ac:dyDescent="0.25">
      <c r="D750" s="2"/>
    </row>
    <row r="751" spans="4:4" ht="15.75" customHeight="1" x14ac:dyDescent="0.25">
      <c r="D751" s="2"/>
    </row>
    <row r="752" spans="4:4" ht="15.75" customHeight="1" x14ac:dyDescent="0.25">
      <c r="D752" s="2"/>
    </row>
    <row r="753" spans="4:4" ht="15.75" customHeight="1" x14ac:dyDescent="0.25">
      <c r="D753" s="2"/>
    </row>
    <row r="754" spans="4:4" ht="15.75" customHeight="1" x14ac:dyDescent="0.25">
      <c r="D754" s="2"/>
    </row>
    <row r="755" spans="4:4" ht="15.75" customHeight="1" x14ac:dyDescent="0.25">
      <c r="D755" s="2"/>
    </row>
    <row r="756" spans="4:4" ht="15.75" customHeight="1" x14ac:dyDescent="0.25">
      <c r="D756" s="2"/>
    </row>
    <row r="757" spans="4:4" ht="15.75" customHeight="1" x14ac:dyDescent="0.25">
      <c r="D757" s="2"/>
    </row>
    <row r="758" spans="4:4" ht="15.75" customHeight="1" x14ac:dyDescent="0.25">
      <c r="D758" s="2"/>
    </row>
    <row r="759" spans="4:4" ht="15.75" customHeight="1" x14ac:dyDescent="0.25">
      <c r="D759" s="2"/>
    </row>
    <row r="760" spans="4:4" ht="15.75" customHeight="1" x14ac:dyDescent="0.25">
      <c r="D760" s="2"/>
    </row>
    <row r="761" spans="4:4" ht="15.75" customHeight="1" x14ac:dyDescent="0.25">
      <c r="D761" s="2"/>
    </row>
    <row r="762" spans="4:4" ht="15.75" customHeight="1" x14ac:dyDescent="0.25">
      <c r="D762" s="2"/>
    </row>
    <row r="763" spans="4:4" ht="15.75" customHeight="1" x14ac:dyDescent="0.25">
      <c r="D763" s="2"/>
    </row>
    <row r="764" spans="4:4" ht="15.75" customHeight="1" x14ac:dyDescent="0.25">
      <c r="D764" s="2"/>
    </row>
    <row r="765" spans="4:4" ht="15.75" customHeight="1" x14ac:dyDescent="0.25">
      <c r="D765" s="2"/>
    </row>
    <row r="766" spans="4:4" ht="15.75" customHeight="1" x14ac:dyDescent="0.25">
      <c r="D766" s="2"/>
    </row>
    <row r="767" spans="4:4" ht="15.75" customHeight="1" x14ac:dyDescent="0.25">
      <c r="D767" s="2"/>
    </row>
    <row r="768" spans="4:4" ht="15.75" customHeight="1" x14ac:dyDescent="0.25">
      <c r="D768" s="2"/>
    </row>
    <row r="769" spans="4:4" ht="15.75" customHeight="1" x14ac:dyDescent="0.25">
      <c r="D769" s="2"/>
    </row>
    <row r="770" spans="4:4" ht="15.75" customHeight="1" x14ac:dyDescent="0.25">
      <c r="D770" s="2"/>
    </row>
    <row r="771" spans="4:4" ht="15.75" customHeight="1" x14ac:dyDescent="0.25">
      <c r="D771" s="2"/>
    </row>
    <row r="772" spans="4:4" ht="15.75" customHeight="1" x14ac:dyDescent="0.25">
      <c r="D772" s="2"/>
    </row>
    <row r="773" spans="4:4" ht="15.75" customHeight="1" x14ac:dyDescent="0.25">
      <c r="D773" s="2"/>
    </row>
    <row r="774" spans="4:4" ht="15.75" customHeight="1" x14ac:dyDescent="0.25">
      <c r="D774" s="2"/>
    </row>
    <row r="775" spans="4:4" ht="15.75" customHeight="1" x14ac:dyDescent="0.25">
      <c r="D775" s="2"/>
    </row>
    <row r="776" spans="4:4" ht="15.75" customHeight="1" x14ac:dyDescent="0.25">
      <c r="D776" s="2"/>
    </row>
    <row r="777" spans="4:4" ht="15.75" customHeight="1" x14ac:dyDescent="0.25">
      <c r="D777" s="2"/>
    </row>
    <row r="778" spans="4:4" ht="15.75" customHeight="1" x14ac:dyDescent="0.25">
      <c r="D778" s="2"/>
    </row>
    <row r="779" spans="4:4" ht="15.75" customHeight="1" x14ac:dyDescent="0.25">
      <c r="D779" s="2"/>
    </row>
    <row r="780" spans="4:4" ht="15.75" customHeight="1" x14ac:dyDescent="0.25">
      <c r="D780" s="2"/>
    </row>
    <row r="781" spans="4:4" ht="15.75" customHeight="1" x14ac:dyDescent="0.25">
      <c r="D781" s="2"/>
    </row>
    <row r="782" spans="4:4" ht="15.75" customHeight="1" x14ac:dyDescent="0.25">
      <c r="D782" s="2"/>
    </row>
    <row r="783" spans="4:4" ht="15.75" customHeight="1" x14ac:dyDescent="0.25">
      <c r="D783" s="2"/>
    </row>
    <row r="784" spans="4:4" ht="15.75" customHeight="1" x14ac:dyDescent="0.25">
      <c r="D784" s="2"/>
    </row>
    <row r="785" spans="4:4" ht="15.75" customHeight="1" x14ac:dyDescent="0.25">
      <c r="D785" s="2"/>
    </row>
    <row r="786" spans="4:4" ht="15.75" customHeight="1" x14ac:dyDescent="0.25">
      <c r="D786" s="2"/>
    </row>
    <row r="787" spans="4:4" ht="15.75" customHeight="1" x14ac:dyDescent="0.25">
      <c r="D787" s="2"/>
    </row>
    <row r="788" spans="4:4" ht="15.75" customHeight="1" x14ac:dyDescent="0.25">
      <c r="D788" s="2"/>
    </row>
    <row r="789" spans="4:4" ht="15.75" customHeight="1" x14ac:dyDescent="0.25">
      <c r="D789" s="2"/>
    </row>
    <row r="790" spans="4:4" ht="15.75" customHeight="1" x14ac:dyDescent="0.25">
      <c r="D790" s="2"/>
    </row>
    <row r="791" spans="4:4" ht="15.75" customHeight="1" x14ac:dyDescent="0.25">
      <c r="D791" s="2"/>
    </row>
    <row r="792" spans="4:4" ht="15.75" customHeight="1" x14ac:dyDescent="0.25">
      <c r="D792" s="2"/>
    </row>
    <row r="793" spans="4:4" ht="15.75" customHeight="1" x14ac:dyDescent="0.25">
      <c r="D793" s="2"/>
    </row>
    <row r="794" spans="4:4" ht="15.75" customHeight="1" x14ac:dyDescent="0.25">
      <c r="D794" s="2"/>
    </row>
    <row r="795" spans="4:4" ht="15.75" customHeight="1" x14ac:dyDescent="0.25">
      <c r="D795" s="2"/>
    </row>
    <row r="796" spans="4:4" ht="15.75" customHeight="1" x14ac:dyDescent="0.25">
      <c r="D796" s="2"/>
    </row>
    <row r="797" spans="4:4" ht="15.75" customHeight="1" x14ac:dyDescent="0.25">
      <c r="D797" s="2"/>
    </row>
    <row r="798" spans="4:4" ht="15.75" customHeight="1" x14ac:dyDescent="0.25">
      <c r="D798" s="2"/>
    </row>
    <row r="799" spans="4:4" ht="15.75" customHeight="1" x14ac:dyDescent="0.25">
      <c r="D799" s="2"/>
    </row>
    <row r="800" spans="4:4" ht="15.75" customHeight="1" x14ac:dyDescent="0.25">
      <c r="D800" s="2"/>
    </row>
    <row r="801" spans="4:4" ht="15.75" customHeight="1" x14ac:dyDescent="0.25">
      <c r="D801" s="2"/>
    </row>
    <row r="802" spans="4:4" ht="15.75" customHeight="1" x14ac:dyDescent="0.25">
      <c r="D802" s="2"/>
    </row>
    <row r="803" spans="4:4" ht="15.75" customHeight="1" x14ac:dyDescent="0.25">
      <c r="D803" s="2"/>
    </row>
    <row r="804" spans="4:4" ht="15.75" customHeight="1" x14ac:dyDescent="0.25">
      <c r="D804" s="2"/>
    </row>
    <row r="805" spans="4:4" ht="15.75" customHeight="1" x14ac:dyDescent="0.25">
      <c r="D805" s="2"/>
    </row>
    <row r="806" spans="4:4" ht="15.75" customHeight="1" x14ac:dyDescent="0.25">
      <c r="D806" s="2"/>
    </row>
    <row r="807" spans="4:4" ht="15.75" customHeight="1" x14ac:dyDescent="0.25">
      <c r="D807" s="2"/>
    </row>
    <row r="808" spans="4:4" ht="15.75" customHeight="1" x14ac:dyDescent="0.25">
      <c r="D808" s="2"/>
    </row>
    <row r="809" spans="4:4" ht="15.75" customHeight="1" x14ac:dyDescent="0.25">
      <c r="D809" s="2"/>
    </row>
    <row r="810" spans="4:4" ht="15.75" customHeight="1" x14ac:dyDescent="0.25">
      <c r="D810" s="2"/>
    </row>
    <row r="811" spans="4:4" ht="15.75" customHeight="1" x14ac:dyDescent="0.25">
      <c r="D811" s="2"/>
    </row>
    <row r="812" spans="4:4" ht="15.75" customHeight="1" x14ac:dyDescent="0.25">
      <c r="D812" s="2"/>
    </row>
    <row r="813" spans="4:4" ht="15.75" customHeight="1" x14ac:dyDescent="0.25">
      <c r="D813" s="2"/>
    </row>
    <row r="814" spans="4:4" ht="15.75" customHeight="1" x14ac:dyDescent="0.25">
      <c r="D814" s="2"/>
    </row>
    <row r="815" spans="4:4" ht="15.75" customHeight="1" x14ac:dyDescent="0.25">
      <c r="D815" s="2"/>
    </row>
    <row r="816" spans="4:4" ht="15.75" customHeight="1" x14ac:dyDescent="0.25">
      <c r="D816" s="2"/>
    </row>
    <row r="817" spans="4:4" ht="15.75" customHeight="1" x14ac:dyDescent="0.25">
      <c r="D817" s="2"/>
    </row>
    <row r="818" spans="4:4" ht="15.75" customHeight="1" x14ac:dyDescent="0.25">
      <c r="D818" s="2"/>
    </row>
    <row r="819" spans="4:4" ht="15.75" customHeight="1" x14ac:dyDescent="0.25">
      <c r="D819" s="2"/>
    </row>
    <row r="820" spans="4:4" ht="15.75" customHeight="1" x14ac:dyDescent="0.25">
      <c r="D820" s="2"/>
    </row>
    <row r="821" spans="4:4" ht="15.75" customHeight="1" x14ac:dyDescent="0.25">
      <c r="D821" s="2"/>
    </row>
    <row r="822" spans="4:4" ht="15.75" customHeight="1" x14ac:dyDescent="0.25">
      <c r="D822" s="2"/>
    </row>
    <row r="823" spans="4:4" ht="15.75" customHeight="1" x14ac:dyDescent="0.25">
      <c r="D823" s="2"/>
    </row>
    <row r="824" spans="4:4" ht="15.75" customHeight="1" x14ac:dyDescent="0.25">
      <c r="D824" s="2"/>
    </row>
    <row r="825" spans="4:4" ht="15.75" customHeight="1" x14ac:dyDescent="0.25">
      <c r="D825" s="2"/>
    </row>
    <row r="826" spans="4:4" ht="15.75" customHeight="1" x14ac:dyDescent="0.25">
      <c r="D826" s="2"/>
    </row>
    <row r="827" spans="4:4" ht="15.75" customHeight="1" x14ac:dyDescent="0.25">
      <c r="D827" s="2"/>
    </row>
    <row r="828" spans="4:4" ht="15.75" customHeight="1" x14ac:dyDescent="0.25">
      <c r="D828" s="2"/>
    </row>
    <row r="829" spans="4:4" ht="15.75" customHeight="1" x14ac:dyDescent="0.25">
      <c r="D829" s="2"/>
    </row>
    <row r="830" spans="4:4" ht="15.75" customHeight="1" x14ac:dyDescent="0.25">
      <c r="D830" s="2"/>
    </row>
    <row r="831" spans="4:4" ht="15.75" customHeight="1" x14ac:dyDescent="0.25">
      <c r="D831" s="2"/>
    </row>
    <row r="832" spans="4:4" ht="15.75" customHeight="1" x14ac:dyDescent="0.25">
      <c r="D832" s="2"/>
    </row>
    <row r="833" spans="4:4" ht="15.75" customHeight="1" x14ac:dyDescent="0.25">
      <c r="D833" s="2"/>
    </row>
    <row r="834" spans="4:4" ht="15.75" customHeight="1" x14ac:dyDescent="0.25">
      <c r="D834" s="2"/>
    </row>
    <row r="835" spans="4:4" ht="15.75" customHeight="1" x14ac:dyDescent="0.25">
      <c r="D835" s="2"/>
    </row>
    <row r="836" spans="4:4" ht="15.75" customHeight="1" x14ac:dyDescent="0.25">
      <c r="D836" s="2"/>
    </row>
    <row r="837" spans="4:4" ht="15.75" customHeight="1" x14ac:dyDescent="0.25">
      <c r="D837" s="2"/>
    </row>
    <row r="838" spans="4:4" ht="15.75" customHeight="1" x14ac:dyDescent="0.25">
      <c r="D838" s="2"/>
    </row>
    <row r="839" spans="4:4" ht="15.75" customHeight="1" x14ac:dyDescent="0.25">
      <c r="D839" s="2"/>
    </row>
    <row r="840" spans="4:4" ht="15.75" customHeight="1" x14ac:dyDescent="0.25">
      <c r="D840" s="2"/>
    </row>
    <row r="841" spans="4:4" ht="15.75" customHeight="1" x14ac:dyDescent="0.25">
      <c r="D841" s="2"/>
    </row>
    <row r="842" spans="4:4" ht="15.75" customHeight="1" x14ac:dyDescent="0.25">
      <c r="D842" s="2"/>
    </row>
    <row r="843" spans="4:4" ht="15.75" customHeight="1" x14ac:dyDescent="0.25">
      <c r="D843" s="2"/>
    </row>
    <row r="844" spans="4:4" ht="15.75" customHeight="1" x14ac:dyDescent="0.25">
      <c r="D844" s="2"/>
    </row>
    <row r="845" spans="4:4" ht="15.75" customHeight="1" x14ac:dyDescent="0.25">
      <c r="D845" s="2"/>
    </row>
    <row r="846" spans="4:4" ht="15.75" customHeight="1" x14ac:dyDescent="0.25">
      <c r="D846" s="2"/>
    </row>
    <row r="847" spans="4:4" ht="15.75" customHeight="1" x14ac:dyDescent="0.25">
      <c r="D847" s="2"/>
    </row>
    <row r="848" spans="4:4" ht="15.75" customHeight="1" x14ac:dyDescent="0.25">
      <c r="D848" s="2"/>
    </row>
    <row r="849" spans="4:4" ht="15.75" customHeight="1" x14ac:dyDescent="0.25">
      <c r="D849" s="2"/>
    </row>
    <row r="850" spans="4:4" ht="15.75" customHeight="1" x14ac:dyDescent="0.25">
      <c r="D850" s="2"/>
    </row>
    <row r="851" spans="4:4" ht="15.75" customHeight="1" x14ac:dyDescent="0.25">
      <c r="D851" s="2"/>
    </row>
    <row r="852" spans="4:4" ht="15.75" customHeight="1" x14ac:dyDescent="0.25">
      <c r="D852" s="2"/>
    </row>
    <row r="853" spans="4:4" ht="15.75" customHeight="1" x14ac:dyDescent="0.25">
      <c r="D853" s="2"/>
    </row>
    <row r="854" spans="4:4" ht="15.75" customHeight="1" x14ac:dyDescent="0.25">
      <c r="D854" s="2"/>
    </row>
    <row r="855" spans="4:4" ht="15.75" customHeight="1" x14ac:dyDescent="0.25">
      <c r="D855" s="2"/>
    </row>
    <row r="856" spans="4:4" ht="15.75" customHeight="1" x14ac:dyDescent="0.25">
      <c r="D856" s="2"/>
    </row>
    <row r="857" spans="4:4" ht="15.75" customHeight="1" x14ac:dyDescent="0.25">
      <c r="D857" s="2"/>
    </row>
    <row r="858" spans="4:4" ht="15.75" customHeight="1" x14ac:dyDescent="0.25">
      <c r="D858" s="2"/>
    </row>
    <row r="859" spans="4:4" ht="15.75" customHeight="1" x14ac:dyDescent="0.25">
      <c r="D859" s="2"/>
    </row>
    <row r="860" spans="4:4" ht="15.75" customHeight="1" x14ac:dyDescent="0.25">
      <c r="D860" s="2"/>
    </row>
    <row r="861" spans="4:4" ht="15.75" customHeight="1" x14ac:dyDescent="0.25">
      <c r="D861" s="2"/>
    </row>
    <row r="862" spans="4:4" ht="15.75" customHeight="1" x14ac:dyDescent="0.25">
      <c r="D862" s="2"/>
    </row>
    <row r="863" spans="4:4" ht="15.75" customHeight="1" x14ac:dyDescent="0.25">
      <c r="D863" s="2"/>
    </row>
    <row r="864" spans="4:4" ht="15.75" customHeight="1" x14ac:dyDescent="0.25">
      <c r="D864" s="2"/>
    </row>
    <row r="865" spans="4:4" ht="15.75" customHeight="1" x14ac:dyDescent="0.25">
      <c r="D865" s="2"/>
    </row>
    <row r="866" spans="4:4" ht="15.75" customHeight="1" x14ac:dyDescent="0.25">
      <c r="D866" s="2"/>
    </row>
    <row r="867" spans="4:4" ht="15.75" customHeight="1" x14ac:dyDescent="0.25">
      <c r="D867" s="2"/>
    </row>
    <row r="868" spans="4:4" ht="15.75" customHeight="1" x14ac:dyDescent="0.25">
      <c r="D868" s="2"/>
    </row>
    <row r="869" spans="4:4" ht="15.75" customHeight="1" x14ac:dyDescent="0.25">
      <c r="D869" s="2"/>
    </row>
    <row r="870" spans="4:4" ht="15.75" customHeight="1" x14ac:dyDescent="0.25">
      <c r="D870" s="2"/>
    </row>
    <row r="871" spans="4:4" ht="15.75" customHeight="1" x14ac:dyDescent="0.25">
      <c r="D871" s="2"/>
    </row>
    <row r="872" spans="4:4" ht="15.75" customHeight="1" x14ac:dyDescent="0.25">
      <c r="D872" s="2"/>
    </row>
    <row r="873" spans="4:4" ht="15.75" customHeight="1" x14ac:dyDescent="0.25">
      <c r="D873" s="2"/>
    </row>
    <row r="874" spans="4:4" ht="15.75" customHeight="1" x14ac:dyDescent="0.25">
      <c r="D874" s="2"/>
    </row>
    <row r="875" spans="4:4" ht="15.75" customHeight="1" x14ac:dyDescent="0.25">
      <c r="D875" s="2"/>
    </row>
    <row r="876" spans="4:4" ht="15.75" customHeight="1" x14ac:dyDescent="0.25">
      <c r="D876" s="2"/>
    </row>
    <row r="877" spans="4:4" ht="15.75" customHeight="1" x14ac:dyDescent="0.25">
      <c r="D877" s="2"/>
    </row>
    <row r="878" spans="4:4" ht="15.75" customHeight="1" x14ac:dyDescent="0.25">
      <c r="D878" s="2"/>
    </row>
    <row r="879" spans="4:4" ht="15.75" customHeight="1" x14ac:dyDescent="0.25">
      <c r="D879" s="2"/>
    </row>
    <row r="880" spans="4:4" ht="15.75" customHeight="1" x14ac:dyDescent="0.25">
      <c r="D880" s="2"/>
    </row>
    <row r="881" spans="4:4" ht="15.75" customHeight="1" x14ac:dyDescent="0.25">
      <c r="D881" s="2"/>
    </row>
    <row r="882" spans="4:4" ht="15.75" customHeight="1" x14ac:dyDescent="0.25">
      <c r="D882" s="2"/>
    </row>
    <row r="883" spans="4:4" ht="15.75" customHeight="1" x14ac:dyDescent="0.25">
      <c r="D883" s="2"/>
    </row>
    <row r="884" spans="4:4" ht="15.75" customHeight="1" x14ac:dyDescent="0.25">
      <c r="D884" s="2"/>
    </row>
    <row r="885" spans="4:4" ht="15.75" customHeight="1" x14ac:dyDescent="0.25">
      <c r="D885" s="2"/>
    </row>
    <row r="886" spans="4:4" ht="15.75" customHeight="1" x14ac:dyDescent="0.25">
      <c r="D886" s="2"/>
    </row>
    <row r="887" spans="4:4" ht="15.75" customHeight="1" x14ac:dyDescent="0.25">
      <c r="D887" s="2"/>
    </row>
    <row r="888" spans="4:4" ht="15.75" customHeight="1" x14ac:dyDescent="0.25">
      <c r="D888" s="2"/>
    </row>
    <row r="889" spans="4:4" ht="15.75" customHeight="1" x14ac:dyDescent="0.25">
      <c r="D889" s="2"/>
    </row>
    <row r="890" spans="4:4" ht="15.75" customHeight="1" x14ac:dyDescent="0.25">
      <c r="D890" s="2"/>
    </row>
    <row r="891" spans="4:4" ht="15.75" customHeight="1" x14ac:dyDescent="0.25">
      <c r="D891" s="2"/>
    </row>
    <row r="892" spans="4:4" ht="15.75" customHeight="1" x14ac:dyDescent="0.25">
      <c r="D892" s="2"/>
    </row>
    <row r="893" spans="4:4" ht="15.75" customHeight="1" x14ac:dyDescent="0.25">
      <c r="D893" s="2"/>
    </row>
    <row r="894" spans="4:4" ht="15.75" customHeight="1" x14ac:dyDescent="0.25">
      <c r="D894" s="2"/>
    </row>
    <row r="895" spans="4:4" ht="15.75" customHeight="1" x14ac:dyDescent="0.25">
      <c r="D895" s="2"/>
    </row>
    <row r="896" spans="4:4" ht="15.75" customHeight="1" x14ac:dyDescent="0.25">
      <c r="D896" s="2"/>
    </row>
    <row r="897" spans="4:4" ht="15.75" customHeight="1" x14ac:dyDescent="0.25">
      <c r="D897" s="2"/>
    </row>
    <row r="898" spans="4:4" ht="15.75" customHeight="1" x14ac:dyDescent="0.25">
      <c r="D898" s="2"/>
    </row>
    <row r="899" spans="4:4" ht="15.75" customHeight="1" x14ac:dyDescent="0.25">
      <c r="D899" s="2"/>
    </row>
    <row r="900" spans="4:4" ht="15.75" customHeight="1" x14ac:dyDescent="0.25">
      <c r="D900" s="2"/>
    </row>
    <row r="901" spans="4:4" ht="15.75" customHeight="1" x14ac:dyDescent="0.25">
      <c r="D901" s="2"/>
    </row>
    <row r="902" spans="4:4" ht="15.75" customHeight="1" x14ac:dyDescent="0.25">
      <c r="D902" s="2"/>
    </row>
    <row r="903" spans="4:4" ht="15.75" customHeight="1" x14ac:dyDescent="0.25">
      <c r="D903" s="2"/>
    </row>
    <row r="904" spans="4:4" ht="15.75" customHeight="1" x14ac:dyDescent="0.25">
      <c r="D904" s="2"/>
    </row>
    <row r="905" spans="4:4" ht="15.75" customHeight="1" x14ac:dyDescent="0.25">
      <c r="D905" s="2"/>
    </row>
    <row r="906" spans="4:4" ht="15.75" customHeight="1" x14ac:dyDescent="0.25">
      <c r="D906" s="2"/>
    </row>
    <row r="907" spans="4:4" ht="15.75" customHeight="1" x14ac:dyDescent="0.25">
      <c r="D907" s="2"/>
    </row>
    <row r="908" spans="4:4" ht="15.75" customHeight="1" x14ac:dyDescent="0.25">
      <c r="D908" s="2"/>
    </row>
    <row r="909" spans="4:4" ht="15.75" customHeight="1" x14ac:dyDescent="0.25">
      <c r="D909" s="2"/>
    </row>
    <row r="910" spans="4:4" ht="15.75" customHeight="1" x14ac:dyDescent="0.25">
      <c r="D910" s="2"/>
    </row>
    <row r="911" spans="4:4" ht="15.75" customHeight="1" x14ac:dyDescent="0.25">
      <c r="D911" s="2"/>
    </row>
    <row r="912" spans="4:4" ht="15.75" customHeight="1" x14ac:dyDescent="0.25">
      <c r="D912" s="2"/>
    </row>
    <row r="913" spans="4:4" ht="15.75" customHeight="1" x14ac:dyDescent="0.25">
      <c r="D913" s="2"/>
    </row>
    <row r="914" spans="4:4" ht="15.75" customHeight="1" x14ac:dyDescent="0.25">
      <c r="D914" s="2"/>
    </row>
    <row r="915" spans="4:4" ht="15.75" customHeight="1" x14ac:dyDescent="0.25">
      <c r="D915" s="2"/>
    </row>
    <row r="916" spans="4:4" ht="15.75" customHeight="1" x14ac:dyDescent="0.25">
      <c r="D916" s="2"/>
    </row>
    <row r="917" spans="4:4" ht="15.75" customHeight="1" x14ac:dyDescent="0.25">
      <c r="D917" s="2"/>
    </row>
    <row r="918" spans="4:4" ht="15.75" customHeight="1" x14ac:dyDescent="0.25">
      <c r="D918" s="2"/>
    </row>
    <row r="919" spans="4:4" ht="15.75" customHeight="1" x14ac:dyDescent="0.25">
      <c r="D919" s="2"/>
    </row>
    <row r="920" spans="4:4" ht="15.75" customHeight="1" x14ac:dyDescent="0.25">
      <c r="D920" s="2"/>
    </row>
    <row r="921" spans="4:4" ht="15.75" customHeight="1" x14ac:dyDescent="0.25">
      <c r="D921" s="2"/>
    </row>
    <row r="922" spans="4:4" ht="15.75" customHeight="1" x14ac:dyDescent="0.25">
      <c r="D922" s="2"/>
    </row>
    <row r="923" spans="4:4" ht="15.75" customHeight="1" x14ac:dyDescent="0.25">
      <c r="D923" s="2"/>
    </row>
    <row r="924" spans="4:4" ht="15.75" customHeight="1" x14ac:dyDescent="0.25">
      <c r="D924" s="2"/>
    </row>
    <row r="925" spans="4:4" ht="15.75" customHeight="1" x14ac:dyDescent="0.25">
      <c r="D925" s="2"/>
    </row>
    <row r="926" spans="4:4" ht="15.75" customHeight="1" x14ac:dyDescent="0.25">
      <c r="D926" s="2"/>
    </row>
    <row r="927" spans="4:4" ht="15.75" customHeight="1" x14ac:dyDescent="0.25">
      <c r="D927" s="2"/>
    </row>
    <row r="928" spans="4:4" ht="15.75" customHeight="1" x14ac:dyDescent="0.25">
      <c r="D928" s="2"/>
    </row>
    <row r="929" spans="4:4" ht="15.75" customHeight="1" x14ac:dyDescent="0.25">
      <c r="D929" s="2"/>
    </row>
    <row r="930" spans="4:4" ht="15.75" customHeight="1" x14ac:dyDescent="0.25">
      <c r="D930" s="2"/>
    </row>
    <row r="931" spans="4:4" ht="15.75" customHeight="1" x14ac:dyDescent="0.25">
      <c r="D931" s="2"/>
    </row>
    <row r="932" spans="4:4" ht="15.75" customHeight="1" x14ac:dyDescent="0.25">
      <c r="D932" s="2"/>
    </row>
    <row r="933" spans="4:4" ht="15.75" customHeight="1" x14ac:dyDescent="0.25">
      <c r="D933" s="2"/>
    </row>
    <row r="934" spans="4:4" ht="15.75" customHeight="1" x14ac:dyDescent="0.25">
      <c r="D934" s="2"/>
    </row>
    <row r="935" spans="4:4" ht="15.75" customHeight="1" x14ac:dyDescent="0.25">
      <c r="D935" s="2"/>
    </row>
    <row r="936" spans="4:4" ht="15.75" customHeight="1" x14ac:dyDescent="0.25">
      <c r="D936" s="2"/>
    </row>
    <row r="937" spans="4:4" ht="15.75" customHeight="1" x14ac:dyDescent="0.25">
      <c r="D937" s="2"/>
    </row>
    <row r="938" spans="4:4" ht="15.75" customHeight="1" x14ac:dyDescent="0.25">
      <c r="D938" s="2"/>
    </row>
    <row r="939" spans="4:4" ht="15.75" customHeight="1" x14ac:dyDescent="0.25">
      <c r="D939" s="2"/>
    </row>
    <row r="940" spans="4:4" ht="15.75" customHeight="1" x14ac:dyDescent="0.25">
      <c r="D940" s="2"/>
    </row>
    <row r="941" spans="4:4" ht="15.75" customHeight="1" x14ac:dyDescent="0.25">
      <c r="D941" s="2"/>
    </row>
    <row r="942" spans="4:4" ht="15.75" customHeight="1" x14ac:dyDescent="0.25">
      <c r="D942" s="2"/>
    </row>
    <row r="943" spans="4:4" ht="15.75" customHeight="1" x14ac:dyDescent="0.25">
      <c r="D943" s="2"/>
    </row>
    <row r="944" spans="4:4" ht="15.75" customHeight="1" x14ac:dyDescent="0.25">
      <c r="D944" s="2"/>
    </row>
    <row r="945" spans="4:4" ht="15.75" customHeight="1" x14ac:dyDescent="0.25">
      <c r="D945" s="2"/>
    </row>
    <row r="946" spans="4:4" ht="15.75" customHeight="1" x14ac:dyDescent="0.25">
      <c r="D946" s="2"/>
    </row>
    <row r="947" spans="4:4" ht="15.75" customHeight="1" x14ac:dyDescent="0.25">
      <c r="D947" s="2"/>
    </row>
    <row r="948" spans="4:4" ht="15.75" customHeight="1" x14ac:dyDescent="0.25">
      <c r="D948" s="2"/>
    </row>
    <row r="949" spans="4:4" ht="15.75" customHeight="1" x14ac:dyDescent="0.25">
      <c r="D949" s="2"/>
    </row>
    <row r="950" spans="4:4" ht="15.75" customHeight="1" x14ac:dyDescent="0.25">
      <c r="D950" s="2"/>
    </row>
    <row r="951" spans="4:4" ht="15.75" customHeight="1" x14ac:dyDescent="0.25">
      <c r="D951" s="2"/>
    </row>
    <row r="952" spans="4:4" ht="15.75" customHeight="1" x14ac:dyDescent="0.25">
      <c r="D952" s="2"/>
    </row>
    <row r="953" spans="4:4" ht="15.75" customHeight="1" x14ac:dyDescent="0.25">
      <c r="D953" s="2"/>
    </row>
    <row r="954" spans="4:4" ht="15.75" customHeight="1" x14ac:dyDescent="0.25">
      <c r="D954" s="2"/>
    </row>
    <row r="955" spans="4:4" ht="15.75" customHeight="1" x14ac:dyDescent="0.25">
      <c r="D955" s="2"/>
    </row>
    <row r="956" spans="4:4" ht="15.75" customHeight="1" x14ac:dyDescent="0.25">
      <c r="D956" s="2"/>
    </row>
    <row r="957" spans="4:4" ht="15.75" customHeight="1" x14ac:dyDescent="0.25">
      <c r="D957" s="2"/>
    </row>
    <row r="958" spans="4:4" ht="15.75" customHeight="1" x14ac:dyDescent="0.25">
      <c r="D958" s="2"/>
    </row>
    <row r="959" spans="4:4" ht="15.75" customHeight="1" x14ac:dyDescent="0.25">
      <c r="D959" s="2"/>
    </row>
    <row r="960" spans="4:4" ht="15.75" customHeight="1" x14ac:dyDescent="0.25">
      <c r="D960" s="2"/>
    </row>
    <row r="961" spans="4:4" ht="15.75" customHeight="1" x14ac:dyDescent="0.25">
      <c r="D961" s="2"/>
    </row>
    <row r="962" spans="4:4" ht="15.75" customHeight="1" x14ac:dyDescent="0.25">
      <c r="D962" s="2"/>
    </row>
    <row r="963" spans="4:4" ht="15.75" customHeight="1" x14ac:dyDescent="0.25">
      <c r="D963" s="2"/>
    </row>
    <row r="964" spans="4:4" ht="15.75" customHeight="1" x14ac:dyDescent="0.25">
      <c r="D964" s="2"/>
    </row>
    <row r="965" spans="4:4" ht="15.75" customHeight="1" x14ac:dyDescent="0.25">
      <c r="D965" s="2"/>
    </row>
    <row r="966" spans="4:4" ht="15.75" customHeight="1" x14ac:dyDescent="0.25">
      <c r="D966" s="2"/>
    </row>
    <row r="967" spans="4:4" ht="15.75" customHeight="1" x14ac:dyDescent="0.25">
      <c r="D967" s="2"/>
    </row>
    <row r="968" spans="4:4" ht="15.75" customHeight="1" x14ac:dyDescent="0.25">
      <c r="D968" s="2"/>
    </row>
    <row r="969" spans="4:4" ht="15.75" customHeight="1" x14ac:dyDescent="0.25">
      <c r="D969" s="2"/>
    </row>
    <row r="970" spans="4:4" ht="15.75" customHeight="1" x14ac:dyDescent="0.25">
      <c r="D970" s="2"/>
    </row>
    <row r="971" spans="4:4" ht="15.75" customHeight="1" x14ac:dyDescent="0.25">
      <c r="D971" s="2"/>
    </row>
    <row r="972" spans="4:4" ht="15.75" customHeight="1" x14ac:dyDescent="0.25">
      <c r="D972" s="2"/>
    </row>
    <row r="973" spans="4:4" ht="15.75" customHeight="1" x14ac:dyDescent="0.25">
      <c r="D973" s="2"/>
    </row>
    <row r="974" spans="4:4" ht="15.75" customHeight="1" x14ac:dyDescent="0.25">
      <c r="D974" s="2"/>
    </row>
    <row r="975" spans="4:4" ht="15.75" customHeight="1" x14ac:dyDescent="0.25">
      <c r="D975" s="2"/>
    </row>
    <row r="976" spans="4:4" ht="15.75" customHeight="1" x14ac:dyDescent="0.25">
      <c r="D976" s="2"/>
    </row>
    <row r="977" spans="4:4" ht="15.75" customHeight="1" x14ac:dyDescent="0.25">
      <c r="D977" s="2"/>
    </row>
    <row r="978" spans="4:4" ht="15.75" customHeight="1" x14ac:dyDescent="0.25">
      <c r="D978" s="2"/>
    </row>
    <row r="979" spans="4:4" ht="15.75" customHeight="1" x14ac:dyDescent="0.25">
      <c r="D979" s="2"/>
    </row>
    <row r="980" spans="4:4" ht="15.75" customHeight="1" x14ac:dyDescent="0.25">
      <c r="D980" s="2"/>
    </row>
    <row r="981" spans="4:4" ht="15.75" customHeight="1" x14ac:dyDescent="0.25">
      <c r="D981" s="2"/>
    </row>
    <row r="982" spans="4:4" ht="15.75" customHeight="1" x14ac:dyDescent="0.25">
      <c r="D982" s="2"/>
    </row>
    <row r="983" spans="4:4" ht="15.75" customHeight="1" x14ac:dyDescent="0.25">
      <c r="D983" s="2"/>
    </row>
    <row r="984" spans="4:4" ht="15.75" customHeight="1" x14ac:dyDescent="0.25">
      <c r="D984" s="2"/>
    </row>
    <row r="985" spans="4:4" ht="15.75" customHeight="1" x14ac:dyDescent="0.25">
      <c r="D985" s="2"/>
    </row>
    <row r="986" spans="4:4" ht="15.75" customHeight="1" x14ac:dyDescent="0.25">
      <c r="D986" s="2"/>
    </row>
    <row r="987" spans="4:4" ht="15.75" customHeight="1" x14ac:dyDescent="0.25">
      <c r="D987" s="2"/>
    </row>
    <row r="988" spans="4:4" ht="15.75" customHeight="1" x14ac:dyDescent="0.25">
      <c r="D988" s="2"/>
    </row>
    <row r="989" spans="4:4" ht="15.75" customHeight="1" x14ac:dyDescent="0.25">
      <c r="D989" s="2"/>
    </row>
    <row r="990" spans="4:4" ht="15.75" customHeight="1" x14ac:dyDescent="0.25">
      <c r="D990" s="2"/>
    </row>
    <row r="991" spans="4:4" ht="15.75" customHeight="1" x14ac:dyDescent="0.25">
      <c r="D991" s="2"/>
    </row>
    <row r="992" spans="4:4" ht="15.75" customHeight="1" x14ac:dyDescent="0.25">
      <c r="D992" s="2"/>
    </row>
    <row r="993" spans="4:4" ht="15.75" customHeight="1" x14ac:dyDescent="0.25">
      <c r="D993" s="2"/>
    </row>
    <row r="994" spans="4:4" ht="15.75" customHeight="1" x14ac:dyDescent="0.25">
      <c r="D994" s="2"/>
    </row>
    <row r="995" spans="4:4" ht="15.75" customHeight="1" x14ac:dyDescent="0.25">
      <c r="D995" s="2"/>
    </row>
    <row r="996" spans="4:4" ht="15.75" customHeight="1" x14ac:dyDescent="0.25">
      <c r="D996" s="2"/>
    </row>
    <row r="997" spans="4:4" ht="15.75" customHeight="1" x14ac:dyDescent="0.25">
      <c r="D997" s="2"/>
    </row>
    <row r="998" spans="4:4" ht="15.75" customHeight="1" x14ac:dyDescent="0.25">
      <c r="D998" s="2"/>
    </row>
    <row r="999" spans="4:4" ht="15.75" customHeight="1" x14ac:dyDescent="0.25">
      <c r="D999" s="2"/>
    </row>
    <row r="1000" spans="4:4" ht="15.75" customHeight="1" x14ac:dyDescent="0.25">
      <c r="D1000" s="2"/>
    </row>
    <row r="1001" spans="4:4" ht="15.75" customHeight="1" x14ac:dyDescent="0.25">
      <c r="D1001" s="2"/>
    </row>
    <row r="1002" spans="4:4" ht="15.75" customHeight="1" x14ac:dyDescent="0.25">
      <c r="D1002" s="2"/>
    </row>
    <row r="1003" spans="4:4" ht="15.75" customHeight="1" x14ac:dyDescent="0.25">
      <c r="D1003" s="2"/>
    </row>
    <row r="1004" spans="4:4" ht="15.75" customHeight="1" x14ac:dyDescent="0.25">
      <c r="D1004" s="2"/>
    </row>
    <row r="1005" spans="4:4" ht="15.75" customHeight="1" x14ac:dyDescent="0.25">
      <c r="D1005" s="2"/>
    </row>
    <row r="1006" spans="4:4" ht="15.75" customHeight="1" x14ac:dyDescent="0.25">
      <c r="D1006" s="2"/>
    </row>
    <row r="1007" spans="4:4" ht="15.75" customHeight="1" x14ac:dyDescent="0.25">
      <c r="D1007" s="2"/>
    </row>
    <row r="1008" spans="4:4" ht="15.75" customHeight="1" x14ac:dyDescent="0.25">
      <c r="D1008" s="2"/>
    </row>
    <row r="1009" spans="4:4" ht="15.75" customHeight="1" x14ac:dyDescent="0.25">
      <c r="D1009" s="2"/>
    </row>
    <row r="1010" spans="4:4" ht="15.75" customHeight="1" x14ac:dyDescent="0.25">
      <c r="D1010" s="2"/>
    </row>
    <row r="1011" spans="4:4" ht="15.75" customHeight="1" x14ac:dyDescent="0.25">
      <c r="D1011" s="2"/>
    </row>
    <row r="1012" spans="4:4" ht="15.75" customHeight="1" x14ac:dyDescent="0.25">
      <c r="D1012" s="2"/>
    </row>
    <row r="1013" spans="4:4" ht="15.75" customHeight="1" x14ac:dyDescent="0.25">
      <c r="D1013" s="2"/>
    </row>
    <row r="1014" spans="4:4" ht="15.75" customHeight="1" x14ac:dyDescent="0.25">
      <c r="D1014" s="2"/>
    </row>
    <row r="1015" spans="4:4" ht="15.75" customHeight="1" x14ac:dyDescent="0.25">
      <c r="D1015" s="2"/>
    </row>
    <row r="1016" spans="4:4" ht="15.75" customHeight="1" x14ac:dyDescent="0.25">
      <c r="D1016" s="2"/>
    </row>
    <row r="1017" spans="4:4" ht="15.75" customHeight="1" x14ac:dyDescent="0.25">
      <c r="D1017" s="2"/>
    </row>
    <row r="1018" spans="4:4" ht="15.75" customHeight="1" x14ac:dyDescent="0.25">
      <c r="D1018" s="2"/>
    </row>
    <row r="1019" spans="4:4" ht="15.75" customHeight="1" x14ac:dyDescent="0.25">
      <c r="D1019" s="2"/>
    </row>
    <row r="1020" spans="4:4" ht="15.75" customHeight="1" x14ac:dyDescent="0.25">
      <c r="D1020" s="2"/>
    </row>
    <row r="1021" spans="4:4" ht="15.75" customHeight="1" x14ac:dyDescent="0.25">
      <c r="D1021" s="2"/>
    </row>
    <row r="1022" spans="4:4" ht="15.75" customHeight="1" x14ac:dyDescent="0.25">
      <c r="D1022" s="2"/>
    </row>
    <row r="1023" spans="4:4" ht="15.75" customHeight="1" x14ac:dyDescent="0.25">
      <c r="D1023" s="2"/>
    </row>
    <row r="1024" spans="4:4" ht="15.75" customHeight="1" x14ac:dyDescent="0.25">
      <c r="D1024" s="2"/>
    </row>
    <row r="1025" spans="4:4" ht="15.75" customHeight="1" x14ac:dyDescent="0.25">
      <c r="D1025" s="2"/>
    </row>
    <row r="1026" spans="4:4" ht="15.75" customHeight="1" x14ac:dyDescent="0.25">
      <c r="D1026" s="2"/>
    </row>
    <row r="1027" spans="4:4" ht="15.75" customHeight="1" x14ac:dyDescent="0.25">
      <c r="D1027" s="2"/>
    </row>
    <row r="1028" spans="4:4" ht="15.75" customHeight="1" x14ac:dyDescent="0.25">
      <c r="D1028" s="2"/>
    </row>
    <row r="1029" spans="4:4" ht="15.75" customHeight="1" x14ac:dyDescent="0.25">
      <c r="D1029" s="2"/>
    </row>
    <row r="1030" spans="4:4" ht="15.75" customHeight="1" x14ac:dyDescent="0.25">
      <c r="D1030" s="2"/>
    </row>
    <row r="1031" spans="4:4" ht="15.75" customHeight="1" x14ac:dyDescent="0.25">
      <c r="D1031" s="2"/>
    </row>
    <row r="1032" spans="4:4" ht="15.75" customHeight="1" x14ac:dyDescent="0.25">
      <c r="D1032" s="2"/>
    </row>
    <row r="1033" spans="4:4" ht="15.75" customHeight="1" x14ac:dyDescent="0.25">
      <c r="D1033" s="2"/>
    </row>
    <row r="1034" spans="4:4" ht="15.75" customHeight="1" x14ac:dyDescent="0.25">
      <c r="D1034" s="2"/>
    </row>
    <row r="1035" spans="4:4" ht="15.75" customHeight="1" x14ac:dyDescent="0.25">
      <c r="D1035" s="2"/>
    </row>
    <row r="1036" spans="4:4" ht="15.75" customHeight="1" x14ac:dyDescent="0.25">
      <c r="D1036" s="2"/>
    </row>
    <row r="1037" spans="4:4" ht="15.75" customHeight="1" x14ac:dyDescent="0.25">
      <c r="D1037" s="2"/>
    </row>
    <row r="1038" spans="4:4" ht="15.75" customHeight="1" x14ac:dyDescent="0.25">
      <c r="D1038" s="2"/>
    </row>
    <row r="1039" spans="4:4" ht="15.75" customHeight="1" x14ac:dyDescent="0.25">
      <c r="D1039" s="2"/>
    </row>
    <row r="1040" spans="4:4" ht="15.75" customHeight="1" x14ac:dyDescent="0.25">
      <c r="D1040" s="2"/>
    </row>
    <row r="1041" spans="4:4" ht="15.75" customHeight="1" x14ac:dyDescent="0.25">
      <c r="D1041" s="2"/>
    </row>
    <row r="1042" spans="4:4" ht="15.75" customHeight="1" x14ac:dyDescent="0.25">
      <c r="D1042" s="2"/>
    </row>
    <row r="1043" spans="4:4" ht="15.75" customHeight="1" x14ac:dyDescent="0.25">
      <c r="D1043" s="2"/>
    </row>
    <row r="1044" spans="4:4" ht="15.75" customHeight="1" x14ac:dyDescent="0.25">
      <c r="D1044" s="2"/>
    </row>
    <row r="1045" spans="4:4" ht="15.75" customHeight="1" x14ac:dyDescent="0.25">
      <c r="D1045" s="2"/>
    </row>
    <row r="1046" spans="4:4" ht="15.75" customHeight="1" x14ac:dyDescent="0.25">
      <c r="D1046" s="2"/>
    </row>
    <row r="1047" spans="4:4" ht="15.75" customHeight="1" x14ac:dyDescent="0.25">
      <c r="D1047" s="2"/>
    </row>
    <row r="1048" spans="4:4" ht="15" customHeight="1" x14ac:dyDescent="0.25">
      <c r="D1048" s="2"/>
    </row>
    <row r="1049" spans="4:4" ht="15" customHeight="1" x14ac:dyDescent="0.25">
      <c r="D1049" s="2"/>
    </row>
    <row r="1050" spans="4:4" ht="15" customHeight="1" x14ac:dyDescent="0.25">
      <c r="D1050" s="2"/>
    </row>
    <row r="1051" spans="4:4" ht="15" customHeight="1" x14ac:dyDescent="0.25">
      <c r="D1051" s="2"/>
    </row>
    <row r="1052" spans="4:4" ht="15" customHeight="1" x14ac:dyDescent="0.25">
      <c r="D1052" s="2"/>
    </row>
    <row r="1053" spans="4:4" ht="15" customHeight="1" x14ac:dyDescent="0.25">
      <c r="D1053" s="2"/>
    </row>
    <row r="1054" spans="4:4" ht="15" customHeight="1" x14ac:dyDescent="0.25">
      <c r="D1054" s="2"/>
    </row>
    <row r="1055" spans="4:4" ht="15" customHeight="1" x14ac:dyDescent="0.25">
      <c r="D1055" s="2"/>
    </row>
  </sheetData>
  <conditionalFormatting sqref="E2:E12 E14:E17 E20:E28 E30:E46 E53:E69 E48:E50 E72:E85 E87">
    <cfRule type="cellIs" dxfId="5" priority="13" operator="lessThan">
      <formula>5</formula>
    </cfRule>
  </conditionalFormatting>
  <conditionalFormatting sqref="E2:E12 E14:E17 E20:E28 E30:E46 E53:E69 E48:E50 E72:E85 E87:E91">
    <cfRule type="cellIs" dxfId="4" priority="14" operator="greaterThan">
      <formula>600</formula>
    </cfRule>
  </conditionalFormatting>
  <conditionalFormatting sqref="E70">
    <cfRule type="cellIs" dxfId="3" priority="1" operator="lessThan">
      <formula>5</formula>
    </cfRule>
  </conditionalFormatting>
  <conditionalFormatting sqref="E70">
    <cfRule type="cellIs" dxfId="2" priority="2" operator="greaterThan">
      <formula>600</formula>
    </cfRule>
  </conditionalFormatting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" sqref="A2:B20"/>
    </sheetView>
  </sheetViews>
  <sheetFormatPr defaultRowHeight="15" x14ac:dyDescent="0.25"/>
  <cols>
    <col min="1" max="1" width="9.140625" style="145"/>
    <col min="2" max="2" width="9.140625" style="141"/>
  </cols>
  <sheetData>
    <row r="1" spans="1:4" s="11" customFormat="1" ht="30" x14ac:dyDescent="0.25">
      <c r="A1" s="144"/>
      <c r="B1" s="143" t="s">
        <v>252</v>
      </c>
      <c r="C1" s="11" t="s">
        <v>119</v>
      </c>
    </row>
    <row r="2" spans="1:4" x14ac:dyDescent="0.25">
      <c r="A2" s="145">
        <v>43408.357638888891</v>
      </c>
      <c r="B2" s="141">
        <v>0.3078243</v>
      </c>
      <c r="C2" s="142">
        <f>B2*2.20462</f>
        <v>0.67863560826599989</v>
      </c>
      <c r="D2" t="s">
        <v>334</v>
      </c>
    </row>
    <row r="3" spans="1:4" x14ac:dyDescent="0.25">
      <c r="A3" s="145">
        <v>43417.416666666664</v>
      </c>
      <c r="B3" s="141">
        <v>0.51719724</v>
      </c>
      <c r="C3" s="142">
        <f t="shared" ref="C3:C20" si="0">B3*2.20462</f>
        <v>1.1402233792487999</v>
      </c>
    </row>
    <row r="4" spans="1:4" x14ac:dyDescent="0.25">
      <c r="A4" s="145">
        <v>43434.456944444442</v>
      </c>
      <c r="B4" s="141">
        <v>1.0703474999999998</v>
      </c>
      <c r="C4" s="142">
        <f t="shared" si="0"/>
        <v>2.3597095054499992</v>
      </c>
      <c r="D4" t="s">
        <v>261</v>
      </c>
    </row>
    <row r="5" spans="1:4" x14ac:dyDescent="0.25">
      <c r="A5" s="145">
        <v>43437.461805555555</v>
      </c>
      <c r="B5" s="141">
        <v>1.3668480000000001</v>
      </c>
      <c r="C5" s="142">
        <f t="shared" si="0"/>
        <v>3.01338043776</v>
      </c>
      <c r="D5" t="s">
        <v>272</v>
      </c>
    </row>
    <row r="6" spans="1:4" x14ac:dyDescent="0.25">
      <c r="A6" s="145">
        <v>43456.040277777778</v>
      </c>
      <c r="B6" s="141">
        <v>0.59774040000000006</v>
      </c>
      <c r="C6" s="142">
        <f t="shared" si="0"/>
        <v>1.3177904406480001</v>
      </c>
    </row>
    <row r="7" spans="1:4" x14ac:dyDescent="0.25">
      <c r="A7" s="145">
        <v>43456.623611111114</v>
      </c>
      <c r="B7" s="141">
        <v>0.85612319999999997</v>
      </c>
      <c r="C7" s="142">
        <f t="shared" si="0"/>
        <v>1.8874263291839997</v>
      </c>
      <c r="D7" t="s">
        <v>264</v>
      </c>
    </row>
    <row r="8" spans="1:4" x14ac:dyDescent="0.25">
      <c r="A8" s="145">
        <v>43466.833333333336</v>
      </c>
      <c r="B8" s="141">
        <v>0.1240542</v>
      </c>
      <c r="C8" s="142">
        <f t="shared" si="0"/>
        <v>0.27349237040399998</v>
      </c>
      <c r="D8" t="s">
        <v>268</v>
      </c>
    </row>
    <row r="9" spans="1:4" x14ac:dyDescent="0.25">
      <c r="A9" s="145">
        <v>43491</v>
      </c>
      <c r="B9" s="141">
        <v>1.2018132000000001</v>
      </c>
      <c r="C9" s="142">
        <f t="shared" si="0"/>
        <v>2.6495414169839999</v>
      </c>
      <c r="D9" t="s">
        <v>270</v>
      </c>
    </row>
    <row r="10" spans="1:4" x14ac:dyDescent="0.25">
      <c r="A10" s="145">
        <v>43497</v>
      </c>
      <c r="B10" s="141">
        <v>0.81796054736842116</v>
      </c>
      <c r="C10" s="142">
        <f t="shared" si="0"/>
        <v>1.8032921819393686</v>
      </c>
      <c r="D10" t="s">
        <v>275</v>
      </c>
    </row>
    <row r="11" spans="1:4" x14ac:dyDescent="0.25">
      <c r="A11" s="145">
        <v>43541.503472222219</v>
      </c>
      <c r="B11" s="141">
        <v>0.65819700000000003</v>
      </c>
      <c r="C11" s="142">
        <f t="shared" si="0"/>
        <v>1.4510742701399999</v>
      </c>
      <c r="D11" t="s">
        <v>279</v>
      </c>
    </row>
    <row r="12" spans="1:4" x14ac:dyDescent="0.25">
      <c r="A12" s="145">
        <v>43549.583333333336</v>
      </c>
      <c r="B12" s="141">
        <v>0.41927831999999993</v>
      </c>
      <c r="C12" s="142">
        <f t="shared" si="0"/>
        <v>0.92434936983839977</v>
      </c>
      <c r="D12" t="s">
        <v>281</v>
      </c>
    </row>
    <row r="13" spans="1:4" x14ac:dyDescent="0.25">
      <c r="A13" s="145">
        <v>43579.701388888891</v>
      </c>
      <c r="B13" s="141">
        <v>1.5744580199999998</v>
      </c>
      <c r="C13" s="142">
        <f t="shared" si="0"/>
        <v>3.4710816400523994</v>
      </c>
      <c r="D13" t="s">
        <v>286</v>
      </c>
    </row>
    <row r="14" spans="1:4" x14ac:dyDescent="0.25">
      <c r="A14" s="145">
        <v>43582.479166666664</v>
      </c>
      <c r="B14" s="141">
        <v>0.81597240000000015</v>
      </c>
      <c r="C14" s="142">
        <f t="shared" si="0"/>
        <v>1.7989090724880001</v>
      </c>
      <c r="D14" t="s">
        <v>288</v>
      </c>
    </row>
    <row r="15" spans="1:4" x14ac:dyDescent="0.25">
      <c r="A15" s="145">
        <v>43596.606249999997</v>
      </c>
      <c r="B15" s="141">
        <v>0.39762197999999999</v>
      </c>
      <c r="C15" s="142">
        <f t="shared" si="0"/>
        <v>0.87660536954759993</v>
      </c>
      <c r="D15" t="s">
        <v>292</v>
      </c>
    </row>
    <row r="16" spans="1:4" x14ac:dyDescent="0.25">
      <c r="A16" s="145">
        <v>43606.893750000003</v>
      </c>
      <c r="B16" s="141">
        <v>0.48748248000000011</v>
      </c>
      <c r="C16" s="142">
        <f t="shared" si="0"/>
        <v>1.0747136250576002</v>
      </c>
    </row>
    <row r="17" spans="1:9" x14ac:dyDescent="0.25">
      <c r="A17" s="145">
        <v>43616.227083333331</v>
      </c>
      <c r="B17" s="141">
        <v>0.15772104000000001</v>
      </c>
      <c r="C17" s="142">
        <f t="shared" si="0"/>
        <v>0.3477149592048</v>
      </c>
    </row>
    <row r="18" spans="1:9" x14ac:dyDescent="0.25">
      <c r="A18" s="145">
        <v>43621.875694444447</v>
      </c>
      <c r="B18" s="141">
        <v>2.415</v>
      </c>
      <c r="C18" s="142">
        <f t="shared" si="0"/>
        <v>5.3241572999999995</v>
      </c>
      <c r="D18" t="s">
        <v>324</v>
      </c>
    </row>
    <row r="19" spans="1:9" x14ac:dyDescent="0.25">
      <c r="A19" s="145">
        <v>43628.334027777775</v>
      </c>
      <c r="B19" s="141">
        <v>0.17418078000000001</v>
      </c>
      <c r="C19" s="142">
        <f t="shared" si="0"/>
        <v>0.3840024312036</v>
      </c>
    </row>
    <row r="20" spans="1:9" x14ac:dyDescent="0.25">
      <c r="A20" s="145">
        <v>43636.499305555553</v>
      </c>
      <c r="B20" s="141">
        <v>2.415</v>
      </c>
      <c r="C20" s="142">
        <f t="shared" si="0"/>
        <v>5.3241572999999995</v>
      </c>
      <c r="D20" t="s">
        <v>333</v>
      </c>
    </row>
    <row r="21" spans="1:9" x14ac:dyDescent="0.25">
      <c r="F21">
        <v>14.164009999999999</v>
      </c>
      <c r="G21" t="s">
        <v>83</v>
      </c>
    </row>
    <row r="22" spans="1:9" x14ac:dyDescent="0.25">
      <c r="B22" s="141">
        <v>17.215433567368422</v>
      </c>
      <c r="C22" t="s">
        <v>289</v>
      </c>
      <c r="F22">
        <v>35</v>
      </c>
      <c r="G22" t="s">
        <v>85</v>
      </c>
      <c r="H22">
        <v>1.0834130627670497</v>
      </c>
      <c r="I22" t="s">
        <v>321</v>
      </c>
    </row>
    <row r="23" spans="1:9" x14ac:dyDescent="0.25">
      <c r="B23" s="141">
        <v>37.919457196846743</v>
      </c>
      <c r="C23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65"/>
  <sheetViews>
    <sheetView topLeftCell="G15" workbookViewId="0">
      <selection sqref="A1:E1048576"/>
    </sheetView>
  </sheetViews>
  <sheetFormatPr defaultRowHeight="15" x14ac:dyDescent="0.25"/>
  <cols>
    <col min="2" max="2" width="18.42578125" customWidth="1"/>
    <col min="4" max="5" width="9.140625" style="37"/>
  </cols>
  <sheetData>
    <row r="2" spans="1:5" x14ac:dyDescent="0.25">
      <c r="A2" s="7">
        <v>110</v>
      </c>
      <c r="B2" s="26">
        <v>43406.040972222225</v>
      </c>
      <c r="D2" s="31" t="s">
        <v>5</v>
      </c>
      <c r="E2" s="32">
        <v>179</v>
      </c>
    </row>
    <row r="3" spans="1:5" x14ac:dyDescent="0.25">
      <c r="A3" s="7">
        <v>111</v>
      </c>
      <c r="B3" s="26">
        <v>43406.043749999997</v>
      </c>
      <c r="D3" s="31" t="s">
        <v>6</v>
      </c>
      <c r="E3" s="32">
        <v>179</v>
      </c>
    </row>
    <row r="4" spans="1:5" x14ac:dyDescent="0.25">
      <c r="A4" s="7">
        <v>112</v>
      </c>
      <c r="B4" s="26">
        <v>43406.107638888891</v>
      </c>
      <c r="D4" s="31" t="s">
        <v>7</v>
      </c>
      <c r="E4" s="32">
        <v>111</v>
      </c>
    </row>
    <row r="5" spans="1:5" x14ac:dyDescent="0.25">
      <c r="A5" s="7">
        <v>113</v>
      </c>
      <c r="B5" s="26">
        <v>43406.274305555555</v>
      </c>
      <c r="D5" s="31" t="s">
        <v>8</v>
      </c>
      <c r="E5" s="32">
        <v>281</v>
      </c>
    </row>
    <row r="6" spans="1:5" x14ac:dyDescent="0.25">
      <c r="A6" s="7">
        <v>107</v>
      </c>
      <c r="B6" s="26">
        <v>43406.357638888891</v>
      </c>
      <c r="D6" s="31" t="s">
        <v>2</v>
      </c>
      <c r="E6" s="32">
        <v>76.599999999999994</v>
      </c>
    </row>
    <row r="7" spans="1:5" x14ac:dyDescent="0.25">
      <c r="A7" s="7">
        <v>114</v>
      </c>
      <c r="B7" s="26">
        <v>43406.524305555555</v>
      </c>
      <c r="D7" s="31" t="s">
        <v>9</v>
      </c>
      <c r="E7" s="32">
        <v>137</v>
      </c>
    </row>
    <row r="8" spans="1:5" x14ac:dyDescent="0.25">
      <c r="A8" s="7">
        <v>115</v>
      </c>
      <c r="B8" s="26">
        <v>43406.857638888891</v>
      </c>
      <c r="D8" s="31" t="s">
        <v>10</v>
      </c>
      <c r="E8" s="32">
        <v>63.7</v>
      </c>
    </row>
    <row r="9" spans="1:5" x14ac:dyDescent="0.25">
      <c r="A9" s="7">
        <v>108</v>
      </c>
      <c r="B9" s="26">
        <v>43407.357638888891</v>
      </c>
      <c r="D9" s="31" t="s">
        <v>3</v>
      </c>
      <c r="E9" s="32">
        <v>174</v>
      </c>
    </row>
    <row r="10" spans="1:5" x14ac:dyDescent="0.25">
      <c r="A10" s="7">
        <v>109</v>
      </c>
      <c r="B10" s="26">
        <v>43408.357638888891</v>
      </c>
      <c r="D10" s="31" t="s">
        <v>4</v>
      </c>
      <c r="E10" s="32">
        <v>69.099999999999994</v>
      </c>
    </row>
    <row r="11" spans="1:5" x14ac:dyDescent="0.25">
      <c r="A11" s="7">
        <v>116</v>
      </c>
      <c r="B11" s="26">
        <v>43409.426388888889</v>
      </c>
      <c r="D11" s="31" t="s">
        <v>11</v>
      </c>
      <c r="E11" s="33">
        <v>6.76</v>
      </c>
    </row>
    <row r="12" spans="1:5" x14ac:dyDescent="0.25">
      <c r="A12" s="7">
        <v>117</v>
      </c>
      <c r="B12" s="26">
        <v>43410.426388888889</v>
      </c>
      <c r="D12" s="31" t="s">
        <v>12</v>
      </c>
      <c r="E12" s="33">
        <v>6.49</v>
      </c>
    </row>
    <row r="13" spans="1:5" x14ac:dyDescent="0.25">
      <c r="A13" s="7">
        <v>119</v>
      </c>
      <c r="B13" s="26">
        <v>43410.674305555556</v>
      </c>
      <c r="D13" s="31" t="s">
        <v>14</v>
      </c>
      <c r="E13" s="32">
        <v>686</v>
      </c>
    </row>
    <row r="14" spans="1:5" x14ac:dyDescent="0.25">
      <c r="A14" s="7">
        <v>120</v>
      </c>
      <c r="B14" s="26">
        <v>43410.843055555553</v>
      </c>
      <c r="D14" s="31" t="s">
        <v>15</v>
      </c>
      <c r="E14" s="32">
        <v>177</v>
      </c>
    </row>
    <row r="15" spans="1:5" x14ac:dyDescent="0.25">
      <c r="A15" s="7">
        <v>121</v>
      </c>
      <c r="B15" s="26">
        <v>43411.09375</v>
      </c>
      <c r="D15" s="31" t="s">
        <v>16</v>
      </c>
      <c r="E15" s="32">
        <v>53.8</v>
      </c>
    </row>
    <row r="16" spans="1:5" x14ac:dyDescent="0.25">
      <c r="A16" s="7">
        <v>122</v>
      </c>
      <c r="B16" s="26">
        <v>43411.327777777777</v>
      </c>
      <c r="D16" s="31" t="s">
        <v>17</v>
      </c>
      <c r="E16" s="32">
        <v>28.8</v>
      </c>
    </row>
    <row r="17" spans="1:5" x14ac:dyDescent="0.25">
      <c r="A17" s="7">
        <v>118</v>
      </c>
      <c r="B17" s="26">
        <v>43411.426388888889</v>
      </c>
      <c r="D17" s="31" t="s">
        <v>13</v>
      </c>
      <c r="E17" s="32">
        <v>139</v>
      </c>
    </row>
    <row r="18" spans="1:5" x14ac:dyDescent="0.25">
      <c r="A18" s="7">
        <v>123</v>
      </c>
      <c r="B18" s="26">
        <v>43412.404166666667</v>
      </c>
      <c r="D18" s="31" t="s">
        <v>18</v>
      </c>
      <c r="E18" s="33">
        <v>1.96</v>
      </c>
    </row>
    <row r="19" spans="1:5" x14ac:dyDescent="0.25">
      <c r="A19" s="7">
        <v>124</v>
      </c>
      <c r="B19" s="26">
        <v>43413.404166666667</v>
      </c>
      <c r="D19" s="31" t="s">
        <v>19</v>
      </c>
      <c r="E19" s="32">
        <v>3.2</v>
      </c>
    </row>
    <row r="20" spans="1:5" x14ac:dyDescent="0.25">
      <c r="A20" s="7">
        <v>128</v>
      </c>
      <c r="B20" s="26">
        <v>43413.928472222222</v>
      </c>
      <c r="D20" s="31" t="s">
        <v>23</v>
      </c>
      <c r="E20" s="32">
        <v>400</v>
      </c>
    </row>
    <row r="21" spans="1:5" x14ac:dyDescent="0.25">
      <c r="A21" s="7">
        <v>129</v>
      </c>
      <c r="B21" s="26">
        <v>43413.987500000003</v>
      </c>
      <c r="D21" s="31" t="s">
        <v>24</v>
      </c>
      <c r="E21" s="32">
        <v>556</v>
      </c>
    </row>
    <row r="22" spans="1:5" x14ac:dyDescent="0.25">
      <c r="A22" s="7">
        <v>130</v>
      </c>
      <c r="B22" s="26">
        <v>43414.071527777778</v>
      </c>
      <c r="D22" s="31" t="s">
        <v>25</v>
      </c>
      <c r="E22" s="32">
        <v>412</v>
      </c>
    </row>
    <row r="23" spans="1:5" x14ac:dyDescent="0.25">
      <c r="A23" s="7">
        <v>131</v>
      </c>
      <c r="B23" s="26">
        <v>43414.237500000003</v>
      </c>
      <c r="D23" s="31" t="s">
        <v>26</v>
      </c>
      <c r="E23" s="32">
        <v>257</v>
      </c>
    </row>
    <row r="24" spans="1:5" x14ac:dyDescent="0.25">
      <c r="A24" s="7">
        <v>125</v>
      </c>
      <c r="B24" s="26">
        <v>43414.404166666667</v>
      </c>
      <c r="D24" s="31" t="s">
        <v>20</v>
      </c>
      <c r="E24" s="32">
        <v>188</v>
      </c>
    </row>
    <row r="25" spans="1:5" x14ac:dyDescent="0.25">
      <c r="A25" s="7">
        <v>132</v>
      </c>
      <c r="B25" s="26">
        <v>43414.404861111114</v>
      </c>
      <c r="D25" s="31" t="s">
        <v>27</v>
      </c>
      <c r="E25" s="32">
        <v>160</v>
      </c>
    </row>
    <row r="26" spans="1:5" x14ac:dyDescent="0.25">
      <c r="A26" s="7">
        <v>133</v>
      </c>
      <c r="B26" s="26">
        <v>43414.570833333331</v>
      </c>
      <c r="D26" s="31" t="s">
        <v>28</v>
      </c>
      <c r="E26" s="32">
        <v>79.5</v>
      </c>
    </row>
    <row r="27" spans="1:5" x14ac:dyDescent="0.25">
      <c r="A27" s="7">
        <v>134</v>
      </c>
      <c r="B27" s="26">
        <v>43414.820833333331</v>
      </c>
      <c r="D27" s="31" t="s">
        <v>29</v>
      </c>
      <c r="E27" s="32">
        <v>30.2</v>
      </c>
    </row>
    <row r="28" spans="1:5" x14ac:dyDescent="0.25">
      <c r="A28" s="7">
        <v>126</v>
      </c>
      <c r="B28" s="26">
        <v>43415.404166666667</v>
      </c>
      <c r="D28" s="31" t="s">
        <v>21</v>
      </c>
      <c r="E28" s="32">
        <v>27.7</v>
      </c>
    </row>
    <row r="29" spans="1:5" x14ac:dyDescent="0.25">
      <c r="A29" s="7">
        <v>127</v>
      </c>
      <c r="B29" s="26">
        <v>43416.404166666667</v>
      </c>
      <c r="D29" s="31" t="s">
        <v>22</v>
      </c>
      <c r="E29" s="33">
        <v>0.35899999999999999</v>
      </c>
    </row>
    <row r="30" spans="1:5" x14ac:dyDescent="0.25">
      <c r="A30" s="7">
        <v>135</v>
      </c>
      <c r="B30" s="26">
        <v>43417.416666666664</v>
      </c>
      <c r="D30" s="31" t="s">
        <v>30</v>
      </c>
      <c r="E30" s="32">
        <v>19.399999999999999</v>
      </c>
    </row>
    <row r="31" spans="1:5" x14ac:dyDescent="0.25">
      <c r="A31" s="7">
        <v>137</v>
      </c>
      <c r="B31" s="26">
        <v>43417.716666666667</v>
      </c>
      <c r="D31" s="31" t="s">
        <v>32</v>
      </c>
      <c r="E31" s="32">
        <v>332</v>
      </c>
    </row>
    <row r="32" spans="1:5" x14ac:dyDescent="0.25">
      <c r="A32" s="7">
        <v>139</v>
      </c>
      <c r="B32" s="26">
        <v>43417.741666666669</v>
      </c>
      <c r="D32" s="31" t="s">
        <v>34</v>
      </c>
      <c r="E32" s="32">
        <v>303</v>
      </c>
    </row>
    <row r="33" spans="1:5" x14ac:dyDescent="0.25">
      <c r="A33" s="7">
        <v>138</v>
      </c>
      <c r="B33" s="26">
        <v>43417.75</v>
      </c>
      <c r="D33" s="31" t="s">
        <v>33</v>
      </c>
      <c r="E33" s="32">
        <v>299</v>
      </c>
    </row>
    <row r="34" spans="1:5" x14ac:dyDescent="0.25">
      <c r="A34" s="7">
        <v>140</v>
      </c>
      <c r="B34" s="26">
        <v>43418</v>
      </c>
      <c r="D34" s="31" t="s">
        <v>35</v>
      </c>
      <c r="E34" s="32">
        <v>129</v>
      </c>
    </row>
    <row r="35" spans="1:5" x14ac:dyDescent="0.25">
      <c r="A35" s="7">
        <v>136</v>
      </c>
      <c r="B35" s="26">
        <v>43418.416666666664</v>
      </c>
      <c r="D35" s="31" t="s">
        <v>31</v>
      </c>
      <c r="E35" s="32">
        <v>218</v>
      </c>
    </row>
    <row r="36" spans="1:5" x14ac:dyDescent="0.25">
      <c r="A36" s="7">
        <v>141</v>
      </c>
      <c r="B36" s="26">
        <v>43423.456944444442</v>
      </c>
      <c r="D36" s="31" t="s">
        <v>36</v>
      </c>
      <c r="E36" s="32">
        <v>128</v>
      </c>
    </row>
    <row r="37" spans="1:5" x14ac:dyDescent="0.25">
      <c r="A37" s="7">
        <v>142</v>
      </c>
      <c r="B37" s="26">
        <v>43424.456944444442</v>
      </c>
      <c r="D37" s="31" t="s">
        <v>37</v>
      </c>
      <c r="E37" s="33">
        <v>60</v>
      </c>
    </row>
    <row r="38" spans="1:5" x14ac:dyDescent="0.25">
      <c r="A38" s="7">
        <v>143</v>
      </c>
      <c r="B38" s="26">
        <v>43429.456944444442</v>
      </c>
      <c r="D38" s="31" t="s">
        <v>38</v>
      </c>
      <c r="E38" s="32">
        <v>490</v>
      </c>
    </row>
    <row r="39" spans="1:5" x14ac:dyDescent="0.25">
      <c r="A39" s="7">
        <v>144</v>
      </c>
      <c r="B39" s="26">
        <v>43430.456944444442</v>
      </c>
      <c r="D39" s="31" t="s">
        <v>39</v>
      </c>
      <c r="E39" s="32">
        <v>225</v>
      </c>
    </row>
    <row r="40" spans="1:5" x14ac:dyDescent="0.25">
      <c r="A40" s="7">
        <v>149</v>
      </c>
      <c r="B40" s="26">
        <v>43430.522916666669</v>
      </c>
      <c r="D40" s="31" t="s">
        <v>44</v>
      </c>
      <c r="E40" s="33">
        <v>85</v>
      </c>
    </row>
    <row r="41" spans="1:5" x14ac:dyDescent="0.25">
      <c r="A41" s="7">
        <v>150</v>
      </c>
      <c r="B41" s="26">
        <v>43430.537499999999</v>
      </c>
      <c r="D41" s="31" t="s">
        <v>45</v>
      </c>
      <c r="E41" s="32">
        <v>86.9</v>
      </c>
    </row>
    <row r="42" spans="1:5" x14ac:dyDescent="0.25">
      <c r="A42" s="7">
        <v>151</v>
      </c>
      <c r="B42" s="26">
        <v>43430.557638888888</v>
      </c>
      <c r="D42" s="31" t="s">
        <v>46</v>
      </c>
      <c r="E42" s="32">
        <v>88.2</v>
      </c>
    </row>
    <row r="43" spans="1:5" x14ac:dyDescent="0.25">
      <c r="A43" s="7">
        <v>145</v>
      </c>
      <c r="B43" s="26">
        <v>43431.456944444442</v>
      </c>
      <c r="D43" s="31" t="s">
        <v>40</v>
      </c>
      <c r="E43" s="32">
        <v>228</v>
      </c>
    </row>
    <row r="44" spans="1:5" x14ac:dyDescent="0.25">
      <c r="A44" s="7">
        <v>146</v>
      </c>
      <c r="B44" s="26">
        <v>43432.456944444442</v>
      </c>
      <c r="D44" s="31" t="s">
        <v>41</v>
      </c>
      <c r="E44" s="32">
        <v>129</v>
      </c>
    </row>
    <row r="45" spans="1:5" x14ac:dyDescent="0.25">
      <c r="A45" s="7">
        <v>147</v>
      </c>
      <c r="B45" s="26">
        <v>43433.456944444442</v>
      </c>
      <c r="D45" s="31" t="s">
        <v>42</v>
      </c>
      <c r="E45" s="32">
        <v>178</v>
      </c>
    </row>
    <row r="46" spans="1:5" x14ac:dyDescent="0.25">
      <c r="A46" s="7">
        <v>148</v>
      </c>
      <c r="B46" s="26">
        <v>43434.456944444442</v>
      </c>
      <c r="D46" s="31" t="s">
        <v>43</v>
      </c>
      <c r="E46" s="32">
        <v>175</v>
      </c>
    </row>
    <row r="47" spans="1:5" x14ac:dyDescent="0.25">
      <c r="A47" s="7">
        <v>152</v>
      </c>
      <c r="B47" s="26">
        <v>43437.461805555555</v>
      </c>
      <c r="D47" s="31" t="s">
        <v>47</v>
      </c>
      <c r="E47" s="32">
        <v>280</v>
      </c>
    </row>
    <row r="48" spans="1:5" x14ac:dyDescent="0.25">
      <c r="A48" s="7">
        <v>153</v>
      </c>
      <c r="B48" s="26">
        <v>43438.583333333336</v>
      </c>
      <c r="D48" s="31" t="s">
        <v>48</v>
      </c>
      <c r="E48" s="32">
        <v>9.51</v>
      </c>
    </row>
    <row r="49" spans="1:5" x14ac:dyDescent="0.25">
      <c r="A49" s="7">
        <v>154</v>
      </c>
      <c r="B49" s="26">
        <v>43444.572222222225</v>
      </c>
      <c r="D49" s="31" t="s">
        <v>49</v>
      </c>
      <c r="E49" s="32">
        <v>12.1</v>
      </c>
    </row>
    <row r="50" spans="1:5" x14ac:dyDescent="0.25">
      <c r="A50" s="7">
        <v>154.5</v>
      </c>
      <c r="B50" s="26">
        <v>43445.583333333336</v>
      </c>
      <c r="D50" s="31"/>
      <c r="E50" s="32"/>
    </row>
    <row r="51" spans="1:5" x14ac:dyDescent="0.25">
      <c r="A51" s="7">
        <v>155</v>
      </c>
      <c r="B51" s="26">
        <v>43447.416666666664</v>
      </c>
      <c r="D51" s="31"/>
      <c r="E51" s="32"/>
    </row>
    <row r="52" spans="1:5" x14ac:dyDescent="0.25">
      <c r="A52" s="27">
        <v>156</v>
      </c>
      <c r="B52" s="26">
        <v>43448.17291666667</v>
      </c>
      <c r="D52" s="31" t="s">
        <v>50</v>
      </c>
      <c r="E52" s="32">
        <v>11.5</v>
      </c>
    </row>
    <row r="53" spans="1:5" x14ac:dyDescent="0.25">
      <c r="A53" s="27">
        <v>157</v>
      </c>
      <c r="B53" s="26">
        <v>43449.17291666667</v>
      </c>
      <c r="D53" s="31" t="s">
        <v>51</v>
      </c>
      <c r="E53" s="32">
        <v>13.8</v>
      </c>
    </row>
    <row r="54" spans="1:5" x14ac:dyDescent="0.25">
      <c r="A54" s="27">
        <v>158</v>
      </c>
      <c r="B54" s="26">
        <v>43451.17291666667</v>
      </c>
      <c r="D54" s="31" t="s">
        <v>52</v>
      </c>
      <c r="E54" s="32">
        <v>6.76</v>
      </c>
    </row>
    <row r="55" spans="1:5" x14ac:dyDescent="0.25">
      <c r="A55" s="27">
        <v>158.5</v>
      </c>
      <c r="B55" s="26">
        <v>43454.623611111114</v>
      </c>
      <c r="D55" s="31" t="s">
        <v>53</v>
      </c>
      <c r="E55" s="32">
        <v>17.600000000000001</v>
      </c>
    </row>
    <row r="56" spans="1:5" x14ac:dyDescent="0.25">
      <c r="A56" s="27">
        <v>159</v>
      </c>
      <c r="B56" s="26">
        <v>43455.43472222222</v>
      </c>
      <c r="D56" s="31" t="s">
        <v>54</v>
      </c>
      <c r="E56" s="32">
        <v>231</v>
      </c>
    </row>
    <row r="57" spans="1:5" x14ac:dyDescent="0.25">
      <c r="A57" s="27">
        <v>160</v>
      </c>
      <c r="B57" s="26">
        <v>43455.436805555553</v>
      </c>
      <c r="D57" s="31" t="s">
        <v>55</v>
      </c>
      <c r="E57" s="32">
        <v>277</v>
      </c>
    </row>
    <row r="58" spans="1:5" x14ac:dyDescent="0.25">
      <c r="A58" s="27">
        <v>161</v>
      </c>
      <c r="B58" s="26">
        <v>43455.456944444442</v>
      </c>
      <c r="D58" s="31" t="s">
        <v>56</v>
      </c>
      <c r="E58" s="32">
        <v>414</v>
      </c>
    </row>
    <row r="59" spans="1:5" x14ac:dyDescent="0.25">
      <c r="A59" s="27">
        <v>162</v>
      </c>
      <c r="B59" s="26">
        <v>43455.540277777778</v>
      </c>
      <c r="D59" s="31" t="s">
        <v>57</v>
      </c>
      <c r="E59" s="32">
        <v>518</v>
      </c>
    </row>
    <row r="60" spans="1:5" x14ac:dyDescent="0.25">
      <c r="A60" s="27">
        <v>162.5</v>
      </c>
      <c r="B60" s="26">
        <v>43455.623611111114</v>
      </c>
      <c r="D60" s="31" t="s">
        <v>58</v>
      </c>
      <c r="E60" s="32">
        <v>434</v>
      </c>
    </row>
    <row r="61" spans="1:5" x14ac:dyDescent="0.25">
      <c r="A61" s="27">
        <v>163</v>
      </c>
      <c r="B61" s="26">
        <v>43455.624305555553</v>
      </c>
      <c r="D61" s="31" t="s">
        <v>59</v>
      </c>
      <c r="E61" s="32">
        <v>548</v>
      </c>
    </row>
    <row r="62" spans="1:5" x14ac:dyDescent="0.25">
      <c r="A62" s="27">
        <v>164</v>
      </c>
      <c r="B62" s="26">
        <v>43455.706944444442</v>
      </c>
      <c r="D62" s="31" t="s">
        <v>60</v>
      </c>
      <c r="E62" s="32">
        <v>468</v>
      </c>
    </row>
    <row r="63" spans="1:5" x14ac:dyDescent="0.25">
      <c r="A63" s="27">
        <v>165</v>
      </c>
      <c r="B63" s="26">
        <v>43455.790277777778</v>
      </c>
      <c r="D63" s="31" t="s">
        <v>61</v>
      </c>
      <c r="E63" s="32">
        <v>369</v>
      </c>
    </row>
    <row r="64" spans="1:5" x14ac:dyDescent="0.25">
      <c r="A64" s="27">
        <v>166</v>
      </c>
      <c r="B64" s="26">
        <v>43455.873611111114</v>
      </c>
      <c r="D64" s="31" t="s">
        <v>62</v>
      </c>
      <c r="E64" s="32">
        <v>294</v>
      </c>
    </row>
    <row r="65" spans="1:5" x14ac:dyDescent="0.25">
      <c r="A65" s="27">
        <v>167</v>
      </c>
      <c r="B65" s="26">
        <v>43455.956944444442</v>
      </c>
      <c r="D65" s="31" t="s">
        <v>63</v>
      </c>
      <c r="E65" s="32">
        <v>290</v>
      </c>
    </row>
    <row r="66" spans="1:5" x14ac:dyDescent="0.25">
      <c r="A66" s="27">
        <v>168</v>
      </c>
      <c r="B66" s="26">
        <v>43456.040277777778</v>
      </c>
      <c r="D66" s="31" t="s">
        <v>64</v>
      </c>
      <c r="E66" s="32">
        <v>279</v>
      </c>
    </row>
    <row r="67" spans="1:5" x14ac:dyDescent="0.25">
      <c r="A67" s="27">
        <v>169</v>
      </c>
      <c r="B67" s="26">
        <v>43456.123611111114</v>
      </c>
      <c r="D67" s="31" t="s">
        <v>65</v>
      </c>
      <c r="E67" s="32">
        <v>574</v>
      </c>
    </row>
    <row r="68" spans="1:5" x14ac:dyDescent="0.25">
      <c r="A68" s="27">
        <v>170</v>
      </c>
      <c r="B68" s="26">
        <v>43456.206944444442</v>
      </c>
      <c r="D68" s="31" t="s">
        <v>66</v>
      </c>
      <c r="E68" s="32">
        <v>455</v>
      </c>
    </row>
    <row r="69" spans="1:5" x14ac:dyDescent="0.25">
      <c r="A69" s="27">
        <v>170.5</v>
      </c>
      <c r="B69" s="26">
        <v>43456.623611111114</v>
      </c>
      <c r="D69" s="31" t="s">
        <v>67</v>
      </c>
      <c r="E69" s="32">
        <v>267</v>
      </c>
    </row>
    <row r="70" spans="1:5" x14ac:dyDescent="0.25">
      <c r="A70" s="7">
        <v>171</v>
      </c>
      <c r="B70" s="26">
        <v>43463.458333333336</v>
      </c>
      <c r="D70" s="34" t="s">
        <v>68</v>
      </c>
      <c r="E70" s="35">
        <v>153</v>
      </c>
    </row>
    <row r="71" spans="1:5" x14ac:dyDescent="0.25">
      <c r="A71" s="7">
        <v>172</v>
      </c>
      <c r="B71" s="26">
        <v>43464.52847222222</v>
      </c>
      <c r="D71" s="31" t="s">
        <v>69</v>
      </c>
      <c r="E71" s="32">
        <v>16.3</v>
      </c>
    </row>
    <row r="72" spans="1:5" x14ac:dyDescent="0.25">
      <c r="A72" s="7">
        <v>173</v>
      </c>
      <c r="B72" s="26">
        <v>43465.618055555555</v>
      </c>
      <c r="D72" s="31" t="s">
        <v>70</v>
      </c>
      <c r="E72" s="32">
        <v>15.9</v>
      </c>
    </row>
    <row r="73" spans="1:5" x14ac:dyDescent="0.25">
      <c r="A73" s="7">
        <v>175</v>
      </c>
      <c r="B73" s="26">
        <v>43466.148611111108</v>
      </c>
      <c r="D73" s="31" t="s">
        <v>72</v>
      </c>
      <c r="E73" s="32">
        <v>79.2</v>
      </c>
    </row>
    <row r="74" spans="1:5" x14ac:dyDescent="0.25">
      <c r="A74" s="7">
        <v>176</v>
      </c>
      <c r="B74" s="26">
        <v>43466.152083333334</v>
      </c>
      <c r="D74" s="31" t="s">
        <v>73</v>
      </c>
      <c r="E74" s="32">
        <v>75.900000000000006</v>
      </c>
    </row>
    <row r="75" spans="1:5" x14ac:dyDescent="0.25">
      <c r="A75" s="7">
        <v>177</v>
      </c>
      <c r="B75" s="26">
        <v>43466.166666666664</v>
      </c>
      <c r="D75" s="31" t="s">
        <v>74</v>
      </c>
      <c r="E75" s="32">
        <v>228</v>
      </c>
    </row>
    <row r="76" spans="1:5" x14ac:dyDescent="0.25">
      <c r="A76" s="7">
        <v>178</v>
      </c>
      <c r="B76" s="26">
        <v>43466.25</v>
      </c>
      <c r="D76" s="31" t="s">
        <v>75</v>
      </c>
      <c r="E76" s="32">
        <v>475</v>
      </c>
    </row>
    <row r="77" spans="1:5" x14ac:dyDescent="0.25">
      <c r="A77" s="7">
        <v>179</v>
      </c>
      <c r="B77" s="26">
        <v>43466.333333333336</v>
      </c>
      <c r="D77" s="31" t="s">
        <v>76</v>
      </c>
      <c r="E77" s="32">
        <v>503</v>
      </c>
    </row>
    <row r="78" spans="1:5" x14ac:dyDescent="0.25">
      <c r="A78" s="7">
        <v>180</v>
      </c>
      <c r="B78" s="26">
        <v>43466.416666666664</v>
      </c>
      <c r="D78" s="31" t="s">
        <v>77</v>
      </c>
      <c r="E78" s="32">
        <v>488</v>
      </c>
    </row>
    <row r="79" spans="1:5" x14ac:dyDescent="0.25">
      <c r="A79" s="7">
        <v>181</v>
      </c>
      <c r="B79" s="26">
        <v>43466.5</v>
      </c>
      <c r="D79" s="31" t="s">
        <v>78</v>
      </c>
      <c r="E79" s="32">
        <v>486</v>
      </c>
    </row>
    <row r="80" spans="1:5" x14ac:dyDescent="0.25">
      <c r="A80" s="7">
        <v>182</v>
      </c>
      <c r="B80" s="26">
        <v>43466.583333333336</v>
      </c>
      <c r="D80" s="31" t="s">
        <v>79</v>
      </c>
      <c r="E80" s="32">
        <v>403</v>
      </c>
    </row>
    <row r="81" spans="1:5" x14ac:dyDescent="0.25">
      <c r="A81" s="7">
        <v>183</v>
      </c>
      <c r="B81" s="26">
        <v>43466.666666666664</v>
      </c>
      <c r="D81" s="31" t="s">
        <v>80</v>
      </c>
      <c r="E81" s="32">
        <v>294</v>
      </c>
    </row>
    <row r="82" spans="1:5" x14ac:dyDescent="0.25">
      <c r="A82" s="7">
        <v>184</v>
      </c>
      <c r="B82" s="26">
        <v>43466.75</v>
      </c>
      <c r="D82" s="31" t="s">
        <v>81</v>
      </c>
      <c r="E82" s="32">
        <v>184</v>
      </c>
    </row>
    <row r="83" spans="1:5" x14ac:dyDescent="0.25">
      <c r="A83" s="7">
        <v>185</v>
      </c>
      <c r="B83" s="26">
        <v>43466.833333333336</v>
      </c>
      <c r="D83" s="31" t="s">
        <v>82</v>
      </c>
      <c r="E83" s="32">
        <v>104</v>
      </c>
    </row>
    <row r="84" spans="1:5" x14ac:dyDescent="0.25">
      <c r="A84" s="7">
        <v>174</v>
      </c>
      <c r="B84" s="26">
        <v>43478.581250000003</v>
      </c>
      <c r="D84" s="31" t="s">
        <v>71</v>
      </c>
      <c r="E84" s="33">
        <v>5.61</v>
      </c>
    </row>
    <row r="85" spans="1:5" x14ac:dyDescent="0.25">
      <c r="A85" s="7">
        <v>186</v>
      </c>
      <c r="B85" s="28">
        <v>43491</v>
      </c>
      <c r="D85" s="36" t="s">
        <v>86</v>
      </c>
      <c r="E85" s="19">
        <v>147</v>
      </c>
    </row>
    <row r="86" spans="1:5" x14ac:dyDescent="0.25">
      <c r="A86" s="7">
        <v>187</v>
      </c>
      <c r="B86" s="28">
        <v>43497</v>
      </c>
      <c r="D86" s="36" t="s">
        <v>87</v>
      </c>
      <c r="E86" s="19">
        <v>12.4</v>
      </c>
    </row>
    <row r="87" spans="1:5" x14ac:dyDescent="0.25">
      <c r="A87" s="7">
        <v>188</v>
      </c>
      <c r="B87" s="26">
        <v>43506.577777777777</v>
      </c>
      <c r="D87" s="36" t="s">
        <v>88</v>
      </c>
      <c r="E87" s="19">
        <v>9.6999999999999993</v>
      </c>
    </row>
    <row r="88" spans="1:5" x14ac:dyDescent="0.25">
      <c r="A88" s="7">
        <v>189</v>
      </c>
      <c r="B88" s="26">
        <v>43516.662499999999</v>
      </c>
      <c r="D88" s="36" t="s">
        <v>89</v>
      </c>
      <c r="E88" s="19">
        <v>19</v>
      </c>
    </row>
    <row r="89" spans="1:5" x14ac:dyDescent="0.25">
      <c r="A89" s="7">
        <v>191</v>
      </c>
      <c r="B89" s="26">
        <v>43520.861805555556</v>
      </c>
      <c r="D89" s="36" t="s">
        <v>91</v>
      </c>
      <c r="E89" s="19">
        <v>247</v>
      </c>
    </row>
    <row r="90" spans="1:5" x14ac:dyDescent="0.25">
      <c r="A90" s="7">
        <v>192</v>
      </c>
      <c r="B90" s="26">
        <v>43520.870833333334</v>
      </c>
      <c r="D90" s="36" t="s">
        <v>92</v>
      </c>
      <c r="E90" s="19">
        <v>203</v>
      </c>
    </row>
    <row r="91" spans="1:5" x14ac:dyDescent="0.25">
      <c r="A91" s="7">
        <v>193</v>
      </c>
      <c r="B91" s="26">
        <v>43520.916666666664</v>
      </c>
      <c r="D91" s="36" t="s">
        <v>93</v>
      </c>
      <c r="E91" s="19">
        <v>239</v>
      </c>
    </row>
    <row r="92" spans="1:5" x14ac:dyDescent="0.25">
      <c r="A92" s="7">
        <v>194</v>
      </c>
      <c r="B92" s="26">
        <v>43521</v>
      </c>
      <c r="D92" s="36" t="s">
        <v>94</v>
      </c>
      <c r="E92" s="19">
        <v>280</v>
      </c>
    </row>
    <row r="93" spans="1:5" x14ac:dyDescent="0.25">
      <c r="A93" s="7">
        <v>195</v>
      </c>
      <c r="B93" s="26">
        <v>43521.083333333336</v>
      </c>
      <c r="D93" s="36" t="s">
        <v>95</v>
      </c>
      <c r="E93" s="19">
        <v>321</v>
      </c>
    </row>
    <row r="94" spans="1:5" x14ac:dyDescent="0.25">
      <c r="A94" s="7">
        <v>196</v>
      </c>
      <c r="B94" s="26">
        <v>43521.166666666664</v>
      </c>
      <c r="D94" s="36" t="s">
        <v>96</v>
      </c>
      <c r="E94" s="19">
        <v>338</v>
      </c>
    </row>
    <row r="95" spans="1:5" x14ac:dyDescent="0.25">
      <c r="A95" s="7">
        <v>197</v>
      </c>
      <c r="B95" s="26">
        <v>43521.25</v>
      </c>
      <c r="D95" s="36" t="s">
        <v>97</v>
      </c>
      <c r="E95" s="19">
        <v>345</v>
      </c>
    </row>
    <row r="96" spans="1:5" x14ac:dyDescent="0.25">
      <c r="A96" s="7">
        <v>198</v>
      </c>
      <c r="B96" s="26">
        <v>43521.333333333336</v>
      </c>
      <c r="D96" s="36" t="s">
        <v>98</v>
      </c>
      <c r="E96" s="19">
        <v>365</v>
      </c>
    </row>
    <row r="97" spans="1:5" x14ac:dyDescent="0.25">
      <c r="A97" s="7">
        <v>199</v>
      </c>
      <c r="B97" s="26">
        <v>43521.367361111108</v>
      </c>
      <c r="D97" s="36" t="s">
        <v>99</v>
      </c>
      <c r="E97" s="19">
        <v>354</v>
      </c>
    </row>
    <row r="98" spans="1:5" x14ac:dyDescent="0.25">
      <c r="A98" s="7">
        <v>190</v>
      </c>
      <c r="B98" s="26">
        <v>43523.604861111111</v>
      </c>
      <c r="D98" s="36" t="s">
        <v>90</v>
      </c>
      <c r="E98" s="19">
        <v>31.4</v>
      </c>
    </row>
    <row r="99" spans="1:5" x14ac:dyDescent="0.25">
      <c r="A99" s="7">
        <v>201</v>
      </c>
      <c r="B99" s="26">
        <v>43538.543055555558</v>
      </c>
      <c r="D99" s="18" t="s">
        <v>120</v>
      </c>
      <c r="E99" s="19">
        <v>336</v>
      </c>
    </row>
    <row r="100" spans="1:5" x14ac:dyDescent="0.25">
      <c r="A100" s="7">
        <v>202</v>
      </c>
      <c r="B100" s="26">
        <v>43538.628472222219</v>
      </c>
      <c r="D100" s="20" t="s">
        <v>121</v>
      </c>
      <c r="E100" s="19">
        <v>402</v>
      </c>
    </row>
    <row r="101" spans="1:5" x14ac:dyDescent="0.25">
      <c r="A101" s="7">
        <v>203</v>
      </c>
      <c r="B101" s="26">
        <v>43538.878472222219</v>
      </c>
      <c r="D101" s="20" t="s">
        <v>122</v>
      </c>
      <c r="E101" s="19">
        <v>374</v>
      </c>
    </row>
    <row r="102" spans="1:5" x14ac:dyDescent="0.25">
      <c r="A102" s="7">
        <v>204</v>
      </c>
      <c r="B102" s="26">
        <v>43539.128472222219</v>
      </c>
      <c r="D102" s="20" t="s">
        <v>123</v>
      </c>
      <c r="E102" s="19">
        <v>404</v>
      </c>
    </row>
    <row r="103" spans="1:5" x14ac:dyDescent="0.25">
      <c r="A103" s="7">
        <v>205</v>
      </c>
      <c r="B103" s="26">
        <v>43539.378472222219</v>
      </c>
      <c r="D103" s="20" t="s">
        <v>124</v>
      </c>
      <c r="E103" s="19">
        <v>572</v>
      </c>
    </row>
    <row r="104" spans="1:5" x14ac:dyDescent="0.25">
      <c r="A104" s="7">
        <v>206</v>
      </c>
      <c r="B104" s="26">
        <v>43539.503472222219</v>
      </c>
      <c r="D104" s="20" t="s">
        <v>125</v>
      </c>
      <c r="E104" s="19">
        <v>772</v>
      </c>
    </row>
    <row r="105" spans="1:5" x14ac:dyDescent="0.25">
      <c r="A105" s="7">
        <v>207</v>
      </c>
      <c r="B105" s="26">
        <v>43539.628472222219</v>
      </c>
      <c r="D105" s="20" t="s">
        <v>126</v>
      </c>
      <c r="E105" s="19">
        <v>608</v>
      </c>
    </row>
    <row r="106" spans="1:5" x14ac:dyDescent="0.25">
      <c r="A106" s="7">
        <v>208</v>
      </c>
      <c r="B106" s="26">
        <v>43539.753472222219</v>
      </c>
      <c r="D106" s="20" t="s">
        <v>127</v>
      </c>
      <c r="E106" s="19">
        <v>382</v>
      </c>
    </row>
    <row r="107" spans="1:5" x14ac:dyDescent="0.25">
      <c r="A107" s="7">
        <v>209</v>
      </c>
      <c r="B107" s="26">
        <v>43539.878472222219</v>
      </c>
      <c r="D107" s="20" t="s">
        <v>128</v>
      </c>
      <c r="E107" s="19">
        <v>276</v>
      </c>
    </row>
    <row r="108" spans="1:5" x14ac:dyDescent="0.25">
      <c r="A108" s="7">
        <v>210</v>
      </c>
      <c r="B108" s="26">
        <v>43540.003472222219</v>
      </c>
      <c r="D108" s="20" t="s">
        <v>129</v>
      </c>
      <c r="E108" s="19">
        <v>208</v>
      </c>
    </row>
    <row r="109" spans="1:5" x14ac:dyDescent="0.25">
      <c r="A109" s="7">
        <v>211</v>
      </c>
      <c r="B109" s="26">
        <v>43540.253472222219</v>
      </c>
      <c r="D109" s="20" t="s">
        <v>130</v>
      </c>
      <c r="E109" s="19">
        <v>143</v>
      </c>
    </row>
    <row r="110" spans="1:5" x14ac:dyDescent="0.25">
      <c r="A110" s="7">
        <v>212</v>
      </c>
      <c r="B110" s="26">
        <v>43540.503472222219</v>
      </c>
      <c r="D110" s="20" t="s">
        <v>131</v>
      </c>
      <c r="E110" s="19">
        <v>140</v>
      </c>
    </row>
    <row r="111" spans="1:5" x14ac:dyDescent="0.25">
      <c r="A111" s="7">
        <v>213</v>
      </c>
      <c r="B111" s="26">
        <v>43541.503472222219</v>
      </c>
      <c r="D111" s="20" t="s">
        <v>132</v>
      </c>
      <c r="E111" s="19">
        <v>27.2</v>
      </c>
    </row>
    <row r="112" spans="1:5" x14ac:dyDescent="0.25">
      <c r="A112" s="29" t="s">
        <v>206</v>
      </c>
      <c r="B112" s="26">
        <v>43545.583333333336</v>
      </c>
      <c r="D112" s="22" t="s">
        <v>194</v>
      </c>
      <c r="E112" s="19">
        <v>13</v>
      </c>
    </row>
    <row r="113" spans="1:5" x14ac:dyDescent="0.25">
      <c r="A113" s="29" t="s">
        <v>207</v>
      </c>
      <c r="B113" s="26">
        <v>43546.583333333336</v>
      </c>
      <c r="D113" s="22" t="s">
        <v>195</v>
      </c>
      <c r="E113" s="19">
        <v>206</v>
      </c>
    </row>
    <row r="114" spans="1:5" x14ac:dyDescent="0.25">
      <c r="A114" s="29" t="s">
        <v>208</v>
      </c>
      <c r="B114" s="26">
        <v>43547.583333333336</v>
      </c>
      <c r="D114" s="22" t="s">
        <v>196</v>
      </c>
      <c r="E114" s="19">
        <v>216</v>
      </c>
    </row>
    <row r="115" spans="1:5" x14ac:dyDescent="0.25">
      <c r="A115" s="29" t="s">
        <v>209</v>
      </c>
      <c r="B115" s="26">
        <v>43548.583333333336</v>
      </c>
      <c r="D115" s="22" t="s">
        <v>197</v>
      </c>
      <c r="E115" s="19">
        <v>161</v>
      </c>
    </row>
    <row r="116" spans="1:5" x14ac:dyDescent="0.25">
      <c r="A116" s="7">
        <v>214</v>
      </c>
      <c r="B116" s="26">
        <v>43549.583333333336</v>
      </c>
      <c r="D116" s="20" t="s">
        <v>133</v>
      </c>
      <c r="E116" s="19">
        <v>66.2</v>
      </c>
    </row>
    <row r="117" spans="1:5" x14ac:dyDescent="0.25">
      <c r="A117" s="7">
        <v>215</v>
      </c>
      <c r="B117" s="26">
        <v>43550.583333333336</v>
      </c>
      <c r="D117" s="20" t="s">
        <v>134</v>
      </c>
      <c r="E117" s="19">
        <v>16.100000000000001</v>
      </c>
    </row>
    <row r="118" spans="1:5" x14ac:dyDescent="0.25">
      <c r="A118" s="7">
        <v>216</v>
      </c>
      <c r="B118" s="26">
        <v>43551.357638888891</v>
      </c>
      <c r="D118" s="18" t="s">
        <v>135</v>
      </c>
      <c r="E118" s="19">
        <v>14.9</v>
      </c>
    </row>
    <row r="119" spans="1:5" x14ac:dyDescent="0.25">
      <c r="A119" s="7">
        <v>217</v>
      </c>
      <c r="B119" s="26">
        <v>43553.583333333336</v>
      </c>
      <c r="D119" s="20" t="s">
        <v>136</v>
      </c>
      <c r="E119" s="19">
        <v>19</v>
      </c>
    </row>
    <row r="120" spans="1:5" x14ac:dyDescent="0.25">
      <c r="A120" s="7">
        <v>218</v>
      </c>
      <c r="B120" s="26">
        <v>43554.583333333336</v>
      </c>
      <c r="D120" s="20" t="s">
        <v>137</v>
      </c>
      <c r="E120" s="19">
        <v>24.3</v>
      </c>
    </row>
    <row r="121" spans="1:5" x14ac:dyDescent="0.25">
      <c r="A121" s="7">
        <v>219</v>
      </c>
      <c r="B121" s="26">
        <v>43554.936111111114</v>
      </c>
      <c r="D121" s="20" t="s">
        <v>138</v>
      </c>
      <c r="E121" s="19">
        <v>55.3</v>
      </c>
    </row>
    <row r="122" spans="1:5" x14ac:dyDescent="0.25">
      <c r="A122" s="7">
        <v>220</v>
      </c>
      <c r="B122" s="26">
        <v>43555.583333333336</v>
      </c>
      <c r="D122" s="20" t="s">
        <v>139</v>
      </c>
      <c r="E122" s="19">
        <v>62.1</v>
      </c>
    </row>
    <row r="123" spans="1:5" x14ac:dyDescent="0.25">
      <c r="A123" s="7">
        <v>221</v>
      </c>
      <c r="B123" s="26">
        <v>43556.583333333336</v>
      </c>
      <c r="D123" s="20" t="s">
        <v>140</v>
      </c>
      <c r="E123" s="19">
        <v>43.2</v>
      </c>
    </row>
    <row r="124" spans="1:5" x14ac:dyDescent="0.25">
      <c r="A124" s="7">
        <v>222</v>
      </c>
      <c r="B124" s="26">
        <v>43558.583333333336</v>
      </c>
      <c r="D124" s="20" t="s">
        <v>198</v>
      </c>
      <c r="E124" s="19">
        <v>11.5</v>
      </c>
    </row>
    <row r="125" spans="1:5" x14ac:dyDescent="0.25">
      <c r="A125" s="7">
        <v>223</v>
      </c>
      <c r="B125" s="26">
        <v>43561.583333333336</v>
      </c>
      <c r="D125" s="20" t="s">
        <v>199</v>
      </c>
      <c r="E125" s="19">
        <v>5.61</v>
      </c>
    </row>
    <row r="126" spans="1:5" x14ac:dyDescent="0.25">
      <c r="A126" s="7">
        <v>224</v>
      </c>
      <c r="B126" s="26">
        <v>43562.634027777778</v>
      </c>
      <c r="D126" s="20" t="s">
        <v>200</v>
      </c>
      <c r="E126" s="19">
        <v>8.2899999999999991</v>
      </c>
    </row>
    <row r="127" spans="1:5" x14ac:dyDescent="0.25">
      <c r="A127" s="7">
        <v>227</v>
      </c>
      <c r="B127" s="26">
        <v>43562.750694444447</v>
      </c>
      <c r="D127" s="7" t="s">
        <v>212</v>
      </c>
      <c r="E127" s="8">
        <v>22</v>
      </c>
    </row>
    <row r="128" spans="1:5" x14ac:dyDescent="0.25">
      <c r="A128" s="7">
        <v>229</v>
      </c>
      <c r="B128" s="26">
        <v>43564.617361111108</v>
      </c>
      <c r="D128" s="7" t="s">
        <v>214</v>
      </c>
      <c r="E128" s="8">
        <v>238</v>
      </c>
    </row>
    <row r="129" spans="1:7" x14ac:dyDescent="0.25">
      <c r="A129" s="7">
        <v>230</v>
      </c>
      <c r="B129" s="26">
        <v>43564.625694444447</v>
      </c>
      <c r="D129" s="7" t="s">
        <v>215</v>
      </c>
      <c r="E129" s="8">
        <v>444</v>
      </c>
    </row>
    <row r="130" spans="1:7" x14ac:dyDescent="0.25">
      <c r="A130" s="7">
        <v>228</v>
      </c>
      <c r="B130" s="26">
        <v>43564.750694444447</v>
      </c>
      <c r="D130" s="7" t="s">
        <v>213</v>
      </c>
      <c r="E130" s="8">
        <v>284</v>
      </c>
    </row>
    <row r="131" spans="1:7" x14ac:dyDescent="0.25">
      <c r="A131" s="7">
        <v>231</v>
      </c>
      <c r="B131" s="26">
        <v>43564.751388888886</v>
      </c>
      <c r="D131" s="7" t="s">
        <v>216</v>
      </c>
      <c r="E131" s="8">
        <v>259</v>
      </c>
    </row>
    <row r="132" spans="1:7" x14ac:dyDescent="0.25">
      <c r="A132" s="7">
        <v>232</v>
      </c>
      <c r="B132" s="26">
        <v>43564.875694444447</v>
      </c>
      <c r="D132" s="7" t="s">
        <v>217</v>
      </c>
      <c r="E132" s="8">
        <v>162</v>
      </c>
    </row>
    <row r="133" spans="1:7" x14ac:dyDescent="0.25">
      <c r="A133" s="7">
        <v>233</v>
      </c>
      <c r="B133" s="26">
        <v>43565.000694444447</v>
      </c>
      <c r="D133" s="7" t="s">
        <v>218</v>
      </c>
      <c r="E133" s="8">
        <v>126</v>
      </c>
    </row>
    <row r="134" spans="1:7" x14ac:dyDescent="0.25">
      <c r="A134" s="7">
        <v>234</v>
      </c>
      <c r="B134" s="26">
        <v>43565.125694444447</v>
      </c>
      <c r="D134" s="7" t="s">
        <v>219</v>
      </c>
      <c r="E134" s="8">
        <v>96.1</v>
      </c>
    </row>
    <row r="135" spans="1:7" x14ac:dyDescent="0.25">
      <c r="A135" s="7">
        <v>235</v>
      </c>
      <c r="B135" s="26">
        <v>43565.250694444447</v>
      </c>
      <c r="D135" s="7" t="s">
        <v>220</v>
      </c>
      <c r="E135" s="8">
        <v>77.599999999999994</v>
      </c>
    </row>
    <row r="136" spans="1:7" x14ac:dyDescent="0.25">
      <c r="A136" s="7">
        <v>226</v>
      </c>
      <c r="B136" s="26">
        <v>43566.751388888886</v>
      </c>
      <c r="D136" s="7" t="s">
        <v>211</v>
      </c>
      <c r="E136" s="8">
        <v>13.6</v>
      </c>
    </row>
    <row r="137" spans="1:7" x14ac:dyDescent="0.25">
      <c r="A137" s="7">
        <v>225</v>
      </c>
      <c r="B137" s="26">
        <v>43567.430555555555</v>
      </c>
      <c r="D137" s="7" t="s">
        <v>210</v>
      </c>
      <c r="E137" s="8">
        <v>13.5</v>
      </c>
    </row>
    <row r="138" spans="1:7" x14ac:dyDescent="0.25">
      <c r="A138" s="7">
        <v>237</v>
      </c>
      <c r="B138" s="26">
        <v>43567.465277777781</v>
      </c>
      <c r="D138" s="7" t="s">
        <v>222</v>
      </c>
      <c r="E138" s="8">
        <v>13.5</v>
      </c>
    </row>
    <row r="139" spans="1:7" x14ac:dyDescent="0.25">
      <c r="A139" s="7">
        <v>238</v>
      </c>
      <c r="B139" s="26">
        <v>43569.465277777781</v>
      </c>
      <c r="D139" s="7" t="s">
        <v>223</v>
      </c>
      <c r="E139" s="8">
        <v>17.8</v>
      </c>
    </row>
    <row r="140" spans="1:7" x14ac:dyDescent="0.25">
      <c r="A140" s="7">
        <v>241</v>
      </c>
      <c r="B140" s="26">
        <v>43570.198611111111</v>
      </c>
      <c r="D140" s="20"/>
      <c r="E140" s="19"/>
    </row>
    <row r="141" spans="1:7" x14ac:dyDescent="0.25">
      <c r="A141" s="7">
        <v>243</v>
      </c>
      <c r="B141" s="26">
        <v>43570.215277777781</v>
      </c>
      <c r="D141" s="20"/>
      <c r="E141" s="19"/>
    </row>
    <row r="142" spans="1:7" x14ac:dyDescent="0.25">
      <c r="A142" s="7">
        <v>244</v>
      </c>
      <c r="B142" s="26">
        <v>43570.340277777781</v>
      </c>
      <c r="D142" s="20"/>
      <c r="E142" s="19"/>
    </row>
    <row r="143" spans="1:7" x14ac:dyDescent="0.25">
      <c r="A143" s="7">
        <v>245</v>
      </c>
      <c r="B143" s="26">
        <v>43570.465277777781</v>
      </c>
      <c r="D143" s="20"/>
      <c r="E143" s="19"/>
      <c r="F143" s="20"/>
      <c r="G143" s="19"/>
    </row>
    <row r="144" spans="1:7" x14ac:dyDescent="0.25">
      <c r="A144" s="7">
        <v>246</v>
      </c>
      <c r="B144" s="26">
        <v>43570.590277777781</v>
      </c>
      <c r="D144" s="20"/>
      <c r="E144" s="19"/>
      <c r="F144" s="20"/>
      <c r="G144" s="19"/>
    </row>
    <row r="145" spans="1:7" x14ac:dyDescent="0.25">
      <c r="A145" s="7">
        <v>239</v>
      </c>
      <c r="B145" s="26">
        <v>43571.465277777781</v>
      </c>
      <c r="D145" s="7" t="s">
        <v>224</v>
      </c>
      <c r="E145" s="8">
        <v>25</v>
      </c>
      <c r="F145" s="20"/>
      <c r="G145" s="19"/>
    </row>
    <row r="146" spans="1:7" x14ac:dyDescent="0.25">
      <c r="A146" s="7">
        <v>240</v>
      </c>
      <c r="B146" s="26">
        <v>43573.465277777781</v>
      </c>
      <c r="D146" s="20"/>
      <c r="E146" s="19"/>
      <c r="F146" s="18"/>
      <c r="G146" s="19"/>
    </row>
    <row r="147" spans="1:7" x14ac:dyDescent="0.25">
      <c r="A147" s="7">
        <v>236</v>
      </c>
      <c r="B147" s="26">
        <v>43574.381944444445</v>
      </c>
      <c r="D147" s="7" t="s">
        <v>221</v>
      </c>
      <c r="E147" s="8">
        <v>13.1</v>
      </c>
      <c r="F147" s="20"/>
      <c r="G147" s="19"/>
    </row>
    <row r="148" spans="1:7" x14ac:dyDescent="0.25">
      <c r="A148" s="7">
        <v>247</v>
      </c>
      <c r="B148" s="26">
        <v>43575.068055555559</v>
      </c>
      <c r="D148" s="7" t="s">
        <v>225</v>
      </c>
      <c r="E148" s="8">
        <v>173</v>
      </c>
    </row>
    <row r="149" spans="1:7" x14ac:dyDescent="0.25">
      <c r="A149" s="7">
        <v>248</v>
      </c>
      <c r="B149" s="26">
        <v>43575.144444444442</v>
      </c>
      <c r="D149" s="20" t="s">
        <v>201</v>
      </c>
      <c r="E149" s="19">
        <v>709</v>
      </c>
    </row>
    <row r="150" spans="1:7" x14ac:dyDescent="0.25">
      <c r="A150" s="7">
        <v>249</v>
      </c>
      <c r="B150" s="26">
        <v>43575.269444444442</v>
      </c>
      <c r="D150" s="20" t="s">
        <v>202</v>
      </c>
      <c r="E150" s="19">
        <v>678</v>
      </c>
    </row>
    <row r="151" spans="1:7" x14ac:dyDescent="0.25">
      <c r="A151" s="7">
        <v>250</v>
      </c>
      <c r="B151" s="26">
        <v>43575.394444444442</v>
      </c>
      <c r="D151" s="20" t="s">
        <v>203</v>
      </c>
      <c r="E151" s="19">
        <v>327</v>
      </c>
    </row>
    <row r="152" spans="1:7" x14ac:dyDescent="0.25">
      <c r="A152" s="7">
        <v>251</v>
      </c>
      <c r="B152" s="26">
        <v>43575.519444444442</v>
      </c>
      <c r="D152" s="18" t="s">
        <v>204</v>
      </c>
      <c r="E152" s="19">
        <v>175</v>
      </c>
    </row>
    <row r="153" spans="1:7" x14ac:dyDescent="0.25">
      <c r="A153" s="7">
        <v>252</v>
      </c>
      <c r="B153" s="26">
        <v>43575.644444444442</v>
      </c>
      <c r="D153" s="20" t="s">
        <v>205</v>
      </c>
      <c r="E153" s="19">
        <v>588</v>
      </c>
    </row>
    <row r="154" spans="1:7" x14ac:dyDescent="0.25">
      <c r="A154" s="7">
        <v>253</v>
      </c>
      <c r="B154" s="26">
        <v>43575.769444444442</v>
      </c>
      <c r="D154" s="7" t="s">
        <v>226</v>
      </c>
      <c r="E154" s="8">
        <v>316</v>
      </c>
    </row>
    <row r="155" spans="1:7" x14ac:dyDescent="0.25">
      <c r="A155" s="7">
        <v>254</v>
      </c>
      <c r="B155" s="26">
        <v>43575.894444444442</v>
      </c>
      <c r="D155" s="7" t="s">
        <v>227</v>
      </c>
      <c r="E155" s="8">
        <v>155</v>
      </c>
    </row>
    <row r="156" spans="1:7" x14ac:dyDescent="0.25">
      <c r="A156" s="7">
        <v>255</v>
      </c>
      <c r="B156" s="26">
        <v>43576.019444444442</v>
      </c>
      <c r="D156" s="7" t="s">
        <v>228</v>
      </c>
      <c r="E156" s="8">
        <v>104</v>
      </c>
    </row>
    <row r="157" spans="1:7" x14ac:dyDescent="0.25">
      <c r="A157" s="7">
        <v>256</v>
      </c>
      <c r="B157" s="26">
        <v>43576.144444444442</v>
      </c>
      <c r="D157" s="7" t="s">
        <v>229</v>
      </c>
      <c r="E157" s="8">
        <v>74.599999999999994</v>
      </c>
    </row>
    <row r="158" spans="1:7" x14ac:dyDescent="0.25">
      <c r="A158" s="7">
        <v>257</v>
      </c>
      <c r="B158" s="26">
        <v>43576.269444444442</v>
      </c>
      <c r="D158" s="36" t="s">
        <v>100</v>
      </c>
      <c r="E158" s="19">
        <v>63.3</v>
      </c>
    </row>
    <row r="159" spans="1:7" x14ac:dyDescent="0.25">
      <c r="A159" s="7">
        <v>258</v>
      </c>
      <c r="B159" s="26">
        <v>43576.395138888889</v>
      </c>
      <c r="D159" s="36" t="s">
        <v>101</v>
      </c>
      <c r="E159" s="19">
        <v>53.8</v>
      </c>
    </row>
    <row r="160" spans="1:7" x14ac:dyDescent="0.25">
      <c r="A160" s="7">
        <v>259</v>
      </c>
      <c r="B160" s="26">
        <v>43579.701388888891</v>
      </c>
      <c r="D160" s="36" t="s">
        <v>102</v>
      </c>
      <c r="E160" s="19">
        <v>15.6</v>
      </c>
    </row>
    <row r="161" spans="1:5" x14ac:dyDescent="0.25">
      <c r="A161" s="7">
        <v>261</v>
      </c>
      <c r="B161" s="26">
        <v>43580.583333333336</v>
      </c>
      <c r="D161" s="36" t="s">
        <v>104</v>
      </c>
      <c r="E161" s="19">
        <v>12.7</v>
      </c>
    </row>
    <row r="162" spans="1:5" x14ac:dyDescent="0.25">
      <c r="A162" s="7">
        <v>262</v>
      </c>
      <c r="B162" s="26">
        <v>43582.021527777775</v>
      </c>
      <c r="D162" s="36" t="s">
        <v>105</v>
      </c>
      <c r="E162" s="19">
        <v>414</v>
      </c>
    </row>
    <row r="163" spans="1:5" x14ac:dyDescent="0.25">
      <c r="A163" s="7">
        <v>263</v>
      </c>
      <c r="B163" s="26">
        <v>43582.083333333336</v>
      </c>
      <c r="D163" s="36" t="s">
        <v>106</v>
      </c>
      <c r="E163" s="19">
        <v>405</v>
      </c>
    </row>
    <row r="164" spans="1:5" x14ac:dyDescent="0.25">
      <c r="A164" s="7">
        <v>264</v>
      </c>
      <c r="B164" s="26">
        <v>43582.208333333336</v>
      </c>
      <c r="D164" s="36" t="s">
        <v>107</v>
      </c>
      <c r="E164" s="19">
        <v>483</v>
      </c>
    </row>
    <row r="165" spans="1:5" x14ac:dyDescent="0.25">
      <c r="A165" s="7">
        <v>265</v>
      </c>
      <c r="B165" s="26">
        <v>43582.333333333336</v>
      </c>
      <c r="D165" s="36" t="s">
        <v>108</v>
      </c>
      <c r="E165" s="19">
        <v>500</v>
      </c>
    </row>
    <row r="166" spans="1:5" x14ac:dyDescent="0.25">
      <c r="A166" s="7">
        <v>260</v>
      </c>
      <c r="B166" s="30">
        <v>43582.479166666664</v>
      </c>
      <c r="D166" s="36" t="s">
        <v>103</v>
      </c>
      <c r="E166" s="19">
        <v>414</v>
      </c>
    </row>
    <row r="167" spans="1:5" x14ac:dyDescent="0.25">
      <c r="A167" s="7">
        <v>266</v>
      </c>
      <c r="B167" s="30">
        <v>43589.458333333336</v>
      </c>
      <c r="D167" s="36" t="s">
        <v>109</v>
      </c>
      <c r="E167" s="19">
        <v>36</v>
      </c>
    </row>
    <row r="168" spans="1:5" x14ac:dyDescent="0.25">
      <c r="A168" s="7">
        <v>267</v>
      </c>
      <c r="B168" s="26">
        <v>43589.459722222222</v>
      </c>
      <c r="D168" s="36" t="s">
        <v>110</v>
      </c>
      <c r="E168" s="19">
        <v>22.7</v>
      </c>
    </row>
    <row r="169" spans="1:5" x14ac:dyDescent="0.25">
      <c r="A169" s="7">
        <v>268</v>
      </c>
      <c r="B169" s="26">
        <v>43591.459722222222</v>
      </c>
      <c r="D169" s="36" t="s">
        <v>111</v>
      </c>
      <c r="E169" s="19">
        <v>16.5</v>
      </c>
    </row>
    <row r="170" spans="1:5" x14ac:dyDescent="0.25">
      <c r="A170" s="7">
        <v>269</v>
      </c>
      <c r="B170" s="26">
        <v>43593.459722222222</v>
      </c>
      <c r="D170" s="36" t="s">
        <v>112</v>
      </c>
      <c r="E170" s="19">
        <v>22.5</v>
      </c>
    </row>
    <row r="171" spans="1:5" x14ac:dyDescent="0.25">
      <c r="A171" s="7">
        <v>270</v>
      </c>
      <c r="B171" s="26">
        <v>43595.481944444444</v>
      </c>
      <c r="D171" s="20" t="s">
        <v>141</v>
      </c>
      <c r="E171" s="19">
        <v>806</v>
      </c>
    </row>
    <row r="172" spans="1:5" x14ac:dyDescent="0.25">
      <c r="A172" s="7">
        <v>271</v>
      </c>
      <c r="B172" s="26">
        <v>43595.606249999997</v>
      </c>
      <c r="D172" s="20" t="s">
        <v>142</v>
      </c>
      <c r="E172" s="19">
        <v>918</v>
      </c>
    </row>
    <row r="173" spans="1:5" x14ac:dyDescent="0.25">
      <c r="A173" s="7">
        <v>272</v>
      </c>
      <c r="B173" s="26">
        <v>43595.731249999997</v>
      </c>
      <c r="D173" s="20" t="s">
        <v>143</v>
      </c>
      <c r="E173" s="19">
        <v>515</v>
      </c>
    </row>
    <row r="174" spans="1:5" x14ac:dyDescent="0.25">
      <c r="A174" s="7">
        <v>273</v>
      </c>
      <c r="B174" s="26">
        <v>43595.856249999997</v>
      </c>
      <c r="D174" s="20" t="s">
        <v>144</v>
      </c>
      <c r="E174" s="19">
        <v>269</v>
      </c>
    </row>
    <row r="175" spans="1:5" x14ac:dyDescent="0.25">
      <c r="A175" s="7">
        <v>274</v>
      </c>
      <c r="B175" s="26">
        <v>43595.981249999997</v>
      </c>
      <c r="D175" s="20" t="s">
        <v>145</v>
      </c>
      <c r="E175" s="19">
        <v>167</v>
      </c>
    </row>
    <row r="176" spans="1:5" x14ac:dyDescent="0.25">
      <c r="A176" s="7">
        <v>275</v>
      </c>
      <c r="B176" s="26">
        <v>43596.106249999997</v>
      </c>
      <c r="D176" s="20" t="s">
        <v>146</v>
      </c>
      <c r="E176" s="19">
        <v>94.2</v>
      </c>
    </row>
    <row r="177" spans="1:5" x14ac:dyDescent="0.25">
      <c r="A177" s="7">
        <v>276</v>
      </c>
      <c r="B177" s="26">
        <v>43596.231249999997</v>
      </c>
      <c r="D177" s="20" t="s">
        <v>147</v>
      </c>
      <c r="E177" s="19">
        <v>59.7</v>
      </c>
    </row>
    <row r="178" spans="1:5" x14ac:dyDescent="0.25">
      <c r="A178" s="7">
        <v>277</v>
      </c>
      <c r="B178" s="26">
        <v>43596.356249999997</v>
      </c>
      <c r="D178" s="20" t="s">
        <v>148</v>
      </c>
      <c r="E178" s="19">
        <v>49.2</v>
      </c>
    </row>
    <row r="179" spans="1:5" x14ac:dyDescent="0.25">
      <c r="A179" s="7">
        <v>278</v>
      </c>
      <c r="B179" s="26">
        <v>43596.481944444444</v>
      </c>
      <c r="D179" s="20" t="s">
        <v>149</v>
      </c>
      <c r="E179" s="19">
        <v>39.799999999999997</v>
      </c>
    </row>
    <row r="180" spans="1:5" x14ac:dyDescent="0.25">
      <c r="A180" s="7">
        <v>279</v>
      </c>
      <c r="B180" s="26">
        <v>43596.606249999997</v>
      </c>
      <c r="D180" s="20" t="s">
        <v>150</v>
      </c>
      <c r="E180" s="19">
        <v>35.200000000000003</v>
      </c>
    </row>
    <row r="181" spans="1:5" x14ac:dyDescent="0.25">
      <c r="A181" s="7">
        <v>280</v>
      </c>
      <c r="B181" s="26">
        <v>43599.62777777778</v>
      </c>
      <c r="D181" s="20" t="s">
        <v>151</v>
      </c>
      <c r="E181" s="19">
        <v>148</v>
      </c>
    </row>
    <row r="182" spans="1:5" x14ac:dyDescent="0.25">
      <c r="A182" s="7">
        <v>281</v>
      </c>
      <c r="B182" s="26">
        <v>43599.755555555559</v>
      </c>
      <c r="D182" s="20" t="s">
        <v>152</v>
      </c>
      <c r="E182" s="19">
        <v>104</v>
      </c>
    </row>
    <row r="183" spans="1:5" x14ac:dyDescent="0.25">
      <c r="A183" s="7">
        <v>282</v>
      </c>
      <c r="B183" s="26">
        <v>43600.005555555559</v>
      </c>
      <c r="D183" s="20" t="s">
        <v>153</v>
      </c>
      <c r="E183" s="19">
        <v>57.9</v>
      </c>
    </row>
    <row r="184" spans="1:5" x14ac:dyDescent="0.25">
      <c r="A184" s="7">
        <v>283</v>
      </c>
      <c r="B184" s="26">
        <v>43600.255555555559</v>
      </c>
      <c r="D184" s="20" t="s">
        <v>154</v>
      </c>
      <c r="E184" s="19">
        <v>33.799999999999997</v>
      </c>
    </row>
    <row r="185" spans="1:5" x14ac:dyDescent="0.25">
      <c r="A185" s="7">
        <v>284</v>
      </c>
      <c r="B185" s="26">
        <v>43600.505555555559</v>
      </c>
      <c r="D185" s="20" t="s">
        <v>155</v>
      </c>
      <c r="E185" s="19">
        <v>31.7</v>
      </c>
    </row>
    <row r="186" spans="1:5" x14ac:dyDescent="0.25">
      <c r="A186" s="7">
        <v>285</v>
      </c>
      <c r="B186" s="26">
        <v>43600.755555555559</v>
      </c>
      <c r="D186" s="20" t="s">
        <v>156</v>
      </c>
      <c r="E186" s="19">
        <v>23.6</v>
      </c>
    </row>
    <row r="187" spans="1:5" x14ac:dyDescent="0.25">
      <c r="A187" s="7">
        <v>286</v>
      </c>
      <c r="B187" s="26">
        <v>43601.005555555559</v>
      </c>
      <c r="D187" s="20" t="s">
        <v>157</v>
      </c>
      <c r="E187" s="19">
        <v>22.2</v>
      </c>
    </row>
    <row r="188" spans="1:5" x14ac:dyDescent="0.25">
      <c r="A188" s="7">
        <v>287</v>
      </c>
      <c r="B188" s="26">
        <v>43601.422222222223</v>
      </c>
      <c r="D188" s="20" t="s">
        <v>158</v>
      </c>
      <c r="E188" s="19">
        <v>38.200000000000003</v>
      </c>
    </row>
    <row r="189" spans="1:5" x14ac:dyDescent="0.25">
      <c r="A189" s="7">
        <v>288</v>
      </c>
      <c r="B189" s="26">
        <v>43603.422222222223</v>
      </c>
      <c r="D189" s="20" t="s">
        <v>159</v>
      </c>
      <c r="E189" s="19">
        <v>67.8</v>
      </c>
    </row>
    <row r="190" spans="1:5" x14ac:dyDescent="0.25">
      <c r="A190" s="7">
        <v>289</v>
      </c>
      <c r="B190" s="26">
        <v>43605.088888888888</v>
      </c>
      <c r="D190" s="20" t="s">
        <v>160</v>
      </c>
      <c r="E190" s="19">
        <v>289</v>
      </c>
    </row>
    <row r="191" spans="1:5" x14ac:dyDescent="0.25">
      <c r="A191" s="7">
        <v>290</v>
      </c>
      <c r="B191" s="30">
        <v>43605.416666666664</v>
      </c>
      <c r="D191" s="20" t="s">
        <v>161</v>
      </c>
      <c r="E191" s="19">
        <v>254</v>
      </c>
    </row>
    <row r="192" spans="1:5" x14ac:dyDescent="0.25">
      <c r="A192" s="7">
        <v>291</v>
      </c>
      <c r="B192" s="26">
        <v>43605.560416666667</v>
      </c>
      <c r="D192" s="20" t="s">
        <v>162</v>
      </c>
      <c r="E192" s="19">
        <v>131</v>
      </c>
    </row>
    <row r="193" spans="1:5" x14ac:dyDescent="0.25">
      <c r="A193" s="7">
        <v>292</v>
      </c>
      <c r="B193" s="26">
        <v>43605.893750000003</v>
      </c>
      <c r="D193" s="20" t="s">
        <v>163</v>
      </c>
      <c r="E193" s="19">
        <v>54.3</v>
      </c>
    </row>
    <row r="194" spans="1:5" x14ac:dyDescent="0.25">
      <c r="A194" s="7">
        <v>293</v>
      </c>
      <c r="B194" s="26">
        <v>43606.227083333331</v>
      </c>
      <c r="D194" s="20" t="s">
        <v>164</v>
      </c>
      <c r="E194" s="19">
        <v>35.5</v>
      </c>
    </row>
    <row r="195" spans="1:5" x14ac:dyDescent="0.25">
      <c r="A195" s="7">
        <v>294</v>
      </c>
      <c r="B195" s="26">
        <v>43606.560416666667</v>
      </c>
      <c r="D195" s="20" t="s">
        <v>165</v>
      </c>
      <c r="E195" s="19">
        <v>28</v>
      </c>
    </row>
    <row r="196" spans="1:5" x14ac:dyDescent="0.25">
      <c r="A196" s="7">
        <v>295</v>
      </c>
      <c r="B196" s="26">
        <v>43606.893750000003</v>
      </c>
      <c r="D196" s="20" t="s">
        <v>166</v>
      </c>
      <c r="E196" s="19">
        <v>15.3</v>
      </c>
    </row>
    <row r="197" spans="1:5" x14ac:dyDescent="0.25">
      <c r="A197" s="7">
        <v>296</v>
      </c>
      <c r="B197" s="26">
        <v>43607.227083333331</v>
      </c>
      <c r="D197" s="20" t="s">
        <v>167</v>
      </c>
      <c r="E197" s="19">
        <v>46.4</v>
      </c>
    </row>
    <row r="198" spans="1:5" x14ac:dyDescent="0.25">
      <c r="A198" s="7">
        <v>297</v>
      </c>
      <c r="B198" s="26">
        <v>43609.227083333331</v>
      </c>
      <c r="D198" s="20" t="s">
        <v>168</v>
      </c>
      <c r="E198" s="19">
        <v>21.2</v>
      </c>
    </row>
    <row r="199" spans="1:5" x14ac:dyDescent="0.25">
      <c r="A199" s="7">
        <v>298</v>
      </c>
      <c r="B199" s="26">
        <v>43611.227083333331</v>
      </c>
      <c r="D199" s="20" t="s">
        <v>169</v>
      </c>
      <c r="E199" s="19">
        <v>40.700000000000003</v>
      </c>
    </row>
    <row r="200" spans="1:5" x14ac:dyDescent="0.25">
      <c r="A200" s="7">
        <v>299</v>
      </c>
      <c r="B200" s="26">
        <v>43613.227083333331</v>
      </c>
      <c r="D200" s="20" t="s">
        <v>170</v>
      </c>
      <c r="E200" s="19">
        <v>123</v>
      </c>
    </row>
    <row r="201" spans="1:5" x14ac:dyDescent="0.25">
      <c r="A201" s="7">
        <v>300</v>
      </c>
      <c r="B201" s="26">
        <v>43615.227083333331</v>
      </c>
      <c r="D201" s="20" t="s">
        <v>171</v>
      </c>
      <c r="E201" s="19">
        <v>156</v>
      </c>
    </row>
    <row r="202" spans="1:5" x14ac:dyDescent="0.25">
      <c r="A202" s="7">
        <v>301</v>
      </c>
      <c r="B202" s="26">
        <v>43616.227083333331</v>
      </c>
      <c r="D202" s="20" t="s">
        <v>172</v>
      </c>
      <c r="E202" s="19">
        <v>25.2</v>
      </c>
    </row>
    <row r="203" spans="1:5" x14ac:dyDescent="0.25">
      <c r="A203" s="7">
        <v>302</v>
      </c>
      <c r="B203" s="26">
        <v>43616.369444444441</v>
      </c>
      <c r="D203" s="36" t="s">
        <v>113</v>
      </c>
      <c r="E203" s="19">
        <v>33.200000000000003</v>
      </c>
    </row>
    <row r="204" spans="1:5" x14ac:dyDescent="0.25">
      <c r="A204" s="7">
        <v>303</v>
      </c>
      <c r="B204" s="26">
        <v>43618.375694444447</v>
      </c>
      <c r="D204" s="36" t="s">
        <v>114</v>
      </c>
      <c r="E204" s="19">
        <v>47.1</v>
      </c>
    </row>
    <row r="205" spans="1:5" x14ac:dyDescent="0.25">
      <c r="A205" s="7">
        <v>304</v>
      </c>
      <c r="B205" s="26">
        <v>43620.375694444447</v>
      </c>
      <c r="D205" s="36" t="s">
        <v>115</v>
      </c>
      <c r="E205" s="19">
        <v>24.5</v>
      </c>
    </row>
    <row r="206" spans="1:5" x14ac:dyDescent="0.25">
      <c r="A206" s="7">
        <v>305</v>
      </c>
      <c r="B206" s="26">
        <v>43621.375694444447</v>
      </c>
      <c r="D206" s="36" t="s">
        <v>116</v>
      </c>
      <c r="E206" s="19">
        <v>114</v>
      </c>
    </row>
    <row r="207" spans="1:5" x14ac:dyDescent="0.25">
      <c r="A207" s="7">
        <v>306</v>
      </c>
      <c r="B207" s="26">
        <v>43621.85833333333</v>
      </c>
      <c r="D207" s="20" t="s">
        <v>173</v>
      </c>
      <c r="E207" s="19">
        <v>237</v>
      </c>
    </row>
    <row r="208" spans="1:5" x14ac:dyDescent="0.25">
      <c r="A208" s="7">
        <v>307</v>
      </c>
      <c r="B208" s="26">
        <v>43621.875694444447</v>
      </c>
      <c r="D208" s="20" t="s">
        <v>174</v>
      </c>
      <c r="E208" s="19">
        <v>1175</v>
      </c>
    </row>
    <row r="209" spans="1:5" x14ac:dyDescent="0.25">
      <c r="A209" s="7">
        <v>308</v>
      </c>
      <c r="B209" s="26">
        <v>43626.371527777781</v>
      </c>
      <c r="D209" s="20" t="s">
        <v>175</v>
      </c>
      <c r="E209" s="19">
        <v>17.3</v>
      </c>
    </row>
    <row r="210" spans="1:5" x14ac:dyDescent="0.25">
      <c r="A210" s="7">
        <v>310</v>
      </c>
      <c r="B210" s="26">
        <v>43627.084722222222</v>
      </c>
      <c r="D210" s="20" t="s">
        <v>177</v>
      </c>
      <c r="E210" s="19">
        <v>121</v>
      </c>
    </row>
    <row r="211" spans="1:5" x14ac:dyDescent="0.25">
      <c r="A211" s="7">
        <v>311</v>
      </c>
      <c r="B211" s="26">
        <v>43627.167361111111</v>
      </c>
      <c r="D211" s="20" t="s">
        <v>178</v>
      </c>
      <c r="E211" s="19">
        <v>992</v>
      </c>
    </row>
    <row r="212" spans="1:5" x14ac:dyDescent="0.25">
      <c r="A212" s="7">
        <v>312</v>
      </c>
      <c r="B212" s="26">
        <v>43627.334027777775</v>
      </c>
      <c r="D212" s="20" t="s">
        <v>179</v>
      </c>
      <c r="E212" s="19">
        <v>337</v>
      </c>
    </row>
    <row r="213" spans="1:5" x14ac:dyDescent="0.25">
      <c r="A213" s="7">
        <v>313</v>
      </c>
      <c r="B213" s="26">
        <v>43627.500694444447</v>
      </c>
      <c r="D213" s="20" t="s">
        <v>180</v>
      </c>
      <c r="E213" s="19">
        <v>94.7</v>
      </c>
    </row>
    <row r="214" spans="1:5" x14ac:dyDescent="0.25">
      <c r="A214" s="7">
        <v>314</v>
      </c>
      <c r="B214" s="26">
        <v>43627.667361111111</v>
      </c>
      <c r="D214" s="20" t="s">
        <v>181</v>
      </c>
      <c r="E214" s="19">
        <v>40.6</v>
      </c>
    </row>
    <row r="215" spans="1:5" x14ac:dyDescent="0.25">
      <c r="A215" s="7">
        <v>315</v>
      </c>
      <c r="B215" s="26">
        <v>43627.834027777775</v>
      </c>
      <c r="D215" s="20" t="s">
        <v>182</v>
      </c>
      <c r="E215" s="19">
        <v>25.9</v>
      </c>
    </row>
    <row r="216" spans="1:5" x14ac:dyDescent="0.25">
      <c r="A216" s="7">
        <v>309</v>
      </c>
      <c r="B216" s="26">
        <v>43628.334027777775</v>
      </c>
      <c r="D216" s="20" t="s">
        <v>176</v>
      </c>
      <c r="E216" s="19">
        <v>78.099999999999994</v>
      </c>
    </row>
    <row r="217" spans="1:5" x14ac:dyDescent="0.25">
      <c r="A217" s="7">
        <v>316</v>
      </c>
      <c r="B217" s="26">
        <v>43628.334027777775</v>
      </c>
      <c r="D217" s="20" t="s">
        <v>183</v>
      </c>
      <c r="E217" s="19">
        <v>17.5</v>
      </c>
    </row>
    <row r="218" spans="1:5" x14ac:dyDescent="0.25">
      <c r="A218" s="7">
        <v>317</v>
      </c>
      <c r="B218" s="26">
        <v>43628.834027777775</v>
      </c>
      <c r="D218" s="20" t="s">
        <v>184</v>
      </c>
      <c r="E218" s="19">
        <v>20.399999999999999</v>
      </c>
    </row>
    <row r="219" spans="1:5" x14ac:dyDescent="0.25">
      <c r="A219" s="7">
        <v>318</v>
      </c>
      <c r="B219" s="26">
        <v>43630.334027777775</v>
      </c>
      <c r="D219" s="20" t="s">
        <v>185</v>
      </c>
      <c r="E219" s="19">
        <v>37.1</v>
      </c>
    </row>
    <row r="220" spans="1:5" x14ac:dyDescent="0.25">
      <c r="A220" s="7">
        <v>320</v>
      </c>
      <c r="B220" s="26">
        <v>43632.489583333336</v>
      </c>
      <c r="D220" s="20" t="s">
        <v>187</v>
      </c>
      <c r="E220" s="19">
        <v>23.5</v>
      </c>
    </row>
    <row r="221" spans="1:5" x14ac:dyDescent="0.25">
      <c r="A221" s="7">
        <v>321</v>
      </c>
      <c r="B221" s="26">
        <v>43634.489583333336</v>
      </c>
      <c r="D221" s="20" t="s">
        <v>188</v>
      </c>
      <c r="E221" s="19">
        <v>30.5</v>
      </c>
    </row>
    <row r="222" spans="1:5" x14ac:dyDescent="0.25">
      <c r="A222" s="7">
        <v>322</v>
      </c>
      <c r="B222" s="26">
        <v>43636.489583333336</v>
      </c>
      <c r="D222" s="20" t="s">
        <v>189</v>
      </c>
      <c r="E222" s="19">
        <v>8</v>
      </c>
    </row>
    <row r="223" spans="1:5" x14ac:dyDescent="0.25">
      <c r="A223" s="7">
        <v>323</v>
      </c>
      <c r="B223" s="26">
        <v>43636.499305555553</v>
      </c>
      <c r="D223" s="20" t="s">
        <v>190</v>
      </c>
      <c r="E223" s="19">
        <v>315</v>
      </c>
    </row>
    <row r="224" spans="1:5" x14ac:dyDescent="0.25">
      <c r="A224" s="7">
        <v>324</v>
      </c>
      <c r="B224" s="26">
        <v>43637.400694444441</v>
      </c>
      <c r="D224" s="20" t="s">
        <v>191</v>
      </c>
      <c r="E224" s="19">
        <v>35.9</v>
      </c>
    </row>
    <row r="225" spans="1:5" x14ac:dyDescent="0.25">
      <c r="A225" s="7">
        <v>319</v>
      </c>
      <c r="B225" s="26">
        <v>43637.40625</v>
      </c>
      <c r="D225" s="18" t="s">
        <v>186</v>
      </c>
      <c r="E225" s="19">
        <v>31.6</v>
      </c>
    </row>
    <row r="226" spans="1:5" x14ac:dyDescent="0.25">
      <c r="A226" s="7">
        <v>325</v>
      </c>
      <c r="B226" s="26">
        <v>43637.409722222219</v>
      </c>
      <c r="D226" s="18" t="s">
        <v>192</v>
      </c>
      <c r="E226" s="19">
        <v>30.9</v>
      </c>
    </row>
    <row r="227" spans="1:5" x14ac:dyDescent="0.25">
      <c r="A227" s="7">
        <v>326</v>
      </c>
      <c r="B227" s="26">
        <v>43640.576388888891</v>
      </c>
      <c r="D227" s="20" t="s">
        <v>193</v>
      </c>
      <c r="E227" s="19">
        <v>18.100000000000001</v>
      </c>
    </row>
    <row r="228" spans="1:5" x14ac:dyDescent="0.25">
      <c r="A228" s="7">
        <v>327</v>
      </c>
      <c r="B228" s="26">
        <v>43642.616666666669</v>
      </c>
      <c r="D228" s="36"/>
      <c r="E228" s="19"/>
    </row>
    <row r="229" spans="1:5" x14ac:dyDescent="0.25">
      <c r="A229" s="7">
        <v>328</v>
      </c>
      <c r="B229" s="26">
        <v>43644.283333333333</v>
      </c>
      <c r="E229" s="32"/>
    </row>
    <row r="230" spans="1:5" x14ac:dyDescent="0.25">
      <c r="A230" s="7">
        <v>330</v>
      </c>
      <c r="B230" s="26">
        <v>43645.907638888886</v>
      </c>
      <c r="E230" s="32"/>
    </row>
    <row r="231" spans="1:5" x14ac:dyDescent="0.25">
      <c r="A231" s="7">
        <v>331</v>
      </c>
      <c r="B231" s="26">
        <v>43645.92083333333</v>
      </c>
      <c r="E231" s="32"/>
    </row>
    <row r="232" spans="1:5" x14ac:dyDescent="0.25">
      <c r="A232" s="7">
        <v>332</v>
      </c>
      <c r="B232" s="26">
        <v>43645.966666666667</v>
      </c>
      <c r="D232" s="31"/>
      <c r="E232" s="32"/>
    </row>
    <row r="233" spans="1:5" x14ac:dyDescent="0.25">
      <c r="A233" s="7">
        <v>333</v>
      </c>
      <c r="B233" s="26">
        <v>43646.091666666667</v>
      </c>
      <c r="D233" s="31"/>
      <c r="E233" s="32"/>
    </row>
    <row r="234" spans="1:5" x14ac:dyDescent="0.25">
      <c r="A234" s="7">
        <v>334</v>
      </c>
      <c r="B234" s="26">
        <v>43646.216666666667</v>
      </c>
      <c r="D234" s="31"/>
      <c r="E234" s="32"/>
    </row>
    <row r="235" spans="1:5" x14ac:dyDescent="0.25">
      <c r="A235" s="7">
        <v>329</v>
      </c>
      <c r="B235" s="26">
        <v>43646.258333333331</v>
      </c>
      <c r="E235" s="32"/>
    </row>
    <row r="236" spans="1:5" x14ac:dyDescent="0.25">
      <c r="A236" s="7">
        <v>335</v>
      </c>
      <c r="B236" s="26">
        <v>43646.275000000001</v>
      </c>
      <c r="D236" s="31"/>
      <c r="E236" s="32"/>
    </row>
    <row r="237" spans="1:5" x14ac:dyDescent="0.25">
      <c r="A237" s="7">
        <v>336</v>
      </c>
      <c r="B237" s="26">
        <v>43646.294444444444</v>
      </c>
      <c r="D237" s="31"/>
      <c r="E237" s="32"/>
    </row>
    <row r="238" spans="1:5" x14ac:dyDescent="0.25">
      <c r="A238" s="7">
        <v>337</v>
      </c>
      <c r="B238" s="26">
        <v>43648.258333333331</v>
      </c>
      <c r="E238" s="32"/>
    </row>
    <row r="239" spans="1:5" x14ac:dyDescent="0.25">
      <c r="A239" s="7">
        <v>340</v>
      </c>
      <c r="B239" s="26">
        <v>43652.710416666669</v>
      </c>
      <c r="E239" s="32"/>
    </row>
    <row r="240" spans="1:5" x14ac:dyDescent="0.25">
      <c r="A240" s="7">
        <v>342</v>
      </c>
      <c r="B240" s="26">
        <v>43652.884027777778</v>
      </c>
      <c r="E240" s="32"/>
    </row>
    <row r="241" spans="1:5" x14ac:dyDescent="0.25">
      <c r="A241" s="7">
        <v>341</v>
      </c>
      <c r="B241" s="26">
        <v>43652.88958333333</v>
      </c>
      <c r="E241" s="32"/>
    </row>
    <row r="242" spans="1:5" x14ac:dyDescent="0.25">
      <c r="A242" s="7">
        <v>339</v>
      </c>
      <c r="B242" s="26">
        <v>43653.252083333333</v>
      </c>
      <c r="E242" s="32"/>
    </row>
    <row r="243" spans="1:5" x14ac:dyDescent="0.25">
      <c r="A243" s="7">
        <v>338</v>
      </c>
      <c r="B243" s="26">
        <v>43656.46875</v>
      </c>
      <c r="E243" s="32"/>
    </row>
    <row r="244" spans="1:5" x14ac:dyDescent="0.25">
      <c r="A244" s="7">
        <v>343</v>
      </c>
      <c r="B244" s="26">
        <v>43658.151388888888</v>
      </c>
      <c r="E244" s="32"/>
    </row>
    <row r="245" spans="1:5" x14ac:dyDescent="0.25">
      <c r="A245" s="7">
        <v>344</v>
      </c>
      <c r="B245" s="26">
        <v>43660.151388888888</v>
      </c>
      <c r="E245" s="32"/>
    </row>
    <row r="246" spans="1:5" x14ac:dyDescent="0.25">
      <c r="A246" s="7">
        <v>345</v>
      </c>
      <c r="B246" s="26">
        <v>43662.151388888888</v>
      </c>
      <c r="E246" s="32"/>
    </row>
    <row r="247" spans="1:5" x14ac:dyDescent="0.25">
      <c r="A247" s="7">
        <v>346</v>
      </c>
      <c r="B247" s="26">
        <v>43664.151388888888</v>
      </c>
      <c r="E247" s="32"/>
    </row>
    <row r="248" spans="1:5" x14ac:dyDescent="0.25">
      <c r="E248" s="32"/>
    </row>
    <row r="249" spans="1:5" x14ac:dyDescent="0.25">
      <c r="E249" s="32"/>
    </row>
    <row r="250" spans="1:5" x14ac:dyDescent="0.25">
      <c r="E250" s="32"/>
    </row>
    <row r="251" spans="1:5" x14ac:dyDescent="0.25">
      <c r="E251" s="32"/>
    </row>
    <row r="252" spans="1:5" x14ac:dyDescent="0.25">
      <c r="E252" s="32"/>
    </row>
    <row r="253" spans="1:5" x14ac:dyDescent="0.25">
      <c r="E253" s="32"/>
    </row>
    <row r="254" spans="1:5" x14ac:dyDescent="0.25">
      <c r="E254" s="32"/>
    </row>
    <row r="255" spans="1:5" x14ac:dyDescent="0.25">
      <c r="E255" s="32"/>
    </row>
    <row r="256" spans="1:5" x14ac:dyDescent="0.25">
      <c r="E256" s="32"/>
    </row>
    <row r="257" spans="4:5" x14ac:dyDescent="0.25">
      <c r="E257" s="32"/>
    </row>
    <row r="258" spans="4:5" x14ac:dyDescent="0.25">
      <c r="E258" s="32"/>
    </row>
    <row r="259" spans="4:5" x14ac:dyDescent="0.25">
      <c r="D259" s="31"/>
      <c r="E259" s="32"/>
    </row>
    <row r="260" spans="4:5" x14ac:dyDescent="0.25">
      <c r="D260" s="31"/>
      <c r="E260" s="32"/>
    </row>
    <row r="261" spans="4:5" x14ac:dyDescent="0.25">
      <c r="D261" s="31"/>
      <c r="E261" s="32"/>
    </row>
    <row r="262" spans="4:5" x14ac:dyDescent="0.25">
      <c r="D262" s="31"/>
      <c r="E262" s="32"/>
    </row>
    <row r="263" spans="4:5" x14ac:dyDescent="0.25">
      <c r="D263" s="31"/>
      <c r="E263" s="32"/>
    </row>
    <row r="264" spans="4:5" x14ac:dyDescent="0.25">
      <c r="D264" s="31"/>
      <c r="E264" s="32"/>
    </row>
    <row r="265" spans="4:5" x14ac:dyDescent="0.25">
      <c r="D265" s="31"/>
      <c r="E265" s="32"/>
    </row>
    <row r="266" spans="4:5" x14ac:dyDescent="0.25">
      <c r="D266" s="31"/>
      <c r="E266" s="32"/>
    </row>
    <row r="267" spans="4:5" x14ac:dyDescent="0.25">
      <c r="D267" s="31"/>
      <c r="E267" s="32"/>
    </row>
    <row r="268" spans="4:5" x14ac:dyDescent="0.25">
      <c r="D268" s="31"/>
      <c r="E268" s="32"/>
    </row>
    <row r="269" spans="4:5" x14ac:dyDescent="0.25">
      <c r="D269" s="31"/>
      <c r="E269" s="32"/>
    </row>
    <row r="270" spans="4:5" x14ac:dyDescent="0.25">
      <c r="D270" s="31"/>
      <c r="E270" s="32"/>
    </row>
    <row r="271" spans="4:5" x14ac:dyDescent="0.25">
      <c r="D271" s="31"/>
      <c r="E271" s="32"/>
    </row>
    <row r="272" spans="4:5" x14ac:dyDescent="0.25">
      <c r="D272" s="31"/>
      <c r="E272" s="32"/>
    </row>
    <row r="273" spans="4:5" x14ac:dyDescent="0.25">
      <c r="D273" s="31"/>
      <c r="E273" s="32"/>
    </row>
    <row r="274" spans="4:5" x14ac:dyDescent="0.25">
      <c r="D274" s="31"/>
      <c r="E274" s="32"/>
    </row>
    <row r="275" spans="4:5" x14ac:dyDescent="0.25">
      <c r="D275" s="31"/>
      <c r="E275" s="32"/>
    </row>
    <row r="276" spans="4:5" x14ac:dyDescent="0.25">
      <c r="D276" s="31"/>
      <c r="E276" s="32"/>
    </row>
    <row r="277" spans="4:5" x14ac:dyDescent="0.25">
      <c r="D277" s="31"/>
      <c r="E277" s="32"/>
    </row>
    <row r="278" spans="4:5" x14ac:dyDescent="0.25">
      <c r="D278" s="31"/>
      <c r="E278" s="32"/>
    </row>
    <row r="279" spans="4:5" x14ac:dyDescent="0.25">
      <c r="D279" s="31"/>
      <c r="E279" s="32"/>
    </row>
    <row r="280" spans="4:5" x14ac:dyDescent="0.25">
      <c r="D280" s="31"/>
      <c r="E280" s="32"/>
    </row>
    <row r="281" spans="4:5" x14ac:dyDescent="0.25">
      <c r="D281" s="31"/>
      <c r="E281" s="32"/>
    </row>
    <row r="282" spans="4:5" x14ac:dyDescent="0.25">
      <c r="D282" s="31"/>
      <c r="E282" s="32"/>
    </row>
    <row r="283" spans="4:5" x14ac:dyDescent="0.25">
      <c r="D283" s="31"/>
      <c r="E283" s="32"/>
    </row>
    <row r="284" spans="4:5" x14ac:dyDescent="0.25">
      <c r="D284" s="31"/>
      <c r="E284" s="32"/>
    </row>
    <row r="285" spans="4:5" x14ac:dyDescent="0.25">
      <c r="D285" s="31"/>
      <c r="E285" s="32"/>
    </row>
    <row r="286" spans="4:5" x14ac:dyDescent="0.25">
      <c r="D286" s="31"/>
      <c r="E286" s="32"/>
    </row>
    <row r="287" spans="4:5" x14ac:dyDescent="0.25">
      <c r="D287" s="31"/>
      <c r="E287" s="32"/>
    </row>
    <row r="288" spans="4:5" x14ac:dyDescent="0.25">
      <c r="D288" s="31"/>
      <c r="E288" s="32"/>
    </row>
    <row r="289" spans="4:5" x14ac:dyDescent="0.25">
      <c r="D289" s="31"/>
      <c r="E289" s="32"/>
    </row>
    <row r="290" spans="4:5" x14ac:dyDescent="0.25">
      <c r="D290" s="31"/>
      <c r="E290" s="32"/>
    </row>
    <row r="291" spans="4:5" x14ac:dyDescent="0.25">
      <c r="D291" s="31"/>
      <c r="E291" s="32"/>
    </row>
    <row r="292" spans="4:5" x14ac:dyDescent="0.25">
      <c r="D292" s="31"/>
      <c r="E292" s="32"/>
    </row>
    <row r="293" spans="4:5" x14ac:dyDescent="0.25">
      <c r="D293" s="31"/>
      <c r="E293" s="32"/>
    </row>
    <row r="294" spans="4:5" x14ac:dyDescent="0.25">
      <c r="D294" s="31"/>
      <c r="E294" s="32"/>
    </row>
    <row r="295" spans="4:5" x14ac:dyDescent="0.25">
      <c r="D295" s="31"/>
      <c r="E295" s="32"/>
    </row>
    <row r="296" spans="4:5" x14ac:dyDescent="0.25">
      <c r="D296" s="31"/>
      <c r="E296" s="32"/>
    </row>
    <row r="297" spans="4:5" x14ac:dyDescent="0.25">
      <c r="D297" s="31"/>
      <c r="E297" s="32"/>
    </row>
    <row r="298" spans="4:5" x14ac:dyDescent="0.25">
      <c r="D298" s="31"/>
      <c r="E298" s="32"/>
    </row>
    <row r="299" spans="4:5" x14ac:dyDescent="0.25">
      <c r="D299" s="31"/>
      <c r="E299" s="32"/>
    </row>
    <row r="300" spans="4:5" x14ac:dyDescent="0.25">
      <c r="D300" s="31"/>
      <c r="E300" s="32"/>
    </row>
    <row r="301" spans="4:5" x14ac:dyDescent="0.25">
      <c r="D301" s="31"/>
      <c r="E301" s="32"/>
    </row>
    <row r="302" spans="4:5" x14ac:dyDescent="0.25">
      <c r="D302" s="31"/>
      <c r="E302" s="32"/>
    </row>
    <row r="303" spans="4:5" x14ac:dyDescent="0.25">
      <c r="D303" s="31"/>
      <c r="E303" s="32"/>
    </row>
    <row r="304" spans="4:5" x14ac:dyDescent="0.25">
      <c r="D304" s="31"/>
      <c r="E304" s="32"/>
    </row>
    <row r="305" spans="4:5" x14ac:dyDescent="0.25">
      <c r="D305" s="31"/>
      <c r="E305" s="32"/>
    </row>
    <row r="306" spans="4:5" x14ac:dyDescent="0.25">
      <c r="D306" s="31"/>
      <c r="E306" s="32"/>
    </row>
    <row r="307" spans="4:5" x14ac:dyDescent="0.25">
      <c r="D307" s="31"/>
      <c r="E307" s="32"/>
    </row>
    <row r="308" spans="4:5" x14ac:dyDescent="0.25">
      <c r="D308" s="31"/>
      <c r="E308" s="32"/>
    </row>
    <row r="309" spans="4:5" x14ac:dyDescent="0.25">
      <c r="D309" s="31"/>
      <c r="E309" s="32"/>
    </row>
    <row r="310" spans="4:5" x14ac:dyDescent="0.25">
      <c r="D310" s="31"/>
      <c r="E310" s="32"/>
    </row>
    <row r="311" spans="4:5" x14ac:dyDescent="0.25">
      <c r="D311" s="31"/>
      <c r="E311" s="32"/>
    </row>
    <row r="312" spans="4:5" x14ac:dyDescent="0.25">
      <c r="D312" s="31"/>
      <c r="E312" s="32"/>
    </row>
    <row r="313" spans="4:5" x14ac:dyDescent="0.25">
      <c r="D313" s="31"/>
      <c r="E313" s="32"/>
    </row>
    <row r="314" spans="4:5" x14ac:dyDescent="0.25">
      <c r="D314" s="31"/>
      <c r="E314" s="32"/>
    </row>
    <row r="315" spans="4:5" x14ac:dyDescent="0.25">
      <c r="D315" s="31"/>
      <c r="E315" s="32"/>
    </row>
    <row r="316" spans="4:5" x14ac:dyDescent="0.25">
      <c r="D316" s="31"/>
      <c r="E316" s="32"/>
    </row>
    <row r="317" spans="4:5" x14ac:dyDescent="0.25">
      <c r="D317" s="31"/>
      <c r="E317" s="32"/>
    </row>
    <row r="318" spans="4:5" x14ac:dyDescent="0.25">
      <c r="D318" s="31"/>
      <c r="E318" s="32"/>
    </row>
    <row r="319" spans="4:5" x14ac:dyDescent="0.25">
      <c r="D319" s="31"/>
      <c r="E319" s="32"/>
    </row>
    <row r="320" spans="4:5" x14ac:dyDescent="0.25">
      <c r="D320" s="31"/>
      <c r="E320" s="32"/>
    </row>
    <row r="321" spans="4:5" x14ac:dyDescent="0.25">
      <c r="D321" s="31"/>
      <c r="E321" s="32"/>
    </row>
    <row r="322" spans="4:5" x14ac:dyDescent="0.25">
      <c r="D322" s="31"/>
      <c r="E322" s="32"/>
    </row>
    <row r="323" spans="4:5" x14ac:dyDescent="0.25">
      <c r="D323" s="31"/>
      <c r="E323" s="32"/>
    </row>
    <row r="324" spans="4:5" x14ac:dyDescent="0.25">
      <c r="D324" s="31"/>
      <c r="E324" s="32"/>
    </row>
    <row r="325" spans="4:5" x14ac:dyDescent="0.25">
      <c r="D325" s="31"/>
      <c r="E325" s="32"/>
    </row>
    <row r="326" spans="4:5" x14ac:dyDescent="0.25">
      <c r="D326" s="31"/>
      <c r="E326" s="32"/>
    </row>
    <row r="327" spans="4:5" x14ac:dyDescent="0.25">
      <c r="D327" s="31"/>
      <c r="E327" s="32"/>
    </row>
    <row r="328" spans="4:5" x14ac:dyDescent="0.25">
      <c r="D328" s="31"/>
      <c r="E328" s="32"/>
    </row>
    <row r="329" spans="4:5" x14ac:dyDescent="0.25">
      <c r="D329" s="31"/>
      <c r="E329" s="32"/>
    </row>
    <row r="330" spans="4:5" x14ac:dyDescent="0.25">
      <c r="D330" s="31"/>
      <c r="E330" s="32"/>
    </row>
    <row r="331" spans="4:5" x14ac:dyDescent="0.25">
      <c r="D331" s="31"/>
      <c r="E331" s="32"/>
    </row>
    <row r="332" spans="4:5" x14ac:dyDescent="0.25">
      <c r="D332" s="31"/>
      <c r="E332" s="32"/>
    </row>
    <row r="333" spans="4:5" x14ac:dyDescent="0.25">
      <c r="D333" s="31"/>
      <c r="E333" s="32"/>
    </row>
    <row r="334" spans="4:5" x14ac:dyDescent="0.25">
      <c r="D334" s="31"/>
      <c r="E334" s="32"/>
    </row>
    <row r="335" spans="4:5" x14ac:dyDescent="0.25">
      <c r="D335" s="31"/>
      <c r="E335" s="32"/>
    </row>
    <row r="336" spans="4:5" x14ac:dyDescent="0.25">
      <c r="D336" s="31"/>
      <c r="E336" s="32"/>
    </row>
    <row r="337" spans="4:5" x14ac:dyDescent="0.25">
      <c r="D337" s="31"/>
      <c r="E337" s="32"/>
    </row>
    <row r="338" spans="4:5" x14ac:dyDescent="0.25">
      <c r="D338" s="31"/>
      <c r="E338" s="32"/>
    </row>
    <row r="339" spans="4:5" x14ac:dyDescent="0.25">
      <c r="D339" s="31"/>
      <c r="E339" s="32"/>
    </row>
    <row r="340" spans="4:5" x14ac:dyDescent="0.25">
      <c r="D340" s="31"/>
      <c r="E340" s="32"/>
    </row>
    <row r="341" spans="4:5" x14ac:dyDescent="0.25">
      <c r="D341" s="31"/>
      <c r="E341" s="32"/>
    </row>
    <row r="342" spans="4:5" x14ac:dyDescent="0.25">
      <c r="D342" s="31"/>
      <c r="E342" s="32"/>
    </row>
    <row r="343" spans="4:5" x14ac:dyDescent="0.25">
      <c r="D343" s="31"/>
      <c r="E343" s="32"/>
    </row>
    <row r="344" spans="4:5" x14ac:dyDescent="0.25">
      <c r="D344" s="31"/>
      <c r="E344" s="32"/>
    </row>
    <row r="345" spans="4:5" x14ac:dyDescent="0.25">
      <c r="D345" s="31"/>
      <c r="E345" s="32"/>
    </row>
    <row r="346" spans="4:5" x14ac:dyDescent="0.25">
      <c r="D346" s="31"/>
      <c r="E346" s="32"/>
    </row>
    <row r="347" spans="4:5" x14ac:dyDescent="0.25">
      <c r="D347" s="31"/>
      <c r="E347" s="32"/>
    </row>
    <row r="348" spans="4:5" x14ac:dyDescent="0.25">
      <c r="D348" s="31"/>
      <c r="E348" s="32"/>
    </row>
    <row r="349" spans="4:5" x14ac:dyDescent="0.25">
      <c r="D349" s="31"/>
      <c r="E349" s="32"/>
    </row>
    <row r="350" spans="4:5" x14ac:dyDescent="0.25">
      <c r="D350" s="31"/>
      <c r="E350" s="32"/>
    </row>
    <row r="351" spans="4:5" x14ac:dyDescent="0.25">
      <c r="D351" s="31"/>
      <c r="E351" s="32"/>
    </row>
    <row r="352" spans="4:5" x14ac:dyDescent="0.25">
      <c r="D352" s="31"/>
      <c r="E352" s="32"/>
    </row>
    <row r="353" spans="4:5" x14ac:dyDescent="0.25">
      <c r="D353" s="31"/>
      <c r="E353" s="32"/>
    </row>
    <row r="354" spans="4:5" x14ac:dyDescent="0.25">
      <c r="D354" s="31"/>
      <c r="E354" s="32"/>
    </row>
    <row r="355" spans="4:5" x14ac:dyDescent="0.25">
      <c r="D355" s="31"/>
      <c r="E355" s="32"/>
    </row>
    <row r="356" spans="4:5" x14ac:dyDescent="0.25">
      <c r="D356" s="31"/>
      <c r="E356" s="32"/>
    </row>
    <row r="357" spans="4:5" x14ac:dyDescent="0.25">
      <c r="D357" s="31"/>
      <c r="E357" s="32"/>
    </row>
    <row r="358" spans="4:5" x14ac:dyDescent="0.25">
      <c r="D358" s="31"/>
      <c r="E358" s="32"/>
    </row>
    <row r="359" spans="4:5" x14ac:dyDescent="0.25">
      <c r="D359" s="31"/>
      <c r="E359" s="32"/>
    </row>
    <row r="360" spans="4:5" x14ac:dyDescent="0.25">
      <c r="D360" s="31"/>
      <c r="E360" s="32"/>
    </row>
    <row r="361" spans="4:5" x14ac:dyDescent="0.25">
      <c r="D361" s="31"/>
      <c r="E361" s="32"/>
    </row>
    <row r="362" spans="4:5" x14ac:dyDescent="0.25">
      <c r="D362" s="31"/>
      <c r="E362" s="32"/>
    </row>
    <row r="363" spans="4:5" x14ac:dyDescent="0.25">
      <c r="D363" s="31"/>
      <c r="E363" s="32"/>
    </row>
    <row r="364" spans="4:5" x14ac:dyDescent="0.25">
      <c r="D364" s="31"/>
      <c r="E364" s="32"/>
    </row>
    <row r="365" spans="4:5" x14ac:dyDescent="0.25">
      <c r="D365" s="31"/>
      <c r="E365" s="32"/>
    </row>
  </sheetData>
  <sortState ref="A2:E374">
    <sortCondition ref="B2:B374"/>
  </sortState>
  <conditionalFormatting sqref="E2:E84">
    <cfRule type="cellIs" dxfId="1" priority="1" operator="lessThan">
      <formula>5</formula>
    </cfRule>
  </conditionalFormatting>
  <conditionalFormatting sqref="E2:E87">
    <cfRule type="cellIs" dxfId="0" priority="2" operator="greaterThan">
      <formula>600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 Nov 18 - Jun 19</vt:lpstr>
      <vt:lpstr>events only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Ross</dc:creator>
  <cp:lastModifiedBy>Don Ross</cp:lastModifiedBy>
  <dcterms:created xsi:type="dcterms:W3CDTF">2019-05-08T18:08:46Z</dcterms:created>
  <dcterms:modified xsi:type="dcterms:W3CDTF">2021-03-21T14:32:34Z</dcterms:modified>
</cp:coreProperties>
</file>