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infiles1.campus.ad.uvm.edu\dross\MyDocs\Research\P Index and P in tiles\TP\"/>
    </mc:Choice>
  </mc:AlternateContent>
  <bookViews>
    <workbookView xWindow="0" yWindow="0" windowWidth="20490" windowHeight="7755" activeTab="1"/>
  </bookViews>
  <sheets>
    <sheet name="all" sheetId="2" r:id="rId1"/>
    <sheet name="events on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J310" i="2"/>
  <c r="G298" i="2" l="1"/>
  <c r="G297" i="2"/>
  <c r="G296" i="2"/>
  <c r="G295" i="2"/>
  <c r="G293" i="2"/>
  <c r="G288" i="2"/>
  <c r="F294" i="2"/>
  <c r="G294" i="2" s="1"/>
  <c r="F293" i="2"/>
  <c r="F292" i="2"/>
  <c r="G292" i="2" s="1"/>
  <c r="F290" i="2"/>
  <c r="G290" i="2" s="1"/>
  <c r="F289" i="2"/>
  <c r="G289" i="2" s="1"/>
  <c r="F288" i="2"/>
  <c r="G286" i="2"/>
  <c r="F287" i="2"/>
  <c r="G287" i="2" s="1"/>
  <c r="F285" i="2"/>
  <c r="G285" i="2"/>
  <c r="H287" i="2" s="1"/>
  <c r="F286" i="2"/>
  <c r="G283" i="2"/>
  <c r="G281" i="2"/>
  <c r="G280" i="2"/>
  <c r="G279" i="2"/>
  <c r="G278" i="2"/>
  <c r="G277" i="2"/>
  <c r="G276" i="2"/>
  <c r="G274" i="2"/>
  <c r="G273" i="2"/>
  <c r="G271" i="2"/>
  <c r="G270" i="2"/>
  <c r="F284" i="2"/>
  <c r="G284" i="2" s="1"/>
  <c r="F283" i="2"/>
  <c r="F276" i="2"/>
  <c r="F275" i="2"/>
  <c r="G275" i="2" s="1"/>
  <c r="F274" i="2"/>
  <c r="F272" i="2"/>
  <c r="G272" i="2" s="1"/>
  <c r="F270" i="2"/>
  <c r="F269" i="2"/>
  <c r="G269" i="2" s="1"/>
  <c r="F268" i="2"/>
  <c r="G268" i="2" s="1"/>
  <c r="F267" i="2"/>
  <c r="G267" i="2" s="1"/>
  <c r="F266" i="2"/>
  <c r="G266" i="2" s="1"/>
  <c r="G264" i="2"/>
  <c r="G262" i="2"/>
  <c r="G260" i="2"/>
  <c r="G259" i="2"/>
  <c r="G257" i="2"/>
  <c r="G255" i="2"/>
  <c r="G254" i="2"/>
  <c r="G247" i="2"/>
  <c r="F265" i="2"/>
  <c r="G265" i="2" s="1"/>
  <c r="F264" i="2"/>
  <c r="F263" i="2"/>
  <c r="G263" i="2" s="1"/>
  <c r="F262" i="2"/>
  <c r="F261" i="2"/>
  <c r="G261" i="2" s="1"/>
  <c r="F260" i="2"/>
  <c r="F259" i="2"/>
  <c r="F258" i="2"/>
  <c r="G258" i="2" s="1"/>
  <c r="F256" i="2"/>
  <c r="G256" i="2" s="1"/>
  <c r="F255" i="2"/>
  <c r="F254" i="2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F246" i="2"/>
  <c r="G246" i="2" s="1"/>
  <c r="H246" i="2" s="1"/>
  <c r="F245" i="2"/>
  <c r="G245" i="2" s="1"/>
  <c r="G241" i="2"/>
  <c r="G239" i="2"/>
  <c r="G236" i="2"/>
  <c r="G231" i="2"/>
  <c r="F244" i="2"/>
  <c r="G244" i="2" s="1"/>
  <c r="F243" i="2"/>
  <c r="G243" i="2" s="1"/>
  <c r="F242" i="2"/>
  <c r="G242" i="2" s="1"/>
  <c r="F240" i="2"/>
  <c r="G240" i="2" s="1"/>
  <c r="F238" i="2"/>
  <c r="G238" i="2" s="1"/>
  <c r="F237" i="2"/>
  <c r="G237" i="2" s="1"/>
  <c r="F236" i="2"/>
  <c r="F234" i="2"/>
  <c r="G234" i="2" s="1"/>
  <c r="F235" i="2"/>
  <c r="G235" i="2" s="1"/>
  <c r="F233" i="2"/>
  <c r="G233" i="2" s="1"/>
  <c r="F231" i="2"/>
  <c r="G227" i="2"/>
  <c r="G226" i="2"/>
  <c r="G224" i="2"/>
  <c r="G222" i="2"/>
  <c r="G220" i="2"/>
  <c r="G219" i="2"/>
  <c r="G218" i="2"/>
  <c r="G216" i="2"/>
  <c r="G214" i="2"/>
  <c r="F229" i="2"/>
  <c r="G229" i="2" s="1"/>
  <c r="F228" i="2"/>
  <c r="G228" i="2" s="1"/>
  <c r="F227" i="2"/>
  <c r="F225" i="2"/>
  <c r="G225" i="2" s="1"/>
  <c r="F223" i="2"/>
  <c r="G223" i="2" s="1"/>
  <c r="F221" i="2"/>
  <c r="G221" i="2" s="1"/>
  <c r="F219" i="2"/>
  <c r="F217" i="2"/>
  <c r="G217" i="2" s="1"/>
  <c r="F215" i="2"/>
  <c r="G215" i="2" s="1"/>
  <c r="F212" i="2"/>
  <c r="G212" i="2" s="1"/>
  <c r="F213" i="2"/>
  <c r="G213" i="2" s="1"/>
  <c r="G209" i="2"/>
  <c r="G208" i="2"/>
  <c r="G206" i="2"/>
  <c r="G205" i="2"/>
  <c r="G203" i="2"/>
  <c r="F210" i="2"/>
  <c r="G210" i="2" s="1"/>
  <c r="F209" i="2"/>
  <c r="F207" i="2"/>
  <c r="G207" i="2" s="1"/>
  <c r="F205" i="2"/>
  <c r="G202" i="2"/>
  <c r="F202" i="2"/>
  <c r="F201" i="2"/>
  <c r="G201" i="2" s="1"/>
  <c r="F200" i="2"/>
  <c r="G200" i="2" s="1"/>
  <c r="F199" i="2"/>
  <c r="G199" i="2" s="1"/>
  <c r="G197" i="2"/>
  <c r="F198" i="2"/>
  <c r="G198" i="2" s="1"/>
  <c r="F197" i="2"/>
  <c r="F196" i="2"/>
  <c r="G196" i="2" s="1"/>
  <c r="H196" i="2" s="1"/>
  <c r="G195" i="2"/>
  <c r="G186" i="2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F185" i="2"/>
  <c r="G185" i="2" s="1"/>
  <c r="F184" i="2"/>
  <c r="G184" i="2" s="1"/>
  <c r="H195" i="2" s="1"/>
  <c r="F183" i="2"/>
  <c r="G183" i="2" s="1"/>
  <c r="H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H177" i="2" s="1"/>
  <c r="G176" i="2"/>
  <c r="G175" i="2"/>
  <c r="G173" i="2"/>
  <c r="G171" i="2"/>
  <c r="G169" i="2"/>
  <c r="G167" i="2"/>
  <c r="G165" i="2"/>
  <c r="F174" i="2"/>
  <c r="G174" i="2" s="1"/>
  <c r="F172" i="2"/>
  <c r="G172" i="2" s="1"/>
  <c r="F170" i="2"/>
  <c r="G170" i="2" s="1"/>
  <c r="F168" i="2"/>
  <c r="G168" i="2" s="1"/>
  <c r="F166" i="2"/>
  <c r="G166" i="2" s="1"/>
  <c r="Q164" i="2"/>
  <c r="F164" i="2"/>
  <c r="G164" i="2" s="1"/>
  <c r="H164" i="2" s="1"/>
  <c r="Q162" i="2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G126" i="2"/>
  <c r="G125" i="2"/>
  <c r="G124" i="2"/>
  <c r="G122" i="2"/>
  <c r="G121" i="2"/>
  <c r="G120" i="2"/>
  <c r="G118" i="2"/>
  <c r="G117" i="2"/>
  <c r="F119" i="2"/>
  <c r="G119" i="2" s="1"/>
  <c r="F118" i="2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H106" i="2" s="1"/>
  <c r="F105" i="2"/>
  <c r="G105" i="2" s="1"/>
  <c r="H105" i="2" s="1"/>
  <c r="F104" i="2"/>
  <c r="G104" i="2" s="1"/>
  <c r="H104" i="2" s="1"/>
  <c r="G103" i="2"/>
  <c r="G102" i="2"/>
  <c r="G101" i="2"/>
  <c r="G100" i="2"/>
  <c r="G99" i="2"/>
  <c r="G95" i="2"/>
  <c r="G94" i="2"/>
  <c r="G93" i="2"/>
  <c r="G92" i="2"/>
  <c r="F98" i="2"/>
  <c r="G98" i="2" s="1"/>
  <c r="F97" i="2"/>
  <c r="G97" i="2" s="1"/>
  <c r="F96" i="2"/>
  <c r="G96" i="2" s="1"/>
  <c r="F95" i="2"/>
  <c r="F90" i="2"/>
  <c r="G90" i="2" s="1"/>
  <c r="F89" i="2"/>
  <c r="G89" i="2" s="1"/>
  <c r="F88" i="2"/>
  <c r="G88" i="2" s="1"/>
  <c r="H284" i="2" l="1"/>
  <c r="H298" i="2"/>
  <c r="H202" i="2"/>
  <c r="H265" i="2"/>
  <c r="H199" i="2"/>
  <c r="H244" i="2"/>
  <c r="H229" i="2"/>
  <c r="H210" i="2"/>
  <c r="H269" i="2"/>
  <c r="H163" i="2"/>
  <c r="H182" i="2"/>
  <c r="H176" i="2"/>
  <c r="H126" i="2"/>
  <c r="H130" i="2"/>
  <c r="H144" i="2"/>
  <c r="H151" i="2"/>
  <c r="H103" i="2"/>
  <c r="H90" i="2"/>
  <c r="G86" i="2" l="1"/>
  <c r="G85" i="2"/>
  <c r="G84" i="2"/>
  <c r="F87" i="2"/>
  <c r="G87" i="2" s="1"/>
  <c r="G81" i="2"/>
  <c r="G80" i="2"/>
  <c r="G79" i="2"/>
  <c r="G78" i="2"/>
  <c r="G77" i="2"/>
  <c r="G76" i="2"/>
  <c r="G75" i="2"/>
  <c r="G74" i="2"/>
  <c r="G73" i="2"/>
  <c r="F83" i="2"/>
  <c r="G83" i="2" s="1"/>
  <c r="H87" i="2" l="1"/>
  <c r="H83" i="2"/>
  <c r="F72" i="2"/>
  <c r="G72" i="2" s="1"/>
  <c r="H72" i="2" s="1"/>
  <c r="G71" i="2"/>
  <c r="G70" i="2"/>
  <c r="G68" i="2"/>
  <c r="G67" i="2"/>
  <c r="G66" i="2"/>
  <c r="G65" i="2"/>
  <c r="G64" i="2"/>
  <c r="G63" i="2"/>
  <c r="G62" i="2"/>
  <c r="H62" i="2" s="1"/>
  <c r="H71" i="2" l="1"/>
  <c r="F61" i="2"/>
  <c r="G61" i="2" s="1"/>
  <c r="F60" i="2"/>
  <c r="G60" i="2" s="1"/>
  <c r="G58" i="2"/>
  <c r="G57" i="2"/>
  <c r="G56" i="2"/>
  <c r="G55" i="2"/>
  <c r="G54" i="2"/>
  <c r="G53" i="2"/>
  <c r="G52" i="2"/>
  <c r="G51" i="2"/>
  <c r="G50" i="2"/>
  <c r="G48" i="2"/>
  <c r="G47" i="2"/>
  <c r="F46" i="2"/>
  <c r="G46" i="2" s="1"/>
  <c r="F42" i="2"/>
  <c r="G42" i="2" s="1"/>
  <c r="G43" i="2"/>
  <c r="G44" i="2"/>
  <c r="G45" i="2"/>
  <c r="G41" i="2"/>
  <c r="G40" i="2"/>
  <c r="G39" i="2"/>
  <c r="G38" i="2"/>
  <c r="G36" i="2"/>
  <c r="F35" i="2"/>
  <c r="G35" i="2" s="1"/>
  <c r="F34" i="2"/>
  <c r="G34" i="2" s="1"/>
  <c r="G30" i="2"/>
  <c r="G31" i="2"/>
  <c r="G32" i="2"/>
  <c r="G27" i="2"/>
  <c r="F29" i="2"/>
  <c r="G29" i="2" s="1"/>
  <c r="F28" i="2"/>
  <c r="G28" i="2" s="1"/>
  <c r="H61" i="2" l="1"/>
  <c r="H34" i="2"/>
  <c r="H44" i="2"/>
  <c r="H36" i="2"/>
  <c r="H50" i="2"/>
  <c r="H58" i="2"/>
  <c r="F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0" i="2"/>
  <c r="G9" i="2"/>
  <c r="G5" i="2"/>
  <c r="G6" i="2"/>
  <c r="G7" i="2"/>
  <c r="G8" i="2"/>
  <c r="G3" i="2"/>
  <c r="G4" i="2"/>
  <c r="M3" i="2"/>
  <c r="G25" i="2" l="1"/>
  <c r="F310" i="2"/>
  <c r="F311" i="2" s="1"/>
  <c r="H11" i="2"/>
  <c r="H25" i="2"/>
  <c r="H310" i="2" l="1"/>
  <c r="H311" i="2" s="1"/>
  <c r="J311" i="2" s="1"/>
</calcChain>
</file>

<file path=xl/comments1.xml><?xml version="1.0" encoding="utf-8"?>
<comments xmlns="http://schemas.openxmlformats.org/spreadsheetml/2006/main">
  <authors>
    <author>Don Ross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Used average of 2-day comp and last event sample</t>
        </r>
      </text>
    </comment>
  </commentList>
</comments>
</file>

<file path=xl/sharedStrings.xml><?xml version="1.0" encoding="utf-8"?>
<sst xmlns="http://schemas.openxmlformats.org/spreadsheetml/2006/main" count="163" uniqueCount="61">
  <si>
    <t>grams of P</t>
  </si>
  <si>
    <t>Sample ID</t>
  </si>
  <si>
    <t>2-day comp</t>
  </si>
  <si>
    <t>grab</t>
  </si>
  <si>
    <t>3-day comp</t>
  </si>
  <si>
    <t>1-day</t>
  </si>
  <si>
    <t>632a</t>
  </si>
  <si>
    <t>632b</t>
  </si>
  <si>
    <t>633a</t>
  </si>
  <si>
    <t>633b</t>
  </si>
  <si>
    <t>Time</t>
  </si>
  <si>
    <t>Type</t>
  </si>
  <si>
    <t>Flow (0=comp)</t>
  </si>
  <si>
    <t>1-day comp</t>
  </si>
  <si>
    <t>??</t>
  </si>
  <si>
    <t>1 cell is 0.5 L/s high by two hours long</t>
  </si>
  <si>
    <t xml:space="preserve">Two hours is </t>
  </si>
  <si>
    <t>seconds</t>
  </si>
  <si>
    <t>Cells</t>
  </si>
  <si>
    <t>Storm total (kg)</t>
  </si>
  <si>
    <t>used average of last event sample and last composite sample</t>
  </si>
  <si>
    <t xml:space="preserve"> </t>
  </si>
  <si>
    <t>not used</t>
  </si>
  <si>
    <t>may underestimate storm because of no event samples</t>
  </si>
  <si>
    <t>wier blown out but two more event samples taken</t>
  </si>
  <si>
    <t>~43.5 hours between event samples, cells estimated using 4/14/20 storm</t>
  </si>
  <si>
    <t>The 52.5 mg/L from first sample after 43.5 was multiplied by 4 to increase estimate of load from falling limb (no good reason for choosing 4)</t>
  </si>
  <si>
    <t>between events</t>
  </si>
  <si>
    <t>70 cells between events, used value of 50 to approximate conc at low flow</t>
  </si>
  <si>
    <t>interval until 12-9, used average of 51 and 32.4</t>
  </si>
  <si>
    <t>interval between events, 18 cells added to get to next rising limb</t>
  </si>
  <si>
    <t>interval between events, used last event sample (85.3 mg/L) because the 163 was at the beginning of a rising limb</t>
  </si>
  <si>
    <t>no event samples</t>
  </si>
  <si>
    <t>interval with no samples, 30 mg/L from 1/13 used</t>
  </si>
  <si>
    <t>TP missing</t>
  </si>
  <si>
    <t>interval between events, includes 1/25 up to rising limb</t>
  </si>
  <si>
    <t>interval between events</t>
  </si>
  <si>
    <t>total cells</t>
  </si>
  <si>
    <t>cubic meters</t>
  </si>
  <si>
    <t>two small events with samples and one larger with only composites</t>
  </si>
  <si>
    <t>(174 + 129 + X)/ 3 =201</t>
  </si>
  <si>
    <t>may be low, composite adjusted using formula with two known values</t>
  </si>
  <si>
    <t>interval, TP adjusted for pre-event: (x + x + 436)/3 = 155.  Rounded up to 20</t>
  </si>
  <si>
    <t>event without samples, so composite TP used</t>
  </si>
  <si>
    <t>interval between small events, avg of 98.7 and 172 used</t>
  </si>
  <si>
    <t>three day interval with no good composite, used 143 for TP (last event sample)</t>
  </si>
  <si>
    <t>tail end of event, used half the composite TP conc.</t>
  </si>
  <si>
    <t>interval between events, last segment extended until event of 3/26</t>
  </si>
  <si>
    <t>last event sample extended 2+ days until next event</t>
  </si>
  <si>
    <t>last event sample extended 2 days until next event</t>
  </si>
  <si>
    <t>not used, overlaps 4/1 with previous composite</t>
  </si>
  <si>
    <t>interval after 4/10 composite, until 4/13 event, added here because 4/10 comp included a mini-event</t>
  </si>
  <si>
    <t>interval between small events, 5/9 comp used through 5/11</t>
  </si>
  <si>
    <t>more or less the end of flow, later samples were triggered by very small rise and malfuntioning bubbler (getting plugged with algae)</t>
  </si>
  <si>
    <t>kg</t>
  </si>
  <si>
    <t>lbs</t>
  </si>
  <si>
    <t>lbs/acre</t>
  </si>
  <si>
    <t>TP (ug/L)</t>
  </si>
  <si>
    <t>total for six events</t>
  </si>
  <si>
    <t>of annual export</t>
  </si>
  <si>
    <t>total for eight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</si>
</sst>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\ h:mm;@"/>
    <numFmt numFmtId="166" formatCode="h:mm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/>
    <xf numFmtId="0" fontId="0" fillId="0" borderId="3" xfId="0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/>
    <xf numFmtId="22" fontId="0" fillId="0" borderId="3" xfId="0" applyNumberFormat="1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22" fontId="0" fillId="0" borderId="0" xfId="0" applyNumberFormat="1" applyBorder="1"/>
    <xf numFmtId="165" fontId="0" fillId="0" borderId="3" xfId="0" applyNumberFormat="1" applyBorder="1" applyAlignment="1">
      <alignment wrapText="1"/>
    </xf>
    <xf numFmtId="2" fontId="0" fillId="0" borderId="3" xfId="0" applyNumberFormat="1" applyBorder="1" applyAlignment="1">
      <alignment horizontal="center" wrapText="1"/>
    </xf>
    <xf numFmtId="9" fontId="0" fillId="0" borderId="0" xfId="1" applyFont="1"/>
    <xf numFmtId="2" fontId="0" fillId="0" borderId="0" xfId="0" applyNumberFormat="1" applyFo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1"/>
  <sheetViews>
    <sheetView topLeftCell="B277" workbookViewId="0">
      <selection activeCell="J310" sqref="J310"/>
    </sheetView>
  </sheetViews>
  <sheetFormatPr defaultRowHeight="15" x14ac:dyDescent="0.25"/>
  <cols>
    <col min="1" max="1" width="9" style="2" customWidth="1"/>
    <col min="2" max="2" width="17.42578125" style="1" customWidth="1"/>
    <col min="3" max="3" width="12.85546875" customWidth="1"/>
    <col min="4" max="4" width="10.7109375" style="4" customWidth="1"/>
    <col min="5" max="5" width="8.5703125" style="2" customWidth="1"/>
    <col min="6" max="6" width="10.5703125" style="7" bestFit="1" customWidth="1"/>
    <col min="7" max="7" width="9.140625" style="7"/>
    <col min="8" max="8" width="9.140625" style="4"/>
  </cols>
  <sheetData>
    <row r="1" spans="1:14" s="3" customFormat="1" ht="30" x14ac:dyDescent="0.25">
      <c r="A1" s="25" t="s">
        <v>1</v>
      </c>
      <c r="B1" s="26" t="s">
        <v>10</v>
      </c>
      <c r="C1" s="27" t="s">
        <v>11</v>
      </c>
      <c r="D1" s="28" t="s">
        <v>12</v>
      </c>
      <c r="E1" s="25" t="s">
        <v>57</v>
      </c>
      <c r="F1" s="29" t="s">
        <v>18</v>
      </c>
      <c r="G1" s="29" t="s">
        <v>0</v>
      </c>
      <c r="H1" s="28" t="s">
        <v>19</v>
      </c>
    </row>
    <row r="2" spans="1:14" x14ac:dyDescent="0.25">
      <c r="A2" s="2">
        <v>350</v>
      </c>
      <c r="B2" s="1">
        <v>43747.507638888892</v>
      </c>
      <c r="C2" t="s">
        <v>2</v>
      </c>
      <c r="D2" s="4">
        <v>0</v>
      </c>
      <c r="E2" s="2">
        <v>754</v>
      </c>
      <c r="F2" s="7">
        <v>0</v>
      </c>
      <c r="G2" s="5"/>
      <c r="I2" t="s">
        <v>22</v>
      </c>
      <c r="K2" s="42" t="s">
        <v>15</v>
      </c>
      <c r="L2" s="42"/>
      <c r="M2" s="42"/>
      <c r="N2" s="42"/>
    </row>
    <row r="3" spans="1:14" x14ac:dyDescent="0.25">
      <c r="A3" s="8">
        <v>351</v>
      </c>
      <c r="B3" s="9">
        <v>43745.34097222222</v>
      </c>
      <c r="C3" s="10"/>
      <c r="D3" s="11">
        <v>0.59587745295052785</v>
      </c>
      <c r="E3" s="8">
        <v>3380</v>
      </c>
      <c r="F3" s="12">
        <v>0.3</v>
      </c>
      <c r="G3" s="13">
        <f t="shared" ref="G3:G24" si="0">F3*0.5*7200*E3/1000000</f>
        <v>3.6503999999999999</v>
      </c>
      <c r="H3" s="11"/>
      <c r="K3" s="42"/>
      <c r="L3" s="43" t="s">
        <v>16</v>
      </c>
      <c r="M3" s="42">
        <f>60*60*2</f>
        <v>7200</v>
      </c>
      <c r="N3" s="42" t="s">
        <v>17</v>
      </c>
    </row>
    <row r="4" spans="1:14" x14ac:dyDescent="0.25">
      <c r="A4" s="14">
        <v>352</v>
      </c>
      <c r="B4" s="15">
        <v>43745.424305555556</v>
      </c>
      <c r="C4" s="16"/>
      <c r="D4" s="17">
        <v>2.6464115876474881</v>
      </c>
      <c r="E4" s="14">
        <v>1860</v>
      </c>
      <c r="F4" s="18">
        <v>2.2000000000000002</v>
      </c>
      <c r="G4" s="19">
        <f t="shared" si="0"/>
        <v>14.731200000000001</v>
      </c>
      <c r="H4" s="17"/>
    </row>
    <row r="5" spans="1:14" x14ac:dyDescent="0.25">
      <c r="A5" s="14">
        <v>353</v>
      </c>
      <c r="B5" s="15">
        <v>43745.508333333331</v>
      </c>
      <c r="C5" s="16"/>
      <c r="D5" s="17">
        <v>4.1050350307706882</v>
      </c>
      <c r="E5" s="14">
        <v>1550</v>
      </c>
      <c r="F5" s="18">
        <v>8.6</v>
      </c>
      <c r="G5" s="19">
        <f t="shared" si="0"/>
        <v>47.988</v>
      </c>
      <c r="H5" s="17"/>
    </row>
    <row r="6" spans="1:14" x14ac:dyDescent="0.25">
      <c r="A6" s="14">
        <v>354</v>
      </c>
      <c r="B6" s="15">
        <v>43745.59097222222</v>
      </c>
      <c r="C6" s="16"/>
      <c r="D6" s="17">
        <v>1.7611362478740484</v>
      </c>
      <c r="E6" s="14">
        <v>1350</v>
      </c>
      <c r="F6" s="18">
        <v>6</v>
      </c>
      <c r="G6" s="19">
        <f t="shared" si="0"/>
        <v>29.16</v>
      </c>
      <c r="H6" s="17"/>
    </row>
    <row r="7" spans="1:14" x14ac:dyDescent="0.25">
      <c r="A7" s="14">
        <v>355</v>
      </c>
      <c r="B7" s="15">
        <v>43745.674305555556</v>
      </c>
      <c r="C7" s="16"/>
      <c r="D7" s="17">
        <v>1.7139259996216318</v>
      </c>
      <c r="E7" s="14">
        <v>1210</v>
      </c>
      <c r="F7" s="18">
        <v>3.2</v>
      </c>
      <c r="G7" s="19">
        <f t="shared" si="0"/>
        <v>13.9392</v>
      </c>
      <c r="H7" s="17"/>
    </row>
    <row r="8" spans="1:14" x14ac:dyDescent="0.25">
      <c r="A8" s="14">
        <v>356</v>
      </c>
      <c r="B8" s="15">
        <v>43745.757638888892</v>
      </c>
      <c r="C8" s="16"/>
      <c r="D8" s="17">
        <v>1.0082117904768002</v>
      </c>
      <c r="E8" s="14">
        <v>1070</v>
      </c>
      <c r="F8" s="18">
        <v>3.2</v>
      </c>
      <c r="G8" s="19">
        <f t="shared" si="0"/>
        <v>12.3264</v>
      </c>
      <c r="H8" s="17"/>
    </row>
    <row r="9" spans="1:14" x14ac:dyDescent="0.25">
      <c r="A9" s="14">
        <v>357</v>
      </c>
      <c r="B9" s="15">
        <v>43745.841666666667</v>
      </c>
      <c r="C9" s="16"/>
      <c r="D9" s="17">
        <v>0.3433485414912002</v>
      </c>
      <c r="E9" s="14">
        <v>952</v>
      </c>
      <c r="F9" s="18">
        <v>1.4</v>
      </c>
      <c r="G9" s="18">
        <f t="shared" si="0"/>
        <v>4.7980799999999997</v>
      </c>
      <c r="H9" s="17"/>
    </row>
    <row r="10" spans="1:14" x14ac:dyDescent="0.25">
      <c r="A10" s="14">
        <v>358</v>
      </c>
      <c r="B10" s="15">
        <v>43745.924305555556</v>
      </c>
      <c r="C10" s="16"/>
      <c r="D10" s="17">
        <v>0.12470804947603203</v>
      </c>
      <c r="E10" s="14">
        <v>782</v>
      </c>
      <c r="F10" s="18">
        <v>0.5</v>
      </c>
      <c r="G10" s="18">
        <f t="shared" si="0"/>
        <v>1.4076</v>
      </c>
      <c r="H10" s="17"/>
    </row>
    <row r="11" spans="1:14" x14ac:dyDescent="0.25">
      <c r="A11" s="20">
        <v>359</v>
      </c>
      <c r="B11" s="21">
        <v>43746.007638888892</v>
      </c>
      <c r="C11" s="22"/>
      <c r="D11" s="23">
        <v>6.0156142629888047E-2</v>
      </c>
      <c r="E11" s="20">
        <v>698</v>
      </c>
      <c r="F11" s="24">
        <v>0.2</v>
      </c>
      <c r="G11" s="24">
        <f t="shared" si="0"/>
        <v>0.50256000000000001</v>
      </c>
      <c r="H11" s="23">
        <f>SUM(G3:G11)/1000</f>
        <v>0.12850344</v>
      </c>
    </row>
    <row r="12" spans="1:14" x14ac:dyDescent="0.25">
      <c r="A12" s="2">
        <v>360</v>
      </c>
      <c r="B12" s="1">
        <v>43757.067361111112</v>
      </c>
      <c r="C12" t="s">
        <v>2</v>
      </c>
      <c r="D12" s="4">
        <v>0</v>
      </c>
      <c r="E12" s="2">
        <v>336</v>
      </c>
      <c r="F12" s="7">
        <v>0</v>
      </c>
      <c r="G12" s="7" t="s">
        <v>21</v>
      </c>
      <c r="I12" t="s">
        <v>22</v>
      </c>
    </row>
    <row r="13" spans="1:14" x14ac:dyDescent="0.25">
      <c r="A13" s="8">
        <v>361</v>
      </c>
      <c r="B13" s="9">
        <v>43755.150694444441</v>
      </c>
      <c r="C13" s="10"/>
      <c r="D13" s="11">
        <v>10.352034222835199</v>
      </c>
      <c r="E13" s="8">
        <v>1075</v>
      </c>
      <c r="F13" s="30">
        <v>8</v>
      </c>
      <c r="G13" s="12">
        <f t="shared" si="0"/>
        <v>30.96</v>
      </c>
      <c r="H13" s="11"/>
    </row>
    <row r="14" spans="1:14" x14ac:dyDescent="0.25">
      <c r="A14" s="14">
        <v>362</v>
      </c>
      <c r="B14" s="15">
        <v>43755.234027777777</v>
      </c>
      <c r="C14" s="16"/>
      <c r="D14" s="17">
        <v>48.284172479999995</v>
      </c>
      <c r="E14" s="14">
        <v>1115</v>
      </c>
      <c r="F14" s="31">
        <v>39</v>
      </c>
      <c r="G14" s="18">
        <f t="shared" si="0"/>
        <v>156.54599999999999</v>
      </c>
      <c r="H14" s="17"/>
    </row>
    <row r="15" spans="1:14" x14ac:dyDescent="0.25">
      <c r="A15" s="14">
        <v>363</v>
      </c>
      <c r="B15" s="15">
        <v>43755.317361111112</v>
      </c>
      <c r="C15" s="16"/>
      <c r="D15" s="17">
        <v>71.566785587034303</v>
      </c>
      <c r="E15" s="14">
        <v>990</v>
      </c>
      <c r="F15" s="31">
        <v>125</v>
      </c>
      <c r="G15" s="18">
        <f t="shared" si="0"/>
        <v>445.5</v>
      </c>
      <c r="H15" s="17"/>
    </row>
    <row r="16" spans="1:14" x14ac:dyDescent="0.25">
      <c r="A16" s="14">
        <v>364</v>
      </c>
      <c r="B16" s="15">
        <v>43755.401388888888</v>
      </c>
      <c r="C16" s="16"/>
      <c r="D16" s="17">
        <v>67.955166667319901</v>
      </c>
      <c r="E16" s="14">
        <v>784</v>
      </c>
      <c r="F16" s="31">
        <v>141</v>
      </c>
      <c r="G16" s="18">
        <f t="shared" si="0"/>
        <v>397.95839999999998</v>
      </c>
      <c r="H16" s="17"/>
    </row>
    <row r="17" spans="1:9" x14ac:dyDescent="0.25">
      <c r="A17" s="14">
        <v>365</v>
      </c>
      <c r="B17" s="15">
        <v>43755.484027777777</v>
      </c>
      <c r="C17" s="16"/>
      <c r="D17" s="17">
        <v>51.997905327692607</v>
      </c>
      <c r="E17" s="14">
        <v>610</v>
      </c>
      <c r="F17" s="31">
        <v>113</v>
      </c>
      <c r="G17" s="18">
        <f t="shared" si="0"/>
        <v>248.148</v>
      </c>
      <c r="H17" s="17"/>
    </row>
    <row r="18" spans="1:9" x14ac:dyDescent="0.25">
      <c r="A18" s="14">
        <v>366</v>
      </c>
      <c r="B18" s="15">
        <v>43755.567361111112</v>
      </c>
      <c r="C18" s="16"/>
      <c r="D18" s="17">
        <v>48.780630720000005</v>
      </c>
      <c r="E18" s="14">
        <v>566</v>
      </c>
      <c r="F18" s="31">
        <v>103</v>
      </c>
      <c r="G18" s="18">
        <f t="shared" si="0"/>
        <v>209.87280000000001</v>
      </c>
      <c r="H18" s="17"/>
    </row>
    <row r="19" spans="1:9" x14ac:dyDescent="0.25">
      <c r="A19" s="14">
        <v>367</v>
      </c>
      <c r="B19" s="15">
        <v>43755.650694444441</v>
      </c>
      <c r="C19" s="16"/>
      <c r="D19" s="17">
        <v>63.02056626221772</v>
      </c>
      <c r="E19" s="14">
        <v>658</v>
      </c>
      <c r="F19" s="31">
        <v>120</v>
      </c>
      <c r="G19" s="18">
        <f t="shared" si="0"/>
        <v>284.25599999999997</v>
      </c>
      <c r="H19" s="17"/>
    </row>
    <row r="20" spans="1:9" x14ac:dyDescent="0.25">
      <c r="A20" s="14">
        <v>368</v>
      </c>
      <c r="B20" s="15">
        <v>43755.734722222223</v>
      </c>
      <c r="C20" s="16"/>
      <c r="D20" s="17">
        <v>43.567819199999988</v>
      </c>
      <c r="E20" s="14">
        <v>491</v>
      </c>
      <c r="F20" s="31">
        <v>103</v>
      </c>
      <c r="G20" s="18">
        <f t="shared" si="0"/>
        <v>182.06280000000001</v>
      </c>
      <c r="H20" s="17"/>
    </row>
    <row r="21" spans="1:9" x14ac:dyDescent="0.25">
      <c r="A21" s="14">
        <v>369</v>
      </c>
      <c r="B21" s="15">
        <v>43755.817361111112</v>
      </c>
      <c r="C21" s="16"/>
      <c r="D21" s="17">
        <v>19.241365440000003</v>
      </c>
      <c r="E21" s="14">
        <v>311</v>
      </c>
      <c r="F21" s="31">
        <v>53</v>
      </c>
      <c r="G21" s="18">
        <f t="shared" si="0"/>
        <v>59.338799999999999</v>
      </c>
      <c r="H21" s="17"/>
    </row>
    <row r="22" spans="1:9" x14ac:dyDescent="0.25">
      <c r="A22" s="14">
        <v>370</v>
      </c>
      <c r="B22" s="15">
        <v>43755.900694444441</v>
      </c>
      <c r="C22" s="16"/>
      <c r="D22" s="17">
        <v>7.9519201118208018</v>
      </c>
      <c r="E22" s="14">
        <v>220</v>
      </c>
      <c r="F22" s="31">
        <v>18</v>
      </c>
      <c r="G22" s="18">
        <f t="shared" si="0"/>
        <v>14.256</v>
      </c>
      <c r="H22" s="17"/>
    </row>
    <row r="23" spans="1:9" x14ac:dyDescent="0.25">
      <c r="A23" s="14">
        <v>371</v>
      </c>
      <c r="B23" s="15">
        <v>43755.984027777777</v>
      </c>
      <c r="C23" s="16"/>
      <c r="D23" s="17">
        <v>5.2965266909952033</v>
      </c>
      <c r="E23" s="14">
        <v>146</v>
      </c>
      <c r="F23" s="31">
        <v>12</v>
      </c>
      <c r="G23" s="18">
        <f t="shared" si="0"/>
        <v>6.3071999999999999</v>
      </c>
      <c r="H23" s="17"/>
    </row>
    <row r="24" spans="1:9" x14ac:dyDescent="0.25">
      <c r="A24" s="14">
        <v>372</v>
      </c>
      <c r="B24" s="15">
        <v>43756.068055555559</v>
      </c>
      <c r="C24" s="16"/>
      <c r="D24" s="17">
        <v>3.70384299442637</v>
      </c>
      <c r="E24" s="14">
        <v>128</v>
      </c>
      <c r="F24" s="31">
        <v>8</v>
      </c>
      <c r="G24" s="18">
        <f t="shared" si="0"/>
        <v>3.6863999999999999</v>
      </c>
      <c r="H24" s="17"/>
    </row>
    <row r="25" spans="1:9" x14ac:dyDescent="0.25">
      <c r="A25" s="20">
        <v>373</v>
      </c>
      <c r="B25" s="21">
        <v>43759.067361111112</v>
      </c>
      <c r="C25" s="22" t="s">
        <v>2</v>
      </c>
      <c r="D25" s="23">
        <v>0</v>
      </c>
      <c r="E25" s="20">
        <v>60.6</v>
      </c>
      <c r="F25" s="24">
        <f>5.5+4.5+3.5+2.5+2+1.5+1+1+0.5+0.5+0.5</f>
        <v>23</v>
      </c>
      <c r="G25" s="24">
        <f>F25*0.5*7200*(E25+E24)/2/1000000</f>
        <v>7.8080400000000001</v>
      </c>
      <c r="H25" s="23">
        <f>SUM(G13:G25)/1000</f>
        <v>2.04670044</v>
      </c>
    </row>
    <row r="26" spans="1:9" x14ac:dyDescent="0.25">
      <c r="A26" s="8">
        <v>374</v>
      </c>
      <c r="B26" s="9">
        <v>43761.232638888891</v>
      </c>
      <c r="C26" s="10" t="s">
        <v>2</v>
      </c>
      <c r="D26" s="11">
        <v>0</v>
      </c>
      <c r="E26" s="8">
        <v>184</v>
      </c>
      <c r="F26" s="12">
        <v>0</v>
      </c>
      <c r="G26" s="12"/>
      <c r="H26" s="11"/>
      <c r="I26" t="s">
        <v>22</v>
      </c>
    </row>
    <row r="27" spans="1:9" x14ac:dyDescent="0.25">
      <c r="A27" s="8">
        <v>375</v>
      </c>
      <c r="B27" s="9">
        <v>43761.149305555555</v>
      </c>
      <c r="C27" s="10"/>
      <c r="D27" s="11">
        <v>2.0266699999999997</v>
      </c>
      <c r="E27" s="8">
        <v>718</v>
      </c>
      <c r="F27" s="12">
        <v>2</v>
      </c>
      <c r="G27" s="12">
        <f t="shared" ref="G27:G92" si="1">F27*0.5*7200*E27/1000000</f>
        <v>5.1696</v>
      </c>
      <c r="H27" s="11"/>
    </row>
    <row r="28" spans="1:9" x14ac:dyDescent="0.25">
      <c r="A28" s="14">
        <v>376</v>
      </c>
      <c r="B28" s="15">
        <v>43761.315972222219</v>
      </c>
      <c r="C28" s="16"/>
      <c r="D28" s="17">
        <v>1.5581732000000001</v>
      </c>
      <c r="E28" s="14">
        <v>620</v>
      </c>
      <c r="F28" s="18">
        <f>5.5+3.5</f>
        <v>9</v>
      </c>
      <c r="G28" s="18">
        <f t="shared" si="1"/>
        <v>20.088000000000001</v>
      </c>
      <c r="H28" s="17"/>
    </row>
    <row r="29" spans="1:9" x14ac:dyDescent="0.25">
      <c r="A29" s="14">
        <v>377</v>
      </c>
      <c r="B29" s="15">
        <v>43761.482638888891</v>
      </c>
      <c r="C29" s="16"/>
      <c r="D29" s="17">
        <v>0.48175080000000003</v>
      </c>
      <c r="E29" s="14">
        <v>363</v>
      </c>
      <c r="F29" s="18">
        <f>2.3+1.3</f>
        <v>3.5999999999999996</v>
      </c>
      <c r="G29" s="18">
        <f t="shared" si="1"/>
        <v>4.7044799999999993</v>
      </c>
      <c r="H29" s="17"/>
    </row>
    <row r="30" spans="1:9" x14ac:dyDescent="0.25">
      <c r="A30" s="14">
        <v>378</v>
      </c>
      <c r="B30" s="15">
        <v>43761.649305555555</v>
      </c>
      <c r="C30" s="16"/>
      <c r="D30" s="17">
        <v>0.4228248</v>
      </c>
      <c r="E30" s="14">
        <v>233</v>
      </c>
      <c r="F30" s="18">
        <v>1.8</v>
      </c>
      <c r="G30" s="18">
        <f t="shared" si="1"/>
        <v>1.5098400000000001</v>
      </c>
      <c r="H30" s="17"/>
    </row>
    <row r="31" spans="1:9" x14ac:dyDescent="0.25">
      <c r="A31" s="14">
        <v>379</v>
      </c>
      <c r="B31" s="15">
        <v>43761.9</v>
      </c>
      <c r="C31" s="16"/>
      <c r="D31" s="17">
        <v>0.36488120000000002</v>
      </c>
      <c r="E31" s="14">
        <v>132</v>
      </c>
      <c r="F31" s="18">
        <v>2.2000000000000002</v>
      </c>
      <c r="G31" s="18">
        <f t="shared" si="1"/>
        <v>1.0454400000000001</v>
      </c>
      <c r="H31" s="17"/>
    </row>
    <row r="32" spans="1:9" x14ac:dyDescent="0.25">
      <c r="A32" s="14">
        <v>380</v>
      </c>
      <c r="B32" s="15">
        <v>43762.315972222219</v>
      </c>
      <c r="C32" s="16"/>
      <c r="D32" s="17">
        <v>0.30791999999999986</v>
      </c>
      <c r="E32" s="14">
        <v>84.8</v>
      </c>
      <c r="F32" s="18">
        <v>2.5</v>
      </c>
      <c r="G32" s="18">
        <f t="shared" si="1"/>
        <v>0.76319999999999999</v>
      </c>
      <c r="H32" s="17"/>
    </row>
    <row r="33" spans="1:9" x14ac:dyDescent="0.25">
      <c r="A33" s="14">
        <v>381</v>
      </c>
      <c r="B33" s="15">
        <v>43763.232638888891</v>
      </c>
      <c r="C33" s="16" t="s">
        <v>2</v>
      </c>
      <c r="D33" s="17">
        <v>0</v>
      </c>
      <c r="E33" s="14">
        <v>106</v>
      </c>
      <c r="F33" s="18">
        <v>0</v>
      </c>
      <c r="G33" s="18" t="s">
        <v>21</v>
      </c>
      <c r="H33" s="17"/>
      <c r="I33" t="s">
        <v>22</v>
      </c>
    </row>
    <row r="34" spans="1:9" x14ac:dyDescent="0.25">
      <c r="A34" s="20">
        <v>382</v>
      </c>
      <c r="B34" s="21">
        <v>43765.232638888891</v>
      </c>
      <c r="C34" s="22" t="s">
        <v>2</v>
      </c>
      <c r="D34" s="23">
        <v>0</v>
      </c>
      <c r="E34" s="20">
        <v>38.799999999999997</v>
      </c>
      <c r="F34" s="24">
        <f>3.5+3.6+2.7+1</f>
        <v>10.8</v>
      </c>
      <c r="G34" s="18">
        <f>F34*0.5*7200*((E34+E32)/2)/1000000</f>
        <v>2.402784</v>
      </c>
      <c r="H34" s="23">
        <f>SUM(G27:G34)/1000</f>
        <v>3.5683343999999999E-2</v>
      </c>
      <c r="I34" t="s">
        <v>20</v>
      </c>
    </row>
    <row r="35" spans="1:9" x14ac:dyDescent="0.25">
      <c r="A35" s="8">
        <v>383</v>
      </c>
      <c r="B35" s="9">
        <v>43767.232638888891</v>
      </c>
      <c r="C35" s="10" t="s">
        <v>2</v>
      </c>
      <c r="D35" s="11">
        <v>0</v>
      </c>
      <c r="E35" s="8">
        <v>180</v>
      </c>
      <c r="F35" s="12">
        <f>49+80+48+21+13.5+10.5+9+53+9</f>
        <v>293</v>
      </c>
      <c r="G35" s="12">
        <f t="shared" si="1"/>
        <v>189.864</v>
      </c>
      <c r="H35" s="11"/>
    </row>
    <row r="36" spans="1:9" x14ac:dyDescent="0.25">
      <c r="A36" s="20">
        <v>384</v>
      </c>
      <c r="B36" s="21">
        <v>43768.84097222222</v>
      </c>
      <c r="C36" s="22" t="s">
        <v>2</v>
      </c>
      <c r="D36" s="23">
        <v>0</v>
      </c>
      <c r="E36" s="20">
        <v>25.8</v>
      </c>
      <c r="F36" s="24">
        <v>28</v>
      </c>
      <c r="G36" s="24">
        <f t="shared" si="1"/>
        <v>2.6006399999999998</v>
      </c>
      <c r="H36" s="23">
        <f>(G35+G36)/1000</f>
        <v>0.19246463999999999</v>
      </c>
      <c r="I36" t="s">
        <v>23</v>
      </c>
    </row>
    <row r="37" spans="1:9" x14ac:dyDescent="0.25">
      <c r="A37" s="8">
        <v>385</v>
      </c>
      <c r="B37" s="9">
        <v>43770.507638888892</v>
      </c>
      <c r="C37" s="10" t="s">
        <v>2</v>
      </c>
      <c r="D37" s="11">
        <v>0</v>
      </c>
      <c r="E37" s="8">
        <v>765</v>
      </c>
      <c r="F37" s="12">
        <v>0</v>
      </c>
      <c r="G37" s="12"/>
      <c r="H37" s="11"/>
      <c r="I37" t="s">
        <v>22</v>
      </c>
    </row>
    <row r="38" spans="1:9" x14ac:dyDescent="0.25">
      <c r="A38" s="8">
        <v>386</v>
      </c>
      <c r="B38" s="9">
        <v>43769.757638888892</v>
      </c>
      <c r="C38" s="10"/>
      <c r="D38" s="11">
        <v>80.016868346729396</v>
      </c>
      <c r="E38" s="8">
        <v>1130</v>
      </c>
      <c r="F38" s="12">
        <v>32</v>
      </c>
      <c r="G38" s="12">
        <f t="shared" si="1"/>
        <v>130.17599999999999</v>
      </c>
      <c r="H38" s="11"/>
    </row>
    <row r="39" spans="1:9" x14ac:dyDescent="0.25">
      <c r="A39" s="14">
        <v>387</v>
      </c>
      <c r="B39" s="15">
        <v>43769.882638888892</v>
      </c>
      <c r="C39" s="16"/>
      <c r="D39" s="17">
        <v>87.392593494589477</v>
      </c>
      <c r="E39" s="14">
        <v>1235</v>
      </c>
      <c r="F39" s="18">
        <v>320</v>
      </c>
      <c r="G39" s="18">
        <f t="shared" si="1"/>
        <v>1422.72</v>
      </c>
      <c r="H39" s="17"/>
    </row>
    <row r="40" spans="1:9" x14ac:dyDescent="0.25">
      <c r="A40" s="14">
        <v>388</v>
      </c>
      <c r="B40" s="15">
        <v>43770.007638888892</v>
      </c>
      <c r="C40" s="16"/>
      <c r="D40" s="17"/>
      <c r="E40" s="14">
        <v>1435</v>
      </c>
      <c r="F40" s="18">
        <v>200</v>
      </c>
      <c r="G40" s="18">
        <f t="shared" si="1"/>
        <v>1033.2</v>
      </c>
      <c r="H40" s="17"/>
      <c r="I40" t="s">
        <v>24</v>
      </c>
    </row>
    <row r="41" spans="1:9" x14ac:dyDescent="0.25">
      <c r="A41" s="14">
        <v>389</v>
      </c>
      <c r="B41" s="15">
        <v>43770.132638888892</v>
      </c>
      <c r="C41" s="16"/>
      <c r="D41" s="17"/>
      <c r="E41" s="14">
        <v>1240</v>
      </c>
      <c r="F41" s="18">
        <v>380</v>
      </c>
      <c r="G41" s="18">
        <f t="shared" si="1"/>
        <v>1696.32</v>
      </c>
      <c r="H41" s="17"/>
    </row>
    <row r="42" spans="1:9" x14ac:dyDescent="0.25">
      <c r="A42" s="14">
        <v>391</v>
      </c>
      <c r="B42" s="15">
        <v>43771.946527777778</v>
      </c>
      <c r="C42" s="16"/>
      <c r="D42" s="17">
        <v>2.9734481932392898</v>
      </c>
      <c r="E42" s="14">
        <v>52.5</v>
      </c>
      <c r="F42" s="18">
        <f>160+130+90+70+50+45+30+20+17+12+10+9+8+7+7+6+6+6+6+6</f>
        <v>695</v>
      </c>
      <c r="G42" s="18">
        <f>F42*0.5*7200*E42*4/1000000</f>
        <v>525.41999999999996</v>
      </c>
      <c r="H42" s="17"/>
      <c r="I42" s="32" t="s">
        <v>25</v>
      </c>
    </row>
    <row r="43" spans="1:9" x14ac:dyDescent="0.25">
      <c r="A43" s="14">
        <v>392</v>
      </c>
      <c r="B43" s="15">
        <v>43772.071527777778</v>
      </c>
      <c r="C43" s="16"/>
      <c r="D43" s="17">
        <v>2.7878142825471506</v>
      </c>
      <c r="E43" s="14">
        <v>45.1</v>
      </c>
      <c r="F43" s="18">
        <v>10.5</v>
      </c>
      <c r="G43" s="18">
        <f t="shared" si="1"/>
        <v>1.70478</v>
      </c>
      <c r="H43" s="17"/>
      <c r="I43" t="s">
        <v>26</v>
      </c>
    </row>
    <row r="44" spans="1:9" x14ac:dyDescent="0.25">
      <c r="A44" s="20">
        <v>393</v>
      </c>
      <c r="B44" s="21">
        <v>43773.613194444442</v>
      </c>
      <c r="C44" s="22" t="s">
        <v>2</v>
      </c>
      <c r="D44" s="23">
        <v>0</v>
      </c>
      <c r="E44" s="20">
        <v>38.5</v>
      </c>
      <c r="F44" s="24">
        <v>72</v>
      </c>
      <c r="G44" s="24">
        <f t="shared" si="1"/>
        <v>9.9792000000000005</v>
      </c>
      <c r="H44" s="23">
        <f>SUM(G38:G44)/1000</f>
        <v>4.8195199799999999</v>
      </c>
    </row>
    <row r="45" spans="1:9" x14ac:dyDescent="0.25">
      <c r="A45" s="8">
        <v>394</v>
      </c>
      <c r="B45" s="9">
        <v>43775.613194444442</v>
      </c>
      <c r="C45" s="10" t="s">
        <v>2</v>
      </c>
      <c r="D45" s="11">
        <v>0</v>
      </c>
      <c r="E45" s="8">
        <v>27.3</v>
      </c>
      <c r="F45" s="12">
        <v>57</v>
      </c>
      <c r="G45" s="12">
        <f t="shared" si="1"/>
        <v>5.6019600000000001</v>
      </c>
      <c r="H45" s="11"/>
    </row>
    <row r="46" spans="1:9" x14ac:dyDescent="0.25">
      <c r="A46" s="14">
        <v>395</v>
      </c>
      <c r="B46" s="15">
        <v>43777.613194444442</v>
      </c>
      <c r="C46" s="16" t="s">
        <v>2</v>
      </c>
      <c r="D46" s="17">
        <v>0</v>
      </c>
      <c r="E46" s="14">
        <v>47.5</v>
      </c>
      <c r="F46" s="18">
        <f>10+22+11.5</f>
        <v>43.5</v>
      </c>
      <c r="G46" s="18">
        <f t="shared" si="1"/>
        <v>7.4385000000000003</v>
      </c>
      <c r="H46" s="17"/>
    </row>
    <row r="47" spans="1:9" x14ac:dyDescent="0.25">
      <c r="A47" s="14">
        <v>396</v>
      </c>
      <c r="B47" s="15">
        <v>43779.613194444442</v>
      </c>
      <c r="C47" s="16" t="s">
        <v>2</v>
      </c>
      <c r="D47" s="17">
        <v>0</v>
      </c>
      <c r="E47" s="14">
        <v>28.4</v>
      </c>
      <c r="F47" s="18">
        <v>30</v>
      </c>
      <c r="G47" s="18">
        <f t="shared" si="1"/>
        <v>3.0672000000000001</v>
      </c>
      <c r="H47" s="17"/>
    </row>
    <row r="48" spans="1:9" x14ac:dyDescent="0.25">
      <c r="A48" s="14">
        <v>397</v>
      </c>
      <c r="B48" s="15">
        <v>43781.613194444442</v>
      </c>
      <c r="C48" s="16" t="s">
        <v>13</v>
      </c>
      <c r="D48" s="17">
        <v>0</v>
      </c>
      <c r="E48" s="14">
        <v>20.100000000000001</v>
      </c>
      <c r="F48" s="18">
        <v>24</v>
      </c>
      <c r="G48" s="18">
        <f t="shared" si="1"/>
        <v>1.7366400000000002</v>
      </c>
      <c r="H48" s="17"/>
    </row>
    <row r="49" spans="1:9" x14ac:dyDescent="0.25">
      <c r="A49" s="14">
        <v>398</v>
      </c>
      <c r="B49" s="15">
        <v>43781.661111111112</v>
      </c>
      <c r="C49" s="16" t="s">
        <v>3</v>
      </c>
      <c r="D49" s="17">
        <v>0.33550050538580789</v>
      </c>
      <c r="E49" s="14">
        <v>44.8</v>
      </c>
      <c r="F49" s="18">
        <v>0</v>
      </c>
      <c r="G49" s="18" t="s">
        <v>21</v>
      </c>
      <c r="H49" s="17"/>
      <c r="I49" t="s">
        <v>22</v>
      </c>
    </row>
    <row r="50" spans="1:9" x14ac:dyDescent="0.25">
      <c r="A50" s="20">
        <v>399</v>
      </c>
      <c r="B50" s="21">
        <v>43787.677083333336</v>
      </c>
      <c r="C50" s="22" t="s">
        <v>4</v>
      </c>
      <c r="D50" s="23">
        <v>0</v>
      </c>
      <c r="E50" s="20">
        <v>24.7</v>
      </c>
      <c r="F50" s="24">
        <v>24</v>
      </c>
      <c r="G50" s="24">
        <f t="shared" si="1"/>
        <v>2.13408</v>
      </c>
      <c r="H50" s="23">
        <f>SUM(G45:G50)/1000</f>
        <v>1.997838E-2</v>
      </c>
      <c r="I50" t="s">
        <v>27</v>
      </c>
    </row>
    <row r="51" spans="1:9" x14ac:dyDescent="0.25">
      <c r="A51" s="8">
        <v>400</v>
      </c>
      <c r="B51" s="9">
        <v>43788.427083333336</v>
      </c>
      <c r="C51" s="10"/>
      <c r="D51" s="11">
        <v>2.4441000000000002</v>
      </c>
      <c r="E51" s="8">
        <v>364</v>
      </c>
      <c r="F51" s="12">
        <v>2</v>
      </c>
      <c r="G51" s="12">
        <f t="shared" si="1"/>
        <v>2.6208</v>
      </c>
      <c r="H51" s="11"/>
    </row>
    <row r="52" spans="1:9" x14ac:dyDescent="0.25">
      <c r="A52" s="14">
        <v>401</v>
      </c>
      <c r="B52" s="15">
        <v>43788.552083333336</v>
      </c>
      <c r="C52" s="16"/>
      <c r="D52" s="17">
        <v>4.5725648000000003</v>
      </c>
      <c r="E52" s="14">
        <v>422</v>
      </c>
      <c r="F52" s="18">
        <v>16</v>
      </c>
      <c r="G52" s="18">
        <f t="shared" si="1"/>
        <v>24.307200000000002</v>
      </c>
      <c r="H52" s="17"/>
    </row>
    <row r="53" spans="1:9" x14ac:dyDescent="0.25">
      <c r="A53" s="14">
        <v>402</v>
      </c>
      <c r="B53" s="15">
        <v>43788.677083333336</v>
      </c>
      <c r="C53" s="16"/>
      <c r="D53" s="17">
        <v>3.743563200000001</v>
      </c>
      <c r="E53" s="14">
        <v>316</v>
      </c>
      <c r="F53" s="18">
        <v>8</v>
      </c>
      <c r="G53" s="18">
        <f t="shared" si="1"/>
        <v>9.1007999999999996</v>
      </c>
      <c r="H53" s="17"/>
    </row>
    <row r="54" spans="1:9" x14ac:dyDescent="0.25">
      <c r="A54" s="14">
        <v>403</v>
      </c>
      <c r="B54" s="15">
        <v>43788.802083333336</v>
      </c>
      <c r="C54" s="16"/>
      <c r="D54" s="17">
        <v>3.1630728000000006</v>
      </c>
      <c r="E54" s="14">
        <v>260</v>
      </c>
      <c r="F54" s="18">
        <v>13.5</v>
      </c>
      <c r="G54" s="18">
        <f t="shared" si="1"/>
        <v>12.635999999999999</v>
      </c>
      <c r="H54" s="17"/>
    </row>
    <row r="55" spans="1:9" x14ac:dyDescent="0.25">
      <c r="A55" s="14">
        <v>404</v>
      </c>
      <c r="B55" s="15">
        <v>43788.927083333336</v>
      </c>
      <c r="C55" s="16"/>
      <c r="D55" s="17">
        <v>2.7063467999999999</v>
      </c>
      <c r="E55" s="14">
        <v>215</v>
      </c>
      <c r="F55" s="18">
        <v>6</v>
      </c>
      <c r="G55" s="18">
        <f t="shared" si="1"/>
        <v>4.6440000000000001</v>
      </c>
      <c r="H55" s="17"/>
    </row>
    <row r="56" spans="1:9" x14ac:dyDescent="0.25">
      <c r="A56" s="14">
        <v>405</v>
      </c>
      <c r="B56" s="15">
        <v>43789.677083333336</v>
      </c>
      <c r="C56" s="16"/>
      <c r="D56" s="17">
        <v>2.6179487999999993</v>
      </c>
      <c r="E56" s="14">
        <v>169</v>
      </c>
      <c r="F56" s="18">
        <v>39</v>
      </c>
      <c r="G56" s="18">
        <f t="shared" si="1"/>
        <v>23.727599999999999</v>
      </c>
      <c r="H56" s="17"/>
    </row>
    <row r="57" spans="1:9" x14ac:dyDescent="0.25">
      <c r="A57" s="14">
        <v>406</v>
      </c>
      <c r="B57" s="15">
        <v>43790.052083333336</v>
      </c>
      <c r="C57" s="16"/>
      <c r="D57" s="17">
        <v>3.3526400000000005</v>
      </c>
      <c r="E57" s="14">
        <v>183</v>
      </c>
      <c r="F57" s="18">
        <v>33</v>
      </c>
      <c r="G57" s="18">
        <f t="shared" si="1"/>
        <v>21.740400000000001</v>
      </c>
      <c r="H57" s="17"/>
    </row>
    <row r="58" spans="1:9" x14ac:dyDescent="0.25">
      <c r="A58" s="20">
        <v>407</v>
      </c>
      <c r="B58" s="21">
        <v>43790.427083333336</v>
      </c>
      <c r="C58" s="22"/>
      <c r="D58" s="23">
        <v>2.9774352000000004</v>
      </c>
      <c r="E58" s="20">
        <v>116</v>
      </c>
      <c r="F58" s="24">
        <v>26</v>
      </c>
      <c r="G58" s="24">
        <f t="shared" si="1"/>
        <v>10.8576</v>
      </c>
      <c r="H58" s="23">
        <f>SUM(G51:G58)/1000</f>
        <v>0.10963440000000001</v>
      </c>
    </row>
    <row r="59" spans="1:9" x14ac:dyDescent="0.25">
      <c r="A59" s="2">
        <v>408</v>
      </c>
      <c r="B59" s="1">
        <v>43790.677083333336</v>
      </c>
      <c r="C59" t="s">
        <v>2</v>
      </c>
      <c r="D59" s="4">
        <v>0</v>
      </c>
      <c r="E59" s="2">
        <v>216</v>
      </c>
      <c r="F59" s="7">
        <v>0</v>
      </c>
      <c r="G59" s="7" t="s">
        <v>21</v>
      </c>
      <c r="I59" t="s">
        <v>22</v>
      </c>
    </row>
    <row r="60" spans="1:9" x14ac:dyDescent="0.25">
      <c r="A60" s="8">
        <v>409</v>
      </c>
      <c r="B60" s="9">
        <v>43791.677083333336</v>
      </c>
      <c r="C60" s="10" t="s">
        <v>5</v>
      </c>
      <c r="D60" s="11">
        <v>0</v>
      </c>
      <c r="E60" s="8">
        <v>508</v>
      </c>
      <c r="F60" s="12">
        <f>8.5+9.5+10+10+10+12+20+50+73+100+107+98</f>
        <v>508</v>
      </c>
      <c r="G60" s="12">
        <f t="shared" si="1"/>
        <v>929.03039999999999</v>
      </c>
      <c r="H60" s="11"/>
    </row>
    <row r="61" spans="1:9" x14ac:dyDescent="0.25">
      <c r="A61" s="20">
        <v>410</v>
      </c>
      <c r="B61" s="21">
        <v>43794.643750000003</v>
      </c>
      <c r="C61" s="22" t="s">
        <v>4</v>
      </c>
      <c r="D61" s="23">
        <v>2.2741807999999999</v>
      </c>
      <c r="E61" s="20">
        <v>96.6</v>
      </c>
      <c r="F61" s="24">
        <f>62+32+19+15+14+11+10+9+8+8+21+24+60+29</f>
        <v>322</v>
      </c>
      <c r="G61" s="24">
        <f t="shared" si="1"/>
        <v>111.97872</v>
      </c>
      <c r="H61" s="23">
        <f>SUM(G60:G61)/1000</f>
        <v>1.04100912</v>
      </c>
    </row>
    <row r="62" spans="1:9" x14ac:dyDescent="0.25">
      <c r="A62" s="20"/>
      <c r="B62" s="21"/>
      <c r="C62" s="22"/>
      <c r="D62" s="23"/>
      <c r="E62" s="20"/>
      <c r="F62" s="24">
        <v>70</v>
      </c>
      <c r="G62" s="24">
        <f>F62*0.5*7200*50/1000000</f>
        <v>12.6</v>
      </c>
      <c r="H62" s="23">
        <f>SUM(G62)/1000</f>
        <v>1.26E-2</v>
      </c>
      <c r="I62" t="s">
        <v>28</v>
      </c>
    </row>
    <row r="63" spans="1:9" x14ac:dyDescent="0.25">
      <c r="A63" s="14">
        <v>411</v>
      </c>
      <c r="B63" s="33">
        <v>43796.893750000003</v>
      </c>
      <c r="C63" s="10"/>
      <c r="D63" s="11">
        <v>5.35</v>
      </c>
      <c r="E63" s="8">
        <v>1150</v>
      </c>
      <c r="F63" s="12">
        <v>13</v>
      </c>
      <c r="G63" s="12">
        <f t="shared" si="1"/>
        <v>53.82</v>
      </c>
      <c r="H63" s="11"/>
    </row>
    <row r="64" spans="1:9" x14ac:dyDescent="0.25">
      <c r="A64" s="2">
        <v>412</v>
      </c>
      <c r="B64" s="15">
        <v>43797.018750000003</v>
      </c>
      <c r="C64" s="16"/>
      <c r="D64" s="17">
        <v>7.0478348000000013</v>
      </c>
      <c r="E64" s="14">
        <v>865</v>
      </c>
      <c r="F64" s="18">
        <v>30</v>
      </c>
      <c r="G64" s="18">
        <f t="shared" si="1"/>
        <v>93.42</v>
      </c>
      <c r="H64" s="17"/>
    </row>
    <row r="65" spans="1:9" x14ac:dyDescent="0.25">
      <c r="A65" s="2">
        <v>413</v>
      </c>
      <c r="B65" s="15">
        <v>43797.143750000003</v>
      </c>
      <c r="C65" s="16"/>
      <c r="D65" s="17">
        <v>72.437637729879455</v>
      </c>
      <c r="E65" s="14">
        <v>1380</v>
      </c>
      <c r="F65" s="18">
        <v>136</v>
      </c>
      <c r="G65" s="18">
        <f t="shared" si="1"/>
        <v>675.64800000000002</v>
      </c>
      <c r="H65" s="17"/>
    </row>
    <row r="66" spans="1:9" x14ac:dyDescent="0.25">
      <c r="A66" s="2">
        <v>414</v>
      </c>
      <c r="B66" s="15">
        <v>43797.268750000003</v>
      </c>
      <c r="C66" s="16"/>
      <c r="D66" s="17">
        <v>24.496199999999995</v>
      </c>
      <c r="E66" s="14">
        <v>842</v>
      </c>
      <c r="F66" s="18">
        <v>90</v>
      </c>
      <c r="G66" s="18">
        <f t="shared" si="1"/>
        <v>272.80799999999999</v>
      </c>
      <c r="H66" s="17"/>
    </row>
    <row r="67" spans="1:9" x14ac:dyDescent="0.25">
      <c r="A67" s="2">
        <v>415</v>
      </c>
      <c r="B67" s="15">
        <v>43797.393750000003</v>
      </c>
      <c r="C67" s="16"/>
      <c r="D67" s="17">
        <v>9.808018800000001</v>
      </c>
      <c r="E67" s="14">
        <v>445</v>
      </c>
      <c r="F67" s="18">
        <v>77</v>
      </c>
      <c r="G67" s="18">
        <f t="shared" si="1"/>
        <v>123.354</v>
      </c>
      <c r="H67" s="17"/>
    </row>
    <row r="68" spans="1:9" x14ac:dyDescent="0.25">
      <c r="A68" s="2">
        <v>416</v>
      </c>
      <c r="B68" s="15">
        <v>43797.518750000003</v>
      </c>
      <c r="C68" s="16"/>
      <c r="D68" s="17">
        <v>6.9201408000000013</v>
      </c>
      <c r="E68" s="14">
        <v>211</v>
      </c>
      <c r="F68" s="18">
        <v>16</v>
      </c>
      <c r="G68" s="18">
        <f t="shared" si="1"/>
        <v>12.153600000000001</v>
      </c>
      <c r="H68" s="17"/>
    </row>
    <row r="69" spans="1:9" x14ac:dyDescent="0.25">
      <c r="A69" s="2">
        <v>417</v>
      </c>
      <c r="B69" s="15">
        <v>43797.643750000003</v>
      </c>
      <c r="C69" s="16" t="s">
        <v>4</v>
      </c>
      <c r="D69" s="17">
        <v>0</v>
      </c>
      <c r="E69" s="14">
        <v>294</v>
      </c>
      <c r="F69" s="18">
        <v>0</v>
      </c>
      <c r="G69" s="18" t="s">
        <v>21</v>
      </c>
      <c r="H69" s="17"/>
      <c r="I69" t="s">
        <v>22</v>
      </c>
    </row>
    <row r="70" spans="1:9" x14ac:dyDescent="0.25">
      <c r="A70" s="2">
        <v>418</v>
      </c>
      <c r="B70" s="15">
        <v>43797.644444444442</v>
      </c>
      <c r="C70" s="16"/>
      <c r="D70" s="17">
        <v>5.5803452000000027</v>
      </c>
      <c r="E70" s="14">
        <v>127</v>
      </c>
      <c r="F70" s="18">
        <v>26</v>
      </c>
      <c r="G70" s="18">
        <f t="shared" si="1"/>
        <v>11.8872</v>
      </c>
      <c r="H70" s="17"/>
    </row>
    <row r="71" spans="1:9" x14ac:dyDescent="0.25">
      <c r="A71" s="2">
        <v>419</v>
      </c>
      <c r="B71" s="15">
        <v>43797.768750000003</v>
      </c>
      <c r="C71" s="16"/>
      <c r="D71" s="17">
        <v>4.6806108000000011</v>
      </c>
      <c r="E71" s="14">
        <v>51</v>
      </c>
      <c r="F71" s="18">
        <v>10</v>
      </c>
      <c r="G71" s="18">
        <f t="shared" si="1"/>
        <v>1.8360000000000001</v>
      </c>
      <c r="H71" s="17">
        <f>SUM(G63:G71)/1000</f>
        <v>1.2449268</v>
      </c>
    </row>
    <row r="72" spans="1:9" x14ac:dyDescent="0.25">
      <c r="A72" s="34">
        <v>420</v>
      </c>
      <c r="B72" s="35">
        <v>43807.690972222219</v>
      </c>
      <c r="C72" s="36" t="s">
        <v>14</v>
      </c>
      <c r="D72" s="37">
        <v>0</v>
      </c>
      <c r="E72" s="34">
        <v>32.4</v>
      </c>
      <c r="F72" s="38">
        <f>9+8+8+7+7+6+6+6+6+5+5+5+4+4+4+4+4+4+4+3.5+3.5+3.5+3.5+12+15+18+24+23+18+15+10+6+5</f>
        <v>266</v>
      </c>
      <c r="G72" s="38">
        <f>F72*0.5*7200*((E72+E71)/2)/1000000</f>
        <v>39.931919999999998</v>
      </c>
      <c r="H72" s="37">
        <f>SUM(G72)/1000</f>
        <v>3.9931919999999996E-2</v>
      </c>
      <c r="I72" t="s">
        <v>29</v>
      </c>
    </row>
    <row r="73" spans="1:9" x14ac:dyDescent="0.25">
      <c r="A73" s="8">
        <v>421</v>
      </c>
      <c r="B73" s="9">
        <v>43809.02847222222</v>
      </c>
      <c r="C73" s="10"/>
      <c r="D73" s="11">
        <v>5.2161611373033878</v>
      </c>
      <c r="E73" s="8">
        <v>474</v>
      </c>
      <c r="F73" s="12">
        <v>11</v>
      </c>
      <c r="G73" s="12">
        <f t="shared" si="1"/>
        <v>18.770399999999999</v>
      </c>
      <c r="H73" s="11"/>
    </row>
    <row r="74" spans="1:9" x14ac:dyDescent="0.25">
      <c r="A74" s="14">
        <v>422</v>
      </c>
      <c r="B74" s="15">
        <v>43809.15347222222</v>
      </c>
      <c r="C74" s="16"/>
      <c r="D74" s="17">
        <v>6.6443577637966387</v>
      </c>
      <c r="E74" s="14">
        <v>433</v>
      </c>
      <c r="F74" s="18">
        <v>23.5</v>
      </c>
      <c r="G74" s="18">
        <f t="shared" si="1"/>
        <v>36.631799999999998</v>
      </c>
      <c r="H74" s="17"/>
    </row>
    <row r="75" spans="1:9" x14ac:dyDescent="0.25">
      <c r="A75" s="14">
        <v>423</v>
      </c>
      <c r="B75" s="15">
        <v>43809.27847222222</v>
      </c>
      <c r="C75" s="16"/>
      <c r="D75" s="17">
        <v>6.8944394580786756</v>
      </c>
      <c r="E75" s="14">
        <v>429</v>
      </c>
      <c r="F75" s="18">
        <v>14</v>
      </c>
      <c r="G75" s="18">
        <f t="shared" si="1"/>
        <v>21.621600000000001</v>
      </c>
      <c r="H75" s="17"/>
    </row>
    <row r="76" spans="1:9" x14ac:dyDescent="0.25">
      <c r="A76" s="14">
        <v>424</v>
      </c>
      <c r="B76" s="15">
        <v>43809.40347222222</v>
      </c>
      <c r="C76" s="16"/>
      <c r="D76" s="17">
        <v>7.0199270060130852</v>
      </c>
      <c r="E76" s="14">
        <v>400</v>
      </c>
      <c r="F76" s="18">
        <v>28</v>
      </c>
      <c r="G76" s="18">
        <f t="shared" si="1"/>
        <v>40.32</v>
      </c>
      <c r="H76" s="17"/>
    </row>
    <row r="77" spans="1:9" x14ac:dyDescent="0.25">
      <c r="A77" s="14">
        <v>425</v>
      </c>
      <c r="B77" s="15">
        <v>43809.52847222222</v>
      </c>
      <c r="C77" s="16"/>
      <c r="D77" s="17">
        <v>6.89045491893049</v>
      </c>
      <c r="E77" s="14">
        <v>367</v>
      </c>
      <c r="F77" s="18">
        <v>14</v>
      </c>
      <c r="G77" s="18">
        <f t="shared" si="1"/>
        <v>18.4968</v>
      </c>
      <c r="H77" s="17"/>
    </row>
    <row r="78" spans="1:9" x14ac:dyDescent="0.25">
      <c r="A78" s="14">
        <v>426</v>
      </c>
      <c r="B78" s="15">
        <v>43809.65347222222</v>
      </c>
      <c r="C78" s="16"/>
      <c r="D78" s="17">
        <v>5.6680038766681937</v>
      </c>
      <c r="E78" s="14">
        <v>302</v>
      </c>
      <c r="F78" s="18">
        <v>26</v>
      </c>
      <c r="G78" s="18">
        <f t="shared" si="1"/>
        <v>28.267199999999999</v>
      </c>
      <c r="H78" s="17"/>
    </row>
    <row r="79" spans="1:9" x14ac:dyDescent="0.25">
      <c r="A79" s="14">
        <v>427</v>
      </c>
      <c r="B79" s="15">
        <v>43809.77847222222</v>
      </c>
      <c r="C79" s="16"/>
      <c r="D79" s="17">
        <v>4.1227825204812829</v>
      </c>
      <c r="E79" s="14">
        <v>213</v>
      </c>
      <c r="F79" s="18">
        <v>10</v>
      </c>
      <c r="G79" s="18">
        <f t="shared" si="1"/>
        <v>7.6680000000000001</v>
      </c>
      <c r="H79" s="17"/>
    </row>
    <row r="80" spans="1:9" x14ac:dyDescent="0.25">
      <c r="A80" s="14">
        <v>428</v>
      </c>
      <c r="B80" s="15">
        <v>43809.90347222222</v>
      </c>
      <c r="C80" s="16"/>
      <c r="D80" s="17">
        <v>3.2308027976097304</v>
      </c>
      <c r="E80" s="14">
        <v>153.5</v>
      </c>
      <c r="F80" s="18">
        <v>17</v>
      </c>
      <c r="G80" s="18">
        <f t="shared" si="1"/>
        <v>9.3941999999999997</v>
      </c>
      <c r="H80" s="17"/>
    </row>
    <row r="81" spans="1:9" x14ac:dyDescent="0.25">
      <c r="A81" s="14">
        <v>429</v>
      </c>
      <c r="B81" s="15">
        <v>43810.02847222222</v>
      </c>
      <c r="C81" s="16"/>
      <c r="D81" s="17">
        <v>2.6800485690645783</v>
      </c>
      <c r="E81" s="14">
        <v>91.7</v>
      </c>
      <c r="F81" s="18">
        <v>11</v>
      </c>
      <c r="G81" s="18">
        <f t="shared" si="1"/>
        <v>3.6313200000000001</v>
      </c>
      <c r="H81" s="17"/>
    </row>
    <row r="82" spans="1:9" x14ac:dyDescent="0.25">
      <c r="A82" s="14">
        <v>430</v>
      </c>
      <c r="B82" s="15">
        <v>43810.40347222222</v>
      </c>
      <c r="C82" s="16" t="s">
        <v>4</v>
      </c>
      <c r="D82" s="17">
        <v>0</v>
      </c>
      <c r="E82" s="14">
        <v>160</v>
      </c>
      <c r="F82" s="18">
        <v>0</v>
      </c>
      <c r="G82" s="18"/>
      <c r="H82" s="17"/>
      <c r="I82" t="s">
        <v>22</v>
      </c>
    </row>
    <row r="83" spans="1:9" x14ac:dyDescent="0.25">
      <c r="A83" s="20">
        <v>431</v>
      </c>
      <c r="B83" s="21">
        <v>43813.40347222222</v>
      </c>
      <c r="C83" s="22" t="s">
        <v>4</v>
      </c>
      <c r="D83" s="23">
        <v>0</v>
      </c>
      <c r="E83" s="20">
        <v>14</v>
      </c>
      <c r="F83" s="24">
        <f>5+4+4+4+10+12+26+24+16</f>
        <v>105</v>
      </c>
      <c r="G83" s="24">
        <f t="shared" si="1"/>
        <v>5.2919999999999998</v>
      </c>
      <c r="H83" s="23">
        <f>SUM(G73:G83)/1000</f>
        <v>0.19009332000000001</v>
      </c>
    </row>
    <row r="84" spans="1:9" x14ac:dyDescent="0.25">
      <c r="A84" s="8">
        <v>432</v>
      </c>
      <c r="B84" s="9">
        <v>43813.77847222222</v>
      </c>
      <c r="C84" s="10"/>
      <c r="D84" s="11">
        <v>2.5508136064443669</v>
      </c>
      <c r="E84" s="8">
        <v>231</v>
      </c>
      <c r="F84" s="12">
        <v>11</v>
      </c>
      <c r="G84" s="12">
        <f t="shared" si="1"/>
        <v>9.1476000000000006</v>
      </c>
      <c r="H84" s="11"/>
    </row>
    <row r="85" spans="1:9" x14ac:dyDescent="0.25">
      <c r="A85" s="14">
        <v>433</v>
      </c>
      <c r="B85" s="15">
        <v>43813.90347222222</v>
      </c>
      <c r="C85" s="16"/>
      <c r="D85" s="17">
        <v>4.2776254289993254</v>
      </c>
      <c r="E85" s="14">
        <v>497</v>
      </c>
      <c r="F85" s="18">
        <v>16.5</v>
      </c>
      <c r="G85" s="18">
        <f t="shared" si="1"/>
        <v>29.521799999999999</v>
      </c>
      <c r="H85" s="17"/>
    </row>
    <row r="86" spans="1:9" x14ac:dyDescent="0.25">
      <c r="A86" s="14">
        <v>434</v>
      </c>
      <c r="B86" s="15">
        <v>43814.02847222222</v>
      </c>
      <c r="C86" s="16"/>
      <c r="D86" s="17">
        <v>5.9580380563565667</v>
      </c>
      <c r="E86" s="14">
        <v>425</v>
      </c>
      <c r="F86" s="18">
        <v>25</v>
      </c>
      <c r="G86" s="18">
        <f t="shared" si="1"/>
        <v>38.25</v>
      </c>
      <c r="H86" s="17"/>
    </row>
    <row r="87" spans="1:9" x14ac:dyDescent="0.25">
      <c r="A87" s="20">
        <v>435</v>
      </c>
      <c r="B87" s="21">
        <v>43816.40347222222</v>
      </c>
      <c r="C87" s="22" t="s">
        <v>4</v>
      </c>
      <c r="D87" s="23">
        <v>0</v>
      </c>
      <c r="E87" s="20">
        <v>173</v>
      </c>
      <c r="F87" s="24">
        <f>9.5+8+7+7.5+6.5+5.5+5+5+4.5+4+4+4+4+7+3+27+14</f>
        <v>125.5</v>
      </c>
      <c r="G87" s="24">
        <f t="shared" si="1"/>
        <v>78.1614</v>
      </c>
      <c r="H87" s="23">
        <f>SUM(G84:G87)/1000</f>
        <v>0.15508080000000002</v>
      </c>
    </row>
    <row r="88" spans="1:9" x14ac:dyDescent="0.25">
      <c r="A88" s="8">
        <v>436</v>
      </c>
      <c r="B88" s="9">
        <v>43819.40347222222</v>
      </c>
      <c r="C88" s="10" t="s">
        <v>4</v>
      </c>
      <c r="D88" s="11">
        <v>0</v>
      </c>
      <c r="E88" s="8">
        <v>77</v>
      </c>
      <c r="F88" s="12">
        <f>20+24+12+3.5</f>
        <v>59.5</v>
      </c>
      <c r="G88" s="12">
        <f t="shared" si="1"/>
        <v>16.493400000000001</v>
      </c>
      <c r="H88" s="11"/>
    </row>
    <row r="89" spans="1:9" x14ac:dyDescent="0.25">
      <c r="A89" s="14">
        <v>437</v>
      </c>
      <c r="B89" s="15">
        <v>43824.583333333336</v>
      </c>
      <c r="C89" s="16" t="s">
        <v>4</v>
      </c>
      <c r="D89" s="17">
        <v>0</v>
      </c>
      <c r="E89" s="14">
        <v>48.6</v>
      </c>
      <c r="F89" s="18">
        <f>4+12+14+14+10+5</f>
        <v>59</v>
      </c>
      <c r="G89" s="18">
        <f t="shared" si="1"/>
        <v>10.32264</v>
      </c>
      <c r="H89" s="17"/>
    </row>
    <row r="90" spans="1:9" x14ac:dyDescent="0.25">
      <c r="A90" s="20">
        <v>438</v>
      </c>
      <c r="B90" s="21">
        <v>43827.583333333336</v>
      </c>
      <c r="C90" s="22" t="s">
        <v>4</v>
      </c>
      <c r="D90" s="23">
        <v>0</v>
      </c>
      <c r="E90" s="20">
        <v>45.4</v>
      </c>
      <c r="F90" s="24">
        <f>4+5+12+7+18</f>
        <v>46</v>
      </c>
      <c r="G90" s="24">
        <f t="shared" si="1"/>
        <v>7.5182399999999996</v>
      </c>
      <c r="H90" s="23">
        <f>SUM(G88:G90)/1000</f>
        <v>3.4334280000000002E-2</v>
      </c>
      <c r="I90" t="s">
        <v>30</v>
      </c>
    </row>
    <row r="91" spans="1:9" x14ac:dyDescent="0.25">
      <c r="A91" s="2">
        <v>439</v>
      </c>
      <c r="B91" s="1">
        <v>43830.583333333336</v>
      </c>
      <c r="D91" s="4">
        <v>0</v>
      </c>
      <c r="E91" s="2">
        <v>203</v>
      </c>
      <c r="F91" s="7">
        <v>0</v>
      </c>
      <c r="I91" t="s">
        <v>22</v>
      </c>
    </row>
    <row r="92" spans="1:9" x14ac:dyDescent="0.25">
      <c r="A92" s="8">
        <v>440</v>
      </c>
      <c r="B92" s="9">
        <v>43829.333333333336</v>
      </c>
      <c r="C92" s="10"/>
      <c r="D92" s="11">
        <v>2.6620249999999999</v>
      </c>
      <c r="E92" s="8">
        <v>361</v>
      </c>
      <c r="F92" s="12">
        <v>3.5</v>
      </c>
      <c r="G92" s="12">
        <f t="shared" si="1"/>
        <v>4.5486000000000004</v>
      </c>
      <c r="H92" s="11"/>
    </row>
    <row r="93" spans="1:9" x14ac:dyDescent="0.25">
      <c r="A93" s="14">
        <v>441</v>
      </c>
      <c r="B93" s="15">
        <v>43829.458333333336</v>
      </c>
      <c r="C93" s="16"/>
      <c r="D93" s="17">
        <v>9.4415057999999998</v>
      </c>
      <c r="E93" s="14">
        <v>509</v>
      </c>
      <c r="F93" s="18">
        <v>33</v>
      </c>
      <c r="G93" s="18">
        <f t="shared" ref="G93:G103" si="2">F93*0.5*7200*E93/1000000</f>
        <v>60.469200000000001</v>
      </c>
      <c r="H93" s="17"/>
    </row>
    <row r="94" spans="1:9" x14ac:dyDescent="0.25">
      <c r="A94" s="14">
        <v>442</v>
      </c>
      <c r="B94" s="15">
        <v>43829.583333333336</v>
      </c>
      <c r="C94" s="16"/>
      <c r="D94" s="17">
        <v>30.400599999999997</v>
      </c>
      <c r="E94" s="14">
        <v>467</v>
      </c>
      <c r="F94" s="18">
        <v>60</v>
      </c>
      <c r="G94" s="18">
        <f t="shared" si="2"/>
        <v>100.872</v>
      </c>
      <c r="H94" s="17"/>
    </row>
    <row r="95" spans="1:9" x14ac:dyDescent="0.25">
      <c r="A95" s="14">
        <v>443</v>
      </c>
      <c r="B95" s="15">
        <v>43829.708333333336</v>
      </c>
      <c r="C95" s="16"/>
      <c r="D95" s="17">
        <v>22.256599999999992</v>
      </c>
      <c r="E95" s="14">
        <v>393</v>
      </c>
      <c r="F95" s="18">
        <f>59+22.5</f>
        <v>81.5</v>
      </c>
      <c r="G95" s="18">
        <f t="shared" si="2"/>
        <v>115.3062</v>
      </c>
      <c r="H95" s="17"/>
    </row>
    <row r="96" spans="1:9" x14ac:dyDescent="0.25">
      <c r="A96" s="14">
        <v>444</v>
      </c>
      <c r="B96" s="15">
        <v>43829.833333333336</v>
      </c>
      <c r="C96" s="16"/>
      <c r="D96" s="17">
        <v>9.8820581999999995</v>
      </c>
      <c r="E96" s="14">
        <v>255</v>
      </c>
      <c r="F96" s="18">
        <f>22.5+30</f>
        <v>52.5</v>
      </c>
      <c r="G96" s="18">
        <f t="shared" si="2"/>
        <v>48.195</v>
      </c>
      <c r="H96" s="17"/>
    </row>
    <row r="97" spans="1:9" x14ac:dyDescent="0.25">
      <c r="A97" s="14">
        <v>445</v>
      </c>
      <c r="B97" s="15">
        <v>43829.958333333336</v>
      </c>
      <c r="C97" s="16"/>
      <c r="D97" s="17">
        <v>7.241217800000002</v>
      </c>
      <c r="E97" s="14">
        <v>172</v>
      </c>
      <c r="F97" s="18">
        <f>18+7.25</f>
        <v>25.25</v>
      </c>
      <c r="G97" s="18">
        <f t="shared" si="2"/>
        <v>15.6348</v>
      </c>
      <c r="H97" s="17"/>
    </row>
    <row r="98" spans="1:9" x14ac:dyDescent="0.25">
      <c r="A98" s="14">
        <v>446</v>
      </c>
      <c r="B98" s="15">
        <v>43830.083333333336</v>
      </c>
      <c r="C98" s="16"/>
      <c r="D98" s="17">
        <v>5.9937498000000007</v>
      </c>
      <c r="E98" s="14">
        <v>139</v>
      </c>
      <c r="F98" s="18">
        <f>7.25+13</f>
        <v>20.25</v>
      </c>
      <c r="G98" s="18">
        <f t="shared" si="2"/>
        <v>10.133100000000001</v>
      </c>
      <c r="H98" s="17"/>
    </row>
    <row r="99" spans="1:9" x14ac:dyDescent="0.25">
      <c r="A99" s="14">
        <v>447</v>
      </c>
      <c r="B99" s="15">
        <v>43830.208333333336</v>
      </c>
      <c r="C99" s="16"/>
      <c r="D99" s="17">
        <v>5.0665082000000004</v>
      </c>
      <c r="E99" s="14">
        <v>89.2</v>
      </c>
      <c r="F99" s="18">
        <v>16.5</v>
      </c>
      <c r="G99" s="18">
        <f t="shared" si="2"/>
        <v>5.2984799999999996</v>
      </c>
      <c r="H99" s="17"/>
    </row>
    <row r="100" spans="1:9" x14ac:dyDescent="0.25">
      <c r="A100" s="14">
        <v>448</v>
      </c>
      <c r="B100" s="15">
        <v>43830.333333333336</v>
      </c>
      <c r="C100" s="16"/>
      <c r="D100" s="17">
        <v>4.3067477999999992</v>
      </c>
      <c r="E100" s="14">
        <v>73.900000000000006</v>
      </c>
      <c r="F100" s="18">
        <v>14</v>
      </c>
      <c r="G100" s="18">
        <f t="shared" si="2"/>
        <v>3.7245600000000003</v>
      </c>
      <c r="H100" s="17"/>
    </row>
    <row r="101" spans="1:9" x14ac:dyDescent="0.25">
      <c r="A101" s="14">
        <v>449</v>
      </c>
      <c r="B101" s="15">
        <v>43830.458333333336</v>
      </c>
      <c r="C101" s="16"/>
      <c r="D101" s="17">
        <v>3.9958722000000013</v>
      </c>
      <c r="E101" s="14">
        <v>65.8</v>
      </c>
      <c r="F101" s="18">
        <v>12.5</v>
      </c>
      <c r="G101" s="18">
        <f t="shared" si="2"/>
        <v>2.9609999999999999</v>
      </c>
      <c r="H101" s="17"/>
    </row>
    <row r="102" spans="1:9" x14ac:dyDescent="0.25">
      <c r="A102" s="14">
        <v>450</v>
      </c>
      <c r="B102" s="15">
        <v>43830.584027777775</v>
      </c>
      <c r="C102" s="16"/>
      <c r="D102" s="17">
        <v>3.8942118000000012</v>
      </c>
      <c r="E102" s="14">
        <v>57.3</v>
      </c>
      <c r="F102" s="18">
        <v>12</v>
      </c>
      <c r="G102" s="18">
        <f t="shared" si="2"/>
        <v>2.4753599999999998</v>
      </c>
      <c r="H102" s="17"/>
    </row>
    <row r="103" spans="1:9" x14ac:dyDescent="0.25">
      <c r="A103" s="20">
        <v>451</v>
      </c>
      <c r="B103" s="21">
        <v>43830.708333333336</v>
      </c>
      <c r="C103" s="22"/>
      <c r="D103" s="23">
        <v>3.5951250000000008</v>
      </c>
      <c r="E103" s="20">
        <v>85.3</v>
      </c>
      <c r="F103" s="24">
        <v>15</v>
      </c>
      <c r="G103" s="24">
        <f t="shared" si="2"/>
        <v>4.6062000000000003</v>
      </c>
      <c r="H103" s="23">
        <f>SUM(G92:G103)/1000</f>
        <v>0.37422449999999996</v>
      </c>
    </row>
    <row r="104" spans="1:9" x14ac:dyDescent="0.25">
      <c r="A104" s="34">
        <v>452</v>
      </c>
      <c r="B104" s="35">
        <v>43833.583333333336</v>
      </c>
      <c r="C104" s="36" t="s">
        <v>2</v>
      </c>
      <c r="D104" s="37">
        <v>0</v>
      </c>
      <c r="E104" s="34">
        <v>163</v>
      </c>
      <c r="F104" s="38">
        <f>7+7+7+7+7+30+25+52+28</f>
        <v>170</v>
      </c>
      <c r="G104" s="38">
        <f>F104*0.5*7200*E103/1000000</f>
        <v>52.203600000000002</v>
      </c>
      <c r="H104" s="37">
        <f>SUM(G104)/1000</f>
        <v>5.2203600000000003E-2</v>
      </c>
      <c r="I104" t="s">
        <v>31</v>
      </c>
    </row>
    <row r="105" spans="1:9" x14ac:dyDescent="0.25">
      <c r="A105" s="34">
        <v>453</v>
      </c>
      <c r="B105" s="35">
        <v>43836.430555555555</v>
      </c>
      <c r="C105" s="36" t="s">
        <v>4</v>
      </c>
      <c r="D105" s="37">
        <v>0</v>
      </c>
      <c r="E105" s="34">
        <v>128</v>
      </c>
      <c r="F105" s="38">
        <f>16+29+22+17+15+14+13+12+12+12+12+13+13+13+12+11+11+10+9+9+8+8+8+8+7+7+6+6+6+6+6+5+5+5</f>
        <v>366</v>
      </c>
      <c r="G105" s="38">
        <f>F105*0.5*7200*E105/1000000</f>
        <v>168.65280000000001</v>
      </c>
      <c r="H105" s="37">
        <f>SUM(G105)/1000</f>
        <v>0.16865280000000002</v>
      </c>
      <c r="I105" t="s">
        <v>32</v>
      </c>
    </row>
    <row r="106" spans="1:9" x14ac:dyDescent="0.25">
      <c r="A106" s="34"/>
      <c r="B106" s="35"/>
      <c r="C106" s="36"/>
      <c r="D106" s="37"/>
      <c r="E106" s="34"/>
      <c r="F106" s="38">
        <f>32+41+35+20+23+4</f>
        <v>155</v>
      </c>
      <c r="G106" s="38">
        <f>F106*0.5*7200*30/1000000</f>
        <v>16.739999999999998</v>
      </c>
      <c r="H106" s="37">
        <f>SUM(G106)/1000</f>
        <v>1.6739999999999998E-2</v>
      </c>
      <c r="I106" t="s">
        <v>33</v>
      </c>
    </row>
    <row r="107" spans="1:9" x14ac:dyDescent="0.25">
      <c r="A107" s="8">
        <v>454</v>
      </c>
      <c r="B107" s="9">
        <v>43841.458333333336</v>
      </c>
      <c r="C107" s="10"/>
      <c r="D107" s="11">
        <v>3.3048798000000006</v>
      </c>
      <c r="E107" s="8">
        <v>428</v>
      </c>
      <c r="F107" s="12">
        <f>2.5+3+5+3.5</f>
        <v>14</v>
      </c>
      <c r="G107" s="12">
        <f t="shared" ref="G107:G122" si="3">F107*0.5*7200*E107/1000000</f>
        <v>21.571200000000001</v>
      </c>
      <c r="H107" s="11"/>
    </row>
    <row r="108" spans="1:9" x14ac:dyDescent="0.25">
      <c r="A108" s="14">
        <v>455</v>
      </c>
      <c r="B108" s="15">
        <v>43841.583333333336</v>
      </c>
      <c r="C108" s="16"/>
      <c r="D108" s="17">
        <v>9.4415057999999998</v>
      </c>
      <c r="E108" s="14">
        <v>668</v>
      </c>
      <c r="F108" s="18">
        <f>3.5+15</f>
        <v>18.5</v>
      </c>
      <c r="G108" s="18">
        <f t="shared" si="3"/>
        <v>44.488799999999998</v>
      </c>
      <c r="H108" s="17"/>
    </row>
    <row r="109" spans="1:9" x14ac:dyDescent="0.25">
      <c r="A109" s="14">
        <v>456</v>
      </c>
      <c r="B109" s="15">
        <v>43841.708333333336</v>
      </c>
      <c r="C109" s="16"/>
      <c r="D109" s="17">
        <v>9.8820581999999995</v>
      </c>
      <c r="E109" s="14">
        <v>644</v>
      </c>
      <c r="F109" s="18">
        <f>20+15.5</f>
        <v>35.5</v>
      </c>
      <c r="G109" s="18">
        <f t="shared" si="3"/>
        <v>82.303200000000004</v>
      </c>
      <c r="H109" s="17"/>
    </row>
    <row r="110" spans="1:9" x14ac:dyDescent="0.25">
      <c r="A110" s="14">
        <v>457</v>
      </c>
      <c r="B110" s="15">
        <v>43841.833333333336</v>
      </c>
      <c r="C110" s="16"/>
      <c r="D110" s="17">
        <v>15.334199999999989</v>
      </c>
      <c r="E110" s="14">
        <v>618</v>
      </c>
      <c r="F110" s="18">
        <f>15.5+36</f>
        <v>51.5</v>
      </c>
      <c r="G110" s="18">
        <f t="shared" si="3"/>
        <v>114.5772</v>
      </c>
      <c r="H110" s="17"/>
    </row>
    <row r="111" spans="1:9" x14ac:dyDescent="0.25">
      <c r="A111" s="14">
        <v>458</v>
      </c>
      <c r="B111" s="15">
        <v>43841.958333333336</v>
      </c>
      <c r="C111" s="16"/>
      <c r="D111" s="17">
        <v>29.586199999999991</v>
      </c>
      <c r="E111" s="14">
        <v>712</v>
      </c>
      <c r="F111" s="18">
        <f>60+35</f>
        <v>95</v>
      </c>
      <c r="G111" s="18">
        <f t="shared" si="3"/>
        <v>243.50399999999999</v>
      </c>
      <c r="H111" s="17"/>
    </row>
    <row r="112" spans="1:9" x14ac:dyDescent="0.25">
      <c r="A112" s="14">
        <v>459</v>
      </c>
      <c r="B112" s="15">
        <v>43842.083333333336</v>
      </c>
      <c r="C112" s="16"/>
      <c r="D112" s="17">
        <v>52.897879089914348</v>
      </c>
      <c r="E112" s="14">
        <v>804</v>
      </c>
      <c r="F112" s="18">
        <f>35+110</f>
        <v>145</v>
      </c>
      <c r="G112" s="18">
        <f t="shared" si="3"/>
        <v>419.68799999999999</v>
      </c>
      <c r="H112" s="17"/>
    </row>
    <row r="113" spans="1:9" x14ac:dyDescent="0.25">
      <c r="A113" s="14">
        <v>460</v>
      </c>
      <c r="B113" s="15">
        <v>43842.208333333336</v>
      </c>
      <c r="C113" s="16"/>
      <c r="D113" s="17">
        <v>76.308388645633158</v>
      </c>
      <c r="E113" s="14">
        <v>860</v>
      </c>
      <c r="F113" s="18">
        <f>102+71</f>
        <v>173</v>
      </c>
      <c r="G113" s="18">
        <f t="shared" si="3"/>
        <v>535.60799999999995</v>
      </c>
      <c r="H113" s="17"/>
    </row>
    <row r="114" spans="1:9" x14ac:dyDescent="0.25">
      <c r="A114" s="14">
        <v>461</v>
      </c>
      <c r="B114" s="15">
        <v>43842.333333333336</v>
      </c>
      <c r="C114" s="16"/>
      <c r="D114" s="17">
        <v>65.958502739499608</v>
      </c>
      <c r="E114" s="14">
        <v>782</v>
      </c>
      <c r="F114" s="18">
        <f>71+154</f>
        <v>225</v>
      </c>
      <c r="G114" s="18">
        <f t="shared" si="3"/>
        <v>633.41999999999996</v>
      </c>
      <c r="H114" s="17"/>
    </row>
    <row r="115" spans="1:9" x14ac:dyDescent="0.25">
      <c r="A115" s="14">
        <v>462</v>
      </c>
      <c r="B115" s="15">
        <v>43842.458333333336</v>
      </c>
      <c r="C115" s="16"/>
      <c r="D115" s="17">
        <v>41.802199999999985</v>
      </c>
      <c r="E115" s="14">
        <v>662</v>
      </c>
      <c r="F115" s="18">
        <f>115+40</f>
        <v>155</v>
      </c>
      <c r="G115" s="18">
        <f t="shared" si="3"/>
        <v>369.39600000000002</v>
      </c>
      <c r="H115" s="17"/>
    </row>
    <row r="116" spans="1:9" x14ac:dyDescent="0.25">
      <c r="A116" s="14">
        <v>463</v>
      </c>
      <c r="B116" s="15">
        <v>43842.584027777775</v>
      </c>
      <c r="C116" s="16"/>
      <c r="D116" s="17">
        <v>23.070999999999998</v>
      </c>
      <c r="E116" s="14">
        <v>431</v>
      </c>
      <c r="F116" s="18">
        <f>40+55</f>
        <v>95</v>
      </c>
      <c r="G116" s="18">
        <f t="shared" si="3"/>
        <v>147.40199999999999</v>
      </c>
      <c r="H116" s="17"/>
    </row>
    <row r="117" spans="1:9" x14ac:dyDescent="0.25">
      <c r="A117" s="14">
        <v>464</v>
      </c>
      <c r="B117" s="15">
        <v>43842.583333333336</v>
      </c>
      <c r="C117" s="16" t="s">
        <v>4</v>
      </c>
      <c r="D117" s="17">
        <v>0</v>
      </c>
      <c r="E117" s="14">
        <v>413</v>
      </c>
      <c r="F117" s="18">
        <v>0</v>
      </c>
      <c r="G117" s="18">
        <f t="shared" si="3"/>
        <v>0</v>
      </c>
      <c r="H117" s="17"/>
      <c r="I117" t="s">
        <v>22</v>
      </c>
    </row>
    <row r="118" spans="1:9" x14ac:dyDescent="0.25">
      <c r="A118" s="14">
        <v>465</v>
      </c>
      <c r="B118" s="15">
        <v>43842.807638888888</v>
      </c>
      <c r="C118" s="16"/>
      <c r="D118" s="17">
        <v>7.7677122000000027</v>
      </c>
      <c r="E118" s="14">
        <v>182</v>
      </c>
      <c r="F118" s="18">
        <f>38+21+17</f>
        <v>76</v>
      </c>
      <c r="G118" s="18">
        <f t="shared" si="3"/>
        <v>49.795200000000001</v>
      </c>
      <c r="H118" s="17"/>
    </row>
    <row r="119" spans="1:9" x14ac:dyDescent="0.25">
      <c r="A119" s="14">
        <v>466</v>
      </c>
      <c r="B119" s="15">
        <v>43842.931944444441</v>
      </c>
      <c r="C119" s="16"/>
      <c r="D119" s="17">
        <v>6.4809482000000012</v>
      </c>
      <c r="E119" s="14">
        <v>91.3</v>
      </c>
      <c r="F119" s="18">
        <f>14</f>
        <v>14</v>
      </c>
      <c r="G119" s="18">
        <f t="shared" si="3"/>
        <v>4.6015199999999998</v>
      </c>
      <c r="H119" s="17"/>
    </row>
    <row r="120" spans="1:9" x14ac:dyDescent="0.25">
      <c r="A120" s="14">
        <v>467</v>
      </c>
      <c r="B120" s="15">
        <v>43843.056944444441</v>
      </c>
      <c r="C120" s="16"/>
      <c r="D120" s="17">
        <v>5.2924242000000001</v>
      </c>
      <c r="E120" s="14">
        <v>62.7</v>
      </c>
      <c r="F120" s="18">
        <v>23</v>
      </c>
      <c r="G120" s="18">
        <f t="shared" si="3"/>
        <v>5.19156</v>
      </c>
      <c r="H120" s="17"/>
    </row>
    <row r="121" spans="1:9" x14ac:dyDescent="0.25">
      <c r="A121" s="14">
        <v>468</v>
      </c>
      <c r="B121" s="15">
        <v>43843.181944444441</v>
      </c>
      <c r="C121" s="16"/>
      <c r="D121" s="17">
        <v>4.7350021999999994</v>
      </c>
      <c r="E121" s="14">
        <v>48.9</v>
      </c>
      <c r="F121" s="18">
        <v>10</v>
      </c>
      <c r="G121" s="18">
        <f t="shared" si="3"/>
        <v>1.7604</v>
      </c>
      <c r="H121" s="17"/>
    </row>
    <row r="122" spans="1:9" x14ac:dyDescent="0.25">
      <c r="A122" s="14">
        <v>469</v>
      </c>
      <c r="B122" s="15">
        <v>43843.306944444441</v>
      </c>
      <c r="C122" s="16"/>
      <c r="D122" s="17">
        <v>4.2021401999999988</v>
      </c>
      <c r="E122" s="14">
        <v>30.9</v>
      </c>
      <c r="F122" s="18">
        <v>18</v>
      </c>
      <c r="G122" s="18">
        <f t="shared" si="3"/>
        <v>2.0023200000000001</v>
      </c>
      <c r="H122" s="17"/>
    </row>
    <row r="123" spans="1:9" x14ac:dyDescent="0.25">
      <c r="A123" s="14">
        <v>470</v>
      </c>
      <c r="B123" s="15">
        <v>43843.431944444441</v>
      </c>
      <c r="C123" s="16"/>
      <c r="D123" s="17">
        <v>3.8942118000000012</v>
      </c>
      <c r="E123" s="14"/>
      <c r="F123" s="18"/>
      <c r="G123" s="18" t="s">
        <v>21</v>
      </c>
      <c r="H123" s="17"/>
      <c r="I123" t="s">
        <v>34</v>
      </c>
    </row>
    <row r="124" spans="1:9" x14ac:dyDescent="0.25">
      <c r="A124" s="14">
        <v>471</v>
      </c>
      <c r="B124" s="15">
        <v>43843.556944444441</v>
      </c>
      <c r="C124" s="16"/>
      <c r="D124" s="17">
        <v>3.5951250000000008</v>
      </c>
      <c r="E124" s="14">
        <v>45</v>
      </c>
      <c r="F124" s="18">
        <v>23</v>
      </c>
      <c r="G124" s="18">
        <f>F124*0.5*7200*E124/1000000</f>
        <v>3.726</v>
      </c>
      <c r="H124" s="17"/>
    </row>
    <row r="125" spans="1:9" x14ac:dyDescent="0.25">
      <c r="A125" s="14">
        <v>472</v>
      </c>
      <c r="B125" s="15">
        <v>43843.682638888888</v>
      </c>
      <c r="C125" s="16"/>
      <c r="D125" s="17">
        <v>3.3048798000000006</v>
      </c>
      <c r="E125" s="14">
        <v>37.9</v>
      </c>
      <c r="F125" s="18">
        <v>7</v>
      </c>
      <c r="G125" s="18">
        <f>F125*0.5*7200*E125/1000000</f>
        <v>0.95508000000000004</v>
      </c>
      <c r="H125" s="17"/>
    </row>
    <row r="126" spans="1:9" x14ac:dyDescent="0.25">
      <c r="A126" s="20">
        <v>473</v>
      </c>
      <c r="B126" s="21">
        <v>43843.806944444441</v>
      </c>
      <c r="C126" s="22"/>
      <c r="D126" s="23">
        <v>3.1162950000000005</v>
      </c>
      <c r="E126" s="20">
        <v>30.4</v>
      </c>
      <c r="F126" s="24">
        <v>12</v>
      </c>
      <c r="G126" s="24">
        <f>F126*0.5*7200*E126/1000000</f>
        <v>1.31328</v>
      </c>
      <c r="H126" s="23">
        <f>SUM(G107:G126)/1000</f>
        <v>2.6813037600000005</v>
      </c>
    </row>
    <row r="127" spans="1:9" x14ac:dyDescent="0.25">
      <c r="A127" s="2">
        <v>474</v>
      </c>
      <c r="B127" s="1">
        <v>43844.682638888888</v>
      </c>
      <c r="C127" t="s">
        <v>4</v>
      </c>
      <c r="D127" s="4">
        <v>0</v>
      </c>
      <c r="E127" s="2">
        <v>112</v>
      </c>
      <c r="F127" s="7">
        <v>0</v>
      </c>
      <c r="I127" t="s">
        <v>22</v>
      </c>
    </row>
    <row r="128" spans="1:9" x14ac:dyDescent="0.25">
      <c r="A128" s="8">
        <v>475</v>
      </c>
      <c r="B128" s="9">
        <v>43847.681944444441</v>
      </c>
      <c r="C128" s="10" t="s">
        <v>4</v>
      </c>
      <c r="D128" s="11">
        <v>0</v>
      </c>
      <c r="E128" s="8">
        <v>32.799999999999997</v>
      </c>
      <c r="F128" s="12">
        <f>40+24+42+32+20.5</f>
        <v>158.5</v>
      </c>
      <c r="G128" s="12">
        <f t="shared" ref="G128:G142" si="4">F128*0.5*7200*E128/1000000</f>
        <v>18.715679999999999</v>
      </c>
      <c r="H128" s="11"/>
    </row>
    <row r="129" spans="1:9" x14ac:dyDescent="0.25">
      <c r="A129" s="14">
        <v>476</v>
      </c>
      <c r="B129" s="15">
        <v>43850.681944444441</v>
      </c>
      <c r="C129" s="16" t="s">
        <v>4</v>
      </c>
      <c r="D129" s="17">
        <v>0</v>
      </c>
      <c r="E129" s="14">
        <v>33.299999999999997</v>
      </c>
      <c r="F129" s="18">
        <f>5.5+23+24+9</f>
        <v>61.5</v>
      </c>
      <c r="G129" s="18">
        <f t="shared" si="4"/>
        <v>7.3726199999999995</v>
      </c>
      <c r="H129" s="17"/>
    </row>
    <row r="130" spans="1:9" x14ac:dyDescent="0.25">
      <c r="A130" s="20">
        <v>477</v>
      </c>
      <c r="B130" s="21">
        <v>43853.681944444441</v>
      </c>
      <c r="C130" s="22" t="s">
        <v>4</v>
      </c>
      <c r="D130" s="23">
        <v>0</v>
      </c>
      <c r="E130" s="20">
        <v>23.3</v>
      </c>
      <c r="F130" s="24">
        <f>32+16+6</f>
        <v>54</v>
      </c>
      <c r="G130" s="24">
        <f t="shared" si="4"/>
        <v>4.5295199999999998</v>
      </c>
      <c r="H130" s="23">
        <f>SUM(G128:G130)/1000</f>
        <v>3.0617819999999994E-2</v>
      </c>
      <c r="I130" t="s">
        <v>35</v>
      </c>
    </row>
    <row r="131" spans="1:9" x14ac:dyDescent="0.25">
      <c r="A131" s="8">
        <v>478</v>
      </c>
      <c r="B131" s="9">
        <v>43855.990277777775</v>
      </c>
      <c r="C131" s="10"/>
      <c r="D131" s="11">
        <v>3.4973942000000009</v>
      </c>
      <c r="E131" s="8">
        <v>180</v>
      </c>
      <c r="F131" s="12">
        <f>4.5+3+7</f>
        <v>14.5</v>
      </c>
      <c r="G131" s="12">
        <f t="shared" si="4"/>
        <v>9.3960000000000008</v>
      </c>
      <c r="H131" s="11"/>
    </row>
    <row r="132" spans="1:9" x14ac:dyDescent="0.25">
      <c r="A132" s="14">
        <v>479</v>
      </c>
      <c r="B132" s="15">
        <v>43856.115277777775</v>
      </c>
      <c r="C132" s="16"/>
      <c r="D132" s="17">
        <v>4.6264649999999987</v>
      </c>
      <c r="E132" s="14">
        <v>201</v>
      </c>
      <c r="F132" s="18">
        <f>7.5+4.25</f>
        <v>11.75</v>
      </c>
      <c r="G132" s="18">
        <f t="shared" si="4"/>
        <v>8.5023</v>
      </c>
      <c r="H132" s="17"/>
    </row>
    <row r="133" spans="1:9" x14ac:dyDescent="0.25">
      <c r="A133" s="14">
        <v>480</v>
      </c>
      <c r="B133" s="15">
        <v>43856.240277777775</v>
      </c>
      <c r="C133" s="16"/>
      <c r="D133" s="17">
        <v>3.5951250000000008</v>
      </c>
      <c r="E133" s="14">
        <v>174</v>
      </c>
      <c r="F133" s="18">
        <f>4.25+7.5</f>
        <v>11.75</v>
      </c>
      <c r="G133" s="18">
        <f t="shared" si="4"/>
        <v>7.3601999999999999</v>
      </c>
      <c r="H133" s="17"/>
    </row>
    <row r="134" spans="1:9" x14ac:dyDescent="0.25">
      <c r="A134" s="14">
        <v>481</v>
      </c>
      <c r="B134" s="15">
        <v>43856.365277777775</v>
      </c>
      <c r="C134" s="16"/>
      <c r="D134" s="17">
        <v>3.1162950000000005</v>
      </c>
      <c r="E134" s="14">
        <v>148</v>
      </c>
      <c r="F134" s="18">
        <f>7+3</f>
        <v>10</v>
      </c>
      <c r="G134" s="18">
        <f t="shared" si="4"/>
        <v>5.3280000000000003</v>
      </c>
      <c r="H134" s="17"/>
    </row>
    <row r="135" spans="1:9" x14ac:dyDescent="0.25">
      <c r="A135" s="14">
        <v>482</v>
      </c>
      <c r="B135" s="15">
        <v>43856.490972222222</v>
      </c>
      <c r="C135" s="16"/>
      <c r="D135" s="17">
        <v>2.8407858000000004</v>
      </c>
      <c r="E135" s="14">
        <v>125</v>
      </c>
      <c r="F135" s="18">
        <f>3+6</f>
        <v>9</v>
      </c>
      <c r="G135" s="18">
        <f t="shared" si="4"/>
        <v>4.05</v>
      </c>
      <c r="H135" s="17"/>
    </row>
    <row r="136" spans="1:9" x14ac:dyDescent="0.25">
      <c r="A136" s="14">
        <v>483</v>
      </c>
      <c r="B136" s="15">
        <v>43856.615277777775</v>
      </c>
      <c r="C136" s="16"/>
      <c r="D136" s="17">
        <v>3.5951250000000008</v>
      </c>
      <c r="E136" s="14">
        <v>164</v>
      </c>
      <c r="F136" s="18">
        <f>6+4</f>
        <v>10</v>
      </c>
      <c r="G136" s="18">
        <f t="shared" si="4"/>
        <v>5.9039999999999999</v>
      </c>
      <c r="H136" s="17"/>
    </row>
    <row r="137" spans="1:9" x14ac:dyDescent="0.25">
      <c r="A137" s="14">
        <v>484</v>
      </c>
      <c r="B137" s="15">
        <v>43856.740277777775</v>
      </c>
      <c r="C137" s="16"/>
      <c r="D137" s="17">
        <v>5.4068557999999998</v>
      </c>
      <c r="E137" s="14">
        <v>314</v>
      </c>
      <c r="F137" s="18">
        <f>4+11.5</f>
        <v>15.5</v>
      </c>
      <c r="G137" s="18">
        <f t="shared" si="4"/>
        <v>17.5212</v>
      </c>
      <c r="H137" s="17"/>
    </row>
    <row r="138" spans="1:9" x14ac:dyDescent="0.25">
      <c r="A138" s="14">
        <v>485</v>
      </c>
      <c r="B138" s="15">
        <v>43856.865277777775</v>
      </c>
      <c r="C138" s="16"/>
      <c r="D138" s="17">
        <v>5.0665082000000004</v>
      </c>
      <c r="E138" s="14">
        <v>296</v>
      </c>
      <c r="F138" s="18">
        <f>10+5</f>
        <v>15</v>
      </c>
      <c r="G138" s="18">
        <f t="shared" si="4"/>
        <v>15.984</v>
      </c>
      <c r="H138" s="17"/>
    </row>
    <row r="139" spans="1:9" x14ac:dyDescent="0.25">
      <c r="A139" s="14">
        <v>486</v>
      </c>
      <c r="B139" s="15">
        <v>43856.990277777775</v>
      </c>
      <c r="C139" s="16"/>
      <c r="D139" s="17">
        <v>5.1789749999999994</v>
      </c>
      <c r="E139" s="14">
        <v>212</v>
      </c>
      <c r="F139" s="18">
        <f>5+11</f>
        <v>16</v>
      </c>
      <c r="G139" s="18">
        <f t="shared" si="4"/>
        <v>12.2112</v>
      </c>
      <c r="H139" s="17"/>
    </row>
    <row r="140" spans="1:9" x14ac:dyDescent="0.25">
      <c r="A140" s="14">
        <v>487</v>
      </c>
      <c r="B140" s="15">
        <v>43857.115277777775</v>
      </c>
      <c r="C140" s="16"/>
      <c r="D140" s="17">
        <v>4.9550238000000002</v>
      </c>
      <c r="E140" s="14">
        <v>216</v>
      </c>
      <c r="F140" s="18">
        <f>10+4.25</f>
        <v>14.25</v>
      </c>
      <c r="G140" s="18">
        <f t="shared" si="4"/>
        <v>11.0808</v>
      </c>
      <c r="H140" s="17"/>
    </row>
    <row r="141" spans="1:9" x14ac:dyDescent="0.25">
      <c r="A141" s="14">
        <v>488</v>
      </c>
      <c r="B141" s="15">
        <v>43857.240277777775</v>
      </c>
      <c r="C141" s="16"/>
      <c r="D141" s="17">
        <v>4.5189101999999997</v>
      </c>
      <c r="E141" s="14">
        <v>190</v>
      </c>
      <c r="F141" s="18">
        <f>4.25+9</f>
        <v>13.25</v>
      </c>
      <c r="G141" s="18">
        <f t="shared" si="4"/>
        <v>9.0630000000000006</v>
      </c>
      <c r="H141" s="17"/>
    </row>
    <row r="142" spans="1:9" x14ac:dyDescent="0.25">
      <c r="A142" s="14">
        <v>489</v>
      </c>
      <c r="B142" s="15">
        <v>43857.365277777775</v>
      </c>
      <c r="C142" s="16"/>
      <c r="D142" s="17">
        <v>3.8942118000000012</v>
      </c>
      <c r="E142" s="14">
        <v>188</v>
      </c>
      <c r="F142" s="18">
        <f>8.5+7.5</f>
        <v>16</v>
      </c>
      <c r="G142" s="18">
        <f t="shared" si="4"/>
        <v>10.828799999999999</v>
      </c>
      <c r="H142" s="17"/>
    </row>
    <row r="143" spans="1:9" x14ac:dyDescent="0.25">
      <c r="A143" s="14">
        <v>490</v>
      </c>
      <c r="B143" s="15">
        <v>43857.490972222222</v>
      </c>
      <c r="C143" s="16" t="s">
        <v>4</v>
      </c>
      <c r="D143" s="17">
        <v>0</v>
      </c>
      <c r="E143" s="14">
        <v>91.5</v>
      </c>
      <c r="F143" s="18">
        <v>0</v>
      </c>
      <c r="G143" s="18" t="s">
        <v>21</v>
      </c>
      <c r="H143" s="17"/>
      <c r="I143" t="s">
        <v>22</v>
      </c>
    </row>
    <row r="144" spans="1:9" x14ac:dyDescent="0.25">
      <c r="A144" s="20">
        <v>491</v>
      </c>
      <c r="B144" s="21">
        <v>43860.490277777775</v>
      </c>
      <c r="C144" s="22" t="s">
        <v>4</v>
      </c>
      <c r="D144" s="23">
        <v>0</v>
      </c>
      <c r="E144" s="20">
        <v>51</v>
      </c>
      <c r="F144" s="24">
        <f>7+8+9+9+9+8+7.5+7+6.5+6+6+11+11+5+5+9+9+15+14+7+6+6+6+5</f>
        <v>192</v>
      </c>
      <c r="G144" s="24">
        <f t="shared" ref="G144:G156" si="5">F144*0.5*7200*E144/1000000</f>
        <v>35.251199999999997</v>
      </c>
      <c r="H144" s="23">
        <f>SUM(G131:G144)/1000</f>
        <v>0.15248070000000002</v>
      </c>
    </row>
    <row r="145" spans="1:9" x14ac:dyDescent="0.25">
      <c r="A145" s="8">
        <v>492</v>
      </c>
      <c r="B145" s="9">
        <v>43864.633333333331</v>
      </c>
      <c r="C145" s="10" t="s">
        <v>4</v>
      </c>
      <c r="D145" s="11">
        <v>0</v>
      </c>
      <c r="E145" s="8">
        <v>22.2</v>
      </c>
      <c r="F145" s="12">
        <f>10+28+28+16</f>
        <v>82</v>
      </c>
      <c r="G145" s="12">
        <f t="shared" si="5"/>
        <v>6.5534400000000002</v>
      </c>
      <c r="H145" s="11"/>
    </row>
    <row r="146" spans="1:9" x14ac:dyDescent="0.25">
      <c r="A146" s="14">
        <v>493</v>
      </c>
      <c r="B146" s="15">
        <v>43867.633333333331</v>
      </c>
      <c r="C146" s="16" t="s">
        <v>4</v>
      </c>
      <c r="D146" s="17">
        <v>0</v>
      </c>
      <c r="E146" s="14">
        <v>22.3</v>
      </c>
      <c r="F146" s="18">
        <f>7+18+13+16</f>
        <v>54</v>
      </c>
      <c r="G146" s="18">
        <f t="shared" si="5"/>
        <v>4.3351199999999999</v>
      </c>
      <c r="H146" s="17"/>
    </row>
    <row r="147" spans="1:9" x14ac:dyDescent="0.25">
      <c r="A147" s="14">
        <v>494</v>
      </c>
      <c r="B147" s="15">
        <v>43868.634027777778</v>
      </c>
      <c r="C147" s="16" t="s">
        <v>5</v>
      </c>
      <c r="D147" s="17">
        <v>0</v>
      </c>
      <c r="E147" s="14">
        <v>20.100000000000001</v>
      </c>
      <c r="F147" s="18">
        <f>7+15</f>
        <v>22</v>
      </c>
      <c r="G147" s="18">
        <f t="shared" si="5"/>
        <v>1.59192</v>
      </c>
      <c r="H147" s="17"/>
    </row>
    <row r="148" spans="1:9" x14ac:dyDescent="0.25">
      <c r="A148" s="14">
        <v>495</v>
      </c>
      <c r="B148" s="15">
        <v>43873.633333333331</v>
      </c>
      <c r="C148" s="16" t="s">
        <v>4</v>
      </c>
      <c r="D148" s="17">
        <v>0</v>
      </c>
      <c r="E148" s="14">
        <v>18.5</v>
      </c>
      <c r="F148" s="18">
        <f>16+4+3+10+11+5</f>
        <v>49</v>
      </c>
      <c r="G148" s="18">
        <f t="shared" si="5"/>
        <v>3.2633999999999999</v>
      </c>
      <c r="H148" s="17"/>
    </row>
    <row r="149" spans="1:9" x14ac:dyDescent="0.25">
      <c r="A149" s="14">
        <v>496</v>
      </c>
      <c r="B149" s="15">
        <v>43874.634027777778</v>
      </c>
      <c r="C149" s="16" t="s">
        <v>5</v>
      </c>
      <c r="D149" s="17">
        <v>0</v>
      </c>
      <c r="E149" s="14">
        <v>20.8</v>
      </c>
      <c r="F149" s="18">
        <f>12+8</f>
        <v>20</v>
      </c>
      <c r="G149" s="18">
        <f t="shared" si="5"/>
        <v>1.4976</v>
      </c>
      <c r="H149" s="17"/>
    </row>
    <row r="150" spans="1:9" x14ac:dyDescent="0.25">
      <c r="A150" s="14">
        <v>497</v>
      </c>
      <c r="B150" s="15">
        <v>43878.662499999999</v>
      </c>
      <c r="C150" s="16" t="s">
        <v>2</v>
      </c>
      <c r="D150" s="17">
        <v>0</v>
      </c>
      <c r="E150" s="14">
        <v>25.4</v>
      </c>
      <c r="F150" s="18">
        <f>3+2+3+7+4</f>
        <v>19</v>
      </c>
      <c r="G150" s="18">
        <f t="shared" si="5"/>
        <v>1.73736</v>
      </c>
      <c r="H150" s="17"/>
    </row>
    <row r="151" spans="1:9" x14ac:dyDescent="0.25">
      <c r="A151" s="20">
        <v>498</v>
      </c>
      <c r="B151" s="21">
        <v>43885.662499999999</v>
      </c>
      <c r="C151" s="22" t="s">
        <v>4</v>
      </c>
      <c r="D151" s="23">
        <v>0</v>
      </c>
      <c r="E151" s="20">
        <v>21</v>
      </c>
      <c r="F151" s="24">
        <f>1+6+6+3+4+5+5+5</f>
        <v>35</v>
      </c>
      <c r="G151" s="24">
        <f t="shared" si="5"/>
        <v>2.6459999999999999</v>
      </c>
      <c r="H151" s="23">
        <f>SUM(G145:G151)/1000</f>
        <v>2.1624839999999999E-2</v>
      </c>
      <c r="I151" t="s">
        <v>36</v>
      </c>
    </row>
    <row r="152" spans="1:9" x14ac:dyDescent="0.25">
      <c r="A152" s="8">
        <v>499</v>
      </c>
      <c r="B152" s="9">
        <v>43885.787499999999</v>
      </c>
      <c r="C152" s="10"/>
      <c r="D152" s="11">
        <v>3.8925042827825309</v>
      </c>
      <c r="E152" s="8">
        <v>179</v>
      </c>
      <c r="F152" s="12">
        <f>2.5+3.75</f>
        <v>6.25</v>
      </c>
      <c r="G152" s="12">
        <f t="shared" si="5"/>
        <v>4.0274999999999999</v>
      </c>
      <c r="H152" s="11"/>
    </row>
    <row r="153" spans="1:9" x14ac:dyDescent="0.25">
      <c r="A153" s="14">
        <v>500</v>
      </c>
      <c r="B153" s="15">
        <v>43885.912499999999</v>
      </c>
      <c r="C153" s="16"/>
      <c r="D153" s="17">
        <v>3.2981279786397288</v>
      </c>
      <c r="E153" s="14">
        <v>170</v>
      </c>
      <c r="F153" s="18">
        <f>3.75+7</f>
        <v>10.75</v>
      </c>
      <c r="G153" s="18">
        <f t="shared" si="5"/>
        <v>6.5789999999999997</v>
      </c>
      <c r="H153" s="17"/>
    </row>
    <row r="154" spans="1:9" x14ac:dyDescent="0.25">
      <c r="A154" s="14">
        <v>501</v>
      </c>
      <c r="B154" s="15">
        <v>43886.037499999999</v>
      </c>
      <c r="C154" s="16"/>
      <c r="D154" s="17">
        <v>2.3905861265046799</v>
      </c>
      <c r="E154" s="14">
        <v>143</v>
      </c>
      <c r="F154" s="18">
        <f>6+2.5</f>
        <v>8.5</v>
      </c>
      <c r="G154" s="18">
        <f t="shared" si="5"/>
        <v>4.3757999999999999</v>
      </c>
      <c r="H154" s="17"/>
    </row>
    <row r="155" spans="1:9" x14ac:dyDescent="0.25">
      <c r="A155" s="14">
        <v>502</v>
      </c>
      <c r="B155" s="15">
        <v>43886.162499999999</v>
      </c>
      <c r="C155" s="16"/>
      <c r="D155" s="17">
        <v>1.971883544081805</v>
      </c>
      <c r="E155" s="14">
        <v>93.3</v>
      </c>
      <c r="F155" s="18">
        <f>2.5+4</f>
        <v>6.5</v>
      </c>
      <c r="G155" s="18">
        <f t="shared" si="5"/>
        <v>2.1832199999999999</v>
      </c>
      <c r="H155" s="17"/>
    </row>
    <row r="156" spans="1:9" x14ac:dyDescent="0.25">
      <c r="A156" s="14">
        <v>503</v>
      </c>
      <c r="B156" s="15">
        <v>43886.662499999999</v>
      </c>
      <c r="C156" s="16"/>
      <c r="D156" s="17">
        <v>3.9556016294415497</v>
      </c>
      <c r="E156" s="14">
        <v>174</v>
      </c>
      <c r="F156" s="18">
        <f>4+3+3+3+3+5</f>
        <v>21</v>
      </c>
      <c r="G156" s="18">
        <f t="shared" si="5"/>
        <v>13.154400000000001</v>
      </c>
      <c r="H156" s="17"/>
    </row>
    <row r="157" spans="1:9" x14ac:dyDescent="0.25">
      <c r="A157" s="14">
        <v>504</v>
      </c>
      <c r="B157" s="15">
        <v>43886.787499999999</v>
      </c>
      <c r="C157" s="16"/>
      <c r="D157" s="17">
        <v>5.7032218940041615</v>
      </c>
      <c r="E157" s="14">
        <v>239</v>
      </c>
      <c r="F157" s="18">
        <f>10+5.5</f>
        <v>15.5</v>
      </c>
      <c r="G157" s="18">
        <f t="shared" ref="G157:G176" si="6">F157*0.5*7200*E157/1000000</f>
        <v>13.3362</v>
      </c>
      <c r="H157" s="17"/>
    </row>
    <row r="158" spans="1:9" x14ac:dyDescent="0.25">
      <c r="A158" s="14">
        <v>505</v>
      </c>
      <c r="B158" s="15">
        <v>43886.912499999999</v>
      </c>
      <c r="C158" s="16"/>
      <c r="D158" s="17">
        <v>4.7893105634627497</v>
      </c>
      <c r="E158" s="14">
        <v>229</v>
      </c>
      <c r="F158" s="18">
        <f>5.5+10</f>
        <v>15.5</v>
      </c>
      <c r="G158" s="18">
        <f t="shared" si="6"/>
        <v>12.7782</v>
      </c>
      <c r="H158" s="17"/>
    </row>
    <row r="159" spans="1:9" x14ac:dyDescent="0.25">
      <c r="A159" s="14">
        <v>506</v>
      </c>
      <c r="B159" s="15">
        <v>43887.037499999999</v>
      </c>
      <c r="C159" s="16"/>
      <c r="D159" s="17">
        <v>4.144298283278677</v>
      </c>
      <c r="E159" s="14">
        <v>216</v>
      </c>
      <c r="F159" s="18">
        <f>9+4</f>
        <v>13</v>
      </c>
      <c r="G159" s="18">
        <f t="shared" si="6"/>
        <v>10.1088</v>
      </c>
      <c r="H159" s="17"/>
    </row>
    <row r="160" spans="1:9" x14ac:dyDescent="0.25">
      <c r="A160" s="14">
        <v>507</v>
      </c>
      <c r="B160" s="15">
        <v>43887.287499999999</v>
      </c>
      <c r="C160" s="16"/>
      <c r="D160" s="17">
        <v>3.2417353748077482</v>
      </c>
      <c r="E160" s="14">
        <v>194</v>
      </c>
      <c r="F160" s="18">
        <f>4+7+7+3</f>
        <v>21</v>
      </c>
      <c r="G160" s="18">
        <f t="shared" si="6"/>
        <v>14.666399999999999</v>
      </c>
      <c r="H160" s="17"/>
    </row>
    <row r="161" spans="1:17" x14ac:dyDescent="0.25">
      <c r="A161" s="14">
        <v>508</v>
      </c>
      <c r="B161" s="15">
        <v>43887.537499999999</v>
      </c>
      <c r="C161" s="16"/>
      <c r="D161" s="17">
        <v>2.420668593947719</v>
      </c>
      <c r="E161" s="14">
        <v>129</v>
      </c>
      <c r="F161" s="18">
        <f>3+6+5+5</f>
        <v>19</v>
      </c>
      <c r="G161" s="18">
        <f t="shared" si="6"/>
        <v>8.8236000000000008</v>
      </c>
      <c r="H161" s="17"/>
    </row>
    <row r="162" spans="1:17" x14ac:dyDescent="0.25">
      <c r="A162" s="14">
        <v>509</v>
      </c>
      <c r="B162" s="15">
        <v>43888.662499999999</v>
      </c>
      <c r="C162" s="16" t="s">
        <v>4</v>
      </c>
      <c r="D162" s="17">
        <v>0</v>
      </c>
      <c r="E162" s="14">
        <v>201</v>
      </c>
      <c r="F162" s="18">
        <f>24+12+5+60+100+122+100</f>
        <v>423</v>
      </c>
      <c r="G162" s="18">
        <f>F162*0.5*7200*300/1000000</f>
        <v>456.84</v>
      </c>
      <c r="H162" s="17"/>
      <c r="I162" t="s">
        <v>41</v>
      </c>
      <c r="N162" t="s">
        <v>40</v>
      </c>
      <c r="Q162">
        <f>3*201-174-129</f>
        <v>300</v>
      </c>
    </row>
    <row r="163" spans="1:17" x14ac:dyDescent="0.25">
      <c r="A163" s="20">
        <v>510</v>
      </c>
      <c r="B163" s="21">
        <v>43890.662499999999</v>
      </c>
      <c r="C163" s="22" t="s">
        <v>2</v>
      </c>
      <c r="D163" s="23">
        <v>0</v>
      </c>
      <c r="E163" s="20">
        <v>81</v>
      </c>
      <c r="F163" s="24">
        <f>70+52+39+27+19+16+13+11+10+9+8+7+7+6+6+5+15+20</f>
        <v>340</v>
      </c>
      <c r="G163" s="24">
        <f t="shared" si="6"/>
        <v>99.144000000000005</v>
      </c>
      <c r="H163" s="23">
        <f>SUM(G152:G163)/1000</f>
        <v>0.64601712</v>
      </c>
      <c r="I163" t="s">
        <v>39</v>
      </c>
    </row>
    <row r="164" spans="1:17" x14ac:dyDescent="0.25">
      <c r="A164" s="34">
        <v>511</v>
      </c>
      <c r="B164" s="35">
        <v>43893.597916666666</v>
      </c>
      <c r="C164" s="22" t="s">
        <v>4</v>
      </c>
      <c r="D164" s="37">
        <v>0</v>
      </c>
      <c r="E164" s="34">
        <v>155</v>
      </c>
      <c r="F164" s="38">
        <f>12+23+24+19</f>
        <v>78</v>
      </c>
      <c r="G164" s="38">
        <f>F164*0.5*7200*20/1000000</f>
        <v>5.6159999999999997</v>
      </c>
      <c r="H164" s="37">
        <f>SUM(G164)/1000</f>
        <v>5.6159999999999995E-3</v>
      </c>
      <c r="I164" t="s">
        <v>42</v>
      </c>
      <c r="Q164">
        <f>(3*155-436)/2</f>
        <v>14.5</v>
      </c>
    </row>
    <row r="165" spans="1:17" x14ac:dyDescent="0.25">
      <c r="A165" s="8">
        <v>512</v>
      </c>
      <c r="B165" s="9">
        <v>43893.598611111112</v>
      </c>
      <c r="C165" s="10"/>
      <c r="D165" s="11">
        <v>50.643903184132576</v>
      </c>
      <c r="E165" s="8">
        <v>436</v>
      </c>
      <c r="F165" s="12">
        <v>40</v>
      </c>
      <c r="G165" s="12">
        <f t="shared" si="6"/>
        <v>62.783999999999999</v>
      </c>
      <c r="H165" s="11"/>
    </row>
    <row r="166" spans="1:17" x14ac:dyDescent="0.25">
      <c r="A166" s="14">
        <v>513</v>
      </c>
      <c r="B166" s="15">
        <v>43893.722916666666</v>
      </c>
      <c r="C166" s="16"/>
      <c r="D166" s="17">
        <v>61.187024832814714</v>
      </c>
      <c r="E166" s="14">
        <v>423</v>
      </c>
      <c r="F166" s="18">
        <f>103+122</f>
        <v>225</v>
      </c>
      <c r="G166" s="18">
        <f t="shared" si="6"/>
        <v>342.63</v>
      </c>
      <c r="H166" s="17"/>
    </row>
    <row r="167" spans="1:17" x14ac:dyDescent="0.25">
      <c r="A167" s="14">
        <v>514</v>
      </c>
      <c r="B167" s="15">
        <v>43893.847916666666</v>
      </c>
      <c r="C167" s="16"/>
      <c r="D167" s="17">
        <v>57.947847703540205</v>
      </c>
      <c r="E167" s="14">
        <v>425</v>
      </c>
      <c r="F167" s="18">
        <v>111</v>
      </c>
      <c r="G167" s="18">
        <f t="shared" si="6"/>
        <v>169.83</v>
      </c>
      <c r="H167" s="17"/>
    </row>
    <row r="168" spans="1:17" x14ac:dyDescent="0.25">
      <c r="A168" s="14">
        <v>515</v>
      </c>
      <c r="B168" s="15">
        <v>43893.972916666666</v>
      </c>
      <c r="C168" s="16"/>
      <c r="D168" s="17">
        <v>56.021991414580867</v>
      </c>
      <c r="E168" s="14">
        <v>434</v>
      </c>
      <c r="F168" s="18">
        <f>121+117</f>
        <v>238</v>
      </c>
      <c r="G168" s="18">
        <f t="shared" si="6"/>
        <v>371.85120000000001</v>
      </c>
      <c r="H168" s="17"/>
    </row>
    <row r="169" spans="1:17" x14ac:dyDescent="0.25">
      <c r="A169" s="14">
        <v>516</v>
      </c>
      <c r="B169" s="15">
        <v>43894.097916666666</v>
      </c>
      <c r="C169" s="16"/>
      <c r="D169" s="17">
        <v>61.906095948876249</v>
      </c>
      <c r="E169" s="14">
        <v>434</v>
      </c>
      <c r="F169" s="18">
        <v>124</v>
      </c>
      <c r="G169" s="18">
        <f t="shared" si="6"/>
        <v>193.73759999999999</v>
      </c>
      <c r="H169" s="17"/>
    </row>
    <row r="170" spans="1:17" x14ac:dyDescent="0.25">
      <c r="A170" s="14">
        <v>517</v>
      </c>
      <c r="B170" s="15">
        <v>43894.222916666666</v>
      </c>
      <c r="C170" s="16"/>
      <c r="D170" s="17">
        <v>51.857268604991461</v>
      </c>
      <c r="E170" s="14">
        <v>415</v>
      </c>
      <c r="F170" s="18">
        <f>122+106</f>
        <v>228</v>
      </c>
      <c r="G170" s="18">
        <f t="shared" si="6"/>
        <v>340.63200000000001</v>
      </c>
      <c r="H170" s="17"/>
    </row>
    <row r="171" spans="1:17" x14ac:dyDescent="0.25">
      <c r="A171" s="14">
        <v>518</v>
      </c>
      <c r="B171" s="15">
        <v>43894.347916666666</v>
      </c>
      <c r="C171" s="16"/>
      <c r="D171" s="17">
        <v>33.047399999999996</v>
      </c>
      <c r="E171" s="14">
        <v>395</v>
      </c>
      <c r="F171" s="18">
        <v>79</v>
      </c>
      <c r="G171" s="18">
        <f t="shared" si="6"/>
        <v>112.33799999999999</v>
      </c>
      <c r="H171" s="17"/>
    </row>
    <row r="172" spans="1:17" x14ac:dyDescent="0.25">
      <c r="A172" s="14">
        <v>519</v>
      </c>
      <c r="B172" s="15">
        <v>43894.472916666666</v>
      </c>
      <c r="C172" s="16"/>
      <c r="D172" s="17">
        <v>35.897799999999989</v>
      </c>
      <c r="E172" s="14">
        <v>445</v>
      </c>
      <c r="F172" s="18">
        <f>66+69</f>
        <v>135</v>
      </c>
      <c r="G172" s="18">
        <f t="shared" si="6"/>
        <v>216.27</v>
      </c>
      <c r="H172" s="17"/>
    </row>
    <row r="173" spans="1:17" x14ac:dyDescent="0.25">
      <c r="A173" s="14">
        <v>520</v>
      </c>
      <c r="B173" s="15">
        <v>43894.598611111112</v>
      </c>
      <c r="C173" s="16"/>
      <c r="D173" s="17">
        <v>48.113799999999998</v>
      </c>
      <c r="E173" s="14">
        <v>472</v>
      </c>
      <c r="F173" s="18">
        <v>84</v>
      </c>
      <c r="G173" s="18">
        <f t="shared" si="6"/>
        <v>142.7328</v>
      </c>
      <c r="H173" s="17"/>
    </row>
    <row r="174" spans="1:17" x14ac:dyDescent="0.25">
      <c r="A174" s="14">
        <v>521</v>
      </c>
      <c r="B174" s="15">
        <v>43894.722916666666</v>
      </c>
      <c r="C174" s="16"/>
      <c r="D174" s="17">
        <v>61.548056644491055</v>
      </c>
      <c r="E174" s="14">
        <v>502</v>
      </c>
      <c r="F174" s="18">
        <f>100+120</f>
        <v>220</v>
      </c>
      <c r="G174" s="18">
        <f t="shared" si="6"/>
        <v>397.584</v>
      </c>
      <c r="H174" s="17"/>
    </row>
    <row r="175" spans="1:17" x14ac:dyDescent="0.25">
      <c r="A175" s="14">
        <v>522</v>
      </c>
      <c r="B175" s="15">
        <v>43894.847916666666</v>
      </c>
      <c r="C175" s="16"/>
      <c r="D175" s="17">
        <v>47.299399999999991</v>
      </c>
      <c r="E175" s="14">
        <v>429</v>
      </c>
      <c r="F175" s="18">
        <v>80</v>
      </c>
      <c r="G175" s="18">
        <f t="shared" si="6"/>
        <v>123.55200000000001</v>
      </c>
      <c r="H175" s="17"/>
    </row>
    <row r="176" spans="1:17" x14ac:dyDescent="0.25">
      <c r="A176" s="20">
        <v>523</v>
      </c>
      <c r="B176" s="21">
        <v>43894.972916666666</v>
      </c>
      <c r="C176" s="22"/>
      <c r="D176" s="23">
        <v>21.645799999999994</v>
      </c>
      <c r="E176" s="20">
        <v>339</v>
      </c>
      <c r="F176" s="24">
        <v>50</v>
      </c>
      <c r="G176" s="24">
        <f t="shared" si="6"/>
        <v>61.02</v>
      </c>
      <c r="H176" s="23">
        <f>SUM(G165:G176)/1000</f>
        <v>2.5349615999999999</v>
      </c>
    </row>
    <row r="177" spans="1:9" x14ac:dyDescent="0.25">
      <c r="A177" s="34">
        <v>524</v>
      </c>
      <c r="B177" s="35">
        <v>43896.509722222225</v>
      </c>
      <c r="C177" s="36" t="s">
        <v>4</v>
      </c>
      <c r="D177" s="37">
        <v>0</v>
      </c>
      <c r="E177" s="34">
        <v>356</v>
      </c>
      <c r="F177" s="38">
        <f>30+19+15+11+10+80+128+126+100+50+30+18+15+14+13+12+10</f>
        <v>681</v>
      </c>
      <c r="G177" s="24">
        <f t="shared" ref="G177:G240" si="7">F177*0.5*7200*E177/1000000</f>
        <v>872.76959999999997</v>
      </c>
      <c r="H177" s="23">
        <f>SUM(G177)/1000</f>
        <v>0.87276959999999992</v>
      </c>
      <c r="I177" t="s">
        <v>43</v>
      </c>
    </row>
    <row r="178" spans="1:9" x14ac:dyDescent="0.25">
      <c r="A178" s="8">
        <v>525</v>
      </c>
      <c r="B178" s="9">
        <v>43896.710416666669</v>
      </c>
      <c r="C178" s="10"/>
      <c r="D178" s="11">
        <v>23.681799999999996</v>
      </c>
      <c r="E178" s="8">
        <v>468</v>
      </c>
      <c r="F178" s="12">
        <f>17+50+23.5</f>
        <v>90.5</v>
      </c>
      <c r="G178" s="12">
        <f t="shared" si="7"/>
        <v>152.4744</v>
      </c>
      <c r="H178" s="11"/>
    </row>
    <row r="179" spans="1:9" x14ac:dyDescent="0.25">
      <c r="A179" s="14">
        <v>526</v>
      </c>
      <c r="B179" s="15">
        <v>43896.877083333333</v>
      </c>
      <c r="C179" s="16"/>
      <c r="D179" s="17">
        <v>7.9691999999999981</v>
      </c>
      <c r="E179" s="14">
        <v>324</v>
      </c>
      <c r="F179" s="18">
        <f>23.5+26+8</f>
        <v>57.5</v>
      </c>
      <c r="G179" s="18">
        <f t="shared" si="7"/>
        <v>67.067999999999998</v>
      </c>
      <c r="H179" s="17"/>
    </row>
    <row r="180" spans="1:9" x14ac:dyDescent="0.25">
      <c r="A180" s="14">
        <v>527</v>
      </c>
      <c r="B180" s="15">
        <v>43897.043749999997</v>
      </c>
      <c r="C180" s="16"/>
      <c r="D180" s="17">
        <v>5.5803452</v>
      </c>
      <c r="E180" s="14">
        <v>178</v>
      </c>
      <c r="F180" s="18">
        <f>8+13+5.5</f>
        <v>26.5</v>
      </c>
      <c r="G180" s="18">
        <f t="shared" si="7"/>
        <v>16.981200000000001</v>
      </c>
      <c r="H180" s="17"/>
    </row>
    <row r="181" spans="1:9" x14ac:dyDescent="0.25">
      <c r="A181" s="14">
        <v>528</v>
      </c>
      <c r="B181" s="15">
        <v>43897.210416666669</v>
      </c>
      <c r="C181" s="16"/>
      <c r="D181" s="17">
        <v>4.2543211999999988</v>
      </c>
      <c r="E181" s="14">
        <v>114</v>
      </c>
      <c r="F181" s="18">
        <f>5.5+9</f>
        <v>14.5</v>
      </c>
      <c r="G181" s="18">
        <f t="shared" si="7"/>
        <v>5.9508000000000001</v>
      </c>
      <c r="H181" s="17"/>
    </row>
    <row r="182" spans="1:9" x14ac:dyDescent="0.25">
      <c r="A182" s="20">
        <v>529</v>
      </c>
      <c r="B182" s="21">
        <v>43897.377083333333</v>
      </c>
      <c r="C182" s="22"/>
      <c r="D182" s="23">
        <v>3.6443588000000005</v>
      </c>
      <c r="E182" s="20">
        <v>98.7</v>
      </c>
      <c r="F182" s="24">
        <f>8+7</f>
        <v>15</v>
      </c>
      <c r="G182" s="24">
        <f t="shared" si="7"/>
        <v>5.3297999999999996</v>
      </c>
      <c r="H182" s="23">
        <f>SUM(G178:G182)/1000</f>
        <v>0.24780419999999997</v>
      </c>
    </row>
    <row r="183" spans="1:9" x14ac:dyDescent="0.25">
      <c r="A183" s="34">
        <v>530</v>
      </c>
      <c r="B183" s="35">
        <v>43898.543749999997</v>
      </c>
      <c r="C183" s="36"/>
      <c r="D183" s="37">
        <v>2.1906948000000002</v>
      </c>
      <c r="E183" s="34">
        <v>172</v>
      </c>
      <c r="F183" s="38">
        <f>7+6+6+7+7+6+6+5+5+5+4+4+4+4</f>
        <v>76</v>
      </c>
      <c r="G183" s="38">
        <f>F183*0.5*7200*((98.7+172)/2)/1000000</f>
        <v>37.031759999999998</v>
      </c>
      <c r="H183" s="23">
        <f>SUM(G183)/1000</f>
        <v>3.7031759999999997E-2</v>
      </c>
      <c r="I183" t="s">
        <v>44</v>
      </c>
    </row>
    <row r="184" spans="1:9" x14ac:dyDescent="0.25">
      <c r="A184" s="8">
        <v>531</v>
      </c>
      <c r="B184" s="9">
        <v>43898.710416666669</v>
      </c>
      <c r="C184" s="10"/>
      <c r="D184" s="11">
        <v>5.3495172000000002</v>
      </c>
      <c r="E184" s="8">
        <v>628</v>
      </c>
      <c r="F184" s="12">
        <f>9+11</f>
        <v>20</v>
      </c>
      <c r="G184" s="12">
        <f t="shared" si="7"/>
        <v>45.216000000000001</v>
      </c>
      <c r="H184" s="11"/>
    </row>
    <row r="185" spans="1:9" x14ac:dyDescent="0.25">
      <c r="A185" s="14">
        <v>532</v>
      </c>
      <c r="B185" s="15">
        <v>43898.877083333333</v>
      </c>
      <c r="C185" s="16"/>
      <c r="D185" s="17">
        <v>3.743563200000001</v>
      </c>
      <c r="E185" s="14">
        <v>424</v>
      </c>
      <c r="F185" s="18">
        <f>9.5+7.5</f>
        <v>17</v>
      </c>
      <c r="G185" s="18">
        <f t="shared" si="7"/>
        <v>25.948799999999999</v>
      </c>
      <c r="H185" s="17"/>
    </row>
    <row r="186" spans="1:9" x14ac:dyDescent="0.25">
      <c r="A186" s="14">
        <v>533</v>
      </c>
      <c r="B186" s="15">
        <v>43899.544444444444</v>
      </c>
      <c r="C186" s="16"/>
      <c r="D186" s="17">
        <v>4.8996499999999994</v>
      </c>
      <c r="E186" s="14">
        <v>472</v>
      </c>
      <c r="F186" s="18">
        <f>6+6+6+6+5+5+6+9</f>
        <v>49</v>
      </c>
      <c r="G186" s="18">
        <f t="shared" si="7"/>
        <v>83.260800000000003</v>
      </c>
      <c r="H186" s="17"/>
    </row>
    <row r="187" spans="1:9" x14ac:dyDescent="0.25">
      <c r="A187" s="14">
        <v>534</v>
      </c>
      <c r="B187" s="15">
        <v>43899.710416666669</v>
      </c>
      <c r="C187" s="16"/>
      <c r="D187" s="17">
        <v>7.9691999999999981</v>
      </c>
      <c r="E187" s="14">
        <v>403</v>
      </c>
      <c r="F187" s="18">
        <f>13+16</f>
        <v>29</v>
      </c>
      <c r="G187" s="18">
        <f t="shared" si="7"/>
        <v>42.0732</v>
      </c>
      <c r="H187" s="17"/>
    </row>
    <row r="188" spans="1:9" x14ac:dyDescent="0.25">
      <c r="A188" s="14">
        <v>535</v>
      </c>
      <c r="B188" s="15">
        <v>43899.877083333333</v>
      </c>
      <c r="C188" s="16"/>
      <c r="D188" s="17">
        <v>6.7934292000000012</v>
      </c>
      <c r="E188" s="14">
        <v>274</v>
      </c>
      <c r="F188" s="18">
        <f>16+14</f>
        <v>30</v>
      </c>
      <c r="G188" s="18">
        <f t="shared" si="7"/>
        <v>29.591999999999999</v>
      </c>
      <c r="H188" s="17"/>
    </row>
    <row r="189" spans="1:9" x14ac:dyDescent="0.25">
      <c r="A189" s="14">
        <v>536</v>
      </c>
      <c r="B189" s="15">
        <v>43900.043749999997</v>
      </c>
      <c r="C189" s="16"/>
      <c r="D189" s="17">
        <v>5.3495172000000002</v>
      </c>
      <c r="E189" s="14">
        <v>221</v>
      </c>
      <c r="F189" s="18">
        <f>12+11</f>
        <v>23</v>
      </c>
      <c r="G189" s="18">
        <f t="shared" si="7"/>
        <v>18.2988</v>
      </c>
      <c r="H189" s="17"/>
    </row>
    <row r="190" spans="1:9" x14ac:dyDescent="0.25">
      <c r="A190" s="14">
        <v>537</v>
      </c>
      <c r="B190" s="15">
        <v>43900.210416666669</v>
      </c>
      <c r="C190" s="16"/>
      <c r="D190" s="17">
        <v>4.4655011999999994</v>
      </c>
      <c r="E190" s="14">
        <v>179</v>
      </c>
      <c r="F190" s="18">
        <f>10+9</f>
        <v>19</v>
      </c>
      <c r="G190" s="18">
        <f t="shared" si="7"/>
        <v>12.243600000000001</v>
      </c>
      <c r="H190" s="17"/>
    </row>
    <row r="191" spans="1:9" x14ac:dyDescent="0.25">
      <c r="A191" s="14">
        <v>538</v>
      </c>
      <c r="B191" s="15">
        <v>43900.377083333333</v>
      </c>
      <c r="C191" s="16"/>
      <c r="D191" s="17">
        <v>3.9449192000000015</v>
      </c>
      <c r="E191" s="14">
        <v>157</v>
      </c>
      <c r="F191" s="18">
        <f>8+8</f>
        <v>16</v>
      </c>
      <c r="G191" s="18">
        <f t="shared" si="7"/>
        <v>9.0432000000000006</v>
      </c>
      <c r="H191" s="17"/>
    </row>
    <row r="192" spans="1:9" x14ac:dyDescent="0.25">
      <c r="A192" s="14">
        <v>539</v>
      </c>
      <c r="B192" s="15">
        <v>43900.544444444444</v>
      </c>
      <c r="C192" s="16"/>
      <c r="D192" s="17">
        <v>3.8437500000000004</v>
      </c>
      <c r="E192" s="14">
        <v>144</v>
      </c>
      <c r="F192" s="18">
        <f>8+8</f>
        <v>16</v>
      </c>
      <c r="G192" s="18">
        <f t="shared" si="7"/>
        <v>8.2943999999999996</v>
      </c>
      <c r="H192" s="17"/>
    </row>
    <row r="193" spans="1:9" x14ac:dyDescent="0.25">
      <c r="A193" s="14">
        <v>540</v>
      </c>
      <c r="B193" s="15">
        <v>43900.710416666669</v>
      </c>
      <c r="C193" s="16"/>
      <c r="D193" s="17">
        <v>4.4655011999999994</v>
      </c>
      <c r="E193" s="14">
        <v>150</v>
      </c>
      <c r="F193" s="18">
        <f>8+9</f>
        <v>17</v>
      </c>
      <c r="G193" s="18">
        <f t="shared" si="7"/>
        <v>9.18</v>
      </c>
      <c r="H193" s="17"/>
    </row>
    <row r="194" spans="1:9" x14ac:dyDescent="0.25">
      <c r="A194" s="14">
        <v>541</v>
      </c>
      <c r="B194" s="15">
        <v>43900.877083333333</v>
      </c>
      <c r="C194" s="16"/>
      <c r="D194" s="17">
        <v>4.789639199999999</v>
      </c>
      <c r="E194" s="14">
        <v>154</v>
      </c>
      <c r="F194" s="18">
        <f>9+9</f>
        <v>18</v>
      </c>
      <c r="G194" s="18">
        <f t="shared" si="7"/>
        <v>9.9792000000000005</v>
      </c>
      <c r="H194" s="17"/>
    </row>
    <row r="195" spans="1:9" x14ac:dyDescent="0.25">
      <c r="A195" s="20">
        <v>543</v>
      </c>
      <c r="B195" s="21">
        <v>43901.043749999997</v>
      </c>
      <c r="C195" s="22"/>
      <c r="D195" s="23">
        <v>4.047070800000002</v>
      </c>
      <c r="E195" s="20">
        <v>143</v>
      </c>
      <c r="F195" s="24">
        <v>17</v>
      </c>
      <c r="G195" s="24">
        <f t="shared" si="7"/>
        <v>8.7515999999999998</v>
      </c>
      <c r="H195" s="23">
        <f>SUM(G184:G195)/1000</f>
        <v>0.30188159999999997</v>
      </c>
    </row>
    <row r="196" spans="1:9" x14ac:dyDescent="0.25">
      <c r="A196" s="34">
        <v>542</v>
      </c>
      <c r="B196" s="35">
        <v>43901.544444444444</v>
      </c>
      <c r="C196" s="36" t="s">
        <v>4</v>
      </c>
      <c r="D196" s="37">
        <v>0</v>
      </c>
      <c r="E196" s="34">
        <v>244</v>
      </c>
      <c r="F196" s="38">
        <f>7+7+6+25+20+45</f>
        <v>110</v>
      </c>
      <c r="G196" s="38">
        <f>F196*0.5*7200*143/1000000</f>
        <v>56.628</v>
      </c>
      <c r="H196" s="23">
        <f>SUM(G196)/1000</f>
        <v>5.6627999999999998E-2</v>
      </c>
      <c r="I196" t="s">
        <v>45</v>
      </c>
    </row>
    <row r="197" spans="1:9" x14ac:dyDescent="0.25">
      <c r="A197" s="8">
        <v>544</v>
      </c>
      <c r="B197" s="9">
        <v>43903.544444444444</v>
      </c>
      <c r="C197" s="10"/>
      <c r="D197" s="11">
        <v>41.59859999999999</v>
      </c>
      <c r="E197" s="8">
        <v>915</v>
      </c>
      <c r="F197" s="12">
        <f>20+66</f>
        <v>86</v>
      </c>
      <c r="G197" s="12">
        <f t="shared" si="7"/>
        <v>283.28399999999999</v>
      </c>
      <c r="H197" s="11"/>
    </row>
    <row r="198" spans="1:9" x14ac:dyDescent="0.25">
      <c r="A198" s="14">
        <v>545</v>
      </c>
      <c r="B198" s="15">
        <v>43903.710416666669</v>
      </c>
      <c r="C198" s="16"/>
      <c r="D198" s="17">
        <v>8.6567899999999973</v>
      </c>
      <c r="E198" s="14">
        <v>566</v>
      </c>
      <c r="F198" s="18">
        <f>42+18</f>
        <v>60</v>
      </c>
      <c r="G198" s="18">
        <f t="shared" si="7"/>
        <v>122.256</v>
      </c>
      <c r="H198" s="17"/>
    </row>
    <row r="199" spans="1:9" x14ac:dyDescent="0.25">
      <c r="A199" s="20">
        <v>546</v>
      </c>
      <c r="B199" s="21">
        <v>43904.544444444444</v>
      </c>
      <c r="C199" s="22" t="s">
        <v>4</v>
      </c>
      <c r="D199" s="23">
        <v>0</v>
      </c>
      <c r="E199" s="20">
        <v>402</v>
      </c>
      <c r="F199" s="24">
        <f>14+10.5+9+8+7+6+6+5+5+5</f>
        <v>75.5</v>
      </c>
      <c r="G199" s="24">
        <f>F199*0.5*7200*201/1000000</f>
        <v>54.631799999999998</v>
      </c>
      <c r="H199" s="23">
        <f>SUM(G197:G199)/1000</f>
        <v>0.46017179999999996</v>
      </c>
      <c r="I199" t="s">
        <v>46</v>
      </c>
    </row>
    <row r="200" spans="1:9" x14ac:dyDescent="0.25">
      <c r="A200" s="8">
        <v>547</v>
      </c>
      <c r="B200" s="9">
        <v>43907.543749999997</v>
      </c>
      <c r="C200" s="10" t="s">
        <v>4</v>
      </c>
      <c r="D200" s="11">
        <v>0</v>
      </c>
      <c r="E200" s="12">
        <v>26.85</v>
      </c>
      <c r="F200" s="12">
        <f>5+4+4+4+4+31+26+15</f>
        <v>93</v>
      </c>
      <c r="G200" s="12">
        <f t="shared" si="7"/>
        <v>8.9893800000000006</v>
      </c>
      <c r="H200" s="11"/>
    </row>
    <row r="201" spans="1:9" x14ac:dyDescent="0.25">
      <c r="A201" s="14">
        <v>548</v>
      </c>
      <c r="B201" s="15">
        <v>43910.638888888891</v>
      </c>
      <c r="C201" s="16" t="s">
        <v>4</v>
      </c>
      <c r="D201" s="17">
        <v>0</v>
      </c>
      <c r="E201" s="14">
        <v>14.6</v>
      </c>
      <c r="F201" s="18">
        <f>10+15+14+13</f>
        <v>52</v>
      </c>
      <c r="G201" s="18">
        <f t="shared" si="7"/>
        <v>2.73312</v>
      </c>
      <c r="H201" s="17"/>
    </row>
    <row r="202" spans="1:9" x14ac:dyDescent="0.25">
      <c r="A202" s="20">
        <v>549</v>
      </c>
      <c r="B202" s="21">
        <v>43913.638888888891</v>
      </c>
      <c r="C202" s="22" t="s">
        <v>4</v>
      </c>
      <c r="D202" s="23">
        <v>0</v>
      </c>
      <c r="E202" s="20">
        <v>14.3</v>
      </c>
      <c r="F202" s="24">
        <f>6+7+5+8+9+8+6</f>
        <v>49</v>
      </c>
      <c r="G202" s="24">
        <f t="shared" si="7"/>
        <v>2.5225200000000001</v>
      </c>
      <c r="H202" s="23">
        <f>SUM(G200:G202)/1000</f>
        <v>1.4245020000000001E-2</v>
      </c>
      <c r="I202" t="s">
        <v>47</v>
      </c>
    </row>
    <row r="203" spans="1:9" x14ac:dyDescent="0.25">
      <c r="A203" s="8">
        <v>550</v>
      </c>
      <c r="B203" s="9">
        <v>43916.513888888891</v>
      </c>
      <c r="C203" s="10"/>
      <c r="D203" s="11">
        <v>8.3448724138815198</v>
      </c>
      <c r="E203" s="8">
        <v>465</v>
      </c>
      <c r="F203" s="12">
        <v>2</v>
      </c>
      <c r="G203" s="12">
        <f t="shared" si="7"/>
        <v>3.3479999999999999</v>
      </c>
      <c r="H203" s="11"/>
    </row>
    <row r="204" spans="1:9" x14ac:dyDescent="0.25">
      <c r="A204" s="14">
        <v>551</v>
      </c>
      <c r="B204" s="15">
        <v>43916.638888888891</v>
      </c>
      <c r="C204" s="40" t="s">
        <v>4</v>
      </c>
      <c r="D204" s="17">
        <v>0</v>
      </c>
      <c r="E204" s="14">
        <v>164</v>
      </c>
      <c r="F204" s="18">
        <v>0</v>
      </c>
      <c r="G204" s="18" t="s">
        <v>21</v>
      </c>
      <c r="H204" s="17"/>
      <c r="I204" t="s">
        <v>22</v>
      </c>
    </row>
    <row r="205" spans="1:9" x14ac:dyDescent="0.25">
      <c r="A205" s="14">
        <v>552</v>
      </c>
      <c r="B205" s="15">
        <v>43916.638888888891</v>
      </c>
      <c r="C205" s="16"/>
      <c r="D205" s="17">
        <v>3.9163150803215161</v>
      </c>
      <c r="E205" s="14">
        <v>332</v>
      </c>
      <c r="F205" s="18">
        <f>15+9</f>
        <v>24</v>
      </c>
      <c r="G205" s="18">
        <f t="shared" si="7"/>
        <v>28.684799999999999</v>
      </c>
      <c r="H205" s="17"/>
    </row>
    <row r="206" spans="1:9" x14ac:dyDescent="0.25">
      <c r="A206" s="14">
        <v>553</v>
      </c>
      <c r="B206" s="15">
        <v>43916.763888888891</v>
      </c>
      <c r="C206" s="16"/>
      <c r="D206" s="17">
        <v>2.8573019455202515</v>
      </c>
      <c r="E206" s="14">
        <v>233</v>
      </c>
      <c r="F206" s="18">
        <v>6.5</v>
      </c>
      <c r="G206" s="18">
        <f t="shared" si="7"/>
        <v>5.4522000000000004</v>
      </c>
      <c r="H206" s="17"/>
    </row>
    <row r="207" spans="1:9" x14ac:dyDescent="0.25">
      <c r="A207" s="14">
        <v>554</v>
      </c>
      <c r="B207" s="15">
        <v>43916.888888888891</v>
      </c>
      <c r="C207" s="16"/>
      <c r="D207" s="17">
        <v>2.2445932319090391</v>
      </c>
      <c r="E207" s="14">
        <v>174</v>
      </c>
      <c r="F207" s="18">
        <f>5.5+5</f>
        <v>10.5</v>
      </c>
      <c r="G207" s="18">
        <f t="shared" si="7"/>
        <v>6.5772000000000004</v>
      </c>
      <c r="H207" s="17"/>
    </row>
    <row r="208" spans="1:9" x14ac:dyDescent="0.25">
      <c r="A208" s="14">
        <v>555</v>
      </c>
      <c r="B208" s="15">
        <v>43917.013888888891</v>
      </c>
      <c r="C208" s="16"/>
      <c r="D208" s="17">
        <v>1.9952470406020137</v>
      </c>
      <c r="E208" s="14">
        <v>123</v>
      </c>
      <c r="F208" s="18">
        <v>4</v>
      </c>
      <c r="G208" s="18">
        <f t="shared" si="7"/>
        <v>1.7712000000000001</v>
      </c>
      <c r="H208" s="17"/>
    </row>
    <row r="209" spans="1:9" x14ac:dyDescent="0.25">
      <c r="A209" s="14">
        <v>556</v>
      </c>
      <c r="B209" s="15">
        <v>43917.138888888891</v>
      </c>
      <c r="C209" s="16"/>
      <c r="D209" s="17">
        <v>1.7549538474595416</v>
      </c>
      <c r="E209" s="14">
        <v>93</v>
      </c>
      <c r="F209" s="18">
        <f>4+4.5</f>
        <v>8.5</v>
      </c>
      <c r="G209" s="18">
        <f t="shared" si="7"/>
        <v>2.8458000000000001</v>
      </c>
      <c r="H209" s="17"/>
    </row>
    <row r="210" spans="1:9" x14ac:dyDescent="0.25">
      <c r="A210" s="20">
        <v>557</v>
      </c>
      <c r="B210" s="21">
        <v>43917.263888888891</v>
      </c>
      <c r="C210" s="22"/>
      <c r="D210" s="23">
        <v>1.5988885338879109</v>
      </c>
      <c r="E210" s="20">
        <v>63.6</v>
      </c>
      <c r="F210" s="24">
        <f>4.5+15+14+15+9</f>
        <v>57.5</v>
      </c>
      <c r="G210" s="24">
        <f t="shared" si="7"/>
        <v>13.1652</v>
      </c>
      <c r="H210" s="23">
        <f>SUM(G203:G210)/1000</f>
        <v>6.1844399999999994E-2</v>
      </c>
      <c r="I210" t="s">
        <v>48</v>
      </c>
    </row>
    <row r="211" spans="1:9" x14ac:dyDescent="0.25">
      <c r="A211" s="2">
        <v>558</v>
      </c>
      <c r="B211" s="1">
        <v>43919.67291666667</v>
      </c>
      <c r="C211" t="s">
        <v>4</v>
      </c>
      <c r="D211" s="4">
        <v>0</v>
      </c>
      <c r="E211" s="2">
        <v>307</v>
      </c>
      <c r="F211" s="7">
        <v>0</v>
      </c>
      <c r="I211" t="s">
        <v>22</v>
      </c>
    </row>
    <row r="212" spans="1:9" x14ac:dyDescent="0.25">
      <c r="A212" s="8">
        <v>559</v>
      </c>
      <c r="B212" s="9">
        <v>43919.67291666667</v>
      </c>
      <c r="C212" s="10"/>
      <c r="D212" s="11">
        <v>4.0322652993684196</v>
      </c>
      <c r="E212" s="8">
        <v>480</v>
      </c>
      <c r="F212" s="12">
        <f>2.5+6.5</f>
        <v>9</v>
      </c>
      <c r="G212" s="12">
        <f t="shared" si="7"/>
        <v>15.552</v>
      </c>
      <c r="H212" s="11"/>
    </row>
    <row r="213" spans="1:9" x14ac:dyDescent="0.25">
      <c r="A213" s="14">
        <v>560</v>
      </c>
      <c r="B213" s="15">
        <v>43919.79791666667</v>
      </c>
      <c r="C213" s="16"/>
      <c r="D213" s="17">
        <v>3.146204962481622</v>
      </c>
      <c r="E213" s="14">
        <v>378</v>
      </c>
      <c r="F213" s="18">
        <f>8+7.5</f>
        <v>15.5</v>
      </c>
      <c r="G213" s="18">
        <f t="shared" si="7"/>
        <v>21.092400000000001</v>
      </c>
      <c r="H213" s="17"/>
    </row>
    <row r="214" spans="1:9" x14ac:dyDescent="0.25">
      <c r="A214" s="14">
        <v>561</v>
      </c>
      <c r="B214" s="15">
        <v>43919.92291666667</v>
      </c>
      <c r="C214" s="16"/>
      <c r="D214" s="17">
        <v>3.1439799515883373</v>
      </c>
      <c r="E214" s="14">
        <v>501</v>
      </c>
      <c r="F214" s="18">
        <v>6</v>
      </c>
      <c r="G214" s="18">
        <f t="shared" si="7"/>
        <v>10.8216</v>
      </c>
      <c r="H214" s="17"/>
    </row>
    <row r="215" spans="1:9" x14ac:dyDescent="0.25">
      <c r="A215" s="14">
        <v>562</v>
      </c>
      <c r="B215" s="15">
        <v>43920.04791666667</v>
      </c>
      <c r="C215" s="16"/>
      <c r="D215" s="17">
        <v>6.88820577847273</v>
      </c>
      <c r="E215" s="14">
        <v>510</v>
      </c>
      <c r="F215" s="18">
        <f>14.5+14</f>
        <v>28.5</v>
      </c>
      <c r="G215" s="18">
        <f t="shared" si="7"/>
        <v>52.326000000000001</v>
      </c>
      <c r="H215" s="17"/>
    </row>
    <row r="216" spans="1:9" x14ac:dyDescent="0.25">
      <c r="A216" s="14">
        <v>563</v>
      </c>
      <c r="B216" s="15">
        <v>43920.17291666667</v>
      </c>
      <c r="C216" s="16"/>
      <c r="D216" s="17">
        <v>5.090386648706489</v>
      </c>
      <c r="E216" s="14">
        <v>417</v>
      </c>
      <c r="F216" s="18">
        <v>11.5</v>
      </c>
      <c r="G216" s="18">
        <f t="shared" si="7"/>
        <v>17.2638</v>
      </c>
      <c r="H216" s="17"/>
    </row>
    <row r="217" spans="1:9" x14ac:dyDescent="0.25">
      <c r="A217" s="14">
        <v>564</v>
      </c>
      <c r="B217" s="15">
        <v>43920.29791666667</v>
      </c>
      <c r="C217" s="16"/>
      <c r="D217" s="17">
        <v>4.0140088810562657</v>
      </c>
      <c r="E217" s="14">
        <v>229</v>
      </c>
      <c r="F217" s="18">
        <f>9.5+8</f>
        <v>17.5</v>
      </c>
      <c r="G217" s="18">
        <f t="shared" si="7"/>
        <v>14.427</v>
      </c>
      <c r="H217" s="17"/>
    </row>
    <row r="218" spans="1:9" x14ac:dyDescent="0.25">
      <c r="A218" s="14">
        <v>565</v>
      </c>
      <c r="B218" s="15">
        <v>43920.42291666667</v>
      </c>
      <c r="C218" s="16"/>
      <c r="D218" s="17">
        <v>3.4142994535859423</v>
      </c>
      <c r="E218" s="14">
        <v>151</v>
      </c>
      <c r="F218" s="18">
        <v>7.5</v>
      </c>
      <c r="G218" s="18">
        <f t="shared" si="7"/>
        <v>4.077</v>
      </c>
      <c r="H218" s="17"/>
    </row>
    <row r="219" spans="1:9" x14ac:dyDescent="0.25">
      <c r="A219" s="14">
        <v>566</v>
      </c>
      <c r="B219" s="15">
        <v>43920.54791666667</v>
      </c>
      <c r="C219" s="16"/>
      <c r="D219" s="17">
        <v>4.5302741718909454</v>
      </c>
      <c r="E219" s="14">
        <v>232</v>
      </c>
      <c r="F219" s="18">
        <f>7+9</f>
        <v>16</v>
      </c>
      <c r="G219" s="18">
        <f t="shared" si="7"/>
        <v>13.363200000000001</v>
      </c>
      <c r="H219" s="17"/>
    </row>
    <row r="220" spans="1:9" x14ac:dyDescent="0.25">
      <c r="A220" s="14">
        <v>567</v>
      </c>
      <c r="B220" s="15">
        <v>43920.67291666667</v>
      </c>
      <c r="C220" s="16"/>
      <c r="D220" s="17">
        <v>8.0464043642208392</v>
      </c>
      <c r="E220" s="14">
        <v>364</v>
      </c>
      <c r="F220" s="18">
        <v>19</v>
      </c>
      <c r="G220" s="18">
        <f t="shared" si="7"/>
        <v>24.897600000000001</v>
      </c>
      <c r="H220" s="17"/>
    </row>
    <row r="221" spans="1:9" x14ac:dyDescent="0.25">
      <c r="A221" s="14">
        <v>568</v>
      </c>
      <c r="B221" s="15">
        <v>43920.79791666667</v>
      </c>
      <c r="C221" s="16"/>
      <c r="D221" s="17">
        <v>6.6095438163642619</v>
      </c>
      <c r="E221" s="14">
        <v>350</v>
      </c>
      <c r="F221" s="18">
        <f>15+13.5</f>
        <v>28.5</v>
      </c>
      <c r="G221" s="18">
        <f t="shared" si="7"/>
        <v>35.909999999999997</v>
      </c>
      <c r="H221" s="17"/>
    </row>
    <row r="222" spans="1:9" x14ac:dyDescent="0.25">
      <c r="A222" s="14">
        <v>569</v>
      </c>
      <c r="B222" s="15">
        <v>43920.92291666667</v>
      </c>
      <c r="C222" s="16"/>
      <c r="D222" s="17">
        <v>13.705047140380735</v>
      </c>
      <c r="E222" s="14">
        <v>483</v>
      </c>
      <c r="F222" s="18">
        <v>18</v>
      </c>
      <c r="G222" s="18">
        <f t="shared" si="7"/>
        <v>31.298400000000001</v>
      </c>
      <c r="H222" s="17"/>
    </row>
    <row r="223" spans="1:9" x14ac:dyDescent="0.25">
      <c r="A223" s="14">
        <v>570</v>
      </c>
      <c r="B223" s="15">
        <v>43921.04791666667</v>
      </c>
      <c r="C223" s="16"/>
      <c r="D223" s="17">
        <v>9.2913473099949204</v>
      </c>
      <c r="E223" s="14">
        <v>314</v>
      </c>
      <c r="F223" s="18">
        <f>22+19</f>
        <v>41</v>
      </c>
      <c r="G223" s="18">
        <f t="shared" si="7"/>
        <v>46.346400000000003</v>
      </c>
      <c r="H223" s="17"/>
    </row>
    <row r="224" spans="1:9" x14ac:dyDescent="0.25">
      <c r="A224" s="14">
        <v>571</v>
      </c>
      <c r="B224" s="15">
        <v>43921.17291666667</v>
      </c>
      <c r="C224" s="16"/>
      <c r="D224" s="17">
        <v>8.8576502971618236</v>
      </c>
      <c r="E224" s="14">
        <v>293</v>
      </c>
      <c r="F224" s="18">
        <v>18</v>
      </c>
      <c r="G224" s="18">
        <f t="shared" si="7"/>
        <v>18.9864</v>
      </c>
      <c r="H224" s="17"/>
    </row>
    <row r="225" spans="1:9" x14ac:dyDescent="0.25">
      <c r="A225" s="14">
        <v>572</v>
      </c>
      <c r="B225" s="15">
        <v>43921.29791666667</v>
      </c>
      <c r="C225" s="16"/>
      <c r="D225" s="17">
        <v>7.0981815427062207</v>
      </c>
      <c r="E225" s="14">
        <v>242</v>
      </c>
      <c r="F225" s="18">
        <f>16.5+14.5</f>
        <v>31</v>
      </c>
      <c r="G225" s="18">
        <f t="shared" si="7"/>
        <v>27.007200000000001</v>
      </c>
      <c r="H225" s="17"/>
    </row>
    <row r="226" spans="1:9" x14ac:dyDescent="0.25">
      <c r="A226" s="14">
        <v>573</v>
      </c>
      <c r="B226" s="15">
        <v>43921.42291666667</v>
      </c>
      <c r="C226" s="16"/>
      <c r="D226" s="17">
        <v>5.9765664808444781</v>
      </c>
      <c r="E226" s="14">
        <v>216</v>
      </c>
      <c r="F226" s="18">
        <v>13</v>
      </c>
      <c r="G226" s="18">
        <f t="shared" si="7"/>
        <v>10.1088</v>
      </c>
      <c r="H226" s="17"/>
    </row>
    <row r="227" spans="1:9" x14ac:dyDescent="0.25">
      <c r="A227" s="14">
        <v>575</v>
      </c>
      <c r="B227" s="15">
        <v>43921.673611111109</v>
      </c>
      <c r="C227" s="16"/>
      <c r="D227" s="17">
        <v>4.8209162423301679</v>
      </c>
      <c r="E227" s="14">
        <v>107</v>
      </c>
      <c r="F227" s="18">
        <f>12+11+10</f>
        <v>33</v>
      </c>
      <c r="G227" s="18">
        <f t="shared" si="7"/>
        <v>12.711600000000001</v>
      </c>
      <c r="H227" s="17"/>
    </row>
    <row r="228" spans="1:9" x14ac:dyDescent="0.25">
      <c r="A228" s="14">
        <v>576</v>
      </c>
      <c r="B228" s="15">
        <v>43921.79791666667</v>
      </c>
      <c r="C228" s="16"/>
      <c r="D228" s="17">
        <v>4.3858023441128582</v>
      </c>
      <c r="E228" s="14">
        <v>82.7</v>
      </c>
      <c r="F228" s="18">
        <f>9.5+9</f>
        <v>18.5</v>
      </c>
      <c r="G228" s="18">
        <f t="shared" si="7"/>
        <v>5.5078199999999997</v>
      </c>
      <c r="H228" s="17"/>
    </row>
    <row r="229" spans="1:9" x14ac:dyDescent="0.25">
      <c r="A229" s="20">
        <v>577</v>
      </c>
      <c r="B229" s="21">
        <v>43921.92291666667</v>
      </c>
      <c r="C229" s="22"/>
      <c r="D229" s="23">
        <v>3.8653089444314817</v>
      </c>
      <c r="E229" s="20">
        <v>62.4</v>
      </c>
      <c r="F229" s="24">
        <f>8+7.5+7+7+6+6+6+17+18+64+9</f>
        <v>155.5</v>
      </c>
      <c r="G229" s="24">
        <f t="shared" si="7"/>
        <v>34.931519999999999</v>
      </c>
      <c r="H229" s="23">
        <f>SUM(G212:G229)/1000</f>
        <v>0.39662873999999992</v>
      </c>
      <c r="I229" t="s">
        <v>49</v>
      </c>
    </row>
    <row r="230" spans="1:9" x14ac:dyDescent="0.25">
      <c r="A230" s="8">
        <v>578</v>
      </c>
      <c r="B230" s="9">
        <v>43922.67291666667</v>
      </c>
      <c r="C230" s="10" t="s">
        <v>4</v>
      </c>
      <c r="D230" s="11">
        <v>0</v>
      </c>
      <c r="E230" s="8">
        <v>239</v>
      </c>
      <c r="F230" s="12"/>
      <c r="G230" s="12"/>
      <c r="H230" s="11"/>
      <c r="I230" t="s">
        <v>22</v>
      </c>
    </row>
    <row r="231" spans="1:9" x14ac:dyDescent="0.25">
      <c r="A231" s="14">
        <v>579</v>
      </c>
      <c r="B231" s="15">
        <v>43924.281944444447</v>
      </c>
      <c r="C231" s="16"/>
      <c r="D231" s="17">
        <v>5.9139578612419124</v>
      </c>
      <c r="E231" s="14">
        <v>430</v>
      </c>
      <c r="F231" s="18">
        <f>5.5+7</f>
        <v>12.5</v>
      </c>
      <c r="G231" s="18">
        <f t="shared" si="7"/>
        <v>19.350000000000001</v>
      </c>
      <c r="H231" s="17"/>
    </row>
    <row r="232" spans="1:9" x14ac:dyDescent="0.25">
      <c r="A232" s="14">
        <v>580</v>
      </c>
      <c r="B232" s="15">
        <v>43924.406944444447</v>
      </c>
      <c r="C232" s="16" t="s">
        <v>4</v>
      </c>
      <c r="D232" s="17">
        <v>0</v>
      </c>
      <c r="E232" s="14">
        <v>294</v>
      </c>
      <c r="F232" s="18"/>
      <c r="G232" s="18"/>
      <c r="H232" s="17"/>
      <c r="I232" t="s">
        <v>50</v>
      </c>
    </row>
    <row r="233" spans="1:9" x14ac:dyDescent="0.25">
      <c r="A233" s="14">
        <v>581</v>
      </c>
      <c r="B233" s="15">
        <v>43924.406944444447</v>
      </c>
      <c r="C233" s="16"/>
      <c r="D233" s="17">
        <v>7.1184202352364006</v>
      </c>
      <c r="E233" s="14">
        <v>640</v>
      </c>
      <c r="F233" s="18">
        <f>7+18</f>
        <v>25</v>
      </c>
      <c r="G233" s="18">
        <f t="shared" si="7"/>
        <v>57.6</v>
      </c>
      <c r="H233" s="17"/>
    </row>
    <row r="234" spans="1:9" x14ac:dyDescent="0.25">
      <c r="A234" s="14">
        <v>582</v>
      </c>
      <c r="B234" s="15">
        <v>43924.531944444447</v>
      </c>
      <c r="C234" s="16"/>
      <c r="D234" s="17">
        <v>5.1558335579030681</v>
      </c>
      <c r="E234" s="14">
        <v>365</v>
      </c>
      <c r="F234" s="18">
        <f>13+5.25</f>
        <v>18.25</v>
      </c>
      <c r="G234" s="18">
        <f t="shared" si="7"/>
        <v>23.980499999999999</v>
      </c>
      <c r="H234" s="17"/>
    </row>
    <row r="235" spans="1:9" x14ac:dyDescent="0.25">
      <c r="A235" s="14">
        <v>583</v>
      </c>
      <c r="B235" s="15">
        <v>43924.656944444447</v>
      </c>
      <c r="C235" s="16"/>
      <c r="D235" s="17">
        <v>4.1543924786450335</v>
      </c>
      <c r="E235" s="14">
        <v>308</v>
      </c>
      <c r="F235" s="18">
        <f>5.25+9</f>
        <v>14.25</v>
      </c>
      <c r="G235" s="18">
        <f t="shared" si="7"/>
        <v>15.8004</v>
      </c>
      <c r="H235" s="17"/>
    </row>
    <row r="236" spans="1:9" x14ac:dyDescent="0.25">
      <c r="A236" s="14">
        <v>584</v>
      </c>
      <c r="B236" s="15">
        <v>43924.781944444447</v>
      </c>
      <c r="C236" s="16"/>
      <c r="D236" s="17">
        <v>4.0251132503915894</v>
      </c>
      <c r="E236" s="14">
        <v>194</v>
      </c>
      <c r="F236" s="18">
        <f>8+3.75</f>
        <v>11.75</v>
      </c>
      <c r="G236" s="18">
        <f t="shared" si="7"/>
        <v>8.2062000000000008</v>
      </c>
      <c r="H236" s="17"/>
    </row>
    <row r="237" spans="1:9" x14ac:dyDescent="0.25">
      <c r="A237" s="14">
        <v>585</v>
      </c>
      <c r="B237" s="15">
        <v>43924.906944444447</v>
      </c>
      <c r="C237" s="16"/>
      <c r="D237" s="17">
        <v>3.696945082031625</v>
      </c>
      <c r="E237" s="14">
        <v>125</v>
      </c>
      <c r="F237" s="18">
        <f>3.75+7</f>
        <v>10.75</v>
      </c>
      <c r="G237" s="18">
        <f t="shared" si="7"/>
        <v>4.8375000000000004</v>
      </c>
      <c r="H237" s="17"/>
    </row>
    <row r="238" spans="1:9" x14ac:dyDescent="0.25">
      <c r="A238" s="14">
        <v>586</v>
      </c>
      <c r="B238" s="15">
        <v>43925.031944444447</v>
      </c>
      <c r="C238" s="16"/>
      <c r="D238" s="17">
        <v>3.283635862858072</v>
      </c>
      <c r="E238" s="14">
        <v>90.6</v>
      </c>
      <c r="F238" s="18">
        <f>7+6.5</f>
        <v>13.5</v>
      </c>
      <c r="G238" s="18">
        <f t="shared" si="7"/>
        <v>4.4031599999999997</v>
      </c>
      <c r="H238" s="17"/>
    </row>
    <row r="239" spans="1:9" x14ac:dyDescent="0.25">
      <c r="A239" s="14">
        <v>587</v>
      </c>
      <c r="B239" s="15">
        <v>43925.156944444447</v>
      </c>
      <c r="C239" s="16"/>
      <c r="D239" s="17">
        <v>3.2594717447901176</v>
      </c>
      <c r="E239" s="14">
        <v>70.7</v>
      </c>
      <c r="F239" s="18">
        <v>6.5</v>
      </c>
      <c r="G239" s="18">
        <f t="shared" si="7"/>
        <v>1.65438</v>
      </c>
      <c r="H239" s="17"/>
    </row>
    <row r="240" spans="1:9" x14ac:dyDescent="0.25">
      <c r="A240" s="14">
        <v>588</v>
      </c>
      <c r="B240" s="15">
        <v>43925.281944444447</v>
      </c>
      <c r="C240" s="16"/>
      <c r="D240" s="17">
        <v>2.865009017120697</v>
      </c>
      <c r="E240" s="14">
        <v>73.400000000000006</v>
      </c>
      <c r="F240" s="18">
        <f>6+6</f>
        <v>12</v>
      </c>
      <c r="G240" s="18">
        <f t="shared" si="7"/>
        <v>3.1708800000000004</v>
      </c>
      <c r="H240" s="17"/>
    </row>
    <row r="241" spans="1:9" x14ac:dyDescent="0.25">
      <c r="A241" s="14">
        <v>589</v>
      </c>
      <c r="B241" s="15">
        <v>43925.406944444447</v>
      </c>
      <c r="C241" s="16"/>
      <c r="D241" s="17">
        <v>2.9328393671225323</v>
      </c>
      <c r="E241" s="14">
        <v>48.9</v>
      </c>
      <c r="F241" s="18">
        <v>6</v>
      </c>
      <c r="G241" s="18">
        <f t="shared" ref="G241:G265" si="8">F241*0.5*7200*E241/1000000</f>
        <v>1.0562400000000001</v>
      </c>
      <c r="H241" s="17"/>
    </row>
    <row r="242" spans="1:9" x14ac:dyDescent="0.25">
      <c r="A242" s="14">
        <v>590</v>
      </c>
      <c r="B242" s="15">
        <v>43925.656944444447</v>
      </c>
      <c r="C242" s="16"/>
      <c r="D242" s="17">
        <v>2.8864570948874531</v>
      </c>
      <c r="E242" s="14">
        <v>47.9</v>
      </c>
      <c r="F242" s="18">
        <f>5.5+5.5+5.5</f>
        <v>16.5</v>
      </c>
      <c r="G242" s="18">
        <f t="shared" si="8"/>
        <v>2.8452600000000001</v>
      </c>
      <c r="H242" s="17"/>
    </row>
    <row r="243" spans="1:9" x14ac:dyDescent="0.25">
      <c r="A243" s="14">
        <v>591</v>
      </c>
      <c r="B243" s="15">
        <v>43925.781944444447</v>
      </c>
      <c r="C243" s="16"/>
      <c r="D243" s="17">
        <v>2.6841104306303385</v>
      </c>
      <c r="E243" s="14">
        <v>44.5</v>
      </c>
      <c r="F243" s="18">
        <f>5.5+5</f>
        <v>10.5</v>
      </c>
      <c r="G243" s="18">
        <f t="shared" si="8"/>
        <v>1.6820999999999999</v>
      </c>
      <c r="H243" s="17"/>
    </row>
    <row r="244" spans="1:9" x14ac:dyDescent="0.25">
      <c r="A244" s="20">
        <v>592</v>
      </c>
      <c r="B244" s="21">
        <v>43927.031944444447</v>
      </c>
      <c r="C244" s="22"/>
      <c r="D244" s="23">
        <v>2.5514585654329083</v>
      </c>
      <c r="E244" s="20">
        <v>29.4</v>
      </c>
      <c r="F244" s="24">
        <f>5+5+5+4.5+4.5+4+4+27</f>
        <v>59</v>
      </c>
      <c r="G244" s="24">
        <f t="shared" si="8"/>
        <v>6.2445599999999999</v>
      </c>
      <c r="H244" s="23">
        <f>SUM(G231:G244)/1000</f>
        <v>0.15083117999999998</v>
      </c>
    </row>
    <row r="245" spans="1:9" x14ac:dyDescent="0.25">
      <c r="A245" s="8">
        <v>593</v>
      </c>
      <c r="B245" s="9">
        <v>43928.406944444447</v>
      </c>
      <c r="C245" s="10" t="s">
        <v>4</v>
      </c>
      <c r="D245" s="11">
        <v>0</v>
      </c>
      <c r="E245" s="8">
        <v>24.9</v>
      </c>
      <c r="F245" s="12">
        <f>36+12+9+14+11+4</f>
        <v>86</v>
      </c>
      <c r="G245" s="12">
        <f t="shared" si="8"/>
        <v>7.7090399999999999</v>
      </c>
      <c r="H245" s="11"/>
      <c r="I245" t="s">
        <v>51</v>
      </c>
    </row>
    <row r="246" spans="1:9" x14ac:dyDescent="0.25">
      <c r="A246" s="20">
        <v>594</v>
      </c>
      <c r="B246" s="21">
        <v>43931.597916666666</v>
      </c>
      <c r="C246" s="22" t="s">
        <v>4</v>
      </c>
      <c r="D246" s="23">
        <v>0</v>
      </c>
      <c r="E246" s="20">
        <v>78.7</v>
      </c>
      <c r="F246" s="24">
        <f>15+24+35+15</f>
        <v>89</v>
      </c>
      <c r="G246" s="24">
        <f t="shared" si="8"/>
        <v>25.215479999999999</v>
      </c>
      <c r="H246" s="23">
        <f>SUM(G245:G246)/1000</f>
        <v>3.2924519999999999E-2</v>
      </c>
    </row>
    <row r="247" spans="1:9" x14ac:dyDescent="0.25">
      <c r="A247" s="8">
        <v>595</v>
      </c>
      <c r="B247" s="9">
        <v>43934.453472222223</v>
      </c>
      <c r="C247" s="10"/>
      <c r="D247" s="11">
        <v>2.4440999999999997</v>
      </c>
      <c r="E247" s="8">
        <v>506</v>
      </c>
      <c r="F247" s="12">
        <f>2+2.5</f>
        <v>4.5</v>
      </c>
      <c r="G247" s="12">
        <f t="shared" si="8"/>
        <v>8.1972000000000005</v>
      </c>
      <c r="H247" s="11"/>
    </row>
    <row r="248" spans="1:9" x14ac:dyDescent="0.25">
      <c r="A248" s="14">
        <v>596</v>
      </c>
      <c r="B248" s="15">
        <v>43934.578472222223</v>
      </c>
      <c r="C248" s="16"/>
      <c r="D248" s="17">
        <v>3.3526399999999987</v>
      </c>
      <c r="E248" s="14">
        <v>701</v>
      </c>
      <c r="F248" s="18">
        <f>2.5+5</f>
        <v>7.5</v>
      </c>
      <c r="G248" s="18">
        <f t="shared" si="8"/>
        <v>18.927</v>
      </c>
      <c r="H248" s="17"/>
    </row>
    <row r="249" spans="1:9" x14ac:dyDescent="0.25">
      <c r="A249" s="14">
        <v>597</v>
      </c>
      <c r="B249" s="15">
        <v>43934.703472222223</v>
      </c>
      <c r="C249" s="16"/>
      <c r="D249" s="17">
        <v>38.748199999999997</v>
      </c>
      <c r="E249" s="14">
        <v>780</v>
      </c>
      <c r="F249" s="18">
        <f>13+41.5</f>
        <v>54.5</v>
      </c>
      <c r="G249" s="18">
        <f t="shared" si="8"/>
        <v>153.036</v>
      </c>
      <c r="H249" s="17"/>
    </row>
    <row r="250" spans="1:9" x14ac:dyDescent="0.25">
      <c r="A250" s="14">
        <v>598</v>
      </c>
      <c r="B250" s="15">
        <v>43934.828472222223</v>
      </c>
      <c r="C250" s="16"/>
      <c r="D250" s="17">
        <v>62.190417276827908</v>
      </c>
      <c r="E250" s="14">
        <v>750</v>
      </c>
      <c r="F250" s="18">
        <f>41.5+120</f>
        <v>161.5</v>
      </c>
      <c r="G250" s="18">
        <f t="shared" si="8"/>
        <v>436.05</v>
      </c>
      <c r="H250" s="17"/>
    </row>
    <row r="251" spans="1:9" x14ac:dyDescent="0.25">
      <c r="A251" s="14">
        <v>599</v>
      </c>
      <c r="B251" s="15">
        <v>43934.953472222223</v>
      </c>
      <c r="C251" s="16"/>
      <c r="D251" s="17">
        <v>23.681799999999996</v>
      </c>
      <c r="E251" s="14">
        <v>336</v>
      </c>
      <c r="F251" s="18">
        <f>102+25</f>
        <v>127</v>
      </c>
      <c r="G251" s="18">
        <f t="shared" si="8"/>
        <v>153.61920000000001</v>
      </c>
      <c r="H251" s="17"/>
    </row>
    <row r="252" spans="1:9" x14ac:dyDescent="0.25">
      <c r="A252" s="14">
        <v>600</v>
      </c>
      <c r="B252" s="15">
        <v>43935.078472222223</v>
      </c>
      <c r="C252" s="16"/>
      <c r="D252" s="17">
        <v>8.3788067999999996</v>
      </c>
      <c r="E252" s="14">
        <v>290</v>
      </c>
      <c r="F252" s="18">
        <f>25+23</f>
        <v>48</v>
      </c>
      <c r="G252" s="18">
        <f t="shared" si="8"/>
        <v>50.112000000000002</v>
      </c>
      <c r="H252" s="17"/>
    </row>
    <row r="253" spans="1:9" x14ac:dyDescent="0.25">
      <c r="A253" s="14">
        <v>601</v>
      </c>
      <c r="B253" s="15">
        <v>43935.203472222223</v>
      </c>
      <c r="C253" s="16"/>
      <c r="D253" s="17">
        <v>6.2964068000000006</v>
      </c>
      <c r="E253" s="14">
        <v>143</v>
      </c>
      <c r="F253" s="18">
        <f>16+6.5</f>
        <v>22.5</v>
      </c>
      <c r="G253" s="18">
        <f t="shared" si="8"/>
        <v>11.583</v>
      </c>
      <c r="H253" s="17"/>
    </row>
    <row r="254" spans="1:9" x14ac:dyDescent="0.25">
      <c r="A254" s="14">
        <v>602</v>
      </c>
      <c r="B254" s="15">
        <v>43935.328472222223</v>
      </c>
      <c r="C254" s="16"/>
      <c r="D254" s="17">
        <v>5.2355767999999996</v>
      </c>
      <c r="E254" s="14">
        <v>94.4</v>
      </c>
      <c r="F254" s="18">
        <f>6.5+11</f>
        <v>17.5</v>
      </c>
      <c r="G254" s="18">
        <f t="shared" si="8"/>
        <v>5.9471999999999996</v>
      </c>
      <c r="H254" s="17"/>
    </row>
    <row r="255" spans="1:9" x14ac:dyDescent="0.25">
      <c r="A255" s="14">
        <v>603</v>
      </c>
      <c r="B255" s="15">
        <v>43935.453472222223</v>
      </c>
      <c r="C255" s="16"/>
      <c r="D255" s="17">
        <v>4.5725648000000003</v>
      </c>
      <c r="E255" s="14">
        <v>72.3</v>
      </c>
      <c r="F255" s="18">
        <f>10+4.5</f>
        <v>14.5</v>
      </c>
      <c r="G255" s="18">
        <f t="shared" si="8"/>
        <v>3.77406</v>
      </c>
      <c r="H255" s="17"/>
    </row>
    <row r="256" spans="1:9" x14ac:dyDescent="0.25">
      <c r="A256" s="14">
        <v>604</v>
      </c>
      <c r="B256" s="15">
        <v>43935.578472222223</v>
      </c>
      <c r="C256" s="16"/>
      <c r="D256" s="17">
        <v>4.1502048</v>
      </c>
      <c r="E256" s="14">
        <v>57.2</v>
      </c>
      <c r="F256" s="18">
        <f>4.5+8.5</f>
        <v>13</v>
      </c>
      <c r="G256" s="18">
        <f t="shared" si="8"/>
        <v>2.6769599999999998</v>
      </c>
      <c r="H256" s="17"/>
    </row>
    <row r="257" spans="1:9" x14ac:dyDescent="0.25">
      <c r="A257" s="14">
        <v>605</v>
      </c>
      <c r="B257" s="15">
        <v>43935.703472222223</v>
      </c>
      <c r="C257" s="16" t="s">
        <v>4</v>
      </c>
      <c r="D257" s="17">
        <v>0</v>
      </c>
      <c r="E257" s="14">
        <v>448</v>
      </c>
      <c r="F257" s="18">
        <v>0</v>
      </c>
      <c r="G257" s="18">
        <f t="shared" si="8"/>
        <v>0</v>
      </c>
      <c r="H257" s="17"/>
      <c r="I257" t="s">
        <v>22</v>
      </c>
    </row>
    <row r="258" spans="1:9" x14ac:dyDescent="0.25">
      <c r="A258" s="14">
        <v>606</v>
      </c>
      <c r="B258" s="15">
        <v>43935.70416666667</v>
      </c>
      <c r="C258" s="16"/>
      <c r="D258" s="17">
        <v>4.0470708000000002</v>
      </c>
      <c r="E258" s="14">
        <v>47</v>
      </c>
      <c r="F258" s="18">
        <f>8+4</f>
        <v>12</v>
      </c>
      <c r="G258" s="18">
        <f t="shared" si="8"/>
        <v>2.0304000000000002</v>
      </c>
      <c r="H258" s="17"/>
    </row>
    <row r="259" spans="1:9" x14ac:dyDescent="0.25">
      <c r="A259" s="14">
        <v>607</v>
      </c>
      <c r="B259" s="15">
        <v>43935.828472222223</v>
      </c>
      <c r="C259" s="16"/>
      <c r="D259" s="17">
        <v>3.4488971999999998</v>
      </c>
      <c r="E259" s="14">
        <v>47.4</v>
      </c>
      <c r="F259" s="18">
        <f>4+7</f>
        <v>11</v>
      </c>
      <c r="G259" s="18">
        <f t="shared" si="8"/>
        <v>1.87704</v>
      </c>
      <c r="H259" s="17"/>
    </row>
    <row r="260" spans="1:9" x14ac:dyDescent="0.25">
      <c r="A260" s="14">
        <v>608</v>
      </c>
      <c r="B260" s="15">
        <v>43935.953472222223</v>
      </c>
      <c r="C260" s="16"/>
      <c r="D260" s="17">
        <v>3.2573651999999993</v>
      </c>
      <c r="E260" s="14">
        <v>39</v>
      </c>
      <c r="F260" s="18">
        <f>7+3.25</f>
        <v>10.25</v>
      </c>
      <c r="G260" s="18">
        <f t="shared" si="8"/>
        <v>1.4391</v>
      </c>
      <c r="H260" s="17"/>
    </row>
    <row r="261" spans="1:9" x14ac:dyDescent="0.25">
      <c r="A261" s="14">
        <v>609</v>
      </c>
      <c r="B261" s="15">
        <v>43936.078472222223</v>
      </c>
      <c r="C261" s="16"/>
      <c r="D261" s="17">
        <v>2.9774352000000004</v>
      </c>
      <c r="E261" s="14">
        <v>31.4</v>
      </c>
      <c r="F261" s="18">
        <f>3.25+6</f>
        <v>9.25</v>
      </c>
      <c r="G261" s="18">
        <f t="shared" si="8"/>
        <v>1.04562</v>
      </c>
      <c r="H261" s="17"/>
    </row>
    <row r="262" spans="1:9" x14ac:dyDescent="0.25">
      <c r="A262" s="14">
        <v>610</v>
      </c>
      <c r="B262" s="15">
        <v>43936.203472222223</v>
      </c>
      <c r="C262" s="16"/>
      <c r="D262" s="17">
        <v>2.7063467999999999</v>
      </c>
      <c r="E262" s="14">
        <v>25.4</v>
      </c>
      <c r="F262" s="18">
        <f>6+2.25</f>
        <v>8.25</v>
      </c>
      <c r="G262" s="18">
        <f t="shared" si="8"/>
        <v>0.75438000000000005</v>
      </c>
      <c r="H262" s="17"/>
    </row>
    <row r="263" spans="1:9" x14ac:dyDescent="0.25">
      <c r="A263" s="14">
        <v>611</v>
      </c>
      <c r="B263" s="15">
        <v>43936.328472222223</v>
      </c>
      <c r="C263" s="16"/>
      <c r="D263" s="17">
        <v>2.5305331999999994</v>
      </c>
      <c r="E263" s="14">
        <v>30.3</v>
      </c>
      <c r="F263" s="18">
        <f>2.25+5</f>
        <v>7.25</v>
      </c>
      <c r="G263" s="18">
        <f t="shared" si="8"/>
        <v>0.79083000000000003</v>
      </c>
      <c r="H263" s="17"/>
    </row>
    <row r="264" spans="1:9" x14ac:dyDescent="0.25">
      <c r="A264" s="14">
        <v>612</v>
      </c>
      <c r="B264" s="15">
        <v>43936.453472222223</v>
      </c>
      <c r="C264" s="16"/>
      <c r="D264" s="17">
        <v>2.5305331999999994</v>
      </c>
      <c r="E264" s="14">
        <v>27.6</v>
      </c>
      <c r="F264" s="18">
        <f>5+2.5</f>
        <v>7.5</v>
      </c>
      <c r="G264" s="18">
        <f t="shared" si="8"/>
        <v>0.74519999999999997</v>
      </c>
      <c r="H264" s="17"/>
    </row>
    <row r="265" spans="1:9" x14ac:dyDescent="0.25">
      <c r="A265" s="20">
        <v>613</v>
      </c>
      <c r="B265" s="21">
        <v>43936.578472222223</v>
      </c>
      <c r="C265" s="22"/>
      <c r="D265" s="23">
        <v>2.4440999999999997</v>
      </c>
      <c r="E265" s="20">
        <v>21.4</v>
      </c>
      <c r="F265" s="24">
        <f>2.5+5</f>
        <v>7.5</v>
      </c>
      <c r="G265" s="24">
        <f t="shared" si="8"/>
        <v>0.57779999999999998</v>
      </c>
      <c r="H265" s="23">
        <f>SUM(G247:G265)/1000</f>
        <v>0.85318298999999975</v>
      </c>
    </row>
    <row r="266" spans="1:9" x14ac:dyDescent="0.25">
      <c r="A266" s="8">
        <v>614</v>
      </c>
      <c r="B266" s="9">
        <v>43938.659722222219</v>
      </c>
      <c r="C266" s="10" t="s">
        <v>4</v>
      </c>
      <c r="D266" s="11">
        <v>0</v>
      </c>
      <c r="E266" s="8">
        <v>25.9</v>
      </c>
      <c r="F266" s="12">
        <f>22+35+19</f>
        <v>76</v>
      </c>
      <c r="G266" s="12">
        <f t="shared" ref="G266:G298" si="9">F266*0.5*7200*E266/1000000</f>
        <v>7.0862400000000001</v>
      </c>
      <c r="H266" s="11"/>
    </row>
    <row r="267" spans="1:9" x14ac:dyDescent="0.25">
      <c r="A267" s="14">
        <v>615</v>
      </c>
      <c r="B267" s="15">
        <v>43941.659722222219</v>
      </c>
      <c r="C267" s="16" t="s">
        <v>4</v>
      </c>
      <c r="D267" s="17">
        <v>0</v>
      </c>
      <c r="E267" s="14">
        <v>15.2</v>
      </c>
      <c r="F267" s="18">
        <f>9+24+22+12</f>
        <v>67</v>
      </c>
      <c r="G267" s="18">
        <f t="shared" si="9"/>
        <v>3.6662400000000002</v>
      </c>
      <c r="H267" s="17"/>
    </row>
    <row r="268" spans="1:9" x14ac:dyDescent="0.25">
      <c r="A268" s="14">
        <v>616</v>
      </c>
      <c r="B268" s="15">
        <v>43944.659722222219</v>
      </c>
      <c r="C268" s="16" t="s">
        <v>4</v>
      </c>
      <c r="D268" s="17">
        <v>0</v>
      </c>
      <c r="E268" s="14">
        <v>23.6</v>
      </c>
      <c r="F268" s="18">
        <f>6+12+10+8</f>
        <v>36</v>
      </c>
      <c r="G268" s="18">
        <f t="shared" si="9"/>
        <v>3.0585599999999999</v>
      </c>
      <c r="H268" s="17"/>
    </row>
    <row r="269" spans="1:9" x14ac:dyDescent="0.25">
      <c r="A269" s="20">
        <v>617</v>
      </c>
      <c r="B269" s="21">
        <v>43947.55972222222</v>
      </c>
      <c r="C269" s="22" t="s">
        <v>4</v>
      </c>
      <c r="D269" s="23">
        <v>0</v>
      </c>
      <c r="E269" s="20">
        <v>13.7</v>
      </c>
      <c r="F269" s="24">
        <f>4+12+9+8</f>
        <v>33</v>
      </c>
      <c r="G269" s="24">
        <f t="shared" si="9"/>
        <v>1.6275599999999999</v>
      </c>
      <c r="H269" s="23">
        <f>SUM(G266:G269)/1000</f>
        <v>1.54386E-2</v>
      </c>
      <c r="I269" t="s">
        <v>36</v>
      </c>
    </row>
    <row r="270" spans="1:9" x14ac:dyDescent="0.25">
      <c r="A270" s="8">
        <v>618</v>
      </c>
      <c r="B270" s="9">
        <v>43948.05972222222</v>
      </c>
      <c r="C270" s="10"/>
      <c r="D270" s="11">
        <v>6.2964068000000006</v>
      </c>
      <c r="E270" s="8">
        <v>760</v>
      </c>
      <c r="F270" s="12">
        <f>1+8</f>
        <v>9</v>
      </c>
      <c r="G270" s="12">
        <f t="shared" si="9"/>
        <v>24.623999999999999</v>
      </c>
      <c r="H270" s="11"/>
    </row>
    <row r="271" spans="1:9" x14ac:dyDescent="0.25">
      <c r="A271" s="14">
        <v>619</v>
      </c>
      <c r="B271" s="15">
        <v>43948.18472222222</v>
      </c>
      <c r="C271" s="16"/>
      <c r="D271" s="17">
        <v>9.5143171999999989</v>
      </c>
      <c r="E271" s="14">
        <v>692</v>
      </c>
      <c r="F271" s="18">
        <v>16</v>
      </c>
      <c r="G271" s="18">
        <f t="shared" si="9"/>
        <v>39.859200000000001</v>
      </c>
      <c r="H271" s="17"/>
    </row>
    <row r="272" spans="1:9" x14ac:dyDescent="0.25">
      <c r="A272" s="14">
        <v>620</v>
      </c>
      <c r="B272" s="15">
        <v>43948.30972222222</v>
      </c>
      <c r="C272" s="16"/>
      <c r="D272" s="17">
        <v>5.9339552000000007</v>
      </c>
      <c r="E272" s="14">
        <v>425</v>
      </c>
      <c r="F272" s="18">
        <f>19+14</f>
        <v>33</v>
      </c>
      <c r="G272" s="18">
        <f t="shared" si="9"/>
        <v>50.49</v>
      </c>
      <c r="H272" s="17"/>
    </row>
    <row r="273" spans="1:9" x14ac:dyDescent="0.25">
      <c r="A273" s="14">
        <v>621</v>
      </c>
      <c r="B273" s="15">
        <v>43948.43472222222</v>
      </c>
      <c r="C273" s="16"/>
      <c r="D273" s="17">
        <v>4.6806107999999993</v>
      </c>
      <c r="E273" s="14">
        <v>306</v>
      </c>
      <c r="F273" s="18">
        <v>10</v>
      </c>
      <c r="G273" s="18">
        <f t="shared" si="9"/>
        <v>11.016</v>
      </c>
      <c r="H273" s="17"/>
    </row>
    <row r="274" spans="1:9" x14ac:dyDescent="0.25">
      <c r="A274" s="14">
        <v>622</v>
      </c>
      <c r="B274" s="15">
        <v>43948.560416666667</v>
      </c>
      <c r="C274" s="16"/>
      <c r="D274" s="17">
        <v>3.5461367999999998</v>
      </c>
      <c r="E274" s="14">
        <v>173</v>
      </c>
      <c r="F274" s="18">
        <f>8.5+7</f>
        <v>15.5</v>
      </c>
      <c r="G274" s="18">
        <f t="shared" si="9"/>
        <v>9.6533999999999995</v>
      </c>
      <c r="H274" s="17"/>
    </row>
    <row r="275" spans="1:9" x14ac:dyDescent="0.25">
      <c r="A275" s="14">
        <v>623</v>
      </c>
      <c r="B275" s="15">
        <v>43948.68472222222</v>
      </c>
      <c r="C275" s="16"/>
      <c r="D275" s="17">
        <v>3.0697627999999999</v>
      </c>
      <c r="E275" s="14">
        <v>111</v>
      </c>
      <c r="F275" s="18">
        <f>6.5</f>
        <v>6.5</v>
      </c>
      <c r="G275" s="18">
        <f t="shared" si="9"/>
        <v>2.5973999999999999</v>
      </c>
      <c r="H275" s="17"/>
    </row>
    <row r="276" spans="1:9" x14ac:dyDescent="0.25">
      <c r="A276" s="14">
        <v>624</v>
      </c>
      <c r="B276" s="15">
        <v>43948.80972222222</v>
      </c>
      <c r="C276" s="16"/>
      <c r="D276" s="17">
        <v>2.8860899999999998</v>
      </c>
      <c r="E276" s="14">
        <v>72.3</v>
      </c>
      <c r="F276" s="18">
        <f>6+5.5</f>
        <v>11.5</v>
      </c>
      <c r="G276" s="18">
        <f t="shared" si="9"/>
        <v>2.99322</v>
      </c>
      <c r="H276" s="17"/>
    </row>
    <row r="277" spans="1:9" x14ac:dyDescent="0.25">
      <c r="A277" s="14">
        <v>625</v>
      </c>
      <c r="B277" s="15">
        <v>43948.93472222222</v>
      </c>
      <c r="C277" s="16"/>
      <c r="D277" s="17">
        <v>2.4440999999999997</v>
      </c>
      <c r="E277" s="14">
        <v>47.8</v>
      </c>
      <c r="F277" s="18">
        <v>5</v>
      </c>
      <c r="G277" s="18">
        <f t="shared" si="9"/>
        <v>0.86040000000000005</v>
      </c>
      <c r="H277" s="17"/>
    </row>
    <row r="278" spans="1:9" x14ac:dyDescent="0.25">
      <c r="A278" s="14">
        <v>626</v>
      </c>
      <c r="B278" s="15">
        <v>43949.05972222222</v>
      </c>
      <c r="C278" s="16"/>
      <c r="D278" s="17">
        <v>2.3586491999999999</v>
      </c>
      <c r="E278" s="14">
        <v>43.3</v>
      </c>
      <c r="F278" s="18">
        <v>5</v>
      </c>
      <c r="G278" s="18">
        <f t="shared" si="9"/>
        <v>0.77939999999999998</v>
      </c>
      <c r="H278" s="17"/>
    </row>
    <row r="279" spans="1:9" x14ac:dyDescent="0.25">
      <c r="A279" s="14">
        <v>627</v>
      </c>
      <c r="B279" s="15">
        <v>43949.18472222222</v>
      </c>
      <c r="C279" s="16"/>
      <c r="D279" s="17">
        <v>2.3586491999999999</v>
      </c>
      <c r="E279" s="14">
        <v>46.3</v>
      </c>
      <c r="F279" s="18">
        <v>4.5</v>
      </c>
      <c r="G279" s="18">
        <f t="shared" si="9"/>
        <v>0.75005999999999995</v>
      </c>
      <c r="H279" s="17"/>
    </row>
    <row r="280" spans="1:9" x14ac:dyDescent="0.25">
      <c r="A280" s="14">
        <v>628</v>
      </c>
      <c r="B280" s="15">
        <v>43949.30972222222</v>
      </c>
      <c r="C280" s="16"/>
      <c r="D280" s="17">
        <v>1.8665748</v>
      </c>
      <c r="E280" s="14">
        <v>30.9</v>
      </c>
      <c r="F280" s="18">
        <v>4</v>
      </c>
      <c r="G280" s="18">
        <f t="shared" si="9"/>
        <v>0.44496000000000002</v>
      </c>
      <c r="H280" s="17"/>
    </row>
    <row r="281" spans="1:9" x14ac:dyDescent="0.25">
      <c r="A281" s="14">
        <v>629</v>
      </c>
      <c r="B281" s="15">
        <v>43949.43472222222</v>
      </c>
      <c r="C281" s="16"/>
      <c r="D281" s="17">
        <v>2.1906947999999997</v>
      </c>
      <c r="E281" s="14">
        <v>23.3</v>
      </c>
      <c r="F281" s="18">
        <v>4</v>
      </c>
      <c r="G281" s="18">
        <f t="shared" si="9"/>
        <v>0.33551999999999998</v>
      </c>
      <c r="H281" s="17"/>
    </row>
    <row r="282" spans="1:9" x14ac:dyDescent="0.25">
      <c r="A282" s="14">
        <v>630</v>
      </c>
      <c r="B282" s="15">
        <v>43949.55972222222</v>
      </c>
      <c r="C282" s="16" t="s">
        <v>2</v>
      </c>
      <c r="D282" s="17">
        <v>0</v>
      </c>
      <c r="E282" s="14">
        <v>116</v>
      </c>
      <c r="F282" s="18">
        <v>0</v>
      </c>
      <c r="G282" s="18" t="s">
        <v>21</v>
      </c>
      <c r="H282" s="17"/>
      <c r="I282" t="s">
        <v>22</v>
      </c>
    </row>
    <row r="283" spans="1:9" x14ac:dyDescent="0.25">
      <c r="A283" s="14">
        <v>631</v>
      </c>
      <c r="B283" s="15">
        <v>43949.560416666667</v>
      </c>
      <c r="C283" s="16"/>
      <c r="D283" s="17">
        <v>2.0266699999999997</v>
      </c>
      <c r="E283" s="14">
        <v>21.2</v>
      </c>
      <c r="F283" s="18">
        <f>4+4</f>
        <v>8</v>
      </c>
      <c r="G283" s="18">
        <f t="shared" si="9"/>
        <v>0.61055999999999999</v>
      </c>
      <c r="H283" s="17"/>
    </row>
    <row r="284" spans="1:9" x14ac:dyDescent="0.25">
      <c r="A284" s="20" t="s">
        <v>6</v>
      </c>
      <c r="B284" s="21">
        <v>43952.651388888888</v>
      </c>
      <c r="C284" s="22" t="s">
        <v>4</v>
      </c>
      <c r="D284" s="23">
        <v>0</v>
      </c>
      <c r="E284" s="20">
        <v>9.08</v>
      </c>
      <c r="F284" s="24">
        <f>32+24+20+2</f>
        <v>78</v>
      </c>
      <c r="G284" s="24">
        <f t="shared" si="9"/>
        <v>2.5496639999999999</v>
      </c>
      <c r="H284" s="23">
        <f>SUM(G270:G284)/1000</f>
        <v>0.147563784</v>
      </c>
    </row>
    <row r="285" spans="1:9" x14ac:dyDescent="0.25">
      <c r="A285" s="8" t="s">
        <v>7</v>
      </c>
      <c r="B285" s="9">
        <v>43957.673611111109</v>
      </c>
      <c r="C285" s="10" t="s">
        <v>4</v>
      </c>
      <c r="D285" s="11">
        <v>0</v>
      </c>
      <c r="E285" s="8">
        <v>12.6</v>
      </c>
      <c r="F285" s="12">
        <f>6+13+10+6</f>
        <v>35</v>
      </c>
      <c r="G285" s="12">
        <f t="shared" si="9"/>
        <v>1.5875999999999999</v>
      </c>
      <c r="H285" s="11"/>
    </row>
    <row r="286" spans="1:9" x14ac:dyDescent="0.25">
      <c r="A286" s="14" t="s">
        <v>8</v>
      </c>
      <c r="B286" s="15">
        <v>43954.651388888888</v>
      </c>
      <c r="C286" s="16" t="s">
        <v>4</v>
      </c>
      <c r="D286" s="17">
        <v>0</v>
      </c>
      <c r="E286" s="14">
        <v>13.4</v>
      </c>
      <c r="F286" s="18">
        <f>8+4+10</f>
        <v>22</v>
      </c>
      <c r="G286" s="18">
        <f t="shared" si="9"/>
        <v>1.06128</v>
      </c>
      <c r="H286" s="17"/>
    </row>
    <row r="287" spans="1:9" x14ac:dyDescent="0.25">
      <c r="A287" s="20" t="s">
        <v>9</v>
      </c>
      <c r="B287" s="21">
        <v>43960.673611111109</v>
      </c>
      <c r="C287" s="22" t="s">
        <v>4</v>
      </c>
      <c r="D287" s="23">
        <v>0</v>
      </c>
      <c r="E287" s="20">
        <v>17.5</v>
      </c>
      <c r="F287" s="24">
        <f>3+8+6+5+3+2</f>
        <v>27</v>
      </c>
      <c r="G287" s="24">
        <f t="shared" si="9"/>
        <v>1.7010000000000001</v>
      </c>
      <c r="H287" s="23">
        <f>SUM(G285:G287)/1000</f>
        <v>4.3498800000000004E-3</v>
      </c>
      <c r="I287" t="s">
        <v>52</v>
      </c>
    </row>
    <row r="288" spans="1:9" x14ac:dyDescent="0.25">
      <c r="A288" s="8">
        <v>634</v>
      </c>
      <c r="B288" s="9">
        <v>43962.881944444445</v>
      </c>
      <c r="C288" s="10"/>
      <c r="D288" s="11">
        <v>1.3373240400210569</v>
      </c>
      <c r="E288" s="8">
        <v>976</v>
      </c>
      <c r="F288" s="12">
        <f>0.5+2</f>
        <v>2.5</v>
      </c>
      <c r="G288" s="12">
        <f t="shared" si="9"/>
        <v>8.7840000000000007</v>
      </c>
      <c r="H288" s="11"/>
    </row>
    <row r="289" spans="1:9" x14ac:dyDescent="0.25">
      <c r="A289" s="14">
        <v>635</v>
      </c>
      <c r="B289" s="15">
        <v>43963.006944444445</v>
      </c>
      <c r="C289" s="16"/>
      <c r="D289" s="17">
        <v>0.9108091078640147</v>
      </c>
      <c r="E289" s="14">
        <v>786</v>
      </c>
      <c r="F289" s="18">
        <f>1.5</f>
        <v>1.5</v>
      </c>
      <c r="G289" s="18">
        <f t="shared" si="9"/>
        <v>4.2443999999999997</v>
      </c>
      <c r="H289" s="17"/>
    </row>
    <row r="290" spans="1:9" x14ac:dyDescent="0.25">
      <c r="A290" s="14">
        <v>636</v>
      </c>
      <c r="B290" s="15">
        <v>43963.630555555559</v>
      </c>
      <c r="C290" s="16" t="s">
        <v>3</v>
      </c>
      <c r="D290" s="17">
        <v>0.48837131271362499</v>
      </c>
      <c r="E290" s="14">
        <v>97.5</v>
      </c>
      <c r="F290" s="18">
        <f>6</f>
        <v>6</v>
      </c>
      <c r="G290" s="18">
        <f t="shared" si="9"/>
        <v>2.1059999999999999</v>
      </c>
      <c r="H290" s="17"/>
    </row>
    <row r="291" spans="1:9" x14ac:dyDescent="0.25">
      <c r="A291" s="14">
        <v>637</v>
      </c>
      <c r="B291" s="15">
        <v>43963.340277777781</v>
      </c>
      <c r="C291" s="16" t="s">
        <v>4</v>
      </c>
      <c r="D291" s="17">
        <v>0</v>
      </c>
      <c r="E291" s="14">
        <v>158</v>
      </c>
      <c r="F291" s="18">
        <v>0</v>
      </c>
      <c r="G291" s="18" t="s">
        <v>21</v>
      </c>
      <c r="H291" s="17"/>
      <c r="I291" t="s">
        <v>22</v>
      </c>
    </row>
    <row r="292" spans="1:9" x14ac:dyDescent="0.25">
      <c r="A292" s="14">
        <v>638</v>
      </c>
      <c r="B292" s="15">
        <v>43966.644444444442</v>
      </c>
      <c r="C292" s="16" t="s">
        <v>4</v>
      </c>
      <c r="D292" s="17">
        <v>0</v>
      </c>
      <c r="E292" s="14">
        <v>23.3</v>
      </c>
      <c r="F292" s="18">
        <f>3+6+6+6</f>
        <v>21</v>
      </c>
      <c r="G292" s="18">
        <f t="shared" si="9"/>
        <v>1.7614799999999999</v>
      </c>
      <c r="H292" s="17"/>
    </row>
    <row r="293" spans="1:9" x14ac:dyDescent="0.25">
      <c r="A293" s="14">
        <v>639</v>
      </c>
      <c r="B293" s="15">
        <v>43968.644444444442</v>
      </c>
      <c r="C293" s="16" t="s">
        <v>2</v>
      </c>
      <c r="D293" s="17">
        <v>0</v>
      </c>
      <c r="E293" s="14">
        <v>26.7</v>
      </c>
      <c r="F293" s="18">
        <f>2+4+3</f>
        <v>9</v>
      </c>
      <c r="G293" s="18">
        <f t="shared" si="9"/>
        <v>0.86507999999999996</v>
      </c>
      <c r="H293" s="17"/>
    </row>
    <row r="294" spans="1:9" x14ac:dyDescent="0.25">
      <c r="A294" s="14">
        <v>640</v>
      </c>
      <c r="B294" s="15">
        <v>43971.666666666664</v>
      </c>
      <c r="C294" s="16" t="s">
        <v>4</v>
      </c>
      <c r="D294" s="17">
        <v>0</v>
      </c>
      <c r="E294" s="14">
        <v>16.399999999999999</v>
      </c>
      <c r="F294" s="18">
        <f>1+4+3+1</f>
        <v>9</v>
      </c>
      <c r="G294" s="18">
        <f t="shared" si="9"/>
        <v>0.53136000000000005</v>
      </c>
      <c r="H294" s="17"/>
    </row>
    <row r="295" spans="1:9" x14ac:dyDescent="0.25">
      <c r="A295" s="14">
        <v>641</v>
      </c>
      <c r="B295" s="15">
        <v>43974.666666666664</v>
      </c>
      <c r="C295" s="16" t="s">
        <v>4</v>
      </c>
      <c r="D295" s="17">
        <v>0</v>
      </c>
      <c r="E295" s="14">
        <v>18.2</v>
      </c>
      <c r="F295" s="18">
        <v>7</v>
      </c>
      <c r="G295" s="18">
        <f t="shared" si="9"/>
        <v>0.45863999999999999</v>
      </c>
      <c r="H295" s="17"/>
    </row>
    <row r="296" spans="1:9" x14ac:dyDescent="0.25">
      <c r="A296" s="14">
        <v>642</v>
      </c>
      <c r="B296" s="15">
        <v>43977.666666666664</v>
      </c>
      <c r="C296" s="16" t="s">
        <v>4</v>
      </c>
      <c r="D296" s="17">
        <v>0</v>
      </c>
      <c r="E296" s="14">
        <v>13.9</v>
      </c>
      <c r="F296" s="18">
        <v>5</v>
      </c>
      <c r="G296" s="18">
        <f t="shared" si="9"/>
        <v>0.25019999999999998</v>
      </c>
      <c r="H296" s="17"/>
    </row>
    <row r="297" spans="1:9" x14ac:dyDescent="0.25">
      <c r="A297" s="14">
        <v>643</v>
      </c>
      <c r="B297" s="15">
        <v>43979.333333333336</v>
      </c>
      <c r="C297" s="16" t="s">
        <v>2</v>
      </c>
      <c r="D297" s="17">
        <v>0</v>
      </c>
      <c r="E297" s="14">
        <v>25.2</v>
      </c>
      <c r="F297" s="18">
        <v>4</v>
      </c>
      <c r="G297" s="18">
        <f t="shared" si="9"/>
        <v>0.36287999999999998</v>
      </c>
      <c r="H297" s="17"/>
    </row>
    <row r="298" spans="1:9" x14ac:dyDescent="0.25">
      <c r="A298" s="20">
        <v>644</v>
      </c>
      <c r="B298" s="21">
        <v>43985.633333333331</v>
      </c>
      <c r="C298" s="22" t="s">
        <v>4</v>
      </c>
      <c r="D298" s="23">
        <v>0</v>
      </c>
      <c r="E298" s="20">
        <v>16.399999999999999</v>
      </c>
      <c r="F298" s="24">
        <v>12</v>
      </c>
      <c r="G298" s="24">
        <f t="shared" si="9"/>
        <v>0.70847999999999989</v>
      </c>
      <c r="H298" s="23">
        <f>SUM(G288:G298)/1000</f>
        <v>2.007252E-2</v>
      </c>
      <c r="I298" t="s">
        <v>53</v>
      </c>
    </row>
    <row r="299" spans="1:9" x14ac:dyDescent="0.25">
      <c r="A299" s="2">
        <v>645</v>
      </c>
      <c r="B299" s="1">
        <v>43985.216666666667</v>
      </c>
      <c r="D299" s="4">
        <v>0.1525797966070051</v>
      </c>
    </row>
    <row r="300" spans="1:9" x14ac:dyDescent="0.25">
      <c r="A300" s="2">
        <v>646</v>
      </c>
      <c r="B300" s="1">
        <v>43985.466666666667</v>
      </c>
      <c r="D300" s="4">
        <v>0.16669542362021372</v>
      </c>
    </row>
    <row r="301" spans="1:9" x14ac:dyDescent="0.25">
      <c r="A301" s="2">
        <v>647</v>
      </c>
      <c r="B301" s="1">
        <v>43985.529166666667</v>
      </c>
      <c r="D301" s="4">
        <v>0.16648300991180218</v>
      </c>
    </row>
    <row r="302" spans="1:9" x14ac:dyDescent="0.25">
      <c r="A302" s="2">
        <v>648</v>
      </c>
      <c r="B302" s="1">
        <v>43985.591666666667</v>
      </c>
      <c r="D302" s="4">
        <v>0.16627073297814901</v>
      </c>
    </row>
    <row r="303" spans="1:9" x14ac:dyDescent="0.25">
      <c r="A303" s="2">
        <v>649</v>
      </c>
      <c r="B303" s="1">
        <v>43988.633333333331</v>
      </c>
      <c r="D303" s="4">
        <v>0</v>
      </c>
    </row>
    <row r="304" spans="1:9" x14ac:dyDescent="0.25">
      <c r="A304" s="2">
        <v>650</v>
      </c>
      <c r="B304" s="1">
        <v>43991.3</v>
      </c>
      <c r="D304" s="4">
        <v>0</v>
      </c>
    </row>
    <row r="305" spans="1:11" x14ac:dyDescent="0.25">
      <c r="A305" s="2">
        <v>651</v>
      </c>
      <c r="B305" s="1">
        <v>43994.599305555559</v>
      </c>
      <c r="D305" s="4">
        <v>0</v>
      </c>
    </row>
    <row r="306" spans="1:11" x14ac:dyDescent="0.25">
      <c r="A306" s="2">
        <v>652</v>
      </c>
      <c r="B306" s="1">
        <v>44001.34652777778</v>
      </c>
      <c r="D306" s="4">
        <v>0</v>
      </c>
    </row>
    <row r="307" spans="1:11" x14ac:dyDescent="0.25">
      <c r="A307" s="2">
        <v>653</v>
      </c>
      <c r="B307" s="1">
        <v>44004.013194444444</v>
      </c>
      <c r="D307" s="4">
        <v>0</v>
      </c>
    </row>
    <row r="308" spans="1:11" x14ac:dyDescent="0.25">
      <c r="A308" s="2">
        <v>654</v>
      </c>
      <c r="B308" s="1">
        <v>44006.34652777778</v>
      </c>
      <c r="D308" s="4">
        <v>0</v>
      </c>
    </row>
    <row r="310" spans="1:11" x14ac:dyDescent="0.25">
      <c r="E310" s="2" t="s">
        <v>37</v>
      </c>
      <c r="F310" s="39">
        <f>SUM(F2:F308)</f>
        <v>15041</v>
      </c>
      <c r="H310" s="7">
        <f>SUM(H2:H308)</f>
        <v>20.428272198000009</v>
      </c>
      <c r="I310" t="s">
        <v>54</v>
      </c>
      <c r="J310" s="41">
        <f>H310/14.16</f>
        <v>1.4426745902542379</v>
      </c>
    </row>
    <row r="311" spans="1:11" x14ac:dyDescent="0.25">
      <c r="E311" s="6" t="s">
        <v>38</v>
      </c>
      <c r="F311" s="39">
        <f>F310*0.5*7200*0.001</f>
        <v>54147.6</v>
      </c>
      <c r="H311" s="4">
        <f>H310*2.20462</f>
        <v>45.036577453154777</v>
      </c>
      <c r="I311" t="s">
        <v>55</v>
      </c>
      <c r="J311" s="41">
        <f>H311/35</f>
        <v>1.2867593558044221</v>
      </c>
      <c r="K311" t="s">
        <v>56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workbookViewId="0">
      <selection activeCell="E4" sqref="E4"/>
    </sheetView>
  </sheetViews>
  <sheetFormatPr defaultRowHeight="15" x14ac:dyDescent="0.25"/>
  <cols>
    <col min="1" max="1" width="17.42578125" style="1" customWidth="1"/>
    <col min="2" max="2" width="9.140625" style="4"/>
  </cols>
  <sheetData>
    <row r="1" spans="1:7" s="3" customFormat="1" ht="30" x14ac:dyDescent="0.25">
      <c r="A1" s="45" t="s">
        <v>10</v>
      </c>
      <c r="B1" s="46" t="s">
        <v>19</v>
      </c>
    </row>
    <row r="2" spans="1:7" x14ac:dyDescent="0.25">
      <c r="A2" s="15">
        <v>43759.067361111112</v>
      </c>
      <c r="B2" s="17">
        <v>2.04670044</v>
      </c>
      <c r="D2" s="48">
        <f>B2+B4+B11+B14+B5+B6</f>
        <v>15.1337817</v>
      </c>
      <c r="E2" s="49" t="s">
        <v>58</v>
      </c>
      <c r="F2" s="42"/>
      <c r="G2" s="42"/>
    </row>
    <row r="3" spans="1:7" x14ac:dyDescent="0.25">
      <c r="A3" s="15">
        <v>43768.84097222222</v>
      </c>
      <c r="B3" s="17">
        <v>0.19246463999999999</v>
      </c>
      <c r="D3" s="47">
        <f>D2/20.4</f>
        <v>0.74185204411764716</v>
      </c>
      <c r="E3" t="s">
        <v>59</v>
      </c>
    </row>
    <row r="4" spans="1:7" x14ac:dyDescent="0.25">
      <c r="A4" s="15">
        <v>43773.613194444442</v>
      </c>
      <c r="B4" s="17">
        <v>5.5848799799999993</v>
      </c>
      <c r="D4" s="41">
        <f>D2+B5+B6</f>
        <v>17.41971762</v>
      </c>
      <c r="E4" t="s">
        <v>60</v>
      </c>
    </row>
    <row r="5" spans="1:7" x14ac:dyDescent="0.25">
      <c r="A5" s="15">
        <v>43794.643750000003</v>
      </c>
      <c r="B5" s="17">
        <v>1.04100912</v>
      </c>
      <c r="D5" s="47">
        <f>D4/20.4</f>
        <v>0.85390772647058832</v>
      </c>
    </row>
    <row r="6" spans="1:7" x14ac:dyDescent="0.25">
      <c r="A6" s="15">
        <v>43797.768750000003</v>
      </c>
      <c r="B6" s="17">
        <v>1.2449268</v>
      </c>
    </row>
    <row r="7" spans="1:7" x14ac:dyDescent="0.25">
      <c r="A7" s="15">
        <v>43813.40347222222</v>
      </c>
      <c r="B7" s="17">
        <v>0.19009332000000001</v>
      </c>
    </row>
    <row r="8" spans="1:7" x14ac:dyDescent="0.25">
      <c r="A8" s="15">
        <v>43816.40347222222</v>
      </c>
      <c r="B8" s="17">
        <v>0.15508080000000002</v>
      </c>
    </row>
    <row r="9" spans="1:7" x14ac:dyDescent="0.25">
      <c r="A9" s="15">
        <v>43830.708333333336</v>
      </c>
      <c r="B9" s="17">
        <v>0.37422449999999996</v>
      </c>
    </row>
    <row r="10" spans="1:7" x14ac:dyDescent="0.25">
      <c r="A10" s="15">
        <v>43836.430555555555</v>
      </c>
      <c r="B10" s="17">
        <v>0.16865280000000002</v>
      </c>
    </row>
    <row r="11" spans="1:7" x14ac:dyDescent="0.25">
      <c r="A11" s="15">
        <v>43843.806944444441</v>
      </c>
      <c r="B11" s="17">
        <v>2.6813037600000005</v>
      </c>
    </row>
    <row r="12" spans="1:7" x14ac:dyDescent="0.25">
      <c r="A12" s="15">
        <v>43860.490277777775</v>
      </c>
      <c r="B12" s="17">
        <v>0.15248070000000002</v>
      </c>
    </row>
    <row r="13" spans="1:7" x14ac:dyDescent="0.25">
      <c r="A13" s="15">
        <v>43890.662499999999</v>
      </c>
      <c r="B13" s="17">
        <v>0.64601712</v>
      </c>
    </row>
    <row r="14" spans="1:7" x14ac:dyDescent="0.25">
      <c r="A14" s="15">
        <v>43894.972916666666</v>
      </c>
      <c r="B14" s="17">
        <v>2.5349615999999999</v>
      </c>
    </row>
    <row r="15" spans="1:7" x14ac:dyDescent="0.25">
      <c r="A15" s="15">
        <v>43896.509722222225</v>
      </c>
      <c r="B15" s="17">
        <v>0.87276959999999992</v>
      </c>
    </row>
    <row r="16" spans="1:7" x14ac:dyDescent="0.25">
      <c r="A16" s="15">
        <v>43897.377083333333</v>
      </c>
      <c r="B16" s="17">
        <v>0.24780419999999997</v>
      </c>
    </row>
    <row r="17" spans="1:3" x14ac:dyDescent="0.25">
      <c r="A17" s="15">
        <v>43901.043749999997</v>
      </c>
      <c r="B17" s="17">
        <v>0.30188159999999997</v>
      </c>
    </row>
    <row r="18" spans="1:3" x14ac:dyDescent="0.25">
      <c r="A18" s="15">
        <v>43904.544444444444</v>
      </c>
      <c r="B18" s="17">
        <v>0.46017179999999996</v>
      </c>
    </row>
    <row r="19" spans="1:3" x14ac:dyDescent="0.25">
      <c r="A19" s="15">
        <v>43921.92291666667</v>
      </c>
      <c r="B19" s="17">
        <v>0.39662873999999992</v>
      </c>
    </row>
    <row r="20" spans="1:3" x14ac:dyDescent="0.25">
      <c r="A20" s="15">
        <v>43927.031944444447</v>
      </c>
      <c r="B20" s="17">
        <v>0.15083117999999998</v>
      </c>
    </row>
    <row r="21" spans="1:3" x14ac:dyDescent="0.25">
      <c r="A21" s="15">
        <v>43936.578472222223</v>
      </c>
      <c r="B21" s="17">
        <v>0.85318298999999975</v>
      </c>
    </row>
    <row r="22" spans="1:3" x14ac:dyDescent="0.25">
      <c r="A22" s="15">
        <v>43952.651388888888</v>
      </c>
      <c r="B22" s="17">
        <v>0.147563784</v>
      </c>
    </row>
    <row r="23" spans="1:3" x14ac:dyDescent="0.25">
      <c r="A23" s="15"/>
      <c r="B23" s="18"/>
    </row>
    <row r="24" spans="1:3" x14ac:dyDescent="0.25">
      <c r="A24" s="15"/>
      <c r="B24" s="17"/>
    </row>
    <row r="25" spans="1:3" x14ac:dyDescent="0.25">
      <c r="A25" s="15"/>
      <c r="B25" s="17"/>
    </row>
    <row r="26" spans="1:3" x14ac:dyDescent="0.25">
      <c r="A26" s="15"/>
      <c r="B26" s="17"/>
    </row>
    <row r="27" spans="1:3" x14ac:dyDescent="0.25">
      <c r="A27" s="15"/>
      <c r="B27" s="17"/>
    </row>
    <row r="28" spans="1:3" x14ac:dyDescent="0.25">
      <c r="A28" s="15"/>
      <c r="B28" s="17"/>
    </row>
    <row r="29" spans="1:3" x14ac:dyDescent="0.25">
      <c r="A29" s="15"/>
      <c r="B29" s="17"/>
      <c r="C29" s="16"/>
    </row>
    <row r="30" spans="1:3" x14ac:dyDescent="0.25">
      <c r="A30" s="15"/>
      <c r="B30" s="17"/>
      <c r="C30" s="16"/>
    </row>
    <row r="31" spans="1:3" x14ac:dyDescent="0.25">
      <c r="A31" s="15"/>
      <c r="B31" s="17"/>
      <c r="C31" s="16"/>
    </row>
    <row r="32" spans="1:3" x14ac:dyDescent="0.25">
      <c r="A32" s="15"/>
      <c r="B32" s="17"/>
      <c r="C32" s="16"/>
    </row>
    <row r="33" spans="1:3" x14ac:dyDescent="0.25">
      <c r="A33" s="15"/>
      <c r="B33" s="17"/>
      <c r="C33" s="16"/>
    </row>
    <row r="34" spans="1:3" x14ac:dyDescent="0.25">
      <c r="A34" s="15"/>
      <c r="B34" s="17"/>
      <c r="C34" s="16"/>
    </row>
    <row r="35" spans="1:3" x14ac:dyDescent="0.25">
      <c r="A35" s="15"/>
      <c r="B35" s="17"/>
      <c r="C35" s="16"/>
    </row>
    <row r="36" spans="1:3" x14ac:dyDescent="0.25">
      <c r="A36" s="15"/>
      <c r="B36" s="17"/>
      <c r="C36" s="16"/>
    </row>
    <row r="37" spans="1:3" x14ac:dyDescent="0.25">
      <c r="A37" s="15"/>
      <c r="B37" s="17"/>
      <c r="C37" s="16"/>
    </row>
    <row r="38" spans="1:3" x14ac:dyDescent="0.25">
      <c r="A38" s="15"/>
      <c r="B38" s="17"/>
      <c r="C38" s="16"/>
    </row>
    <row r="39" spans="1:3" x14ac:dyDescent="0.25">
      <c r="A39" s="15"/>
      <c r="B39" s="17"/>
      <c r="C39" s="16"/>
    </row>
    <row r="40" spans="1:3" x14ac:dyDescent="0.25">
      <c r="A40" s="15"/>
      <c r="B40" s="17"/>
      <c r="C40" s="16"/>
    </row>
    <row r="41" spans="1:3" x14ac:dyDescent="0.25">
      <c r="A41" s="15"/>
      <c r="B41" s="17"/>
      <c r="C41" s="16"/>
    </row>
    <row r="42" spans="1:3" x14ac:dyDescent="0.25">
      <c r="A42" s="15"/>
      <c r="B42" s="17"/>
      <c r="C42" s="16"/>
    </row>
    <row r="43" spans="1:3" x14ac:dyDescent="0.25">
      <c r="A43" s="15"/>
      <c r="B43" s="17"/>
      <c r="C43" s="16"/>
    </row>
    <row r="44" spans="1:3" x14ac:dyDescent="0.25">
      <c r="A44" s="15"/>
      <c r="B44" s="17"/>
      <c r="C44" s="16"/>
    </row>
    <row r="45" spans="1:3" x14ac:dyDescent="0.25">
      <c r="A45" s="15"/>
      <c r="B45" s="17"/>
      <c r="C45" s="16"/>
    </row>
    <row r="46" spans="1:3" x14ac:dyDescent="0.25">
      <c r="A46" s="15"/>
      <c r="B46" s="17"/>
      <c r="C46" s="16"/>
    </row>
    <row r="47" spans="1:3" x14ac:dyDescent="0.25">
      <c r="A47" s="15"/>
      <c r="B47" s="17"/>
      <c r="C47" s="16"/>
    </row>
    <row r="48" spans="1:3" x14ac:dyDescent="0.25">
      <c r="A48" s="15"/>
      <c r="B48" s="17"/>
      <c r="C48" s="16"/>
    </row>
    <row r="49" spans="1:3" x14ac:dyDescent="0.25">
      <c r="A49" s="15"/>
      <c r="B49" s="17"/>
      <c r="C49" s="16"/>
    </row>
    <row r="50" spans="1:3" x14ac:dyDescent="0.25">
      <c r="A50" s="15"/>
      <c r="B50" s="17"/>
      <c r="C50" s="16"/>
    </row>
    <row r="51" spans="1:3" x14ac:dyDescent="0.25">
      <c r="A51" s="15"/>
      <c r="B51" s="17"/>
      <c r="C51" s="16"/>
    </row>
    <row r="52" spans="1:3" x14ac:dyDescent="0.25">
      <c r="A52" s="15"/>
      <c r="B52" s="17"/>
      <c r="C52" s="16"/>
    </row>
    <row r="53" spans="1:3" x14ac:dyDescent="0.25">
      <c r="A53" s="15"/>
      <c r="B53" s="17"/>
      <c r="C53" s="16"/>
    </row>
    <row r="54" spans="1:3" x14ac:dyDescent="0.25">
      <c r="A54" s="15"/>
      <c r="B54" s="17"/>
      <c r="C54" s="16"/>
    </row>
    <row r="55" spans="1:3" x14ac:dyDescent="0.25">
      <c r="A55" s="15"/>
      <c r="B55" s="17"/>
      <c r="C55" s="16"/>
    </row>
    <row r="56" spans="1:3" x14ac:dyDescent="0.25">
      <c r="A56" s="15"/>
      <c r="B56" s="17"/>
      <c r="C56" s="16"/>
    </row>
    <row r="57" spans="1:3" x14ac:dyDescent="0.25">
      <c r="A57" s="15"/>
      <c r="B57" s="17"/>
      <c r="C57" s="16"/>
    </row>
    <row r="58" spans="1:3" x14ac:dyDescent="0.25">
      <c r="A58" s="15"/>
      <c r="B58" s="17"/>
      <c r="C58" s="16"/>
    </row>
    <row r="59" spans="1:3" x14ac:dyDescent="0.25">
      <c r="A59" s="15"/>
      <c r="B59" s="17"/>
      <c r="C59" s="16"/>
    </row>
    <row r="60" spans="1:3" x14ac:dyDescent="0.25">
      <c r="A60" s="15"/>
      <c r="B60" s="17"/>
      <c r="C60" s="16"/>
    </row>
    <row r="61" spans="1:3" x14ac:dyDescent="0.25">
      <c r="A61" s="15"/>
      <c r="B61" s="17"/>
      <c r="C61" s="16"/>
    </row>
    <row r="62" spans="1:3" x14ac:dyDescent="0.25">
      <c r="A62" s="15"/>
      <c r="B62" s="17"/>
      <c r="C62" s="16"/>
    </row>
    <row r="63" spans="1:3" x14ac:dyDescent="0.25">
      <c r="A63" s="15"/>
      <c r="B63" s="17"/>
      <c r="C63" s="16"/>
    </row>
    <row r="64" spans="1:3" x14ac:dyDescent="0.25">
      <c r="A64" s="15"/>
      <c r="B64" s="17"/>
      <c r="C64" s="16"/>
    </row>
    <row r="65" spans="1:3" x14ac:dyDescent="0.25">
      <c r="A65" s="15"/>
      <c r="B65" s="17"/>
      <c r="C65" s="16"/>
    </row>
    <row r="66" spans="1:3" x14ac:dyDescent="0.25">
      <c r="A66" s="15"/>
      <c r="B66" s="17"/>
      <c r="C66" s="16"/>
    </row>
    <row r="67" spans="1:3" x14ac:dyDescent="0.25">
      <c r="A67" s="15"/>
      <c r="B67" s="17"/>
      <c r="C67" s="16"/>
    </row>
    <row r="68" spans="1:3" x14ac:dyDescent="0.25">
      <c r="A68" s="15"/>
      <c r="B68" s="17"/>
      <c r="C68" s="16"/>
    </row>
    <row r="69" spans="1:3" x14ac:dyDescent="0.25">
      <c r="A69" s="15"/>
      <c r="B69" s="17"/>
      <c r="C69" s="16"/>
    </row>
    <row r="70" spans="1:3" x14ac:dyDescent="0.25">
      <c r="A70" s="15"/>
      <c r="B70" s="17"/>
      <c r="C70" s="16"/>
    </row>
    <row r="71" spans="1:3" x14ac:dyDescent="0.25">
      <c r="A71" s="15"/>
      <c r="B71" s="17"/>
      <c r="C71" s="16"/>
    </row>
    <row r="72" spans="1:3" x14ac:dyDescent="0.25">
      <c r="A72" s="15"/>
      <c r="B72" s="17"/>
      <c r="C72" s="16"/>
    </row>
    <row r="73" spans="1:3" x14ac:dyDescent="0.25">
      <c r="A73" s="15"/>
      <c r="B73" s="17"/>
      <c r="C73" s="16"/>
    </row>
    <row r="74" spans="1:3" x14ac:dyDescent="0.25">
      <c r="A74" s="15"/>
      <c r="B74" s="17"/>
      <c r="C74" s="16"/>
    </row>
    <row r="75" spans="1:3" x14ac:dyDescent="0.25">
      <c r="A75" s="15"/>
      <c r="B75" s="17"/>
      <c r="C75" s="16"/>
    </row>
    <row r="76" spans="1:3" x14ac:dyDescent="0.25">
      <c r="A76" s="15"/>
      <c r="B76" s="17"/>
      <c r="C76" s="16"/>
    </row>
    <row r="77" spans="1:3" x14ac:dyDescent="0.25">
      <c r="A77" s="44"/>
      <c r="B77" s="17"/>
      <c r="C77" s="16"/>
    </row>
    <row r="78" spans="1:3" x14ac:dyDescent="0.25">
      <c r="A78" s="15"/>
      <c r="B78" s="17"/>
      <c r="C78" s="16"/>
    </row>
    <row r="79" spans="1:3" x14ac:dyDescent="0.25">
      <c r="A79" s="15"/>
      <c r="B79" s="17"/>
      <c r="C79" s="16"/>
    </row>
    <row r="80" spans="1:3" x14ac:dyDescent="0.25">
      <c r="A80" s="15"/>
      <c r="B80" s="17"/>
      <c r="C80" s="16"/>
    </row>
    <row r="81" spans="1:3" x14ac:dyDescent="0.25">
      <c r="A81" s="15"/>
      <c r="B81" s="17"/>
      <c r="C81" s="16"/>
    </row>
    <row r="82" spans="1:3" x14ac:dyDescent="0.25">
      <c r="A82" s="15"/>
      <c r="B82" s="17"/>
      <c r="C82" s="16"/>
    </row>
    <row r="83" spans="1:3" x14ac:dyDescent="0.25">
      <c r="A83" s="15"/>
      <c r="B83" s="17"/>
      <c r="C83" s="16"/>
    </row>
    <row r="84" spans="1:3" x14ac:dyDescent="0.25">
      <c r="A84" s="15"/>
      <c r="B84" s="17"/>
      <c r="C84" s="16"/>
    </row>
    <row r="85" spans="1:3" x14ac:dyDescent="0.25">
      <c r="A85" s="15"/>
      <c r="B85" s="17"/>
      <c r="C85" s="16"/>
    </row>
    <row r="86" spans="1:3" x14ac:dyDescent="0.25">
      <c r="A86" s="15"/>
      <c r="B86" s="17"/>
      <c r="C86" s="16"/>
    </row>
    <row r="87" spans="1:3" x14ac:dyDescent="0.25">
      <c r="A87" s="15"/>
      <c r="B87" s="17"/>
      <c r="C87" s="16"/>
    </row>
    <row r="88" spans="1:3" x14ac:dyDescent="0.25">
      <c r="A88" s="15"/>
      <c r="B88" s="17"/>
      <c r="C88" s="16"/>
    </row>
    <row r="89" spans="1:3" x14ac:dyDescent="0.25">
      <c r="A89" s="15"/>
      <c r="B89" s="17"/>
      <c r="C89" s="16"/>
    </row>
    <row r="90" spans="1:3" x14ac:dyDescent="0.25">
      <c r="A90" s="15"/>
      <c r="B90" s="17"/>
      <c r="C90" s="16"/>
    </row>
    <row r="91" spans="1:3" x14ac:dyDescent="0.25">
      <c r="A91" s="15"/>
      <c r="B91" s="17"/>
      <c r="C91" s="16"/>
    </row>
    <row r="92" spans="1:3" x14ac:dyDescent="0.25">
      <c r="A92" s="15"/>
      <c r="B92" s="17"/>
      <c r="C92" s="16"/>
    </row>
    <row r="93" spans="1:3" x14ac:dyDescent="0.25">
      <c r="A93" s="15"/>
      <c r="B93" s="17"/>
      <c r="C93" s="16"/>
    </row>
    <row r="94" spans="1:3" x14ac:dyDescent="0.25">
      <c r="A94" s="15"/>
      <c r="B94" s="17"/>
      <c r="C94" s="16"/>
    </row>
    <row r="95" spans="1:3" x14ac:dyDescent="0.25">
      <c r="A95" s="15"/>
      <c r="B95" s="17"/>
      <c r="C95" s="16"/>
    </row>
    <row r="96" spans="1:3" x14ac:dyDescent="0.25">
      <c r="A96" s="15"/>
      <c r="B96" s="17"/>
      <c r="C96" s="16"/>
    </row>
    <row r="97" spans="1:3" x14ac:dyDescent="0.25">
      <c r="A97" s="15"/>
      <c r="B97" s="17"/>
      <c r="C97" s="16"/>
    </row>
    <row r="98" spans="1:3" x14ac:dyDescent="0.25">
      <c r="A98" s="15"/>
      <c r="B98" s="17"/>
      <c r="C98" s="16"/>
    </row>
    <row r="99" spans="1:3" x14ac:dyDescent="0.25">
      <c r="A99" s="15"/>
      <c r="B99" s="17"/>
      <c r="C99" s="16"/>
    </row>
    <row r="100" spans="1:3" x14ac:dyDescent="0.25">
      <c r="A100" s="15"/>
      <c r="B100" s="17"/>
      <c r="C100" s="16"/>
    </row>
    <row r="101" spans="1:3" x14ac:dyDescent="0.25">
      <c r="A101" s="15"/>
      <c r="B101" s="17"/>
      <c r="C101" s="16"/>
    </row>
    <row r="102" spans="1:3" x14ac:dyDescent="0.25">
      <c r="A102" s="15"/>
      <c r="B102" s="17"/>
      <c r="C102" s="16"/>
    </row>
    <row r="103" spans="1:3" x14ac:dyDescent="0.25">
      <c r="A103" s="15"/>
      <c r="B103" s="17"/>
      <c r="C103" s="16"/>
    </row>
    <row r="104" spans="1:3" x14ac:dyDescent="0.25">
      <c r="A104" s="15"/>
      <c r="B104" s="17"/>
      <c r="C104" s="16"/>
    </row>
    <row r="105" spans="1:3" x14ac:dyDescent="0.25">
      <c r="A105" s="15"/>
      <c r="B105" s="17"/>
      <c r="C105" s="16"/>
    </row>
    <row r="106" spans="1:3" x14ac:dyDescent="0.25">
      <c r="A106" s="15"/>
      <c r="B106" s="17"/>
      <c r="C106" s="16"/>
    </row>
    <row r="107" spans="1:3" x14ac:dyDescent="0.25">
      <c r="A107" s="15"/>
      <c r="B107" s="17"/>
      <c r="C107" s="16"/>
    </row>
    <row r="108" spans="1:3" x14ac:dyDescent="0.25">
      <c r="A108" s="15"/>
      <c r="B108" s="17"/>
      <c r="C108" s="16"/>
    </row>
    <row r="109" spans="1:3" x14ac:dyDescent="0.25">
      <c r="A109" s="15"/>
      <c r="B109" s="17"/>
      <c r="C109" s="16"/>
    </row>
    <row r="110" spans="1:3" x14ac:dyDescent="0.25">
      <c r="A110" s="15"/>
      <c r="B110" s="17"/>
      <c r="C110" s="16"/>
    </row>
    <row r="111" spans="1:3" x14ac:dyDescent="0.25">
      <c r="A111" s="15"/>
      <c r="B111" s="17"/>
      <c r="C111" s="16"/>
    </row>
    <row r="112" spans="1:3" x14ac:dyDescent="0.25">
      <c r="A112" s="15"/>
      <c r="B112" s="17"/>
      <c r="C112" s="16"/>
    </row>
    <row r="113" spans="1:3" x14ac:dyDescent="0.25">
      <c r="A113" s="15"/>
      <c r="B113" s="17"/>
      <c r="C113" s="16"/>
    </row>
    <row r="114" spans="1:3" x14ac:dyDescent="0.25">
      <c r="A114" s="15"/>
      <c r="B114" s="17"/>
      <c r="C114" s="16"/>
    </row>
    <row r="115" spans="1:3" x14ac:dyDescent="0.25">
      <c r="A115" s="15"/>
      <c r="B115" s="17"/>
      <c r="C115" s="16"/>
    </row>
    <row r="116" spans="1:3" x14ac:dyDescent="0.25">
      <c r="A116" s="15"/>
      <c r="B116" s="17"/>
      <c r="C116" s="16"/>
    </row>
    <row r="117" spans="1:3" x14ac:dyDescent="0.25">
      <c r="A117" s="15"/>
      <c r="B117" s="17"/>
      <c r="C117" s="16"/>
    </row>
    <row r="118" spans="1:3" x14ac:dyDescent="0.25">
      <c r="A118" s="15"/>
      <c r="B118" s="17"/>
    </row>
    <row r="119" spans="1:3" x14ac:dyDescent="0.25">
      <c r="A119" s="15"/>
      <c r="B119" s="17"/>
    </row>
    <row r="120" spans="1:3" x14ac:dyDescent="0.25">
      <c r="A120" s="15"/>
      <c r="B120" s="17"/>
    </row>
    <row r="121" spans="1:3" x14ac:dyDescent="0.25">
      <c r="A121" s="15"/>
      <c r="B121" s="17"/>
    </row>
    <row r="122" spans="1:3" x14ac:dyDescent="0.25">
      <c r="A122" s="15"/>
      <c r="B122" s="17"/>
    </row>
    <row r="123" spans="1:3" x14ac:dyDescent="0.25">
      <c r="A123" s="15"/>
      <c r="B123" s="17"/>
    </row>
    <row r="124" spans="1:3" x14ac:dyDescent="0.25">
      <c r="A124" s="21"/>
      <c r="B124" s="23"/>
    </row>
    <row r="125" spans="1:3" x14ac:dyDescent="0.25">
      <c r="A125" s="9"/>
      <c r="B125" s="11"/>
    </row>
    <row r="126" spans="1:3" x14ac:dyDescent="0.25">
      <c r="A126" s="15"/>
      <c r="B126" s="17"/>
    </row>
    <row r="127" spans="1:3" x14ac:dyDescent="0.25">
      <c r="A127" s="15"/>
      <c r="B127" s="17"/>
    </row>
    <row r="128" spans="1:3" x14ac:dyDescent="0.25">
      <c r="A128" s="15"/>
      <c r="B128" s="17"/>
    </row>
    <row r="129" spans="1:2" x14ac:dyDescent="0.25">
      <c r="A129" s="15"/>
      <c r="B129" s="17"/>
    </row>
    <row r="130" spans="1:2" x14ac:dyDescent="0.25">
      <c r="A130" s="15"/>
      <c r="B130" s="17"/>
    </row>
    <row r="131" spans="1:2" x14ac:dyDescent="0.25">
      <c r="A131" s="21"/>
      <c r="B131" s="23"/>
    </row>
    <row r="132" spans="1:2" x14ac:dyDescent="0.25">
      <c r="A132" s="9"/>
      <c r="B132" s="11"/>
    </row>
    <row r="133" spans="1:2" x14ac:dyDescent="0.25">
      <c r="A133" s="15"/>
      <c r="B133" s="17"/>
    </row>
    <row r="134" spans="1:2" x14ac:dyDescent="0.25">
      <c r="A134" s="15"/>
      <c r="B134" s="17"/>
    </row>
    <row r="135" spans="1:2" x14ac:dyDescent="0.25">
      <c r="A135" s="15"/>
      <c r="B135" s="17"/>
    </row>
    <row r="136" spans="1:2" x14ac:dyDescent="0.25">
      <c r="A136" s="15"/>
      <c r="B136" s="17"/>
    </row>
    <row r="137" spans="1:2" x14ac:dyDescent="0.25">
      <c r="A137" s="15"/>
      <c r="B137" s="17"/>
    </row>
    <row r="138" spans="1:2" x14ac:dyDescent="0.25">
      <c r="A138" s="15"/>
      <c r="B138" s="17"/>
    </row>
    <row r="139" spans="1:2" x14ac:dyDescent="0.25">
      <c r="A139" s="15"/>
      <c r="B139" s="17"/>
    </row>
    <row r="140" spans="1:2" x14ac:dyDescent="0.25">
      <c r="A140" s="15"/>
      <c r="B140" s="17"/>
    </row>
    <row r="141" spans="1:2" x14ac:dyDescent="0.25">
      <c r="A141" s="15"/>
      <c r="B141" s="17"/>
    </row>
    <row r="142" spans="1:2" x14ac:dyDescent="0.25">
      <c r="A142" s="15"/>
      <c r="B142" s="17"/>
    </row>
    <row r="143" spans="1:2" x14ac:dyDescent="0.25">
      <c r="A143" s="21"/>
      <c r="B143" s="23"/>
    </row>
    <row r="144" spans="1:2" x14ac:dyDescent="0.25">
      <c r="A144" s="35"/>
      <c r="B144" s="37"/>
    </row>
    <row r="145" spans="1:2" x14ac:dyDescent="0.25">
      <c r="A145" s="9"/>
      <c r="B145" s="11"/>
    </row>
    <row r="146" spans="1:2" x14ac:dyDescent="0.25">
      <c r="A146" s="15"/>
      <c r="B146" s="17"/>
    </row>
    <row r="147" spans="1:2" x14ac:dyDescent="0.25">
      <c r="A147" s="15"/>
      <c r="B147" s="17"/>
    </row>
    <row r="148" spans="1:2" x14ac:dyDescent="0.25">
      <c r="A148" s="15"/>
      <c r="B148" s="17"/>
    </row>
    <row r="149" spans="1:2" x14ac:dyDescent="0.25">
      <c r="A149" s="15"/>
      <c r="B149" s="17"/>
    </row>
    <row r="150" spans="1:2" x14ac:dyDescent="0.25">
      <c r="A150" s="15"/>
      <c r="B150" s="17"/>
    </row>
    <row r="151" spans="1:2" x14ac:dyDescent="0.25">
      <c r="A151" s="15"/>
      <c r="B151" s="17"/>
    </row>
    <row r="152" spans="1:2" x14ac:dyDescent="0.25">
      <c r="A152" s="15"/>
      <c r="B152" s="17"/>
    </row>
    <row r="153" spans="1:2" x14ac:dyDescent="0.25">
      <c r="A153" s="15"/>
      <c r="B153" s="17"/>
    </row>
    <row r="154" spans="1:2" x14ac:dyDescent="0.25">
      <c r="A154" s="15"/>
      <c r="B154" s="17"/>
    </row>
    <row r="155" spans="1:2" x14ac:dyDescent="0.25">
      <c r="A155" s="15"/>
      <c r="B155" s="17"/>
    </row>
    <row r="156" spans="1:2" x14ac:dyDescent="0.25">
      <c r="A156" s="21"/>
      <c r="B156" s="23"/>
    </row>
    <row r="157" spans="1:2" x14ac:dyDescent="0.25">
      <c r="A157" s="35"/>
      <c r="B157" s="23"/>
    </row>
    <row r="158" spans="1:2" x14ac:dyDescent="0.25">
      <c r="A158" s="9"/>
      <c r="B158" s="11"/>
    </row>
    <row r="159" spans="1:2" x14ac:dyDescent="0.25">
      <c r="A159" s="15"/>
      <c r="B159" s="17"/>
    </row>
    <row r="160" spans="1:2" x14ac:dyDescent="0.25">
      <c r="A160" s="15"/>
      <c r="B160" s="17"/>
    </row>
    <row r="161" spans="1:2" x14ac:dyDescent="0.25">
      <c r="A161" s="15"/>
      <c r="B161" s="17"/>
    </row>
    <row r="162" spans="1:2" x14ac:dyDescent="0.25">
      <c r="A162" s="21"/>
      <c r="B162" s="23"/>
    </row>
    <row r="163" spans="1:2" x14ac:dyDescent="0.25">
      <c r="A163" s="35"/>
      <c r="B163" s="23"/>
    </row>
    <row r="164" spans="1:2" x14ac:dyDescent="0.25">
      <c r="A164" s="9"/>
      <c r="B164" s="11"/>
    </row>
    <row r="165" spans="1:2" x14ac:dyDescent="0.25">
      <c r="A165" s="15"/>
      <c r="B165" s="17"/>
    </row>
    <row r="166" spans="1:2" x14ac:dyDescent="0.25">
      <c r="A166" s="15"/>
      <c r="B166" s="17"/>
    </row>
    <row r="167" spans="1:2" x14ac:dyDescent="0.25">
      <c r="A167" s="15"/>
      <c r="B167" s="17"/>
    </row>
    <row r="168" spans="1:2" x14ac:dyDescent="0.25">
      <c r="A168" s="15"/>
      <c r="B168" s="17"/>
    </row>
    <row r="169" spans="1:2" x14ac:dyDescent="0.25">
      <c r="A169" s="15"/>
      <c r="B169" s="17"/>
    </row>
    <row r="170" spans="1:2" x14ac:dyDescent="0.25">
      <c r="A170" s="15"/>
      <c r="B170" s="17"/>
    </row>
    <row r="171" spans="1:2" x14ac:dyDescent="0.25">
      <c r="A171" s="15"/>
      <c r="B171" s="17"/>
    </row>
    <row r="172" spans="1:2" x14ac:dyDescent="0.25">
      <c r="A172" s="15"/>
      <c r="B172" s="17"/>
    </row>
    <row r="173" spans="1:2" x14ac:dyDescent="0.25">
      <c r="A173" s="15"/>
      <c r="B173" s="17"/>
    </row>
    <row r="174" spans="1:2" x14ac:dyDescent="0.25">
      <c r="A174" s="15"/>
      <c r="B174" s="17"/>
    </row>
    <row r="175" spans="1:2" x14ac:dyDescent="0.25">
      <c r="A175" s="21"/>
      <c r="B175" s="23"/>
    </row>
    <row r="176" spans="1:2" x14ac:dyDescent="0.25">
      <c r="A176" s="35"/>
      <c r="B176" s="23"/>
    </row>
    <row r="177" spans="1:2" x14ac:dyDescent="0.25">
      <c r="A177" s="9"/>
      <c r="B177" s="11"/>
    </row>
    <row r="178" spans="1:2" x14ac:dyDescent="0.25">
      <c r="A178" s="15"/>
      <c r="B178" s="17"/>
    </row>
    <row r="179" spans="1:2" x14ac:dyDescent="0.25">
      <c r="A179" s="21"/>
      <c r="B179" s="23"/>
    </row>
    <row r="180" spans="1:2" x14ac:dyDescent="0.25">
      <c r="A180" s="9"/>
      <c r="B180" s="11"/>
    </row>
    <row r="181" spans="1:2" x14ac:dyDescent="0.25">
      <c r="A181" s="15"/>
      <c r="B181" s="17"/>
    </row>
    <row r="182" spans="1:2" x14ac:dyDescent="0.25">
      <c r="A182" s="21"/>
      <c r="B182" s="23"/>
    </row>
    <row r="183" spans="1:2" x14ac:dyDescent="0.25">
      <c r="A183" s="9"/>
      <c r="B183" s="11"/>
    </row>
    <row r="184" spans="1:2" x14ac:dyDescent="0.25">
      <c r="A184" s="15"/>
      <c r="B184" s="17"/>
    </row>
    <row r="185" spans="1:2" x14ac:dyDescent="0.25">
      <c r="A185" s="15"/>
      <c r="B185" s="17"/>
    </row>
    <row r="186" spans="1:2" x14ac:dyDescent="0.25">
      <c r="A186" s="15"/>
      <c r="B186" s="17"/>
    </row>
    <row r="187" spans="1:2" x14ac:dyDescent="0.25">
      <c r="A187" s="15"/>
      <c r="B187" s="17"/>
    </row>
    <row r="188" spans="1:2" x14ac:dyDescent="0.25">
      <c r="A188" s="15"/>
      <c r="B188" s="17"/>
    </row>
    <row r="189" spans="1:2" x14ac:dyDescent="0.25">
      <c r="A189" s="15"/>
      <c r="B189" s="17"/>
    </row>
    <row r="190" spans="1:2" x14ac:dyDescent="0.25">
      <c r="A190" s="21"/>
      <c r="B190" s="23"/>
    </row>
    <row r="191" spans="1:2" x14ac:dyDescent="0.25">
      <c r="A191" s="15"/>
      <c r="B191" s="17"/>
    </row>
    <row r="192" spans="1:2" x14ac:dyDescent="0.25">
      <c r="A192" s="9"/>
      <c r="B192" s="11"/>
    </row>
    <row r="193" spans="1:2" x14ac:dyDescent="0.25">
      <c r="A193" s="15"/>
      <c r="B193" s="17"/>
    </row>
    <row r="194" spans="1:2" x14ac:dyDescent="0.25">
      <c r="A194" s="15"/>
      <c r="B194" s="17"/>
    </row>
    <row r="195" spans="1:2" x14ac:dyDescent="0.25">
      <c r="A195" s="15"/>
      <c r="B195" s="17"/>
    </row>
    <row r="196" spans="1:2" x14ac:dyDescent="0.25">
      <c r="A196" s="15"/>
      <c r="B196" s="17"/>
    </row>
    <row r="197" spans="1:2" x14ac:dyDescent="0.25">
      <c r="A197" s="15"/>
      <c r="B197" s="17"/>
    </row>
    <row r="198" spans="1:2" x14ac:dyDescent="0.25">
      <c r="A198" s="15"/>
      <c r="B198" s="17"/>
    </row>
    <row r="199" spans="1:2" x14ac:dyDescent="0.25">
      <c r="A199" s="15"/>
      <c r="B199" s="17"/>
    </row>
    <row r="200" spans="1:2" x14ac:dyDescent="0.25">
      <c r="A200" s="15"/>
      <c r="B200" s="17"/>
    </row>
    <row r="202" spans="1:2" x14ac:dyDescent="0.25">
      <c r="A202" s="15"/>
      <c r="B202" s="17"/>
    </row>
    <row r="203" spans="1:2" x14ac:dyDescent="0.25">
      <c r="A203" s="15"/>
      <c r="B203" s="17"/>
    </row>
    <row r="204" spans="1:2" x14ac:dyDescent="0.25">
      <c r="A204" s="15"/>
      <c r="B204" s="17"/>
    </row>
    <row r="205" spans="1:2" x14ac:dyDescent="0.25">
      <c r="A205" s="15"/>
      <c r="B205" s="17"/>
    </row>
    <row r="206" spans="1:2" x14ac:dyDescent="0.25">
      <c r="A206" s="15"/>
      <c r="B206" s="17"/>
    </row>
    <row r="207" spans="1:2" x14ac:dyDescent="0.25">
      <c r="A207" s="15"/>
      <c r="B207" s="17"/>
    </row>
    <row r="208" spans="1:2" x14ac:dyDescent="0.25">
      <c r="A208" s="15"/>
      <c r="B208" s="17"/>
    </row>
    <row r="209" spans="1:2" x14ac:dyDescent="0.25">
      <c r="A209" s="21"/>
      <c r="B209" s="23"/>
    </row>
    <row r="210" spans="1:2" x14ac:dyDescent="0.25">
      <c r="A210" s="9"/>
      <c r="B210" s="11"/>
    </row>
    <row r="211" spans="1:2" x14ac:dyDescent="0.25">
      <c r="A211" s="15"/>
      <c r="B211" s="17"/>
    </row>
    <row r="212" spans="1:2" x14ac:dyDescent="0.25">
      <c r="A212" s="15"/>
      <c r="B212" s="17"/>
    </row>
    <row r="213" spans="1:2" x14ac:dyDescent="0.25">
      <c r="A213" s="15"/>
      <c r="B213" s="17"/>
    </row>
    <row r="214" spans="1:2" x14ac:dyDescent="0.25">
      <c r="A214" s="15"/>
      <c r="B214" s="17"/>
    </row>
    <row r="215" spans="1:2" x14ac:dyDescent="0.25">
      <c r="A215" s="15"/>
      <c r="B215" s="17"/>
    </row>
    <row r="216" spans="1:2" x14ac:dyDescent="0.25">
      <c r="A216" s="15"/>
      <c r="B216" s="17"/>
    </row>
    <row r="217" spans="1:2" x14ac:dyDescent="0.25">
      <c r="A217" s="15"/>
      <c r="B217" s="17"/>
    </row>
    <row r="218" spans="1:2" x14ac:dyDescent="0.25">
      <c r="A218" s="15"/>
      <c r="B218" s="17"/>
    </row>
    <row r="219" spans="1:2" x14ac:dyDescent="0.25">
      <c r="A219" s="15"/>
      <c r="B219" s="17"/>
    </row>
    <row r="220" spans="1:2" x14ac:dyDescent="0.25">
      <c r="A220" s="15"/>
      <c r="B220" s="17"/>
    </row>
    <row r="221" spans="1:2" x14ac:dyDescent="0.25">
      <c r="A221" s="15"/>
      <c r="B221" s="17"/>
    </row>
    <row r="222" spans="1:2" x14ac:dyDescent="0.25">
      <c r="A222" s="15"/>
      <c r="B222" s="17"/>
    </row>
    <row r="223" spans="1:2" x14ac:dyDescent="0.25">
      <c r="A223" s="15"/>
      <c r="B223" s="17"/>
    </row>
    <row r="224" spans="1:2" x14ac:dyDescent="0.25">
      <c r="A224" s="21"/>
      <c r="B224" s="23"/>
    </row>
    <row r="225" spans="1:2" x14ac:dyDescent="0.25">
      <c r="A225" s="9"/>
      <c r="B225" s="11"/>
    </row>
    <row r="226" spans="1:2" x14ac:dyDescent="0.25">
      <c r="A226" s="21"/>
      <c r="B226" s="23"/>
    </row>
    <row r="227" spans="1:2" x14ac:dyDescent="0.25">
      <c r="A227" s="9"/>
      <c r="B227" s="11"/>
    </row>
    <row r="228" spans="1:2" x14ac:dyDescent="0.25">
      <c r="A228" s="15"/>
      <c r="B228" s="17"/>
    </row>
    <row r="229" spans="1:2" x14ac:dyDescent="0.25">
      <c r="A229" s="15"/>
      <c r="B229" s="17"/>
    </row>
    <row r="230" spans="1:2" x14ac:dyDescent="0.25">
      <c r="A230" s="15"/>
      <c r="B230" s="17"/>
    </row>
    <row r="231" spans="1:2" x14ac:dyDescent="0.25">
      <c r="A231" s="15"/>
      <c r="B231" s="17"/>
    </row>
    <row r="232" spans="1:2" x14ac:dyDescent="0.25">
      <c r="A232" s="15"/>
      <c r="B232" s="17"/>
    </row>
    <row r="233" spans="1:2" x14ac:dyDescent="0.25">
      <c r="A233" s="15"/>
      <c r="B233" s="17"/>
    </row>
    <row r="234" spans="1:2" x14ac:dyDescent="0.25">
      <c r="A234" s="15"/>
      <c r="B234" s="17"/>
    </row>
    <row r="235" spans="1:2" x14ac:dyDescent="0.25">
      <c r="A235" s="15"/>
      <c r="B235" s="17"/>
    </row>
    <row r="236" spans="1:2" x14ac:dyDescent="0.25">
      <c r="A236" s="15"/>
      <c r="B236" s="17"/>
    </row>
    <row r="237" spans="1:2" x14ac:dyDescent="0.25">
      <c r="A237" s="15"/>
      <c r="B237" s="17"/>
    </row>
    <row r="238" spans="1:2" x14ac:dyDescent="0.25">
      <c r="A238" s="15"/>
      <c r="B238" s="17"/>
    </row>
    <row r="239" spans="1:2" x14ac:dyDescent="0.25">
      <c r="A239" s="15"/>
      <c r="B239" s="17"/>
    </row>
    <row r="240" spans="1:2" x14ac:dyDescent="0.25">
      <c r="A240" s="15"/>
      <c r="B240" s="17"/>
    </row>
    <row r="241" spans="1:2" x14ac:dyDescent="0.25">
      <c r="A241" s="15"/>
      <c r="B241" s="17"/>
    </row>
    <row r="242" spans="1:2" x14ac:dyDescent="0.25">
      <c r="A242" s="15"/>
      <c r="B242" s="17"/>
    </row>
    <row r="243" spans="1:2" x14ac:dyDescent="0.25">
      <c r="A243" s="15"/>
      <c r="B243" s="17"/>
    </row>
    <row r="244" spans="1:2" x14ac:dyDescent="0.25">
      <c r="A244" s="15"/>
      <c r="B244" s="17"/>
    </row>
    <row r="245" spans="1:2" x14ac:dyDescent="0.25">
      <c r="A245" s="21"/>
      <c r="B245" s="23"/>
    </row>
    <row r="246" spans="1:2" x14ac:dyDescent="0.25">
      <c r="A246" s="9"/>
      <c r="B246" s="11"/>
    </row>
    <row r="247" spans="1:2" x14ac:dyDescent="0.25">
      <c r="A247" s="15"/>
      <c r="B247" s="17"/>
    </row>
    <row r="248" spans="1:2" x14ac:dyDescent="0.25">
      <c r="A248" s="15"/>
      <c r="B248" s="17"/>
    </row>
    <row r="249" spans="1:2" x14ac:dyDescent="0.25">
      <c r="A249" s="21"/>
      <c r="B249" s="23"/>
    </row>
    <row r="250" spans="1:2" x14ac:dyDescent="0.25">
      <c r="A250" s="9"/>
      <c r="B250" s="11"/>
    </row>
    <row r="251" spans="1:2" x14ac:dyDescent="0.25">
      <c r="A251" s="15"/>
      <c r="B251" s="17"/>
    </row>
    <row r="252" spans="1:2" x14ac:dyDescent="0.25">
      <c r="A252" s="15"/>
      <c r="B252" s="17"/>
    </row>
    <row r="253" spans="1:2" x14ac:dyDescent="0.25">
      <c r="A253" s="15"/>
      <c r="B253" s="17"/>
    </row>
    <row r="254" spans="1:2" x14ac:dyDescent="0.25">
      <c r="A254" s="15"/>
      <c r="B254" s="17"/>
    </row>
    <row r="255" spans="1:2" x14ac:dyDescent="0.25">
      <c r="A255" s="15"/>
      <c r="B255" s="17"/>
    </row>
    <row r="256" spans="1:2" x14ac:dyDescent="0.25">
      <c r="A256" s="15"/>
      <c r="B256" s="17"/>
    </row>
    <row r="257" spans="1:2" x14ac:dyDescent="0.25">
      <c r="A257" s="15"/>
      <c r="B257" s="17"/>
    </row>
    <row r="258" spans="1:2" x14ac:dyDescent="0.25">
      <c r="A258" s="15"/>
      <c r="B258" s="17"/>
    </row>
    <row r="259" spans="1:2" x14ac:dyDescent="0.25">
      <c r="A259" s="15"/>
      <c r="B259" s="17"/>
    </row>
    <row r="260" spans="1:2" x14ac:dyDescent="0.25">
      <c r="A260" s="15"/>
      <c r="B260" s="17"/>
    </row>
    <row r="261" spans="1:2" x14ac:dyDescent="0.25">
      <c r="A261" s="15"/>
      <c r="B261" s="17"/>
    </row>
    <row r="262" spans="1:2" x14ac:dyDescent="0.25">
      <c r="A262" s="15"/>
      <c r="B262" s="17"/>
    </row>
    <row r="263" spans="1:2" x14ac:dyDescent="0.25">
      <c r="A263" s="15"/>
      <c r="B263" s="17"/>
    </row>
    <row r="264" spans="1:2" x14ac:dyDescent="0.25">
      <c r="A264" s="21"/>
      <c r="B264" s="23"/>
    </row>
    <row r="265" spans="1:2" x14ac:dyDescent="0.25">
      <c r="A265" s="9"/>
      <c r="B265" s="11"/>
    </row>
    <row r="266" spans="1:2" x14ac:dyDescent="0.25">
      <c r="A266" s="15"/>
      <c r="B266" s="17"/>
    </row>
    <row r="267" spans="1:2" x14ac:dyDescent="0.25">
      <c r="A267" s="21"/>
      <c r="B267" s="23"/>
    </row>
    <row r="268" spans="1:2" x14ac:dyDescent="0.25">
      <c r="A268" s="9"/>
      <c r="B268" s="11"/>
    </row>
    <row r="269" spans="1:2" x14ac:dyDescent="0.25">
      <c r="A269" s="15"/>
      <c r="B269" s="17"/>
    </row>
    <row r="270" spans="1:2" x14ac:dyDescent="0.25">
      <c r="A270" s="15"/>
      <c r="B270" s="17"/>
    </row>
    <row r="271" spans="1:2" x14ac:dyDescent="0.25">
      <c r="A271" s="15"/>
      <c r="B271" s="17"/>
    </row>
    <row r="272" spans="1:2" x14ac:dyDescent="0.25">
      <c r="A272" s="15"/>
      <c r="B272" s="17"/>
    </row>
    <row r="273" spans="1:2" x14ac:dyDescent="0.25">
      <c r="A273" s="15"/>
      <c r="B273" s="17"/>
    </row>
    <row r="274" spans="1:2" x14ac:dyDescent="0.25">
      <c r="A274" s="15"/>
      <c r="B274" s="17"/>
    </row>
    <row r="275" spans="1:2" x14ac:dyDescent="0.25">
      <c r="A275" s="15"/>
      <c r="B275" s="17"/>
    </row>
    <row r="276" spans="1:2" x14ac:dyDescent="0.25">
      <c r="A276" s="15"/>
      <c r="B276" s="17"/>
    </row>
    <row r="277" spans="1:2" x14ac:dyDescent="0.25">
      <c r="A277" s="15"/>
      <c r="B277" s="17"/>
    </row>
    <row r="278" spans="1:2" x14ac:dyDescent="0.25">
      <c r="A278" s="21"/>
      <c r="B278" s="23"/>
    </row>
    <row r="279" spans="1:2" x14ac:dyDescent="0.25">
      <c r="A279" s="15"/>
      <c r="B279" s="17"/>
    </row>
    <row r="280" spans="1:2" x14ac:dyDescent="0.25">
      <c r="A280" s="15"/>
      <c r="B280" s="17"/>
    </row>
    <row r="309" spans="3:4" x14ac:dyDescent="0.25">
      <c r="C309" s="41"/>
      <c r="D309" t="s">
        <v>56</v>
      </c>
    </row>
  </sheetData>
  <sortState ref="A2:B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events only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Ross</dc:creator>
  <cp:lastModifiedBy>Don Ross</cp:lastModifiedBy>
  <dcterms:created xsi:type="dcterms:W3CDTF">2020-08-15T21:09:43Z</dcterms:created>
  <dcterms:modified xsi:type="dcterms:W3CDTF">2020-09-25T14:47:43Z</dcterms:modified>
</cp:coreProperties>
</file>