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infiles1.campus.ad.uvm.edu\dross\MyDocs\Research\P Index and P in tiles\ISCO\"/>
    </mc:Choice>
  </mc:AlternateContent>
  <bookViews>
    <workbookView minimized="1" xWindow="0" yWindow="0" windowWidth="20490" windowHeight="7755"/>
  </bookViews>
  <sheets>
    <sheet name="AHS" sheetId="1" r:id="rId1"/>
    <sheet name="AHM" sheetId="2" r:id="rId2"/>
    <sheet name="Thelmar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E87" i="1" l="1"/>
  <c r="D87" i="1"/>
  <c r="E86" i="1"/>
  <c r="D86" i="1" s="1"/>
  <c r="E84" i="1"/>
  <c r="D84" i="1"/>
  <c r="E83" i="1"/>
  <c r="D83" i="1"/>
  <c r="E125" i="1" l="1"/>
  <c r="D125" i="1" s="1"/>
  <c r="E126" i="1"/>
  <c r="D126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H126" i="1"/>
  <c r="H125" i="1"/>
  <c r="G124" i="1"/>
  <c r="H124" i="1"/>
  <c r="B124" i="1"/>
  <c r="H123" i="1"/>
  <c r="G123" i="1"/>
  <c r="B123" i="1"/>
  <c r="H122" i="1"/>
  <c r="G122" i="1"/>
  <c r="B122" i="1"/>
  <c r="G121" i="1"/>
  <c r="H121" i="1"/>
  <c r="B121" i="1"/>
  <c r="B120" i="1"/>
  <c r="B117" i="1"/>
  <c r="B115" i="1"/>
  <c r="B112" i="1"/>
  <c r="G120" i="1"/>
  <c r="G119" i="1"/>
  <c r="G118" i="1"/>
  <c r="G117" i="1"/>
  <c r="G116" i="1"/>
  <c r="G115" i="1"/>
  <c r="G114" i="1"/>
  <c r="G113" i="1"/>
  <c r="G112" i="1"/>
  <c r="G111" i="1"/>
  <c r="H120" i="1"/>
  <c r="H119" i="1"/>
  <c r="H118" i="1"/>
  <c r="H117" i="1"/>
  <c r="H116" i="1"/>
  <c r="H115" i="1"/>
  <c r="H114" i="1"/>
  <c r="H113" i="1"/>
  <c r="H112" i="1"/>
  <c r="H111" i="1"/>
  <c r="B116" i="1"/>
  <c r="B118" i="1"/>
  <c r="B119" i="1"/>
  <c r="B114" i="1"/>
  <c r="B113" i="1"/>
  <c r="B111" i="1"/>
  <c r="E110" i="1" l="1"/>
  <c r="D110" i="1" s="1"/>
  <c r="G110" i="1"/>
  <c r="H110" i="1"/>
  <c r="J109" i="1"/>
  <c r="G109" i="1" s="1"/>
  <c r="H109" i="1"/>
  <c r="E109" i="1"/>
  <c r="D109" i="1"/>
  <c r="E108" i="1"/>
  <c r="D108" i="1" s="1"/>
  <c r="H108" i="1"/>
  <c r="J108" i="1"/>
  <c r="G108" i="1" s="1"/>
  <c r="H107" i="1"/>
  <c r="G107" i="1"/>
  <c r="E107" i="1"/>
  <c r="D107" i="1" s="1"/>
  <c r="E106" i="1"/>
  <c r="D106" i="1" s="1"/>
  <c r="G106" i="1"/>
  <c r="H106" i="1"/>
  <c r="E104" i="1"/>
  <c r="D104" i="1" s="1"/>
  <c r="E105" i="1"/>
  <c r="D105" i="1" s="1"/>
  <c r="B105" i="1"/>
  <c r="G105" i="1"/>
  <c r="H105" i="1"/>
  <c r="H104" i="1"/>
  <c r="G104" i="1"/>
  <c r="B104" i="1"/>
  <c r="E85" i="1" l="1"/>
  <c r="D85" i="1" s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101" i="1" s="1"/>
  <c r="E102" i="1"/>
  <c r="E103" i="1"/>
  <c r="D103" i="1" s="1"/>
  <c r="E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88" i="1"/>
  <c r="G103" i="1"/>
  <c r="H103" i="1"/>
  <c r="B103" i="1"/>
  <c r="G102" i="1"/>
  <c r="H102" i="1"/>
  <c r="B102" i="1"/>
  <c r="G101" i="1"/>
  <c r="H101" i="1"/>
  <c r="B101" i="1"/>
  <c r="H100" i="1"/>
  <c r="G100" i="1"/>
  <c r="B100" i="1"/>
  <c r="H99" i="1"/>
  <c r="G99" i="1"/>
  <c r="B99" i="1"/>
  <c r="G98" i="1"/>
  <c r="H98" i="1"/>
  <c r="B98" i="1"/>
  <c r="G97" i="1"/>
  <c r="H97" i="1"/>
  <c r="B97" i="1"/>
  <c r="H96" i="1"/>
  <c r="G96" i="1"/>
  <c r="B96" i="1"/>
  <c r="H95" i="1"/>
  <c r="B95" i="1"/>
  <c r="G94" i="1"/>
  <c r="H94" i="1"/>
  <c r="B94" i="1"/>
  <c r="H93" i="1"/>
  <c r="G93" i="1"/>
  <c r="B93" i="1"/>
  <c r="H92" i="1"/>
  <c r="G92" i="1"/>
  <c r="B92" i="1"/>
  <c r="G91" i="1"/>
  <c r="H91" i="1"/>
  <c r="B91" i="1"/>
  <c r="H90" i="1"/>
  <c r="G90" i="1"/>
  <c r="B90" i="1"/>
  <c r="H89" i="1"/>
  <c r="G89" i="1"/>
  <c r="B89" i="1"/>
  <c r="G88" i="1"/>
  <c r="H88" i="1"/>
  <c r="B88" i="1"/>
  <c r="H87" i="1"/>
  <c r="G87" i="1"/>
  <c r="B87" i="1"/>
  <c r="G86" i="1"/>
  <c r="H86" i="1"/>
  <c r="B86" i="1"/>
  <c r="H85" i="1"/>
  <c r="H84" i="1"/>
  <c r="H83" i="1"/>
  <c r="G85" i="1"/>
  <c r="G84" i="1"/>
  <c r="G83" i="1"/>
  <c r="B83" i="1"/>
  <c r="B85" i="1"/>
  <c r="B84" i="1" l="1"/>
  <c r="K66" i="1" l="1"/>
  <c r="L82" i="1"/>
  <c r="E66" i="1"/>
  <c r="D66" i="1" s="1"/>
  <c r="G66" i="1"/>
  <c r="H66" i="1"/>
  <c r="B66" i="1"/>
  <c r="C66" i="1" s="1"/>
  <c r="E76" i="1"/>
  <c r="D76" i="1" s="1"/>
  <c r="G76" i="1"/>
  <c r="H76" i="1"/>
  <c r="B76" i="1"/>
  <c r="C76" i="1" s="1"/>
  <c r="E75" i="1"/>
  <c r="D75" i="1" s="1"/>
  <c r="G75" i="1"/>
  <c r="H75" i="1"/>
  <c r="B75" i="1"/>
  <c r="C75" i="1" s="1"/>
  <c r="E74" i="1"/>
  <c r="D74" i="1" s="1"/>
  <c r="G74" i="1"/>
  <c r="H74" i="1"/>
  <c r="B74" i="1"/>
  <c r="C74" i="1" s="1"/>
  <c r="E73" i="1"/>
  <c r="D73" i="1" s="1"/>
  <c r="G73" i="1"/>
  <c r="H73" i="1"/>
  <c r="B73" i="1"/>
  <c r="C73" i="1" s="1"/>
  <c r="E72" i="1"/>
  <c r="D72" i="1" s="1"/>
  <c r="G72" i="1"/>
  <c r="H72" i="1"/>
  <c r="B72" i="1"/>
  <c r="C72" i="1" s="1"/>
  <c r="E65" i="1"/>
  <c r="D65" i="1" s="1"/>
  <c r="H65" i="1"/>
  <c r="G65" i="1"/>
  <c r="C65" i="1"/>
  <c r="B65" i="1"/>
  <c r="E69" i="1" l="1"/>
  <c r="D69" i="1" s="1"/>
  <c r="E71" i="1"/>
  <c r="D71" i="1" s="1"/>
  <c r="H71" i="1"/>
  <c r="G71" i="1"/>
  <c r="B71" i="1"/>
  <c r="C71" i="1" s="1"/>
  <c r="H70" i="1"/>
  <c r="G70" i="1"/>
  <c r="E70" i="1"/>
  <c r="D70" i="1" s="1"/>
  <c r="C70" i="1"/>
  <c r="B70" i="1"/>
  <c r="B69" i="1"/>
  <c r="C69" i="1" s="1"/>
  <c r="E67" i="1"/>
  <c r="D67" i="1" s="1"/>
  <c r="E68" i="1"/>
  <c r="D68" i="1" s="1"/>
  <c r="G68" i="1"/>
  <c r="H68" i="1"/>
  <c r="B68" i="1"/>
  <c r="C68" i="1" s="1"/>
  <c r="G67" i="1"/>
  <c r="B67" i="1"/>
  <c r="C67" i="1" s="1"/>
  <c r="H67" i="1"/>
  <c r="E64" i="1"/>
  <c r="D64" i="1" s="1"/>
  <c r="H64" i="1"/>
  <c r="B64" i="1"/>
  <c r="C64" i="1" s="1"/>
  <c r="G64" i="1"/>
  <c r="C39" i="1"/>
  <c r="C37" i="1"/>
  <c r="C36" i="1"/>
  <c r="B35" i="1"/>
  <c r="W25" i="1"/>
  <c r="W24" i="1"/>
  <c r="B46" i="1"/>
  <c r="C46" i="1" s="1"/>
  <c r="W26" i="1" l="1"/>
  <c r="C28" i="1" s="1"/>
  <c r="L80" i="1"/>
  <c r="L77" i="1"/>
  <c r="L78" i="1" s="1"/>
  <c r="L73" i="1"/>
  <c r="L74" i="1" s="1"/>
  <c r="L69" i="1"/>
  <c r="L70" i="1" s="1"/>
  <c r="K59" i="1"/>
  <c r="L59" i="1" s="1"/>
  <c r="K57" i="1"/>
  <c r="K58" i="1"/>
  <c r="K60" i="1"/>
  <c r="K61" i="1"/>
  <c r="L61" i="1" s="1"/>
  <c r="K62" i="1"/>
  <c r="L62" i="1" s="1"/>
  <c r="K56" i="1"/>
  <c r="N62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E51" i="1"/>
  <c r="D51" i="1" s="1"/>
  <c r="E52" i="1"/>
  <c r="D52" i="1" s="1"/>
  <c r="E53" i="1"/>
  <c r="D53" i="1" s="1"/>
  <c r="E54" i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44" i="1"/>
  <c r="D44" i="1"/>
  <c r="D50" i="1"/>
  <c r="D54" i="1"/>
  <c r="B48" i="1"/>
  <c r="C48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4" i="1"/>
  <c r="G62" i="1"/>
  <c r="G63" i="1"/>
  <c r="B63" i="1"/>
  <c r="C63" i="1" s="1"/>
  <c r="B62" i="1"/>
  <c r="C62" i="1" s="1"/>
  <c r="G55" i="1"/>
  <c r="G56" i="1"/>
  <c r="G57" i="1"/>
  <c r="G58" i="1"/>
  <c r="G59" i="1"/>
  <c r="G60" i="1"/>
  <c r="G61" i="1"/>
  <c r="B61" i="1"/>
  <c r="C61" i="1" s="1"/>
  <c r="B60" i="1"/>
  <c r="C60" i="1" s="1"/>
  <c r="B55" i="1"/>
  <c r="C55" i="1" s="1"/>
  <c r="G52" i="1"/>
  <c r="B52" i="1"/>
  <c r="C52" i="1" s="1"/>
  <c r="G46" i="1"/>
  <c r="G44" i="1"/>
  <c r="B44" i="1"/>
  <c r="C44" i="1" s="1"/>
  <c r="G48" i="1"/>
  <c r="G49" i="1"/>
  <c r="B49" i="1"/>
  <c r="C49" i="1" s="1"/>
  <c r="G51" i="1"/>
  <c r="B51" i="1"/>
  <c r="C51" i="1" s="1"/>
  <c r="G54" i="1"/>
  <c r="B54" i="1"/>
  <c r="C54" i="1" s="1"/>
  <c r="G53" i="1"/>
  <c r="B53" i="1"/>
  <c r="G50" i="1"/>
  <c r="B50" i="1"/>
  <c r="C50" i="1" s="1"/>
  <c r="G47" i="1"/>
  <c r="B47" i="1"/>
  <c r="C47" i="1" s="1"/>
  <c r="E24" i="1"/>
  <c r="G45" i="1"/>
  <c r="B45" i="1"/>
  <c r="C45" i="1" s="1"/>
  <c r="B59" i="1"/>
  <c r="C59" i="1" s="1"/>
  <c r="B58" i="1"/>
  <c r="C58" i="1" s="1"/>
  <c r="B57" i="1"/>
  <c r="C57" i="1" s="1"/>
  <c r="B56" i="1"/>
  <c r="C56" i="1" s="1"/>
  <c r="L60" i="1" l="1"/>
  <c r="E63" i="3"/>
  <c r="C83" i="3"/>
  <c r="D83" i="3"/>
  <c r="C84" i="3"/>
  <c r="C85" i="3" s="1"/>
  <c r="D84" i="3"/>
  <c r="C67" i="3"/>
  <c r="D67" i="3" s="1"/>
  <c r="C68" i="3"/>
  <c r="C69" i="3" s="1"/>
  <c r="D68" i="3"/>
  <c r="D66" i="3"/>
  <c r="C66" i="3"/>
  <c r="D65" i="3"/>
  <c r="D85" i="3" l="1"/>
  <c r="C86" i="3"/>
  <c r="D69" i="3"/>
  <c r="C70" i="3"/>
  <c r="E11" i="2"/>
  <c r="C87" i="3" l="1"/>
  <c r="D86" i="3"/>
  <c r="C71" i="3"/>
  <c r="D70" i="3"/>
  <c r="D21" i="2"/>
  <c r="E21" i="2" s="1"/>
  <c r="E20" i="2"/>
  <c r="P21" i="2"/>
  <c r="Q21" i="2" s="1"/>
  <c r="P20" i="2"/>
  <c r="Q20" i="2" s="1"/>
  <c r="P22" i="1"/>
  <c r="Q22" i="1" s="1"/>
  <c r="D87" i="3" l="1"/>
  <c r="C88" i="3"/>
  <c r="D71" i="3"/>
  <c r="C72" i="3"/>
  <c r="P21" i="1"/>
  <c r="Q21" i="1" s="1"/>
  <c r="E21" i="1"/>
  <c r="E22" i="1"/>
  <c r="C89" i="3" l="1"/>
  <c r="D88" i="3"/>
  <c r="C73" i="3"/>
  <c r="D72" i="3"/>
  <c r="P19" i="2"/>
  <c r="Q19" i="2" s="1"/>
  <c r="P16" i="2"/>
  <c r="Q16" i="2" s="1"/>
  <c r="P20" i="1"/>
  <c r="Q20" i="1" s="1"/>
  <c r="P17" i="1"/>
  <c r="Q17" i="1" s="1"/>
  <c r="D89" i="3" l="1"/>
  <c r="C90" i="3"/>
  <c r="D73" i="3"/>
  <c r="C7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2" i="3"/>
  <c r="J13" i="1"/>
  <c r="P13" i="1" s="1"/>
  <c r="Q13" i="1" s="1"/>
  <c r="J12" i="1"/>
  <c r="P12" i="1" s="1"/>
  <c r="Q12" i="1" s="1"/>
  <c r="J10" i="1"/>
  <c r="P10" i="1" s="1"/>
  <c r="Q10" i="1" s="1"/>
  <c r="J9" i="1"/>
  <c r="P9" i="1" s="1"/>
  <c r="Q9" i="1" s="1"/>
  <c r="J8" i="1"/>
  <c r="P8" i="1" s="1"/>
  <c r="Q8" i="1" s="1"/>
  <c r="J3" i="1"/>
  <c r="P3" i="1" s="1"/>
  <c r="Q3" i="1" s="1"/>
  <c r="J2" i="1"/>
  <c r="P2" i="1" s="1"/>
  <c r="Q2" i="1" s="1"/>
  <c r="J2" i="2"/>
  <c r="P2" i="2" s="1"/>
  <c r="Q2" i="2" s="1"/>
  <c r="J8" i="2"/>
  <c r="P8" i="2" s="1"/>
  <c r="Q8" i="2" s="1"/>
  <c r="J7" i="2"/>
  <c r="P7" i="2" s="1"/>
  <c r="J11" i="2"/>
  <c r="P11" i="2" s="1"/>
  <c r="Q11" i="2" s="1"/>
  <c r="E8" i="2"/>
  <c r="E9" i="2"/>
  <c r="E17" i="2"/>
  <c r="E7" i="2"/>
  <c r="E4" i="2"/>
  <c r="E3" i="2"/>
  <c r="E2" i="2"/>
  <c r="E14" i="1"/>
  <c r="E15" i="1"/>
  <c r="E17" i="1"/>
  <c r="E18" i="1"/>
  <c r="E20" i="1"/>
  <c r="E13" i="1"/>
  <c r="E12" i="1"/>
  <c r="E10" i="1"/>
  <c r="E3" i="1"/>
  <c r="E4" i="1"/>
  <c r="E5" i="1"/>
  <c r="E6" i="1"/>
  <c r="E2" i="1"/>
  <c r="C91" i="3" l="1"/>
  <c r="D90" i="3"/>
  <c r="C75" i="3"/>
  <c r="D74" i="3"/>
  <c r="E5" i="2"/>
  <c r="Q7" i="2"/>
  <c r="Q9" i="2" s="1"/>
  <c r="P9" i="2"/>
  <c r="E10" i="2"/>
  <c r="E19" i="1"/>
  <c r="E16" i="1"/>
  <c r="Q14" i="1"/>
  <c r="E7" i="1"/>
  <c r="Q4" i="1"/>
  <c r="E16" i="2"/>
  <c r="E18" i="2" s="1"/>
  <c r="E12" i="2"/>
  <c r="E19" i="2"/>
  <c r="E13" i="2"/>
  <c r="D91" i="3" l="1"/>
  <c r="C92" i="3"/>
  <c r="C76" i="3"/>
  <c r="D75" i="3"/>
  <c r="E14" i="2"/>
  <c r="C93" i="3" l="1"/>
  <c r="D92" i="3"/>
  <c r="C77" i="3"/>
  <c r="D76" i="3"/>
  <c r="D93" i="3" l="1"/>
  <c r="C94" i="3"/>
  <c r="D77" i="3"/>
  <c r="C78" i="3"/>
  <c r="C95" i="3" l="1"/>
  <c r="D94" i="3"/>
  <c r="C79" i="3"/>
  <c r="D78" i="3"/>
  <c r="D95" i="3" l="1"/>
  <c r="C96" i="3"/>
  <c r="D96" i="3" s="1"/>
  <c r="C80" i="3"/>
  <c r="D79" i="3"/>
  <c r="C81" i="3" l="1"/>
  <c r="D80" i="3"/>
  <c r="D81" i="3" l="1"/>
  <c r="C82" i="3"/>
  <c r="D82" i="3" s="1"/>
</calcChain>
</file>

<file path=xl/comments1.xml><?xml version="1.0" encoding="utf-8"?>
<comments xmlns="http://schemas.openxmlformats.org/spreadsheetml/2006/main">
  <authors>
    <author>Don Ross</author>
  </authors>
  <commentList>
    <comment ref="C42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21 L bucket was actually 23.1   Aubuchon 4 L bucket adjusted by .932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5 qt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not reliable  5qt/2s and 5qt/3s</t>
        </r>
      </text>
    </comment>
    <comment ref="J74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less than 16280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21 L bucket was actually 23.1   Aubuchon 4 L bucket adjusted by .932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Should have used a larger bucket but not available.  Approximate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High flow, approximate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>Don Ross:</t>
        </r>
        <r>
          <rPr>
            <sz val="9"/>
            <color indexed="81"/>
            <rFont val="Tahoma"/>
            <family val="2"/>
          </rPr>
          <t xml:space="preserve">
21 L bucket was actually 23.1   Aubuchon 4 L bucket adjusted by .932</t>
        </r>
      </text>
    </comment>
  </commentList>
</comments>
</file>

<file path=xl/sharedStrings.xml><?xml version="1.0" encoding="utf-8"?>
<sst xmlns="http://schemas.openxmlformats.org/spreadsheetml/2006/main" count="171" uniqueCount="64">
  <si>
    <t>L</t>
  </si>
  <si>
    <t>s</t>
  </si>
  <si>
    <t>L/s</t>
  </si>
  <si>
    <t>Weir (gal/d)</t>
  </si>
  <si>
    <t>Weir (L/s)</t>
  </si>
  <si>
    <t>ISCO level (m)</t>
  </si>
  <si>
    <t xml:space="preserve"> </t>
  </si>
  <si>
    <t>nd</t>
  </si>
  <si>
    <t>(set from 0.090)</t>
  </si>
  <si>
    <t>(set arbitrarily at 0.30 ft)</t>
  </si>
  <si>
    <t>(ft)</t>
  </si>
  <si>
    <t>time</t>
  </si>
  <si>
    <t>(set arbitrarily at 0.20 ft)</t>
  </si>
  <si>
    <t>(adjusted from 0.059 to 0.039)</t>
  </si>
  <si>
    <t>adjusted m (-.0132)</t>
  </si>
  <si>
    <t>m</t>
  </si>
  <si>
    <t>~4 gal</t>
  </si>
  <si>
    <t>~4 gal in 2 s?</t>
  </si>
  <si>
    <t>~ 4 gal</t>
  </si>
  <si>
    <t>Off at the low end!</t>
  </si>
  <si>
    <t>Bucket</t>
  </si>
  <si>
    <t>Weir</t>
  </si>
  <si>
    <t>ISCO</t>
  </si>
  <si>
    <t>GPD</t>
  </si>
  <si>
    <t>L/qt</t>
  </si>
  <si>
    <t>adj ISCO</t>
  </si>
  <si>
    <t>bubbler blown out</t>
  </si>
  <si>
    <t>adjustmnt</t>
  </si>
  <si>
    <t>adjustment per 5 minutes for a change of 0.006 m</t>
  </si>
  <si>
    <t>days 3/14/-3/17</t>
  </si>
  <si>
    <t>days 3/17-3/27</t>
  </si>
  <si>
    <t>adjustment per 5 minutes for a change of 0.024 m</t>
  </si>
  <si>
    <t>days 3/27-4/7</t>
  </si>
  <si>
    <t>Aubuchon pail calibration</t>
  </si>
  <si>
    <t>2 L</t>
  </si>
  <si>
    <t>4 L</t>
  </si>
  <si>
    <t>lower</t>
  </si>
  <si>
    <t>adj Bucket</t>
  </si>
  <si>
    <t>Elise</t>
  </si>
  <si>
    <t>too high</t>
  </si>
  <si>
    <t>ISCO level adjusted 11:35</t>
  </si>
  <si>
    <t>days 2/20-3/14</t>
  </si>
  <si>
    <t>5 minute periods over 22 days</t>
  </si>
  <si>
    <t>adjustment per 5 minutes for a change of 0.0062 m</t>
  </si>
  <si>
    <t>adjustment per 5 minutes for a change of 0.0865 m</t>
  </si>
  <si>
    <t>dry</t>
  </si>
  <si>
    <t>no flow</t>
  </si>
  <si>
    <t>still no flow</t>
  </si>
  <si>
    <t>bubbler blown out, changed from 0.002 to -0.014</t>
  </si>
  <si>
    <t>after bubbler blow out, zero adjusted by -0.002 to give 0.00</t>
  </si>
  <si>
    <t>adjusted from -0.003 to -0.015</t>
  </si>
  <si>
    <t>wier rotated slightly clockwise</t>
  </si>
  <si>
    <t>wier blown out and reinstalled</t>
  </si>
  <si>
    <t>bubbler blown out and reading adjusted</t>
  </si>
  <si>
    <t>above gradations, ISCO 0.142 to 0.134</t>
  </si>
  <si>
    <t>wier leveled</t>
  </si>
  <si>
    <t>level changed in program to .03</t>
  </si>
  <si>
    <t>&lt;1458</t>
  </si>
  <si>
    <t>--</t>
  </si>
  <si>
    <t>oozing over V-notch</t>
  </si>
  <si>
    <t>bubbler cleaned with a wire</t>
  </si>
  <si>
    <t>bubbler cleaned with a wire and blown out</t>
  </si>
  <si>
    <t>wier adjusted and set to 0.011</t>
  </si>
  <si>
    <t>level changed in program to 0.034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</si>
</sst>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14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166" fontId="0" fillId="3" borderId="0" xfId="1" applyNumberFormat="1" applyFont="1" applyFill="1"/>
    <xf numFmtId="14" fontId="0" fillId="4" borderId="0" xfId="0" applyNumberFormat="1" applyFill="1"/>
    <xf numFmtId="0" fontId="0" fillId="4" borderId="0" xfId="0" applyFill="1"/>
    <xf numFmtId="167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0" borderId="0" xfId="0" applyNumberFormat="1"/>
    <xf numFmtId="2" fontId="0" fillId="0" borderId="0" xfId="0" applyNumberFormat="1" applyAlignment="1">
      <alignment horizontal="left"/>
    </xf>
    <xf numFmtId="14" fontId="0" fillId="5" borderId="0" xfId="0" applyNumberFormat="1" applyFill="1"/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5" borderId="0" xfId="0" applyFill="1"/>
    <xf numFmtId="164" fontId="0" fillId="2" borderId="0" xfId="0" applyNumberFormat="1" applyFill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939418197725284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ISCO weir level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05949256342957E-4"/>
                  <c:y val="0.274889909594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AHS!$B$28:$B$34</c:f>
              <c:numCache>
                <c:formatCode>0.00</c:formatCode>
                <c:ptCount val="7"/>
                <c:pt idx="0">
                  <c:v>2.2423769765861943</c:v>
                </c:pt>
                <c:pt idx="1">
                  <c:v>8.5</c:v>
                </c:pt>
                <c:pt idx="2">
                  <c:v>2.7636104405791726</c:v>
                </c:pt>
                <c:pt idx="3">
                  <c:v>2.2295321637426904</c:v>
                </c:pt>
                <c:pt idx="4">
                  <c:v>1.1082138200782268</c:v>
                </c:pt>
                <c:pt idx="5">
                  <c:v>0.44155844155844154</c:v>
                </c:pt>
                <c:pt idx="6">
                  <c:v>0.17453798767967144</c:v>
                </c:pt>
              </c:numCache>
            </c:numRef>
          </c:xVal>
          <c:yVal>
            <c:numRef>
              <c:f>AHS!$E$28:$E$34</c:f>
              <c:numCache>
                <c:formatCode>0.00</c:formatCode>
                <c:ptCount val="7"/>
                <c:pt idx="0">
                  <c:v>2.1959533998417915</c:v>
                </c:pt>
                <c:pt idx="2">
                  <c:v>2.4791733044925439</c:v>
                </c:pt>
                <c:pt idx="3">
                  <c:v>2.0266699999999997</c:v>
                </c:pt>
                <c:pt idx="4">
                  <c:v>1.1250427999999997</c:v>
                </c:pt>
                <c:pt idx="5">
                  <c:v>0.48175080000000003</c:v>
                </c:pt>
                <c:pt idx="6">
                  <c:v>0.19298100000000001</c:v>
                </c:pt>
              </c:numCache>
            </c:numRef>
          </c:yVal>
          <c:smooth val="0"/>
        </c:ser>
        <c:ser>
          <c:idx val="1"/>
          <c:order val="1"/>
          <c:tx>
            <c:v>Weir GPD reading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57392825896763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AHS!$B$28:$B$34</c:f>
              <c:numCache>
                <c:formatCode>0.00</c:formatCode>
                <c:ptCount val="7"/>
                <c:pt idx="0">
                  <c:v>2.2423769765861943</c:v>
                </c:pt>
                <c:pt idx="1">
                  <c:v>8.5</c:v>
                </c:pt>
                <c:pt idx="2">
                  <c:v>2.7636104405791726</c:v>
                </c:pt>
                <c:pt idx="3">
                  <c:v>2.2295321637426904</c:v>
                </c:pt>
                <c:pt idx="4">
                  <c:v>1.1082138200782268</c:v>
                </c:pt>
                <c:pt idx="5">
                  <c:v>0.44155844155844154</c:v>
                </c:pt>
                <c:pt idx="6">
                  <c:v>0.17453798767967144</c:v>
                </c:pt>
              </c:numCache>
            </c:numRef>
          </c:xVal>
          <c:yVal>
            <c:numRef>
              <c:f>AHS!$D$28:$D$34</c:f>
              <c:numCache>
                <c:formatCode>0.00</c:formatCode>
                <c:ptCount val="7"/>
                <c:pt idx="0">
                  <c:v>2.4851999999999999</c:v>
                </c:pt>
                <c:pt idx="2">
                  <c:v>2.6648000000000001</c:v>
                </c:pt>
                <c:pt idx="3">
                  <c:v>2.0072999999999999</c:v>
                </c:pt>
                <c:pt idx="4">
                  <c:v>1.2467999999999999</c:v>
                </c:pt>
                <c:pt idx="5">
                  <c:v>0.60370000000000001</c:v>
                </c:pt>
                <c:pt idx="6">
                  <c:v>0.22109999999999999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59536"/>
        <c:axId val="516259928"/>
      </c:scatterChart>
      <c:valAx>
        <c:axId val="5162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from bucket measurement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59928"/>
        <c:crosses val="autoZero"/>
        <c:crossBetween val="midCat"/>
      </c:valAx>
      <c:valAx>
        <c:axId val="5162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from weir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5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6055052493438324"/>
          <c:y val="0.11631889763779529"/>
          <c:w val="0.225560586176727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'Thelmar data'!$B$12:$B$63</c:f>
              <c:numCache>
                <c:formatCode>General</c:formatCode>
                <c:ptCount val="52"/>
                <c:pt idx="0">
                  <c:v>2.5000000000000001E-2</c:v>
                </c:pt>
                <c:pt idx="1">
                  <c:v>2.7E-2</c:v>
                </c:pt>
                <c:pt idx="2">
                  <c:v>2.9000000000000001E-2</c:v>
                </c:pt>
                <c:pt idx="3">
                  <c:v>3.1E-2</c:v>
                </c:pt>
                <c:pt idx="4">
                  <c:v>3.3000000000000002E-2</c:v>
                </c:pt>
                <c:pt idx="5">
                  <c:v>3.5000000000000003E-2</c:v>
                </c:pt>
                <c:pt idx="6">
                  <c:v>3.6999999999999998E-2</c:v>
                </c:pt>
                <c:pt idx="7">
                  <c:v>3.9E-2</c:v>
                </c:pt>
                <c:pt idx="8">
                  <c:v>4.1000000000000002E-2</c:v>
                </c:pt>
                <c:pt idx="9">
                  <c:v>4.2999999999999997E-2</c:v>
                </c:pt>
                <c:pt idx="10">
                  <c:v>4.4999999999999998E-2</c:v>
                </c:pt>
                <c:pt idx="11">
                  <c:v>4.7E-2</c:v>
                </c:pt>
                <c:pt idx="12">
                  <c:v>4.9000000000000002E-2</c:v>
                </c:pt>
                <c:pt idx="13">
                  <c:v>5.0999999999999997E-2</c:v>
                </c:pt>
                <c:pt idx="14">
                  <c:v>5.2999999999999999E-2</c:v>
                </c:pt>
                <c:pt idx="15">
                  <c:v>5.5E-2</c:v>
                </c:pt>
                <c:pt idx="16">
                  <c:v>5.7000000000000002E-2</c:v>
                </c:pt>
                <c:pt idx="17">
                  <c:v>5.8999999999999997E-2</c:v>
                </c:pt>
                <c:pt idx="18">
                  <c:v>6.0999999999999999E-2</c:v>
                </c:pt>
                <c:pt idx="19">
                  <c:v>6.3E-2</c:v>
                </c:pt>
                <c:pt idx="20">
                  <c:v>6.5000000000000002E-2</c:v>
                </c:pt>
                <c:pt idx="21">
                  <c:v>6.7000000000000004E-2</c:v>
                </c:pt>
                <c:pt idx="22">
                  <c:v>6.9000000000000006E-2</c:v>
                </c:pt>
                <c:pt idx="23">
                  <c:v>7.0999999999999994E-2</c:v>
                </c:pt>
                <c:pt idx="24">
                  <c:v>7.2999999999999995E-2</c:v>
                </c:pt>
                <c:pt idx="25">
                  <c:v>7.4999999999999997E-2</c:v>
                </c:pt>
                <c:pt idx="26">
                  <c:v>7.6999999999999999E-2</c:v>
                </c:pt>
                <c:pt idx="27">
                  <c:v>7.9000000000000001E-2</c:v>
                </c:pt>
                <c:pt idx="28">
                  <c:v>8.1000000000000003E-2</c:v>
                </c:pt>
                <c:pt idx="29">
                  <c:v>8.3000000000000004E-2</c:v>
                </c:pt>
                <c:pt idx="30">
                  <c:v>8.5000000000000006E-2</c:v>
                </c:pt>
                <c:pt idx="31">
                  <c:v>8.6999999999999994E-2</c:v>
                </c:pt>
                <c:pt idx="32">
                  <c:v>8.8999999999999996E-2</c:v>
                </c:pt>
                <c:pt idx="33">
                  <c:v>9.0999999999999998E-2</c:v>
                </c:pt>
                <c:pt idx="34">
                  <c:v>9.2999999999999999E-2</c:v>
                </c:pt>
                <c:pt idx="35">
                  <c:v>9.5000000000000001E-2</c:v>
                </c:pt>
                <c:pt idx="36">
                  <c:v>9.7000000000000003E-2</c:v>
                </c:pt>
                <c:pt idx="37">
                  <c:v>9.9000000000000005E-2</c:v>
                </c:pt>
                <c:pt idx="38">
                  <c:v>0.10100000000000001</c:v>
                </c:pt>
                <c:pt idx="39">
                  <c:v>0.10299999999999999</c:v>
                </c:pt>
                <c:pt idx="40">
                  <c:v>0.105</c:v>
                </c:pt>
                <c:pt idx="41">
                  <c:v>0.107</c:v>
                </c:pt>
                <c:pt idx="42">
                  <c:v>0.109</c:v>
                </c:pt>
                <c:pt idx="43">
                  <c:v>0.111</c:v>
                </c:pt>
                <c:pt idx="44">
                  <c:v>0.113</c:v>
                </c:pt>
                <c:pt idx="45">
                  <c:v>0.115</c:v>
                </c:pt>
                <c:pt idx="46">
                  <c:v>0.11700000000000001</c:v>
                </c:pt>
                <c:pt idx="47">
                  <c:v>0.11899999999999999</c:v>
                </c:pt>
                <c:pt idx="48">
                  <c:v>0.121</c:v>
                </c:pt>
                <c:pt idx="49">
                  <c:v>0.123</c:v>
                </c:pt>
                <c:pt idx="50">
                  <c:v>0.125</c:v>
                </c:pt>
                <c:pt idx="51">
                  <c:v>0.127</c:v>
                </c:pt>
              </c:numCache>
            </c:numRef>
          </c:xVal>
          <c:yVal>
            <c:numRef>
              <c:f>'Thelmar data'!$D$12:$D$63</c:f>
              <c:numCache>
                <c:formatCode>General</c:formatCode>
                <c:ptCount val="52"/>
                <c:pt idx="0">
                  <c:v>0.16159999999999999</c:v>
                </c:pt>
                <c:pt idx="1">
                  <c:v>0.22109999999999999</c:v>
                </c:pt>
                <c:pt idx="2">
                  <c:v>0.26140000000000002</c:v>
                </c:pt>
                <c:pt idx="3">
                  <c:v>0.36930000000000002</c:v>
                </c:pt>
                <c:pt idx="4">
                  <c:v>0.48980000000000001</c:v>
                </c:pt>
                <c:pt idx="5">
                  <c:v>0.60370000000000001</c:v>
                </c:pt>
                <c:pt idx="6">
                  <c:v>0.71319999999999995</c:v>
                </c:pt>
                <c:pt idx="7">
                  <c:v>0.8407</c:v>
                </c:pt>
                <c:pt idx="8">
                  <c:v>0.96679999999999999</c:v>
                </c:pt>
                <c:pt idx="9">
                  <c:v>1.1005</c:v>
                </c:pt>
                <c:pt idx="10">
                  <c:v>1.2467999999999999</c:v>
                </c:pt>
                <c:pt idx="11">
                  <c:v>1.3821000000000001</c:v>
                </c:pt>
                <c:pt idx="12">
                  <c:v>1.5306</c:v>
                </c:pt>
                <c:pt idx="13">
                  <c:v>1.6843999999999999</c:v>
                </c:pt>
                <c:pt idx="14">
                  <c:v>1.8433999999999999</c:v>
                </c:pt>
                <c:pt idx="15">
                  <c:v>2.0072999999999999</c:v>
                </c:pt>
                <c:pt idx="16">
                  <c:v>2.1755</c:v>
                </c:pt>
                <c:pt idx="17">
                  <c:v>2.3104</c:v>
                </c:pt>
                <c:pt idx="18">
                  <c:v>2.4851999999999999</c:v>
                </c:pt>
                <c:pt idx="19">
                  <c:v>2.6648000000000001</c:v>
                </c:pt>
                <c:pt idx="20">
                  <c:v>2.8483999999999998</c:v>
                </c:pt>
                <c:pt idx="21">
                  <c:v>3.0363000000000002</c:v>
                </c:pt>
                <c:pt idx="22">
                  <c:v>3.2282000000000002</c:v>
                </c:pt>
                <c:pt idx="23">
                  <c:v>3.4239999999999999</c:v>
                </c:pt>
                <c:pt idx="24">
                  <c:v>3.6242000000000001</c:v>
                </c:pt>
                <c:pt idx="25">
                  <c:v>3.8279000000000001</c:v>
                </c:pt>
                <c:pt idx="26">
                  <c:v>4.0350999999999999</c:v>
                </c:pt>
                <c:pt idx="27">
                  <c:v>4.2458999999999998</c:v>
                </c:pt>
                <c:pt idx="28">
                  <c:v>4.4604999999999997</c:v>
                </c:pt>
                <c:pt idx="29">
                  <c:v>4.6782000000000004</c:v>
                </c:pt>
                <c:pt idx="30">
                  <c:v>4.899</c:v>
                </c:pt>
                <c:pt idx="31">
                  <c:v>5.1233000000000004</c:v>
                </c:pt>
                <c:pt idx="32">
                  <c:v>5.3502999999999998</c:v>
                </c:pt>
                <c:pt idx="33">
                  <c:v>5.5807000000000002</c:v>
                </c:pt>
                <c:pt idx="34">
                  <c:v>5.8571</c:v>
                </c:pt>
                <c:pt idx="35">
                  <c:v>6.0994000000000002</c:v>
                </c:pt>
                <c:pt idx="36">
                  <c:v>6.3399000000000001</c:v>
                </c:pt>
                <c:pt idx="37">
                  <c:v>6.6101999999999999</c:v>
                </c:pt>
                <c:pt idx="38">
                  <c:v>6.8840000000000003</c:v>
                </c:pt>
                <c:pt idx="39">
                  <c:v>7.1345000000000001</c:v>
                </c:pt>
                <c:pt idx="40">
                  <c:v>7.3894000000000002</c:v>
                </c:pt>
                <c:pt idx="41">
                  <c:v>7.6405000000000003</c:v>
                </c:pt>
                <c:pt idx="42">
                  <c:v>7.8967999999999998</c:v>
                </c:pt>
                <c:pt idx="43">
                  <c:v>8.1547999999999998</c:v>
                </c:pt>
                <c:pt idx="44">
                  <c:v>8.4146000000000001</c:v>
                </c:pt>
                <c:pt idx="45">
                  <c:v>8.6760999999999999</c:v>
                </c:pt>
                <c:pt idx="46">
                  <c:v>8.9393999999999991</c:v>
                </c:pt>
                <c:pt idx="47">
                  <c:v>9.2040000000000006</c:v>
                </c:pt>
                <c:pt idx="48">
                  <c:v>9.4699000000000009</c:v>
                </c:pt>
                <c:pt idx="49">
                  <c:v>9.7371999999999996</c:v>
                </c:pt>
                <c:pt idx="50">
                  <c:v>10.005699999999999</c:v>
                </c:pt>
                <c:pt idx="51">
                  <c:v>10.275600000000001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'Thelmar data'!$C$65:$C$96</c:f>
              <c:numCache>
                <c:formatCode>General</c:formatCode>
                <c:ptCount val="32"/>
                <c:pt idx="0">
                  <c:v>0.128</c:v>
                </c:pt>
                <c:pt idx="1">
                  <c:v>0.13800000000000001</c:v>
                </c:pt>
                <c:pt idx="2">
                  <c:v>0.14800000000000002</c:v>
                </c:pt>
                <c:pt idx="3">
                  <c:v>0.15800000000000003</c:v>
                </c:pt>
                <c:pt idx="4">
                  <c:v>0.16800000000000004</c:v>
                </c:pt>
                <c:pt idx="5">
                  <c:v>0.17800000000000005</c:v>
                </c:pt>
                <c:pt idx="6">
                  <c:v>0.18800000000000006</c:v>
                </c:pt>
                <c:pt idx="7">
                  <c:v>0.19800000000000006</c:v>
                </c:pt>
                <c:pt idx="8">
                  <c:v>0.20800000000000007</c:v>
                </c:pt>
                <c:pt idx="9">
                  <c:v>0.21800000000000008</c:v>
                </c:pt>
                <c:pt idx="10">
                  <c:v>0.22800000000000009</c:v>
                </c:pt>
                <c:pt idx="11">
                  <c:v>0.2380000000000001</c:v>
                </c:pt>
                <c:pt idx="12">
                  <c:v>0.24800000000000011</c:v>
                </c:pt>
                <c:pt idx="13">
                  <c:v>0.25800000000000012</c:v>
                </c:pt>
                <c:pt idx="14">
                  <c:v>0.26800000000000013</c:v>
                </c:pt>
                <c:pt idx="15">
                  <c:v>0.27800000000000014</c:v>
                </c:pt>
                <c:pt idx="16">
                  <c:v>0.28800000000000014</c:v>
                </c:pt>
                <c:pt idx="17">
                  <c:v>0.29800000000000015</c:v>
                </c:pt>
                <c:pt idx="18">
                  <c:v>0.30800000000000016</c:v>
                </c:pt>
                <c:pt idx="19">
                  <c:v>0.31800000000000017</c:v>
                </c:pt>
                <c:pt idx="20">
                  <c:v>0.32800000000000018</c:v>
                </c:pt>
                <c:pt idx="21">
                  <c:v>0.33800000000000019</c:v>
                </c:pt>
                <c:pt idx="22">
                  <c:v>0.3480000000000002</c:v>
                </c:pt>
                <c:pt idx="23">
                  <c:v>0.35800000000000021</c:v>
                </c:pt>
                <c:pt idx="24">
                  <c:v>0.36800000000000022</c:v>
                </c:pt>
                <c:pt idx="25">
                  <c:v>0.37800000000000022</c:v>
                </c:pt>
                <c:pt idx="26">
                  <c:v>0.38800000000000023</c:v>
                </c:pt>
                <c:pt idx="27">
                  <c:v>0.39800000000000024</c:v>
                </c:pt>
                <c:pt idx="28">
                  <c:v>0.40800000000000025</c:v>
                </c:pt>
                <c:pt idx="29">
                  <c:v>0.41800000000000026</c:v>
                </c:pt>
                <c:pt idx="30">
                  <c:v>0.42800000000000027</c:v>
                </c:pt>
                <c:pt idx="31">
                  <c:v>0.43800000000000028</c:v>
                </c:pt>
              </c:numCache>
            </c:numRef>
          </c:xVal>
          <c:yVal>
            <c:numRef>
              <c:f>'Thelmar data'!$D$65:$D$96</c:f>
              <c:numCache>
                <c:formatCode>General</c:formatCode>
                <c:ptCount val="32"/>
                <c:pt idx="0">
                  <c:v>10.559464799999999</c:v>
                </c:pt>
                <c:pt idx="1">
                  <c:v>12.136036800000001</c:v>
                </c:pt>
                <c:pt idx="2">
                  <c:v>13.810848800000004</c:v>
                </c:pt>
                <c:pt idx="3">
                  <c:v>15.583900800000004</c:v>
                </c:pt>
                <c:pt idx="4">
                  <c:v>17.45519280000001</c:v>
                </c:pt>
                <c:pt idx="5">
                  <c:v>19.424724800000011</c:v>
                </c:pt>
                <c:pt idx="6">
                  <c:v>21.492496800000012</c:v>
                </c:pt>
                <c:pt idx="7">
                  <c:v>23.658508800000014</c:v>
                </c:pt>
                <c:pt idx="8">
                  <c:v>25.922760800000017</c:v>
                </c:pt>
                <c:pt idx="9">
                  <c:v>28.285252800000023</c:v>
                </c:pt>
                <c:pt idx="10">
                  <c:v>30.745984800000024</c:v>
                </c:pt>
                <c:pt idx="11">
                  <c:v>33.304956800000028</c:v>
                </c:pt>
                <c:pt idx="12">
                  <c:v>35.962168800000029</c:v>
                </c:pt>
                <c:pt idx="13">
                  <c:v>38.717620800000034</c:v>
                </c:pt>
                <c:pt idx="14">
                  <c:v>41.571312800000037</c:v>
                </c:pt>
                <c:pt idx="15">
                  <c:v>44.523244800000043</c:v>
                </c:pt>
                <c:pt idx="16">
                  <c:v>47.573416800000054</c:v>
                </c:pt>
                <c:pt idx="17">
                  <c:v>50.721828800000047</c:v>
                </c:pt>
                <c:pt idx="18">
                  <c:v>53.968480800000059</c:v>
                </c:pt>
                <c:pt idx="19">
                  <c:v>57.313372800000053</c:v>
                </c:pt>
                <c:pt idx="20">
                  <c:v>60.756504800000066</c:v>
                </c:pt>
                <c:pt idx="21">
                  <c:v>64.297876800000054</c:v>
                </c:pt>
                <c:pt idx="22">
                  <c:v>67.937488800000068</c:v>
                </c:pt>
                <c:pt idx="23">
                  <c:v>71.675340800000058</c:v>
                </c:pt>
                <c:pt idx="24">
                  <c:v>75.511432800000065</c:v>
                </c:pt>
                <c:pt idx="25">
                  <c:v>79.445764800000092</c:v>
                </c:pt>
                <c:pt idx="26">
                  <c:v>83.478336800000093</c:v>
                </c:pt>
                <c:pt idx="27">
                  <c:v>87.609148800000085</c:v>
                </c:pt>
                <c:pt idx="28">
                  <c:v>91.838200800000095</c:v>
                </c:pt>
                <c:pt idx="29">
                  <c:v>96.165492800000109</c:v>
                </c:pt>
                <c:pt idx="30">
                  <c:v>100.59102480000013</c:v>
                </c:pt>
                <c:pt idx="31">
                  <c:v>105.11479680000011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1832"/>
        <c:axId val="459952224"/>
      </c:scatterChart>
      <c:valAx>
        <c:axId val="45995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2224"/>
        <c:crosses val="autoZero"/>
        <c:crossBetween val="midCat"/>
      </c:valAx>
      <c:valAx>
        <c:axId val="4599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AHS!$B$44:$B$63</c:f>
              <c:numCache>
                <c:formatCode>0.00</c:formatCode>
                <c:ptCount val="20"/>
                <c:pt idx="0">
                  <c:v>1.0365251727541953</c:v>
                </c:pt>
                <c:pt idx="1">
                  <c:v>1.6153846153846154</c:v>
                </c:pt>
                <c:pt idx="2">
                  <c:v>0.90715048025613665</c:v>
                </c:pt>
                <c:pt idx="3">
                  <c:v>0.41145782608695652</c:v>
                </c:pt>
                <c:pt idx="4">
                  <c:v>7.762557077625571</c:v>
                </c:pt>
                <c:pt idx="5">
                  <c:v>0.40132200188857414</c:v>
                </c:pt>
                <c:pt idx="6">
                  <c:v>0.22222222222222221</c:v>
                </c:pt>
                <c:pt idx="7">
                  <c:v>0.15765765765765766</c:v>
                </c:pt>
                <c:pt idx="8">
                  <c:v>1.0904425914047466</c:v>
                </c:pt>
                <c:pt idx="9">
                  <c:v>1.892706</c:v>
                </c:pt>
                <c:pt idx="10">
                  <c:v>0.5</c:v>
                </c:pt>
                <c:pt idx="11">
                  <c:v>1.5486725663716816</c:v>
                </c:pt>
                <c:pt idx="12">
                  <c:v>0.15145631067961166</c:v>
                </c:pt>
                <c:pt idx="13">
                  <c:v>0.15206812652068125</c:v>
                </c:pt>
                <c:pt idx="14">
                  <c:v>4.8691418137553254E-2</c:v>
                </c:pt>
                <c:pt idx="15">
                  <c:v>0.21764178722314684</c:v>
                </c:pt>
                <c:pt idx="16">
                  <c:v>0.9174311926605504</c:v>
                </c:pt>
                <c:pt idx="17">
                  <c:v>0.99706744868035191</c:v>
                </c:pt>
                <c:pt idx="18">
                  <c:v>0.64836003051106028</c:v>
                </c:pt>
                <c:pt idx="19">
                  <c:v>0.65713181291070732</c:v>
                </c:pt>
              </c:numCache>
            </c:numRef>
          </c:xVal>
          <c:yVal>
            <c:numRef>
              <c:f>AHS!$G$44:$G$63</c:f>
              <c:numCache>
                <c:formatCode>0.00</c:formatCode>
                <c:ptCount val="20"/>
                <c:pt idx="0">
                  <c:v>1.100571754036233</c:v>
                </c:pt>
                <c:pt idx="1">
                  <c:v>2.0074919494402943</c:v>
                </c:pt>
                <c:pt idx="2">
                  <c:v>1.100571754036233</c:v>
                </c:pt>
                <c:pt idx="3">
                  <c:v>0.7132686367718899</c:v>
                </c:pt>
                <c:pt idx="4">
                  <c:v>8.9403929987513422</c:v>
                </c:pt>
                <c:pt idx="5">
                  <c:v>0.60373721220618193</c:v>
                </c:pt>
                <c:pt idx="6">
                  <c:v>0.36929615106574076</c:v>
                </c:pt>
                <c:pt idx="7">
                  <c:v>0.23685075248088677</c:v>
                </c:pt>
                <c:pt idx="8">
                  <c:v>1.6845933098205876</c:v>
                </c:pt>
                <c:pt idx="9">
                  <c:v>2.4854870862450436</c:v>
                </c:pt>
                <c:pt idx="10">
                  <c:v>0.26142960415343164</c:v>
                </c:pt>
                <c:pt idx="11">
                  <c:v>1.5308111897303336</c:v>
                </c:pt>
                <c:pt idx="12">
                  <c:v>0.16153694494950602</c:v>
                </c:pt>
                <c:pt idx="13">
                  <c:v>0.16162457008915859</c:v>
                </c:pt>
                <c:pt idx="14">
                  <c:v>6.3878726806720854E-2</c:v>
                </c:pt>
                <c:pt idx="15">
                  <c:v>0.48982453065784576</c:v>
                </c:pt>
                <c:pt idx="16">
                  <c:v>1.3822865780192337</c:v>
                </c:pt>
                <c:pt idx="17">
                  <c:v>1.5308111897303336</c:v>
                </c:pt>
                <c:pt idx="18">
                  <c:v>0.96694341606606937</c:v>
                </c:pt>
                <c:pt idx="19">
                  <c:v>0.96694341606606937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89536"/>
        <c:axId val="382889928"/>
      </c:scatterChart>
      <c:valAx>
        <c:axId val="3828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89928"/>
        <c:crosses val="autoZero"/>
        <c:crossBetween val="midCat"/>
      </c:valAx>
      <c:valAx>
        <c:axId val="3828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8111001749781278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AHS!$A$56:$A$62</c:f>
              <c:numCache>
                <c:formatCode>m/d/yyyy</c:formatCode>
                <c:ptCount val="7"/>
                <c:pt idx="0">
                  <c:v>43516</c:v>
                </c:pt>
                <c:pt idx="1">
                  <c:v>43523</c:v>
                </c:pt>
                <c:pt idx="2">
                  <c:v>43530</c:v>
                </c:pt>
                <c:pt idx="3">
                  <c:v>43538</c:v>
                </c:pt>
                <c:pt idx="4">
                  <c:v>43541</c:v>
                </c:pt>
                <c:pt idx="5">
                  <c:v>43551</c:v>
                </c:pt>
                <c:pt idx="6">
                  <c:v>43562</c:v>
                </c:pt>
              </c:numCache>
            </c:numRef>
          </c:xVal>
          <c:yVal>
            <c:numRef>
              <c:f>AHS!$K$56:$K$62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8.9999999999999993E-3</c:v>
                </c:pt>
                <c:pt idx="2">
                  <c:v>1.2E-2</c:v>
                </c:pt>
                <c:pt idx="3">
                  <c:v>1.2200000000000001E-2</c:v>
                </c:pt>
                <c:pt idx="4">
                  <c:v>1.8200000000000001E-2</c:v>
                </c:pt>
                <c:pt idx="5">
                  <c:v>4.2000000000000003E-2</c:v>
                </c:pt>
                <c:pt idx="6">
                  <c:v>0.1285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90712"/>
        <c:axId val="6218120"/>
      </c:scatterChart>
      <c:valAx>
        <c:axId val="3828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120"/>
        <c:crosses val="autoZero"/>
        <c:crossBetween val="midCat"/>
      </c:valAx>
      <c:valAx>
        <c:axId val="62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280621172353458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AHS!$C$44:$C$68</c:f>
              <c:numCache>
                <c:formatCode>0.00</c:formatCode>
                <c:ptCount val="25"/>
                <c:pt idx="0">
                  <c:v>1.140177690029615</c:v>
                </c:pt>
                <c:pt idx="1">
                  <c:v>1.776923076923077</c:v>
                </c:pt>
                <c:pt idx="2">
                  <c:v>1.2326574172892211</c:v>
                </c:pt>
                <c:pt idx="3">
                  <c:v>0.38347869391304351</c:v>
                </c:pt>
                <c:pt idx="4">
                  <c:v>10.547945205479452</c:v>
                </c:pt>
                <c:pt idx="5">
                  <c:v>0.54532577903682722</c:v>
                </c:pt>
                <c:pt idx="6">
                  <c:v>0.20711111111111111</c:v>
                </c:pt>
                <c:pt idx="7">
                  <c:v>0.14693693693693693</c:v>
                </c:pt>
                <c:pt idx="8">
                  <c:v>1.4817190506735087</c:v>
                </c:pt>
                <c:pt idx="10">
                  <c:v>0.46600000000000003</c:v>
                </c:pt>
                <c:pt idx="11">
                  <c:v>1.4433628318584073</c:v>
                </c:pt>
                <c:pt idx="12">
                  <c:v>0.14115728155339807</c:v>
                </c:pt>
                <c:pt idx="13">
                  <c:v>0.14172749391727493</c:v>
                </c:pt>
                <c:pt idx="14">
                  <c:v>4.5380401704199637E-2</c:v>
                </c:pt>
                <c:pt idx="15">
                  <c:v>0.29573678146204069</c:v>
                </c:pt>
                <c:pt idx="16">
                  <c:v>1.2466270912034538</c:v>
                </c:pt>
                <c:pt idx="17">
                  <c:v>1.3548387096774195</c:v>
                </c:pt>
                <c:pt idx="18">
                  <c:v>0.8810068649885584</c:v>
                </c:pt>
                <c:pt idx="19">
                  <c:v>0.89292616930807878</c:v>
                </c:pt>
                <c:pt idx="20">
                  <c:v>1.2641937925813775</c:v>
                </c:pt>
                <c:pt idx="21">
                  <c:v>1.640625</c:v>
                </c:pt>
                <c:pt idx="22">
                  <c:v>0.4618152738904438</c:v>
                </c:pt>
                <c:pt idx="23">
                  <c:v>0.4618152738904438</c:v>
                </c:pt>
                <c:pt idx="24">
                  <c:v>5.717821782178218</c:v>
                </c:pt>
              </c:numCache>
            </c:numRef>
          </c:xVal>
          <c:yVal>
            <c:numRef>
              <c:f>AHS!$G$44:$G$68</c:f>
              <c:numCache>
                <c:formatCode>0.00</c:formatCode>
                <c:ptCount val="25"/>
                <c:pt idx="0">
                  <c:v>1.100571754036233</c:v>
                </c:pt>
                <c:pt idx="1">
                  <c:v>2.0074919494402943</c:v>
                </c:pt>
                <c:pt idx="2">
                  <c:v>1.100571754036233</c:v>
                </c:pt>
                <c:pt idx="3">
                  <c:v>0.7132686367718899</c:v>
                </c:pt>
                <c:pt idx="4">
                  <c:v>8.9403929987513422</c:v>
                </c:pt>
                <c:pt idx="5">
                  <c:v>0.60373721220618193</c:v>
                </c:pt>
                <c:pt idx="6">
                  <c:v>0.36929615106574076</c:v>
                </c:pt>
                <c:pt idx="7">
                  <c:v>0.23685075248088677</c:v>
                </c:pt>
                <c:pt idx="8">
                  <c:v>1.6845933098205876</c:v>
                </c:pt>
                <c:pt idx="9">
                  <c:v>2.4854870862450436</c:v>
                </c:pt>
                <c:pt idx="10">
                  <c:v>0.26142960415343164</c:v>
                </c:pt>
                <c:pt idx="11">
                  <c:v>1.5308111897303336</c:v>
                </c:pt>
                <c:pt idx="12">
                  <c:v>0.16153694494950602</c:v>
                </c:pt>
                <c:pt idx="13">
                  <c:v>0.16162457008915859</c:v>
                </c:pt>
                <c:pt idx="14">
                  <c:v>6.3878726806720854E-2</c:v>
                </c:pt>
                <c:pt idx="15">
                  <c:v>0.48982453065784576</c:v>
                </c:pt>
                <c:pt idx="16">
                  <c:v>1.3822865780192337</c:v>
                </c:pt>
                <c:pt idx="17">
                  <c:v>1.5308111897303336</c:v>
                </c:pt>
                <c:pt idx="18">
                  <c:v>0.96694341606606937</c:v>
                </c:pt>
                <c:pt idx="19">
                  <c:v>0.96694341606606937</c:v>
                </c:pt>
                <c:pt idx="20">
                  <c:v>1.2469057372560188</c:v>
                </c:pt>
                <c:pt idx="21">
                  <c:v>2.3106749326381739</c:v>
                </c:pt>
                <c:pt idx="22">
                  <c:v>0.60373721220618193</c:v>
                </c:pt>
                <c:pt idx="23">
                  <c:v>0.60373721220618193</c:v>
                </c:pt>
                <c:pt idx="24">
                  <c:v>5.1238800411838152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904"/>
        <c:axId val="6219296"/>
      </c:scatterChart>
      <c:valAx>
        <c:axId val="621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flow (L/s)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296"/>
        <c:crosses val="autoZero"/>
        <c:crossBetween val="midCat"/>
      </c:valAx>
      <c:valAx>
        <c:axId val="62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from weir (L/s)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AHS!$D$88:$D$124</c:f>
              <c:numCache>
                <c:formatCode>0.00</c:formatCode>
                <c:ptCount val="37"/>
                <c:pt idx="0">
                  <c:v>6.3822000000000004E-2</c:v>
                </c:pt>
                <c:pt idx="1">
                  <c:v>3.6443588000000005</c:v>
                </c:pt>
                <c:pt idx="2">
                  <c:v>0.30791999999999986</c:v>
                </c:pt>
                <c:pt idx="3" formatCode="0.000">
                  <c:v>0.27980780000000005</c:v>
                </c:pt>
                <c:pt idx="4" formatCode="0.000">
                  <c:v>0.25194119999999998</c:v>
                </c:pt>
                <c:pt idx="5" formatCode="0.000">
                  <c:v>2.4871938000000005</c:v>
                </c:pt>
                <c:pt idx="6" formatCode="0.000">
                  <c:v>1.7490821999999997</c:v>
                </c:pt>
                <c:pt idx="7" formatCode="0.000">
                  <c:v>10.331452199999999</c:v>
                </c:pt>
                <c:pt idx="8" formatCode="0.000">
                  <c:v>0.57198180000000021</c:v>
                </c:pt>
                <c:pt idx="9" formatCode="0.000">
                  <c:v>0.51158219999999999</c:v>
                </c:pt>
                <c:pt idx="10" formatCode="0.000">
                  <c:v>0.25194119999999975</c:v>
                </c:pt>
                <c:pt idx="11" formatCode="0.000">
                  <c:v>0.20978759999999996</c:v>
                </c:pt>
                <c:pt idx="12">
                  <c:v>1.1250427999999997</c:v>
                </c:pt>
                <c:pt idx="13">
                  <c:v>6.5429532000000004</c:v>
                </c:pt>
                <c:pt idx="14">
                  <c:v>0.60254999999999959</c:v>
                </c:pt>
                <c:pt idx="15">
                  <c:v>1.3371871999999998</c:v>
                </c:pt>
                <c:pt idx="16">
                  <c:v>2.6179488000000002</c:v>
                </c:pt>
                <c:pt idx="17">
                  <c:v>2.6179488000000002</c:v>
                </c:pt>
                <c:pt idx="18">
                  <c:v>0.92173999999999989</c:v>
                </c:pt>
                <c:pt idx="19">
                  <c:v>0.92173999999999989</c:v>
                </c:pt>
                <c:pt idx="20">
                  <c:v>0.4228248</c:v>
                </c:pt>
                <c:pt idx="21">
                  <c:v>0.4228248</c:v>
                </c:pt>
                <c:pt idx="22">
                  <c:v>2.3586491999999999</c:v>
                </c:pt>
                <c:pt idx="23">
                  <c:v>0.30792000000000008</c:v>
                </c:pt>
                <c:pt idx="24">
                  <c:v>0.30791999999999986</c:v>
                </c:pt>
                <c:pt idx="25">
                  <c:v>1.5581731999999993</c:v>
                </c:pt>
                <c:pt idx="26">
                  <c:v>0.57198179999999976</c:v>
                </c:pt>
                <c:pt idx="27">
                  <c:v>0.4228248</c:v>
                </c:pt>
                <c:pt idx="28">
                  <c:v>0.30791999999999964</c:v>
                </c:pt>
                <c:pt idx="29">
                  <c:v>0.30791999999999986</c:v>
                </c:pt>
                <c:pt idx="30">
                  <c:v>0.16148999999999997</c:v>
                </c:pt>
                <c:pt idx="31">
                  <c:v>0.13972867499999997</c:v>
                </c:pt>
                <c:pt idx="32">
                  <c:v>0.14680559999999998</c:v>
                </c:pt>
                <c:pt idx="33" formatCode="0.000">
                  <c:v>4.6478999999999993E-2</c:v>
                </c:pt>
                <c:pt idx="34" formatCode="0.000">
                  <c:v>3.8868599999999989E-2</c:v>
                </c:pt>
                <c:pt idx="35" formatCode="0.000">
                  <c:v>1.1427599999999994E-2</c:v>
                </c:pt>
                <c:pt idx="36" formatCode="0.000">
                  <c:v>1.1427600000000005E-2</c:v>
                </c:pt>
              </c:numCache>
            </c:numRef>
          </c:xVal>
          <c:yVal>
            <c:numRef>
              <c:f>AHS!$B$88:$B$124</c:f>
              <c:numCache>
                <c:formatCode>0.00</c:formatCode>
                <c:ptCount val="37"/>
                <c:pt idx="0">
                  <c:v>2.7777777777777776E-2</c:v>
                </c:pt>
                <c:pt idx="1">
                  <c:v>3.8657407407407405</c:v>
                </c:pt>
                <c:pt idx="2">
                  <c:v>0.27586206896551724</c:v>
                </c:pt>
                <c:pt idx="3">
                  <c:v>0.27266530334014999</c:v>
                </c:pt>
                <c:pt idx="4">
                  <c:v>0.27266530334014999</c:v>
                </c:pt>
                <c:pt idx="5">
                  <c:v>2.4539877300613497</c:v>
                </c:pt>
                <c:pt idx="6">
                  <c:v>1.5011235955056179</c:v>
                </c:pt>
                <c:pt idx="7">
                  <c:v>10.437499999999998</c:v>
                </c:pt>
                <c:pt idx="8">
                  <c:v>0.31214953271028034</c:v>
                </c:pt>
                <c:pt idx="9">
                  <c:v>0.76255707762557079</c:v>
                </c:pt>
                <c:pt idx="10">
                  <c:v>0.21470746108427269</c:v>
                </c:pt>
                <c:pt idx="11">
                  <c:v>0.21470746108427269</c:v>
                </c:pt>
                <c:pt idx="12">
                  <c:v>1.1052283256121773</c:v>
                </c:pt>
                <c:pt idx="13">
                  <c:v>7.0389884088514219</c:v>
                </c:pt>
                <c:pt idx="14">
                  <c:v>0.5736860185503263</c:v>
                </c:pt>
                <c:pt idx="15">
                  <c:v>1.2986003110419906</c:v>
                </c:pt>
                <c:pt idx="16">
                  <c:v>2.5945106162610045</c:v>
                </c:pt>
                <c:pt idx="17">
                  <c:v>2.5945106162610045</c:v>
                </c:pt>
                <c:pt idx="18">
                  <c:v>0.89400000000000002</c:v>
                </c:pt>
                <c:pt idx="19">
                  <c:v>0.89400000000000002</c:v>
                </c:pt>
                <c:pt idx="20">
                  <c:v>0.39400000000000002</c:v>
                </c:pt>
                <c:pt idx="21">
                  <c:v>0.39400000000000002</c:v>
                </c:pt>
                <c:pt idx="22">
                  <c:v>2.29</c:v>
                </c:pt>
                <c:pt idx="23">
                  <c:v>0.30144404332129965</c:v>
                </c:pt>
                <c:pt idx="24">
                  <c:v>0.30144404332129965</c:v>
                </c:pt>
                <c:pt idx="25">
                  <c:v>1.5455807496529383</c:v>
                </c:pt>
                <c:pt idx="26">
                  <c:v>0.56918882072256305</c:v>
                </c:pt>
                <c:pt idx="27">
                  <c:v>0.56918882072256305</c:v>
                </c:pt>
                <c:pt idx="28">
                  <c:v>0.31955606582472251</c:v>
                </c:pt>
                <c:pt idx="29">
                  <c:v>0.31955606582472251</c:v>
                </c:pt>
                <c:pt idx="30">
                  <c:v>0.1514052583862194</c:v>
                </c:pt>
                <c:pt idx="31">
                  <c:v>0.12622826908541193</c:v>
                </c:pt>
                <c:pt idx="32">
                  <c:v>0.12622826908541193</c:v>
                </c:pt>
                <c:pt idx="33" formatCode="0.000">
                  <c:v>4.4892473118279569E-2</c:v>
                </c:pt>
                <c:pt idx="34" formatCode="0.000">
                  <c:v>3.4719334719334721E-2</c:v>
                </c:pt>
                <c:pt idx="35" formatCode="0.000">
                  <c:v>9.5419847328244278E-3</c:v>
                </c:pt>
                <c:pt idx="36" formatCode="0.000">
                  <c:v>9.5419847328244278E-3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69784"/>
        <c:axId val="460570176"/>
      </c:scatterChart>
      <c:valAx>
        <c:axId val="46056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flow (L/s)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0176"/>
        <c:crosses val="autoZero"/>
        <c:crossBetween val="midCat"/>
      </c:valAx>
      <c:valAx>
        <c:axId val="4605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from ISCO (L/s)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939418197725284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ISCO weir level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05949256342957E-4"/>
                  <c:y val="0.274889909594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AHM!$B$28:$B$33</c:f>
              <c:numCache>
                <c:formatCode>0.00</c:formatCode>
                <c:ptCount val="6"/>
                <c:pt idx="0">
                  <c:v>0.97558707115395948</c:v>
                </c:pt>
                <c:pt idx="1">
                  <c:v>1.0526641360389191</c:v>
                </c:pt>
                <c:pt idx="2">
                  <c:v>0.8585913337372062</c:v>
                </c:pt>
                <c:pt idx="3">
                  <c:v>0.40845747236905339</c:v>
                </c:pt>
                <c:pt idx="4">
                  <c:v>0.14782608695652175</c:v>
                </c:pt>
                <c:pt idx="5">
                  <c:v>5.7258336140114524E-2</c:v>
                </c:pt>
              </c:numCache>
            </c:numRef>
          </c:xVal>
          <c:yVal>
            <c:numRef>
              <c:f>AHM!$F$28:$F$33</c:f>
              <c:numCache>
                <c:formatCode>0.00</c:formatCode>
                <c:ptCount val="6"/>
                <c:pt idx="0">
                  <c:v>0.98583492992000077</c:v>
                </c:pt>
                <c:pt idx="1">
                  <c:v>1.1953370202367992</c:v>
                </c:pt>
                <c:pt idx="2">
                  <c:v>0.85593720000000018</c:v>
                </c:pt>
                <c:pt idx="3">
                  <c:v>0.4228248</c:v>
                </c:pt>
                <c:pt idx="4">
                  <c:v>0.16148999999999997</c:v>
                </c:pt>
                <c:pt idx="5">
                  <c:v>5.4796800000000007E-2</c:v>
                </c:pt>
              </c:numCache>
            </c:numRef>
          </c:yVal>
          <c:smooth val="0"/>
        </c:ser>
        <c:ser>
          <c:idx val="1"/>
          <c:order val="1"/>
          <c:tx>
            <c:v>Weir GPD reading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57392825896763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AHM!$B$28:$B$33</c:f>
              <c:numCache>
                <c:formatCode>0.00</c:formatCode>
                <c:ptCount val="6"/>
                <c:pt idx="0">
                  <c:v>0.97558707115395948</c:v>
                </c:pt>
                <c:pt idx="1">
                  <c:v>1.0526641360389191</c:v>
                </c:pt>
                <c:pt idx="2">
                  <c:v>0.8585913337372062</c:v>
                </c:pt>
                <c:pt idx="3">
                  <c:v>0.40845747236905339</c:v>
                </c:pt>
                <c:pt idx="4">
                  <c:v>0.14782608695652175</c:v>
                </c:pt>
                <c:pt idx="5">
                  <c:v>5.7258336140114524E-2</c:v>
                </c:pt>
              </c:numCache>
            </c:numRef>
          </c:xVal>
          <c:yVal>
            <c:numRef>
              <c:f>AHM!$D$28:$D$33</c:f>
              <c:numCache>
                <c:formatCode>0.00</c:formatCode>
                <c:ptCount val="6"/>
                <c:pt idx="0">
                  <c:v>1.1005</c:v>
                </c:pt>
                <c:pt idx="1">
                  <c:v>1.1005</c:v>
                </c:pt>
                <c:pt idx="2">
                  <c:v>0.8407</c:v>
                </c:pt>
                <c:pt idx="3">
                  <c:v>0.48980000000000001</c:v>
                </c:pt>
                <c:pt idx="4">
                  <c:v>0.22109999999999999</c:v>
                </c:pt>
                <c:pt idx="5">
                  <c:v>3.2199999999999999E-2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68984"/>
        <c:axId val="468645952"/>
      </c:scatterChart>
      <c:valAx>
        <c:axId val="50286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from bucket measurement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45952"/>
        <c:crosses val="autoZero"/>
        <c:crossBetween val="midCat"/>
      </c:valAx>
      <c:valAx>
        <c:axId val="468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from weir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6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6055052493438324"/>
          <c:y val="0.11631889763779529"/>
          <c:w val="0.225560586176727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Range, not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'Thelmar data'!$B$2:$B$63</c:f>
              <c:numCache>
                <c:formatCode>General</c:formatCode>
                <c:ptCount val="62"/>
                <c:pt idx="0">
                  <c:v>5.0000000000000001E-3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1.2999999999999999E-2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2.3E-2</c:v>
                </c:pt>
                <c:pt idx="10">
                  <c:v>2.5000000000000001E-2</c:v>
                </c:pt>
                <c:pt idx="11">
                  <c:v>2.7E-2</c:v>
                </c:pt>
                <c:pt idx="12">
                  <c:v>2.9000000000000001E-2</c:v>
                </c:pt>
                <c:pt idx="13">
                  <c:v>3.1E-2</c:v>
                </c:pt>
                <c:pt idx="14">
                  <c:v>3.3000000000000002E-2</c:v>
                </c:pt>
                <c:pt idx="15">
                  <c:v>3.5000000000000003E-2</c:v>
                </c:pt>
                <c:pt idx="16">
                  <c:v>3.6999999999999998E-2</c:v>
                </c:pt>
                <c:pt idx="17">
                  <c:v>3.9E-2</c:v>
                </c:pt>
                <c:pt idx="18">
                  <c:v>4.1000000000000002E-2</c:v>
                </c:pt>
                <c:pt idx="19">
                  <c:v>4.2999999999999997E-2</c:v>
                </c:pt>
                <c:pt idx="20">
                  <c:v>4.4999999999999998E-2</c:v>
                </c:pt>
                <c:pt idx="21">
                  <c:v>4.7E-2</c:v>
                </c:pt>
                <c:pt idx="22">
                  <c:v>4.9000000000000002E-2</c:v>
                </c:pt>
                <c:pt idx="23">
                  <c:v>5.0999999999999997E-2</c:v>
                </c:pt>
                <c:pt idx="24">
                  <c:v>5.2999999999999999E-2</c:v>
                </c:pt>
                <c:pt idx="25">
                  <c:v>5.5E-2</c:v>
                </c:pt>
                <c:pt idx="26">
                  <c:v>5.7000000000000002E-2</c:v>
                </c:pt>
                <c:pt idx="27">
                  <c:v>5.8999999999999997E-2</c:v>
                </c:pt>
                <c:pt idx="28">
                  <c:v>6.0999999999999999E-2</c:v>
                </c:pt>
                <c:pt idx="29">
                  <c:v>6.3E-2</c:v>
                </c:pt>
                <c:pt idx="30">
                  <c:v>6.5000000000000002E-2</c:v>
                </c:pt>
                <c:pt idx="31">
                  <c:v>6.7000000000000004E-2</c:v>
                </c:pt>
                <c:pt idx="32">
                  <c:v>6.9000000000000006E-2</c:v>
                </c:pt>
                <c:pt idx="33">
                  <c:v>7.0999999999999994E-2</c:v>
                </c:pt>
                <c:pt idx="34">
                  <c:v>7.2999999999999995E-2</c:v>
                </c:pt>
                <c:pt idx="35">
                  <c:v>7.4999999999999997E-2</c:v>
                </c:pt>
                <c:pt idx="36">
                  <c:v>7.6999999999999999E-2</c:v>
                </c:pt>
                <c:pt idx="37">
                  <c:v>7.9000000000000001E-2</c:v>
                </c:pt>
                <c:pt idx="38">
                  <c:v>8.1000000000000003E-2</c:v>
                </c:pt>
                <c:pt idx="39">
                  <c:v>8.3000000000000004E-2</c:v>
                </c:pt>
                <c:pt idx="40">
                  <c:v>8.5000000000000006E-2</c:v>
                </c:pt>
                <c:pt idx="41">
                  <c:v>8.6999999999999994E-2</c:v>
                </c:pt>
                <c:pt idx="42">
                  <c:v>8.8999999999999996E-2</c:v>
                </c:pt>
                <c:pt idx="43">
                  <c:v>9.0999999999999998E-2</c:v>
                </c:pt>
                <c:pt idx="44">
                  <c:v>9.2999999999999999E-2</c:v>
                </c:pt>
                <c:pt idx="45">
                  <c:v>9.5000000000000001E-2</c:v>
                </c:pt>
                <c:pt idx="46">
                  <c:v>9.7000000000000003E-2</c:v>
                </c:pt>
                <c:pt idx="47">
                  <c:v>9.9000000000000005E-2</c:v>
                </c:pt>
                <c:pt idx="48">
                  <c:v>0.10100000000000001</c:v>
                </c:pt>
                <c:pt idx="49">
                  <c:v>0.10299999999999999</c:v>
                </c:pt>
                <c:pt idx="50">
                  <c:v>0.105</c:v>
                </c:pt>
                <c:pt idx="51">
                  <c:v>0.107</c:v>
                </c:pt>
                <c:pt idx="52">
                  <c:v>0.109</c:v>
                </c:pt>
                <c:pt idx="53">
                  <c:v>0.111</c:v>
                </c:pt>
                <c:pt idx="54">
                  <c:v>0.113</c:v>
                </c:pt>
                <c:pt idx="55">
                  <c:v>0.115</c:v>
                </c:pt>
                <c:pt idx="56">
                  <c:v>0.11700000000000001</c:v>
                </c:pt>
                <c:pt idx="57">
                  <c:v>0.11899999999999999</c:v>
                </c:pt>
                <c:pt idx="58">
                  <c:v>0.121</c:v>
                </c:pt>
                <c:pt idx="59">
                  <c:v>0.123</c:v>
                </c:pt>
                <c:pt idx="60">
                  <c:v>0.125</c:v>
                </c:pt>
                <c:pt idx="61">
                  <c:v>0.127</c:v>
                </c:pt>
              </c:numCache>
            </c:numRef>
          </c:xVal>
          <c:yVal>
            <c:numRef>
              <c:f>'Thelmar data'!$D$2:$D$63</c:f>
              <c:numCache>
                <c:formatCode>General</c:formatCode>
                <c:ptCount val="62"/>
                <c:pt idx="0">
                  <c:v>2.5000000000000001E-3</c:v>
                </c:pt>
                <c:pt idx="1">
                  <c:v>5.0000000000000001E-3</c:v>
                </c:pt>
                <c:pt idx="2">
                  <c:v>1.14E-2</c:v>
                </c:pt>
                <c:pt idx="3">
                  <c:v>2.0299999999999999E-2</c:v>
                </c:pt>
                <c:pt idx="4">
                  <c:v>3.2199999999999999E-2</c:v>
                </c:pt>
                <c:pt idx="5">
                  <c:v>4.6600000000000003E-2</c:v>
                </c:pt>
                <c:pt idx="6">
                  <c:v>6.3899999999999998E-2</c:v>
                </c:pt>
                <c:pt idx="7">
                  <c:v>8.3900000000000002E-2</c:v>
                </c:pt>
                <c:pt idx="8">
                  <c:v>0.1069</c:v>
                </c:pt>
                <c:pt idx="9">
                  <c:v>0.1328</c:v>
                </c:pt>
                <c:pt idx="10">
                  <c:v>0.16159999999999999</c:v>
                </c:pt>
                <c:pt idx="11">
                  <c:v>0.22109999999999999</c:v>
                </c:pt>
                <c:pt idx="12">
                  <c:v>0.26140000000000002</c:v>
                </c:pt>
                <c:pt idx="13">
                  <c:v>0.36930000000000002</c:v>
                </c:pt>
                <c:pt idx="14">
                  <c:v>0.48980000000000001</c:v>
                </c:pt>
                <c:pt idx="15">
                  <c:v>0.60370000000000001</c:v>
                </c:pt>
                <c:pt idx="16">
                  <c:v>0.71319999999999995</c:v>
                </c:pt>
                <c:pt idx="17">
                  <c:v>0.8407</c:v>
                </c:pt>
                <c:pt idx="18">
                  <c:v>0.96679999999999999</c:v>
                </c:pt>
                <c:pt idx="19">
                  <c:v>1.1005</c:v>
                </c:pt>
                <c:pt idx="20">
                  <c:v>1.2467999999999999</c:v>
                </c:pt>
                <c:pt idx="21">
                  <c:v>1.3821000000000001</c:v>
                </c:pt>
                <c:pt idx="22">
                  <c:v>1.5306</c:v>
                </c:pt>
                <c:pt idx="23">
                  <c:v>1.6843999999999999</c:v>
                </c:pt>
                <c:pt idx="24">
                  <c:v>1.8433999999999999</c:v>
                </c:pt>
                <c:pt idx="25">
                  <c:v>2.0072999999999999</c:v>
                </c:pt>
                <c:pt idx="26">
                  <c:v>2.1755</c:v>
                </c:pt>
                <c:pt idx="27">
                  <c:v>2.3104</c:v>
                </c:pt>
                <c:pt idx="28">
                  <c:v>2.4851999999999999</c:v>
                </c:pt>
                <c:pt idx="29">
                  <c:v>2.6648000000000001</c:v>
                </c:pt>
                <c:pt idx="30">
                  <c:v>2.8483999999999998</c:v>
                </c:pt>
                <c:pt idx="31">
                  <c:v>3.0363000000000002</c:v>
                </c:pt>
                <c:pt idx="32">
                  <c:v>3.2282000000000002</c:v>
                </c:pt>
                <c:pt idx="33">
                  <c:v>3.4239999999999999</c:v>
                </c:pt>
                <c:pt idx="34">
                  <c:v>3.6242000000000001</c:v>
                </c:pt>
                <c:pt idx="35">
                  <c:v>3.8279000000000001</c:v>
                </c:pt>
                <c:pt idx="36">
                  <c:v>4.0350999999999999</c:v>
                </c:pt>
                <c:pt idx="37">
                  <c:v>4.2458999999999998</c:v>
                </c:pt>
                <c:pt idx="38">
                  <c:v>4.4604999999999997</c:v>
                </c:pt>
                <c:pt idx="39">
                  <c:v>4.6782000000000004</c:v>
                </c:pt>
                <c:pt idx="40">
                  <c:v>4.899</c:v>
                </c:pt>
                <c:pt idx="41">
                  <c:v>5.1233000000000004</c:v>
                </c:pt>
                <c:pt idx="42">
                  <c:v>5.3502999999999998</c:v>
                </c:pt>
                <c:pt idx="43">
                  <c:v>5.5807000000000002</c:v>
                </c:pt>
                <c:pt idx="44">
                  <c:v>5.8571</c:v>
                </c:pt>
                <c:pt idx="45">
                  <c:v>6.0994000000000002</c:v>
                </c:pt>
                <c:pt idx="46">
                  <c:v>6.3399000000000001</c:v>
                </c:pt>
                <c:pt idx="47">
                  <c:v>6.6101999999999999</c:v>
                </c:pt>
                <c:pt idx="48">
                  <c:v>6.8840000000000003</c:v>
                </c:pt>
                <c:pt idx="49">
                  <c:v>7.1345000000000001</c:v>
                </c:pt>
                <c:pt idx="50">
                  <c:v>7.3894000000000002</c:v>
                </c:pt>
                <c:pt idx="51">
                  <c:v>7.6405000000000003</c:v>
                </c:pt>
                <c:pt idx="52">
                  <c:v>7.8967999999999998</c:v>
                </c:pt>
                <c:pt idx="53">
                  <c:v>8.1547999999999998</c:v>
                </c:pt>
                <c:pt idx="54">
                  <c:v>8.4146000000000001</c:v>
                </c:pt>
                <c:pt idx="55">
                  <c:v>8.6760999999999999</c:v>
                </c:pt>
                <c:pt idx="56">
                  <c:v>8.9393999999999991</c:v>
                </c:pt>
                <c:pt idx="57">
                  <c:v>9.2040000000000006</c:v>
                </c:pt>
                <c:pt idx="58">
                  <c:v>9.4699000000000009</c:v>
                </c:pt>
                <c:pt idx="59">
                  <c:v>9.7371999999999996</c:v>
                </c:pt>
                <c:pt idx="60">
                  <c:v>10.005699999999999</c:v>
                </c:pt>
                <c:pt idx="61">
                  <c:v>10.275600000000001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40448"/>
        <c:axId val="493840840"/>
      </c:scatterChart>
      <c:valAx>
        <c:axId val="4938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40840"/>
        <c:crosses val="autoZero"/>
        <c:crossBetween val="midCat"/>
      </c:valAx>
      <c:valAx>
        <c:axId val="493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V-notch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'Thelmar data'!$B$2:$B$12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1.2999999999999999E-2</c:v>
                </c:pt>
                <c:pt idx="5">
                  <c:v>1.4999999999999999E-2</c:v>
                </c:pt>
                <c:pt idx="6">
                  <c:v>1.7000000000000001E-2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2.3E-2</c:v>
                </c:pt>
                <c:pt idx="10">
                  <c:v>2.5000000000000001E-2</c:v>
                </c:pt>
              </c:numCache>
            </c:numRef>
          </c:xVal>
          <c:yVal>
            <c:numRef>
              <c:f>'Thelmar data'!$D$2:$D$12</c:f>
              <c:numCache>
                <c:formatCode>General</c:formatCode>
                <c:ptCount val="11"/>
                <c:pt idx="0">
                  <c:v>2.5000000000000001E-3</c:v>
                </c:pt>
                <c:pt idx="1">
                  <c:v>5.0000000000000001E-3</c:v>
                </c:pt>
                <c:pt idx="2">
                  <c:v>1.14E-2</c:v>
                </c:pt>
                <c:pt idx="3">
                  <c:v>2.0299999999999999E-2</c:v>
                </c:pt>
                <c:pt idx="4">
                  <c:v>3.2199999999999999E-2</c:v>
                </c:pt>
                <c:pt idx="5">
                  <c:v>4.6600000000000003E-2</c:v>
                </c:pt>
                <c:pt idx="6">
                  <c:v>6.3899999999999998E-2</c:v>
                </c:pt>
                <c:pt idx="7">
                  <c:v>8.3900000000000002E-2</c:v>
                </c:pt>
                <c:pt idx="8">
                  <c:v>0.1069</c:v>
                </c:pt>
                <c:pt idx="9">
                  <c:v>0.1328</c:v>
                </c:pt>
                <c:pt idx="10">
                  <c:v>0.16159999999999999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96032"/>
        <c:axId val="311239040"/>
      </c:scatterChart>
      <c:valAx>
        <c:axId val="468596032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39040"/>
        <c:crosses val="autoZero"/>
        <c:crossBetween val="midCat"/>
      </c:valAx>
      <c:valAx>
        <c:axId val="311239040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'Thelmar data'!$B$12:$B$63</c:f>
              <c:numCache>
                <c:formatCode>General</c:formatCode>
                <c:ptCount val="52"/>
                <c:pt idx="0">
                  <c:v>2.5000000000000001E-2</c:v>
                </c:pt>
                <c:pt idx="1">
                  <c:v>2.7E-2</c:v>
                </c:pt>
                <c:pt idx="2">
                  <c:v>2.9000000000000001E-2</c:v>
                </c:pt>
                <c:pt idx="3">
                  <c:v>3.1E-2</c:v>
                </c:pt>
                <c:pt idx="4">
                  <c:v>3.3000000000000002E-2</c:v>
                </c:pt>
                <c:pt idx="5">
                  <c:v>3.5000000000000003E-2</c:v>
                </c:pt>
                <c:pt idx="6">
                  <c:v>3.6999999999999998E-2</c:v>
                </c:pt>
                <c:pt idx="7">
                  <c:v>3.9E-2</c:v>
                </c:pt>
                <c:pt idx="8">
                  <c:v>4.1000000000000002E-2</c:v>
                </c:pt>
                <c:pt idx="9">
                  <c:v>4.2999999999999997E-2</c:v>
                </c:pt>
                <c:pt idx="10">
                  <c:v>4.4999999999999998E-2</c:v>
                </c:pt>
                <c:pt idx="11">
                  <c:v>4.7E-2</c:v>
                </c:pt>
                <c:pt idx="12">
                  <c:v>4.9000000000000002E-2</c:v>
                </c:pt>
                <c:pt idx="13">
                  <c:v>5.0999999999999997E-2</c:v>
                </c:pt>
                <c:pt idx="14">
                  <c:v>5.2999999999999999E-2</c:v>
                </c:pt>
                <c:pt idx="15">
                  <c:v>5.5E-2</c:v>
                </c:pt>
                <c:pt idx="16">
                  <c:v>5.7000000000000002E-2</c:v>
                </c:pt>
                <c:pt idx="17">
                  <c:v>5.8999999999999997E-2</c:v>
                </c:pt>
                <c:pt idx="18">
                  <c:v>6.0999999999999999E-2</c:v>
                </c:pt>
                <c:pt idx="19">
                  <c:v>6.3E-2</c:v>
                </c:pt>
                <c:pt idx="20">
                  <c:v>6.5000000000000002E-2</c:v>
                </c:pt>
                <c:pt idx="21">
                  <c:v>6.7000000000000004E-2</c:v>
                </c:pt>
                <c:pt idx="22">
                  <c:v>6.9000000000000006E-2</c:v>
                </c:pt>
                <c:pt idx="23">
                  <c:v>7.0999999999999994E-2</c:v>
                </c:pt>
                <c:pt idx="24">
                  <c:v>7.2999999999999995E-2</c:v>
                </c:pt>
                <c:pt idx="25">
                  <c:v>7.4999999999999997E-2</c:v>
                </c:pt>
                <c:pt idx="26">
                  <c:v>7.6999999999999999E-2</c:v>
                </c:pt>
                <c:pt idx="27">
                  <c:v>7.9000000000000001E-2</c:v>
                </c:pt>
                <c:pt idx="28">
                  <c:v>8.1000000000000003E-2</c:v>
                </c:pt>
                <c:pt idx="29">
                  <c:v>8.3000000000000004E-2</c:v>
                </c:pt>
                <c:pt idx="30">
                  <c:v>8.5000000000000006E-2</c:v>
                </c:pt>
                <c:pt idx="31">
                  <c:v>8.6999999999999994E-2</c:v>
                </c:pt>
                <c:pt idx="32">
                  <c:v>8.8999999999999996E-2</c:v>
                </c:pt>
                <c:pt idx="33">
                  <c:v>9.0999999999999998E-2</c:v>
                </c:pt>
                <c:pt idx="34">
                  <c:v>9.2999999999999999E-2</c:v>
                </c:pt>
                <c:pt idx="35">
                  <c:v>9.5000000000000001E-2</c:v>
                </c:pt>
                <c:pt idx="36">
                  <c:v>9.7000000000000003E-2</c:v>
                </c:pt>
                <c:pt idx="37">
                  <c:v>9.9000000000000005E-2</c:v>
                </c:pt>
                <c:pt idx="38">
                  <c:v>0.10100000000000001</c:v>
                </c:pt>
                <c:pt idx="39">
                  <c:v>0.10299999999999999</c:v>
                </c:pt>
                <c:pt idx="40">
                  <c:v>0.105</c:v>
                </c:pt>
                <c:pt idx="41">
                  <c:v>0.107</c:v>
                </c:pt>
                <c:pt idx="42">
                  <c:v>0.109</c:v>
                </c:pt>
                <c:pt idx="43">
                  <c:v>0.111</c:v>
                </c:pt>
                <c:pt idx="44">
                  <c:v>0.113</c:v>
                </c:pt>
                <c:pt idx="45">
                  <c:v>0.115</c:v>
                </c:pt>
                <c:pt idx="46">
                  <c:v>0.11700000000000001</c:v>
                </c:pt>
                <c:pt idx="47">
                  <c:v>0.11899999999999999</c:v>
                </c:pt>
                <c:pt idx="48">
                  <c:v>0.121</c:v>
                </c:pt>
                <c:pt idx="49">
                  <c:v>0.123</c:v>
                </c:pt>
                <c:pt idx="50">
                  <c:v>0.125</c:v>
                </c:pt>
                <c:pt idx="51">
                  <c:v>0.127</c:v>
                </c:pt>
              </c:numCache>
            </c:numRef>
          </c:xVal>
          <c:yVal>
            <c:numRef>
              <c:f>'Thelmar data'!$D$12:$D$63</c:f>
              <c:numCache>
                <c:formatCode>General</c:formatCode>
                <c:ptCount val="52"/>
                <c:pt idx="0">
                  <c:v>0.16159999999999999</c:v>
                </c:pt>
                <c:pt idx="1">
                  <c:v>0.22109999999999999</c:v>
                </c:pt>
                <c:pt idx="2">
                  <c:v>0.26140000000000002</c:v>
                </c:pt>
                <c:pt idx="3">
                  <c:v>0.36930000000000002</c:v>
                </c:pt>
                <c:pt idx="4">
                  <c:v>0.48980000000000001</c:v>
                </c:pt>
                <c:pt idx="5">
                  <c:v>0.60370000000000001</c:v>
                </c:pt>
                <c:pt idx="6">
                  <c:v>0.71319999999999995</c:v>
                </c:pt>
                <c:pt idx="7">
                  <c:v>0.8407</c:v>
                </c:pt>
                <c:pt idx="8">
                  <c:v>0.96679999999999999</c:v>
                </c:pt>
                <c:pt idx="9">
                  <c:v>1.1005</c:v>
                </c:pt>
                <c:pt idx="10">
                  <c:v>1.2467999999999999</c:v>
                </c:pt>
                <c:pt idx="11">
                  <c:v>1.3821000000000001</c:v>
                </c:pt>
                <c:pt idx="12">
                  <c:v>1.5306</c:v>
                </c:pt>
                <c:pt idx="13">
                  <c:v>1.6843999999999999</c:v>
                </c:pt>
                <c:pt idx="14">
                  <c:v>1.8433999999999999</c:v>
                </c:pt>
                <c:pt idx="15">
                  <c:v>2.0072999999999999</c:v>
                </c:pt>
                <c:pt idx="16">
                  <c:v>2.1755</c:v>
                </c:pt>
                <c:pt idx="17">
                  <c:v>2.3104</c:v>
                </c:pt>
                <c:pt idx="18">
                  <c:v>2.4851999999999999</c:v>
                </c:pt>
                <c:pt idx="19">
                  <c:v>2.6648000000000001</c:v>
                </c:pt>
                <c:pt idx="20">
                  <c:v>2.8483999999999998</c:v>
                </c:pt>
                <c:pt idx="21">
                  <c:v>3.0363000000000002</c:v>
                </c:pt>
                <c:pt idx="22">
                  <c:v>3.2282000000000002</c:v>
                </c:pt>
                <c:pt idx="23">
                  <c:v>3.4239999999999999</c:v>
                </c:pt>
                <c:pt idx="24">
                  <c:v>3.6242000000000001</c:v>
                </c:pt>
                <c:pt idx="25">
                  <c:v>3.8279000000000001</c:v>
                </c:pt>
                <c:pt idx="26">
                  <c:v>4.0350999999999999</c:v>
                </c:pt>
                <c:pt idx="27">
                  <c:v>4.2458999999999998</c:v>
                </c:pt>
                <c:pt idx="28">
                  <c:v>4.4604999999999997</c:v>
                </c:pt>
                <c:pt idx="29">
                  <c:v>4.6782000000000004</c:v>
                </c:pt>
                <c:pt idx="30">
                  <c:v>4.899</c:v>
                </c:pt>
                <c:pt idx="31">
                  <c:v>5.1233000000000004</c:v>
                </c:pt>
                <c:pt idx="32">
                  <c:v>5.3502999999999998</c:v>
                </c:pt>
                <c:pt idx="33">
                  <c:v>5.5807000000000002</c:v>
                </c:pt>
                <c:pt idx="34">
                  <c:v>5.8571</c:v>
                </c:pt>
                <c:pt idx="35">
                  <c:v>6.0994000000000002</c:v>
                </c:pt>
                <c:pt idx="36">
                  <c:v>6.3399000000000001</c:v>
                </c:pt>
                <c:pt idx="37">
                  <c:v>6.6101999999999999</c:v>
                </c:pt>
                <c:pt idx="38">
                  <c:v>6.8840000000000003</c:v>
                </c:pt>
                <c:pt idx="39">
                  <c:v>7.1345000000000001</c:v>
                </c:pt>
                <c:pt idx="40">
                  <c:v>7.3894000000000002</c:v>
                </c:pt>
                <c:pt idx="41">
                  <c:v>7.6405000000000003</c:v>
                </c:pt>
                <c:pt idx="42">
                  <c:v>7.8967999999999998</c:v>
                </c:pt>
                <c:pt idx="43">
                  <c:v>8.1547999999999998</c:v>
                </c:pt>
                <c:pt idx="44">
                  <c:v>8.4146000000000001</c:v>
                </c:pt>
                <c:pt idx="45">
                  <c:v>8.6760999999999999</c:v>
                </c:pt>
                <c:pt idx="46">
                  <c:v>8.9393999999999991</c:v>
                </c:pt>
                <c:pt idx="47">
                  <c:v>9.2040000000000006</c:v>
                </c:pt>
                <c:pt idx="48">
                  <c:v>9.4699000000000009</c:v>
                </c:pt>
                <c:pt idx="49">
                  <c:v>9.7371999999999996</c:v>
                </c:pt>
                <c:pt idx="50">
                  <c:v>10.005699999999999</c:v>
                </c:pt>
                <c:pt idx="51">
                  <c:v>10.275600000000001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40064"/>
        <c:axId val="311240456"/>
      </c:scatterChart>
      <c:valAx>
        <c:axId val="3112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40456"/>
        <c:crosses val="autoZero"/>
        <c:crossBetween val="midCat"/>
      </c:valAx>
      <c:valAx>
        <c:axId val="3112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22</xdr:row>
      <xdr:rowOff>185738</xdr:rowOff>
    </xdr:from>
    <xdr:to>
      <xdr:col>16</xdr:col>
      <xdr:colOff>171450</xdr:colOff>
      <xdr:row>41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41</xdr:row>
      <xdr:rowOff>166687</xdr:rowOff>
    </xdr:from>
    <xdr:to>
      <xdr:col>19</xdr:col>
      <xdr:colOff>361950</xdr:colOff>
      <xdr:row>56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428625</xdr:colOff>
      <xdr:row>57</xdr:row>
      <xdr:rowOff>185737</xdr:rowOff>
    </xdr:from>
    <xdr:to>
      <xdr:col>25</xdr:col>
      <xdr:colOff>314325</xdr:colOff>
      <xdr:row>72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82</xdr:row>
      <xdr:rowOff>23812</xdr:rowOff>
    </xdr:from>
    <xdr:to>
      <xdr:col>18</xdr:col>
      <xdr:colOff>19050</xdr:colOff>
      <xdr:row>96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319087</xdr:colOff>
      <xdr:row>96</xdr:row>
      <xdr:rowOff>176212</xdr:rowOff>
    </xdr:from>
    <xdr:to>
      <xdr:col>18</xdr:col>
      <xdr:colOff>38100</xdr:colOff>
      <xdr:row>111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14</xdr:col>
      <xdr:colOff>209550</xdr:colOff>
      <xdr:row>37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12</xdr:col>
      <xdr:colOff>304800</xdr:colOff>
      <xdr:row>45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58616</xdr:colOff>
      <xdr:row>47</xdr:row>
      <xdr:rowOff>58615</xdr:rowOff>
    </xdr:from>
    <xdr:to>
      <xdr:col>12</xdr:col>
      <xdr:colOff>363416</xdr:colOff>
      <xdr:row>61</xdr:row>
      <xdr:rowOff>134815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1"/>
  <sheetViews>
    <sheetView tabSelected="1" topLeftCell="D110" workbookViewId="0">
      <selection activeCell="F124" sqref="F124"/>
    </sheetView>
  </sheetViews>
  <sheetFormatPr defaultRowHeight="15" x14ac:dyDescent="0.25"/>
  <cols>
    <col min="1" max="1" width="10.7109375" bestFit="1" customWidth="1"/>
    <col min="2" max="2" width="9.140625" style="4"/>
    <col min="3" max="3" width="10.42578125" style="3" customWidth="1"/>
    <col min="4" max="5" width="9.140625" style="3"/>
    <col min="6" max="6" width="9.140625" style="23"/>
    <col min="7" max="8" width="10.85546875" style="3" customWidth="1"/>
    <col min="9" max="9" width="9.140625" style="3"/>
    <col min="10" max="10" width="12.140625" style="3" customWidth="1"/>
    <col min="11" max="11" width="31.42578125" customWidth="1"/>
    <col min="12" max="12" width="12" bestFit="1" customWidth="1"/>
  </cols>
  <sheetData>
    <row r="1" spans="1:20" ht="45" x14ac:dyDescent="0.25">
      <c r="C1" s="3" t="s">
        <v>0</v>
      </c>
      <c r="D1" s="3" t="s">
        <v>1</v>
      </c>
      <c r="E1" s="3" t="s">
        <v>2</v>
      </c>
      <c r="G1" s="3" t="s">
        <v>3</v>
      </c>
      <c r="H1" s="3" t="s">
        <v>4</v>
      </c>
      <c r="J1" s="3" t="s">
        <v>5</v>
      </c>
      <c r="K1" s="3" t="s">
        <v>10</v>
      </c>
      <c r="L1" s="3" t="s">
        <v>11</v>
      </c>
      <c r="P1" s="8" t="s">
        <v>14</v>
      </c>
      <c r="Q1" s="9" t="s">
        <v>2</v>
      </c>
      <c r="R1" s="9"/>
      <c r="S1" s="9"/>
      <c r="T1" s="9"/>
    </row>
    <row r="2" spans="1:20" x14ac:dyDescent="0.25">
      <c r="A2" s="2">
        <v>43210</v>
      </c>
      <c r="C2" s="3">
        <v>4</v>
      </c>
      <c r="D2" s="3">
        <v>1.95</v>
      </c>
      <c r="E2" s="4">
        <f>C2/D2</f>
        <v>2.0512820512820515</v>
      </c>
      <c r="G2" s="3">
        <v>56730</v>
      </c>
      <c r="H2" s="4">
        <v>2.4851999999999999</v>
      </c>
      <c r="J2" s="5">
        <f>K2*0.3048</f>
        <v>9.3573600000000007E-2</v>
      </c>
      <c r="K2">
        <v>0.307</v>
      </c>
      <c r="L2" t="s">
        <v>9</v>
      </c>
      <c r="P2" s="1">
        <f>J2-0.035</f>
        <v>5.8573600000000003E-2</v>
      </c>
      <c r="Q2" s="4">
        <f>IF(P2&lt;0.029,353.7*P2*P2-2.6469*P2+0.0066,491.2*P2*P2+26.998*P2-0.9441)</f>
        <v>2.3225117350507518</v>
      </c>
      <c r="R2" s="4"/>
    </row>
    <row r="3" spans="1:20" x14ac:dyDescent="0.25">
      <c r="C3" s="3">
        <v>4</v>
      </c>
      <c r="D3" s="3">
        <v>1.93</v>
      </c>
      <c r="E3" s="4">
        <f t="shared" ref="E3:E10" si="0">C3/D3</f>
        <v>2.0725388601036272</v>
      </c>
      <c r="H3" s="4"/>
      <c r="J3" s="5">
        <f>K3*0.3048</f>
        <v>9.0525599999999998E-2</v>
      </c>
      <c r="K3">
        <v>0.29699999999999999</v>
      </c>
      <c r="P3" s="1">
        <f>J3-0.035</f>
        <v>5.5525599999999994E-2</v>
      </c>
      <c r="Q3" s="4">
        <f>IF(P3&lt;0.029,353.7*P3*P3-2.6469*P3+0.0066,491.2*P3*P3+26.998*P3-0.9441)</f>
        <v>2.0693950646328312</v>
      </c>
      <c r="R3" s="4"/>
      <c r="S3" s="3"/>
    </row>
    <row r="4" spans="1:20" x14ac:dyDescent="0.25">
      <c r="C4" s="3">
        <v>3.5</v>
      </c>
      <c r="D4" s="3">
        <v>1.41</v>
      </c>
      <c r="E4" s="4">
        <f t="shared" si="0"/>
        <v>2.4822695035460995</v>
      </c>
      <c r="H4" s="4"/>
      <c r="Q4" s="11">
        <f>AVERAGE(Q2:Q3)</f>
        <v>2.1959533998417915</v>
      </c>
      <c r="S4" s="3"/>
    </row>
    <row r="5" spans="1:20" x14ac:dyDescent="0.25">
      <c r="C5" s="3">
        <v>3.5</v>
      </c>
      <c r="D5" s="3">
        <v>1.56</v>
      </c>
      <c r="E5" s="4">
        <f t="shared" si="0"/>
        <v>2.2435897435897436</v>
      </c>
      <c r="H5" s="4"/>
    </row>
    <row r="6" spans="1:20" x14ac:dyDescent="0.25">
      <c r="C6" s="3">
        <v>3</v>
      </c>
      <c r="D6" s="3">
        <v>1.27</v>
      </c>
      <c r="E6" s="4">
        <f t="shared" si="0"/>
        <v>2.3622047244094486</v>
      </c>
      <c r="H6" s="4"/>
    </row>
    <row r="7" spans="1:20" x14ac:dyDescent="0.25">
      <c r="E7" s="11">
        <f>AVERAGE(E2:E6)</f>
        <v>2.2423769765861943</v>
      </c>
      <c r="H7" s="4"/>
      <c r="P7" s="1"/>
      <c r="Q7" s="4"/>
      <c r="R7" s="4"/>
    </row>
    <row r="8" spans="1:20" x14ac:dyDescent="0.25">
      <c r="H8" s="4"/>
      <c r="J8" s="5">
        <f t="shared" ref="J8:J13" si="1">K8*0.3048</f>
        <v>0.19842480000000001</v>
      </c>
      <c r="K8">
        <v>0.65100000000000002</v>
      </c>
      <c r="L8" s="7">
        <v>0.60972222222222217</v>
      </c>
      <c r="P8" s="1">
        <f>J8-0.035</f>
        <v>0.16342480000000001</v>
      </c>
      <c r="Q8" s="4">
        <f>IF(P8&lt;0.029,353.7*P8*P8-2.6469*P8+0.0066,491.2*P8*P8+26.998*P8-0.9441)</f>
        <v>16.586847923675652</v>
      </c>
      <c r="R8" s="4"/>
    </row>
    <row r="9" spans="1:20" x14ac:dyDescent="0.25">
      <c r="A9" s="2">
        <v>43216</v>
      </c>
      <c r="C9" s="3" t="s">
        <v>17</v>
      </c>
      <c r="E9" s="4" t="s">
        <v>6</v>
      </c>
      <c r="H9" s="4"/>
      <c r="J9" s="5">
        <f t="shared" si="1"/>
        <v>0.17739359999999998</v>
      </c>
      <c r="K9">
        <v>0.58199999999999996</v>
      </c>
      <c r="L9" s="7">
        <v>0.6333333333333333</v>
      </c>
      <c r="P9" s="1">
        <f>J9-0.035</f>
        <v>0.14239359999999998</v>
      </c>
      <c r="Q9" s="4">
        <f>IF(P9&lt;0.029,353.7*P9*P9-2.6469*P9+0.0066,491.2*P9*P9+26.998*P9-0.9441)</f>
        <v>12.859782824855548</v>
      </c>
      <c r="R9" s="4"/>
    </row>
    <row r="10" spans="1:20" x14ac:dyDescent="0.25">
      <c r="C10" s="6">
        <v>17</v>
      </c>
      <c r="D10" s="3">
        <v>2</v>
      </c>
      <c r="E10" s="4">
        <f t="shared" si="0"/>
        <v>8.5</v>
      </c>
      <c r="G10" s="3" t="s">
        <v>7</v>
      </c>
      <c r="H10" s="4"/>
      <c r="J10" s="5">
        <f t="shared" si="1"/>
        <v>0.17830799999999999</v>
      </c>
      <c r="K10">
        <v>0.58499999999999996</v>
      </c>
      <c r="L10" s="7">
        <v>0.65277777777777779</v>
      </c>
      <c r="P10" s="1">
        <f>J10-0.035</f>
        <v>0.14330799999999999</v>
      </c>
      <c r="Q10" s="4">
        <f>IF(P10&lt;0.029,353.7*P10*P10-2.6469*P10+0.0066,491.2*P10*P10+26.998*P10-0.9441)</f>
        <v>13.012793606796796</v>
      </c>
      <c r="R10" s="4"/>
    </row>
    <row r="11" spans="1:20" x14ac:dyDescent="0.25">
      <c r="H11" s="4"/>
      <c r="J11" s="5" t="s">
        <v>6</v>
      </c>
      <c r="P11" s="1"/>
      <c r="Q11" s="4"/>
      <c r="R11" s="4"/>
    </row>
    <row r="12" spans="1:20" x14ac:dyDescent="0.25">
      <c r="A12" s="2">
        <v>43218</v>
      </c>
      <c r="C12" s="3" t="s">
        <v>18</v>
      </c>
      <c r="D12" s="3">
        <v>6.16</v>
      </c>
      <c r="E12" s="4">
        <f>C$10/D12</f>
        <v>2.7597402597402598</v>
      </c>
      <c r="G12" s="3">
        <v>60830</v>
      </c>
      <c r="H12" s="4">
        <v>2.6648000000000001</v>
      </c>
      <c r="J12" s="5">
        <f t="shared" si="1"/>
        <v>9.6316800000000008E-2</v>
      </c>
      <c r="K12">
        <v>0.316</v>
      </c>
      <c r="L12" s="7">
        <v>0.5625</v>
      </c>
      <c r="P12" s="1">
        <f>J12-0.035</f>
        <v>6.1316800000000005E-2</v>
      </c>
      <c r="Q12" s="4">
        <f>IF(P12&lt;0.029,353.7*P12*P12-2.6469*P12+0.0066,491.2*P12*P12+26.998*P12-0.9441)</f>
        <v>2.5581201478522879</v>
      </c>
      <c r="R12" s="4"/>
    </row>
    <row r="13" spans="1:20" x14ac:dyDescent="0.25">
      <c r="D13" s="3">
        <v>6.12</v>
      </c>
      <c r="E13" s="4">
        <f t="shared" ref="E13:E22" si="2">C$10/D13</f>
        <v>2.7777777777777777</v>
      </c>
      <c r="H13" s="4"/>
      <c r="J13" s="5">
        <f t="shared" si="1"/>
        <v>9.4488000000000003E-2</v>
      </c>
      <c r="K13">
        <v>0.31</v>
      </c>
      <c r="P13" s="1">
        <f>J13-0.035</f>
        <v>5.9487999999999999E-2</v>
      </c>
      <c r="Q13" s="4">
        <f>IF(P13&lt;0.029,353.7*P13*P13-2.6469*P13+0.0066,491.2*P13*P13+26.998*P13-0.9441)</f>
        <v>2.4002264611327999</v>
      </c>
      <c r="R13" s="4"/>
    </row>
    <row r="14" spans="1:20" x14ac:dyDescent="0.25">
      <c r="D14" s="3">
        <v>6.05</v>
      </c>
      <c r="E14" s="4">
        <f t="shared" si="2"/>
        <v>2.8099173553719008</v>
      </c>
      <c r="H14" s="4"/>
      <c r="P14" s="1" t="s">
        <v>6</v>
      </c>
      <c r="Q14" s="11">
        <f>AVERAGE(Q12:Q13)</f>
        <v>2.4791733044925439</v>
      </c>
      <c r="R14" s="4"/>
    </row>
    <row r="15" spans="1:20" x14ac:dyDescent="0.25">
      <c r="D15" s="3">
        <v>6.28</v>
      </c>
      <c r="E15" s="4">
        <f t="shared" si="2"/>
        <v>2.7070063694267517</v>
      </c>
      <c r="H15" s="4"/>
      <c r="P15" s="1"/>
    </row>
    <row r="16" spans="1:20" x14ac:dyDescent="0.25">
      <c r="E16" s="11">
        <f>AVERAGE(E12:E15)</f>
        <v>2.7636104405791726</v>
      </c>
      <c r="H16" s="4"/>
      <c r="P16" s="1"/>
      <c r="Q16" s="4"/>
      <c r="R16" s="4"/>
    </row>
    <row r="17" spans="1:24" x14ac:dyDescent="0.25">
      <c r="A17" s="2">
        <v>43223</v>
      </c>
      <c r="D17" s="3">
        <v>7.6</v>
      </c>
      <c r="E17" s="4">
        <f t="shared" si="2"/>
        <v>2.236842105263158</v>
      </c>
      <c r="G17" s="3">
        <v>45820</v>
      </c>
      <c r="H17" s="4">
        <v>2.0072999999999999</v>
      </c>
      <c r="J17" s="3">
        <v>5.5E-2</v>
      </c>
      <c r="L17" s="7">
        <v>0.56388888888888888</v>
      </c>
      <c r="M17" t="s">
        <v>8</v>
      </c>
      <c r="P17" s="1">
        <f>J17</f>
        <v>5.5E-2</v>
      </c>
      <c r="Q17" s="4">
        <f>IF(P17&lt;0.029,353.7*P17*P17-2.6469*P17+0.0066,491.2*P17*P17+26.998*P17-0.9441)</f>
        <v>2.0266699999999997</v>
      </c>
      <c r="R17" s="4"/>
    </row>
    <row r="18" spans="1:24" x14ac:dyDescent="0.25">
      <c r="D18" s="3">
        <v>7.65</v>
      </c>
      <c r="E18" s="4">
        <f t="shared" si="2"/>
        <v>2.2222222222222223</v>
      </c>
      <c r="H18" s="4"/>
      <c r="P18" s="1"/>
    </row>
    <row r="19" spans="1:24" x14ac:dyDescent="0.25">
      <c r="E19" s="11">
        <f>AVERAGE(E17:E18)</f>
        <v>2.2295321637426904</v>
      </c>
      <c r="H19" s="4"/>
      <c r="P19" s="1"/>
      <c r="Q19" s="4"/>
      <c r="R19" s="4"/>
    </row>
    <row r="20" spans="1:24" x14ac:dyDescent="0.25">
      <c r="A20" s="2">
        <v>43229</v>
      </c>
      <c r="D20" s="3">
        <v>15.34</v>
      </c>
      <c r="E20" s="4">
        <f t="shared" si="2"/>
        <v>1.1082138200782268</v>
      </c>
      <c r="G20" s="3">
        <v>28460</v>
      </c>
      <c r="H20" s="4">
        <v>1.2467999999999999</v>
      </c>
      <c r="J20" s="3">
        <v>4.2999999999999997E-2</v>
      </c>
      <c r="L20" s="7">
        <v>0.57291666666666663</v>
      </c>
      <c r="P20" s="1">
        <f>J20</f>
        <v>4.2999999999999997E-2</v>
      </c>
      <c r="Q20" s="4">
        <f>IF(P20&lt;0.029,353.7*P20*P20-2.6469*P20+0.0066,491.2*P20*P20+26.998*P20-0.9441)</f>
        <v>1.1250427999999997</v>
      </c>
      <c r="R20" s="4"/>
    </row>
    <row r="21" spans="1:24" x14ac:dyDescent="0.25">
      <c r="A21" s="2">
        <v>43235</v>
      </c>
      <c r="D21" s="3">
        <v>38.5</v>
      </c>
      <c r="E21" s="4">
        <f t="shared" si="2"/>
        <v>0.44155844155844154</v>
      </c>
      <c r="G21" s="3">
        <v>13780</v>
      </c>
      <c r="H21" s="4">
        <v>0.60370000000000001</v>
      </c>
      <c r="J21" s="3">
        <v>3.3000000000000002E-2</v>
      </c>
      <c r="L21" s="7">
        <v>0.36805555555555558</v>
      </c>
      <c r="P21" s="1">
        <f>J21</f>
        <v>3.3000000000000002E-2</v>
      </c>
      <c r="Q21" s="4">
        <f>IF(P21&lt;0.029,353.7*P21*P21-2.6469*P21+0.0066,491.2*P21*P21+26.998*P21-0.9441)</f>
        <v>0.48175080000000003</v>
      </c>
    </row>
    <row r="22" spans="1:24" x14ac:dyDescent="0.25">
      <c r="A22" s="2">
        <v>43242</v>
      </c>
      <c r="D22" s="3">
        <v>97.4</v>
      </c>
      <c r="E22" s="4">
        <f t="shared" si="2"/>
        <v>0.17453798767967144</v>
      </c>
      <c r="G22" s="3">
        <v>5046</v>
      </c>
      <c r="H22" s="4">
        <v>0.22109999999999999</v>
      </c>
      <c r="J22" s="3">
        <v>2.7E-2</v>
      </c>
      <c r="L22" s="7">
        <v>0.38194444444444442</v>
      </c>
      <c r="P22" s="1">
        <f>J22</f>
        <v>2.7E-2</v>
      </c>
      <c r="Q22" s="4">
        <f>IF(P22&lt;0.029,353.7*P22*P22-2.6469*P22+0.0066,491.2*P22*P22+26.998*P22-0.9441)</f>
        <v>0.19298100000000001</v>
      </c>
      <c r="R22" s="5"/>
    </row>
    <row r="23" spans="1:24" x14ac:dyDescent="0.25">
      <c r="H23" s="4"/>
      <c r="U23" s="19" t="s">
        <v>33</v>
      </c>
      <c r="V23" s="19"/>
      <c r="W23" s="19"/>
      <c r="X23" s="19"/>
    </row>
    <row r="24" spans="1:24" x14ac:dyDescent="0.25">
      <c r="E24" s="3">
        <f>5*0.946353</f>
        <v>4.7317650000000002</v>
      </c>
      <c r="F24" s="23" t="s">
        <v>24</v>
      </c>
      <c r="U24" s="19" t="s">
        <v>34</v>
      </c>
      <c r="V24" s="19">
        <v>1.8540000000000001</v>
      </c>
      <c r="W24" s="19">
        <f>V24/2</f>
        <v>0.92700000000000005</v>
      </c>
      <c r="X24" s="19"/>
    </row>
    <row r="25" spans="1:24" x14ac:dyDescent="0.25">
      <c r="U25" s="19" t="s">
        <v>35</v>
      </c>
      <c r="V25" s="19">
        <v>3.7450000000000001</v>
      </c>
      <c r="W25" s="19">
        <f>V25/4</f>
        <v>0.93625000000000003</v>
      </c>
      <c r="X25" s="19"/>
    </row>
    <row r="26" spans="1:24" x14ac:dyDescent="0.25">
      <c r="B26" s="4" t="s">
        <v>20</v>
      </c>
      <c r="C26" s="3" t="s">
        <v>37</v>
      </c>
      <c r="D26" s="3" t="s">
        <v>21</v>
      </c>
      <c r="E26" s="3" t="s">
        <v>22</v>
      </c>
      <c r="F26" s="23" t="s">
        <v>22</v>
      </c>
      <c r="G26" s="3" t="s">
        <v>21</v>
      </c>
      <c r="U26" s="19"/>
      <c r="V26" s="19"/>
      <c r="W26" s="20">
        <f>AVERAGE(W24:W25)</f>
        <v>0.93162500000000004</v>
      </c>
      <c r="X26" s="19" t="s">
        <v>36</v>
      </c>
    </row>
    <row r="27" spans="1:24" x14ac:dyDescent="0.25">
      <c r="A27" s="22" t="s">
        <v>38</v>
      </c>
      <c r="B27" s="4" t="s">
        <v>2</v>
      </c>
      <c r="C27" s="3" t="s">
        <v>2</v>
      </c>
      <c r="D27" s="3" t="s">
        <v>2</v>
      </c>
      <c r="E27" s="3" t="s">
        <v>2</v>
      </c>
      <c r="F27" s="23" t="s">
        <v>15</v>
      </c>
      <c r="G27" s="3" t="s">
        <v>23</v>
      </c>
    </row>
    <row r="28" spans="1:24" x14ac:dyDescent="0.25">
      <c r="A28" s="2">
        <v>43210</v>
      </c>
      <c r="B28" s="18">
        <v>2.2423769765861943</v>
      </c>
      <c r="C28" s="18">
        <f>B28*W26</f>
        <v>2.0890544508121134</v>
      </c>
      <c r="D28" s="4">
        <v>2.4851999999999999</v>
      </c>
      <c r="E28" s="4">
        <v>2.1959533998417915</v>
      </c>
      <c r="F28" s="23">
        <v>5.8573600000000003E-2</v>
      </c>
      <c r="G28" s="3">
        <v>56730</v>
      </c>
    </row>
    <row r="29" spans="1:24" x14ac:dyDescent="0.25">
      <c r="A29" s="2">
        <v>43216</v>
      </c>
      <c r="B29" s="4">
        <v>8.5</v>
      </c>
      <c r="D29" s="4"/>
      <c r="E29" s="4"/>
      <c r="F29" s="23">
        <v>0.17</v>
      </c>
      <c r="G29" s="3" t="s">
        <v>7</v>
      </c>
    </row>
    <row r="30" spans="1:24" x14ac:dyDescent="0.25">
      <c r="A30" s="2">
        <v>43218</v>
      </c>
      <c r="B30" s="4">
        <v>2.7636104405791726</v>
      </c>
      <c r="D30" s="4">
        <v>2.6648000000000001</v>
      </c>
      <c r="E30" s="4">
        <v>2.4791733044925439</v>
      </c>
      <c r="F30" s="23">
        <v>6.1316800000000005E-2</v>
      </c>
      <c r="G30" s="3">
        <v>60830</v>
      </c>
    </row>
    <row r="31" spans="1:24" x14ac:dyDescent="0.25">
      <c r="A31" s="2">
        <v>43223</v>
      </c>
      <c r="B31" s="4">
        <v>2.2295321637426904</v>
      </c>
      <c r="D31" s="4">
        <v>2.0072999999999999</v>
      </c>
      <c r="E31" s="4">
        <v>2.0266699999999997</v>
      </c>
      <c r="F31" s="23">
        <v>5.5E-2</v>
      </c>
      <c r="G31" s="3">
        <v>45820</v>
      </c>
    </row>
    <row r="32" spans="1:24" x14ac:dyDescent="0.25">
      <c r="A32" s="2">
        <v>43229</v>
      </c>
      <c r="B32" s="4">
        <v>1.1082138200782268</v>
      </c>
      <c r="D32" s="4">
        <v>1.2467999999999999</v>
      </c>
      <c r="E32" s="4">
        <v>1.1250427999999997</v>
      </c>
      <c r="F32" s="23">
        <v>4.2999999999999997E-2</v>
      </c>
      <c r="G32" s="3">
        <v>28460</v>
      </c>
    </row>
    <row r="33" spans="1:14" x14ac:dyDescent="0.25">
      <c r="A33" s="2">
        <v>43235</v>
      </c>
      <c r="B33" s="4">
        <v>0.44155844155844154</v>
      </c>
      <c r="D33" s="4">
        <v>0.60370000000000001</v>
      </c>
      <c r="E33" s="4">
        <v>0.48175080000000003</v>
      </c>
      <c r="F33" s="23">
        <v>3.3000000000000002E-2</v>
      </c>
      <c r="G33" s="3">
        <v>13780</v>
      </c>
    </row>
    <row r="34" spans="1:14" x14ac:dyDescent="0.25">
      <c r="A34" s="2">
        <v>43242</v>
      </c>
      <c r="B34" s="4">
        <v>0.17453798767967144</v>
      </c>
      <c r="D34" s="4">
        <v>0.22109999999999999</v>
      </c>
      <c r="E34" s="4">
        <v>0.19298100000000001</v>
      </c>
      <c r="F34" s="23">
        <v>2.7E-2</v>
      </c>
      <c r="G34" s="3">
        <v>5046</v>
      </c>
    </row>
    <row r="35" spans="1:14" x14ac:dyDescent="0.25">
      <c r="A35" s="2">
        <v>43249</v>
      </c>
      <c r="B35" s="4">
        <f>17/184</f>
        <v>9.2391304347826081E-2</v>
      </c>
      <c r="C35" s="4"/>
      <c r="D35" s="4"/>
      <c r="E35" s="5"/>
      <c r="F35" s="23">
        <v>2.3E-2</v>
      </c>
      <c r="G35" s="3">
        <v>2440</v>
      </c>
    </row>
    <row r="36" spans="1:14" x14ac:dyDescent="0.25">
      <c r="A36" s="2">
        <v>43258</v>
      </c>
      <c r="C36" s="18">
        <f>4*0.93/115</f>
        <v>3.2347826086956522E-2</v>
      </c>
      <c r="D36" s="4"/>
      <c r="E36" s="5"/>
      <c r="F36" s="23">
        <v>2.3E-2</v>
      </c>
      <c r="G36" s="3">
        <v>1458</v>
      </c>
    </row>
    <row r="37" spans="1:14" x14ac:dyDescent="0.25">
      <c r="A37" s="21">
        <v>43263</v>
      </c>
      <c r="C37" s="18">
        <f>0.932*2/56</f>
        <v>3.3285714285714287E-2</v>
      </c>
      <c r="D37" s="4"/>
      <c r="E37" s="5"/>
      <c r="F37" s="23">
        <v>2.8000000000000001E-2</v>
      </c>
      <c r="G37" s="3">
        <v>1916</v>
      </c>
    </row>
    <row r="38" spans="1:14" x14ac:dyDescent="0.25">
      <c r="A38" s="2">
        <v>43269</v>
      </c>
      <c r="C38" s="4"/>
      <c r="D38" s="4"/>
      <c r="E38" s="5"/>
      <c r="F38" s="23">
        <v>3.6999999999999998E-2</v>
      </c>
      <c r="G38" s="3">
        <v>1458</v>
      </c>
    </row>
    <row r="39" spans="1:14" x14ac:dyDescent="0.25">
      <c r="A39" s="21">
        <v>43270</v>
      </c>
      <c r="C39" s="18">
        <f>0.932*1/41.5</f>
        <v>2.2457831325301207E-2</v>
      </c>
      <c r="D39" s="4"/>
      <c r="E39" s="5"/>
      <c r="F39" s="23">
        <v>3.5999999999999997E-2</v>
      </c>
      <c r="G39" s="3">
        <v>1458</v>
      </c>
    </row>
    <row r="40" spans="1:14" x14ac:dyDescent="0.25">
      <c r="A40" s="21">
        <v>43273</v>
      </c>
      <c r="C40" s="4" t="s">
        <v>7</v>
      </c>
      <c r="D40" s="4"/>
      <c r="E40" s="5"/>
      <c r="F40" s="23">
        <v>3.3000000000000002E-2</v>
      </c>
      <c r="G40" s="3">
        <v>735</v>
      </c>
    </row>
    <row r="41" spans="1:14" x14ac:dyDescent="0.25">
      <c r="A41" s="21">
        <v>43277</v>
      </c>
      <c r="C41" s="4" t="s">
        <v>7</v>
      </c>
      <c r="D41" s="4"/>
      <c r="E41" s="5"/>
      <c r="F41" s="23">
        <v>3.5999999999999997E-2</v>
      </c>
      <c r="G41" s="3">
        <v>57</v>
      </c>
    </row>
    <row r="42" spans="1:14" x14ac:dyDescent="0.25">
      <c r="A42" s="2"/>
      <c r="B42" s="4" t="s">
        <v>20</v>
      </c>
      <c r="C42" s="4" t="s">
        <v>37</v>
      </c>
      <c r="D42" s="4" t="s">
        <v>25</v>
      </c>
      <c r="E42" s="3" t="s">
        <v>25</v>
      </c>
      <c r="F42" s="23" t="s">
        <v>27</v>
      </c>
      <c r="G42" s="3" t="s">
        <v>21</v>
      </c>
      <c r="H42" s="3" t="s">
        <v>22</v>
      </c>
      <c r="I42" s="3" t="s">
        <v>22</v>
      </c>
      <c r="J42" s="3" t="s">
        <v>21</v>
      </c>
    </row>
    <row r="43" spans="1:14" x14ac:dyDescent="0.25">
      <c r="B43" s="4" t="s">
        <v>2</v>
      </c>
      <c r="C43" s="4" t="s">
        <v>2</v>
      </c>
      <c r="D43" s="4" t="s">
        <v>2</v>
      </c>
      <c r="E43" s="3" t="s">
        <v>15</v>
      </c>
      <c r="F43" s="23" t="s">
        <v>15</v>
      </c>
      <c r="G43" s="3" t="s">
        <v>2</v>
      </c>
      <c r="H43" s="3" t="s">
        <v>2</v>
      </c>
      <c r="I43" s="3" t="s">
        <v>15</v>
      </c>
      <c r="J43" s="3" t="s">
        <v>23</v>
      </c>
      <c r="K43" s="3"/>
    </row>
    <row r="44" spans="1:14" x14ac:dyDescent="0.25">
      <c r="A44" s="2">
        <v>43408</v>
      </c>
      <c r="B44" s="4">
        <f>21/20.26</f>
        <v>1.0365251727541953</v>
      </c>
      <c r="C44" s="4">
        <f>1.1*B44</f>
        <v>1.140177690029615</v>
      </c>
      <c r="D44" s="4">
        <f>IF(E44&lt;0.029,353.7*E44*E44-2.6469*E44+0.0066,491.2*E44*E44+26.998*E44-0.9441)</f>
        <v>1.0562928</v>
      </c>
      <c r="E44" s="3">
        <f>I44+F44</f>
        <v>4.2000000000000003E-2</v>
      </c>
      <c r="F44" s="23">
        <v>-6.0000000000000001E-3</v>
      </c>
      <c r="G44" s="4">
        <f t="shared" ref="G44:G66" si="3">J44/22824.5</f>
        <v>1.100571754036233</v>
      </c>
      <c r="H44" s="4">
        <f t="shared" ref="H44:H66" si="4">IF(I44&lt;0.029,353.7*I44*I44-2.6469*I44+0.0066,491.2*I44*I44+26.998*I44-0.9441)</f>
        <v>1.4835287999999998</v>
      </c>
      <c r="I44" s="3">
        <v>4.8000000000000001E-2</v>
      </c>
      <c r="J44" s="3">
        <v>25120</v>
      </c>
      <c r="K44" s="3"/>
      <c r="L44" s="3"/>
      <c r="N44" s="3"/>
    </row>
    <row r="45" spans="1:14" x14ac:dyDescent="0.25">
      <c r="A45" s="21">
        <v>43411</v>
      </c>
      <c r="B45" s="4">
        <f>21/13</f>
        <v>1.6153846153846154</v>
      </c>
      <c r="C45" s="4">
        <f>1.1*B45</f>
        <v>1.776923076923077</v>
      </c>
      <c r="D45" s="4">
        <f t="shared" ref="D45:D64" si="5">IF(E45&lt;0.029,353.7*E45*E45-2.6469*E45+0.0066,491.2*E45*E45+26.998*E45-0.9441)</f>
        <v>1.6338000000000004</v>
      </c>
      <c r="E45" s="3">
        <f t="shared" ref="E45:E64" si="6">I45+F45</f>
        <v>0.05</v>
      </c>
      <c r="F45" s="23">
        <v>-6.0000000000000001E-3</v>
      </c>
      <c r="G45" s="4">
        <f t="shared" si="3"/>
        <v>2.0074919494402943</v>
      </c>
      <c r="H45" s="4">
        <f t="shared" si="4"/>
        <v>2.1081911999999998</v>
      </c>
      <c r="I45" s="3">
        <v>5.6000000000000001E-2</v>
      </c>
      <c r="J45" s="3">
        <v>45820</v>
      </c>
      <c r="K45" s="3"/>
      <c r="L45" s="3"/>
      <c r="N45" s="3"/>
    </row>
    <row r="46" spans="1:14" x14ac:dyDescent="0.25">
      <c r="A46" s="2">
        <v>43416</v>
      </c>
      <c r="B46" s="4">
        <f>17/18.74</f>
        <v>0.90715048025613665</v>
      </c>
      <c r="C46" s="4">
        <f>23.1/17*B46</f>
        <v>1.2326574172892211</v>
      </c>
      <c r="D46" s="4">
        <f t="shared" si="5"/>
        <v>1.0562928</v>
      </c>
      <c r="E46" s="3">
        <f t="shared" si="6"/>
        <v>4.2000000000000003E-2</v>
      </c>
      <c r="F46" s="23">
        <v>-6.0000000000000001E-3</v>
      </c>
      <c r="G46" s="4">
        <f t="shared" si="3"/>
        <v>1.100571754036233</v>
      </c>
      <c r="H46" s="4">
        <f t="shared" si="4"/>
        <v>1.4835287999999998</v>
      </c>
      <c r="I46" s="3">
        <v>4.8000000000000001E-2</v>
      </c>
      <c r="J46" s="3">
        <v>25120</v>
      </c>
      <c r="K46" s="3"/>
      <c r="L46" s="3"/>
      <c r="N46" s="3"/>
    </row>
    <row r="47" spans="1:14" x14ac:dyDescent="0.25">
      <c r="A47" s="21">
        <v>43422</v>
      </c>
      <c r="B47" s="4">
        <f>4.731765/11.5</f>
        <v>0.41145782608695652</v>
      </c>
      <c r="C47" s="18">
        <f>B47*0.932</f>
        <v>0.38347869391304351</v>
      </c>
      <c r="D47" s="4">
        <f t="shared" si="5"/>
        <v>0.30791999999999986</v>
      </c>
      <c r="E47" s="3">
        <f t="shared" si="6"/>
        <v>0.03</v>
      </c>
      <c r="F47" s="23">
        <v>-6.0000000000000001E-3</v>
      </c>
      <c r="G47" s="4">
        <f t="shared" si="3"/>
        <v>0.7132686367718899</v>
      </c>
      <c r="H47" s="4">
        <f t="shared" si="4"/>
        <v>0.66442319999999999</v>
      </c>
      <c r="I47" s="3">
        <v>3.5999999999999997E-2</v>
      </c>
      <c r="J47" s="3">
        <v>16280</v>
      </c>
      <c r="K47" s="3"/>
      <c r="L47" s="3"/>
      <c r="N47" s="3"/>
    </row>
    <row r="48" spans="1:14" x14ac:dyDescent="0.25">
      <c r="A48" s="2">
        <v>43437</v>
      </c>
      <c r="B48" s="4">
        <f>17/2.19</f>
        <v>7.762557077625571</v>
      </c>
      <c r="C48" s="4">
        <f t="shared" ref="C48:C49" si="7">23.1/17*B48</f>
        <v>10.547945205479452</v>
      </c>
      <c r="D48" s="4">
        <f t="shared" si="5"/>
        <v>7.7010408000000004</v>
      </c>
      <c r="E48" s="3">
        <f t="shared" si="6"/>
        <v>0.108</v>
      </c>
      <c r="F48" s="23">
        <v>-6.0000000000000001E-3</v>
      </c>
      <c r="G48" s="4">
        <f t="shared" si="3"/>
        <v>8.9403929987513422</v>
      </c>
      <c r="H48" s="4">
        <f t="shared" si="4"/>
        <v>8.5173071999999994</v>
      </c>
      <c r="I48" s="3">
        <v>0.114</v>
      </c>
      <c r="J48" s="3">
        <v>204060</v>
      </c>
      <c r="K48" s="3"/>
      <c r="L48" s="3"/>
      <c r="N48" s="3"/>
    </row>
    <row r="49" spans="1:14" x14ac:dyDescent="0.25">
      <c r="A49" s="2">
        <v>43444</v>
      </c>
      <c r="B49" s="4">
        <f>17/42.36</f>
        <v>0.40132200188857414</v>
      </c>
      <c r="C49" s="4">
        <f t="shared" si="7"/>
        <v>0.54532577903682722</v>
      </c>
      <c r="D49" s="4">
        <f t="shared" si="5"/>
        <v>0.4228248</v>
      </c>
      <c r="E49" s="3">
        <f t="shared" si="6"/>
        <v>3.2000000000000001E-2</v>
      </c>
      <c r="F49" s="23">
        <v>-6.0000000000000001E-3</v>
      </c>
      <c r="G49" s="4">
        <f t="shared" si="3"/>
        <v>0.60373721220618193</v>
      </c>
      <c r="H49" s="4">
        <f t="shared" si="4"/>
        <v>0.79111679999999984</v>
      </c>
      <c r="I49" s="3">
        <v>3.7999999999999999E-2</v>
      </c>
      <c r="J49" s="3">
        <v>13780</v>
      </c>
      <c r="K49" s="3"/>
      <c r="L49" s="3"/>
      <c r="N49" s="3"/>
    </row>
    <row r="50" spans="1:14" x14ac:dyDescent="0.25">
      <c r="A50" s="2">
        <v>43447</v>
      </c>
      <c r="B50" s="4">
        <f>4/18</f>
        <v>0.22222222222222221</v>
      </c>
      <c r="C50" s="18">
        <f>B50*0.932</f>
        <v>0.20711111111111111</v>
      </c>
      <c r="D50" s="4">
        <f t="shared" si="5"/>
        <v>0.16148999999999997</v>
      </c>
      <c r="E50" s="3">
        <f t="shared" si="6"/>
        <v>2.5000000000000001E-2</v>
      </c>
      <c r="F50" s="23">
        <v>-6.0000000000000001E-3</v>
      </c>
      <c r="G50" s="4">
        <f t="shared" si="3"/>
        <v>0.36929615106574076</v>
      </c>
      <c r="H50" s="4">
        <f t="shared" si="4"/>
        <v>0.36488120000000002</v>
      </c>
      <c r="I50" s="3">
        <v>3.1E-2</v>
      </c>
      <c r="J50" s="3">
        <v>8429</v>
      </c>
      <c r="K50" s="3"/>
      <c r="L50" s="3"/>
      <c r="N50" s="3"/>
    </row>
    <row r="51" spans="1:14" x14ac:dyDescent="0.25">
      <c r="A51" s="2">
        <v>43454</v>
      </c>
      <c r="B51" s="4">
        <f>3.5/22.2</f>
        <v>0.15765765765765766</v>
      </c>
      <c r="C51" s="18">
        <f>B51*0.932</f>
        <v>0.14693693693693693</v>
      </c>
      <c r="D51" s="4">
        <f t="shared" si="5"/>
        <v>0.13282859999999996</v>
      </c>
      <c r="E51" s="3">
        <f t="shared" si="6"/>
        <v>2.3E-2</v>
      </c>
      <c r="F51" s="23">
        <v>-6.0000000000000001E-3</v>
      </c>
      <c r="G51" s="4">
        <f t="shared" si="3"/>
        <v>0.23685075248088677</v>
      </c>
      <c r="H51" s="4">
        <f t="shared" si="4"/>
        <v>0.25194119999999998</v>
      </c>
      <c r="I51" s="3">
        <v>2.9000000000000001E-2</v>
      </c>
      <c r="J51" s="3">
        <v>5406</v>
      </c>
      <c r="K51" s="3"/>
      <c r="L51" s="3"/>
      <c r="N51" s="3"/>
    </row>
    <row r="52" spans="1:14" x14ac:dyDescent="0.25">
      <c r="A52" s="2">
        <v>43463</v>
      </c>
      <c r="B52" s="4">
        <f>17/15.59</f>
        <v>1.0904425914047466</v>
      </c>
      <c r="C52" s="4">
        <f t="shared" ref="C52" si="8">23.1/17*B52</f>
        <v>1.4817190506735087</v>
      </c>
      <c r="D52" s="4">
        <f t="shared" si="5"/>
        <v>1.3371871999999998</v>
      </c>
      <c r="E52" s="3">
        <f t="shared" si="6"/>
        <v>4.5999999999999999E-2</v>
      </c>
      <c r="F52" s="23">
        <v>-6.0000000000000001E-3</v>
      </c>
      <c r="G52" s="4">
        <f t="shared" si="3"/>
        <v>1.6845933098205876</v>
      </c>
      <c r="H52" s="4">
        <f t="shared" si="4"/>
        <v>1.7880007999999994</v>
      </c>
      <c r="I52" s="3">
        <v>5.1999999999999998E-2</v>
      </c>
      <c r="J52" s="3">
        <v>38450</v>
      </c>
      <c r="K52" s="3"/>
      <c r="L52" s="3"/>
      <c r="N52" s="3"/>
    </row>
    <row r="53" spans="1:14" x14ac:dyDescent="0.25">
      <c r="A53" s="21">
        <v>43491</v>
      </c>
      <c r="B53" s="4">
        <f>4.731765/2.5</f>
        <v>1.892706</v>
      </c>
      <c r="C53" s="18"/>
      <c r="D53" s="4">
        <f t="shared" si="5"/>
        <v>2.2741807999999999</v>
      </c>
      <c r="E53" s="3">
        <f t="shared" si="6"/>
        <v>5.8000000000000003E-2</v>
      </c>
      <c r="F53" s="23">
        <v>-6.0000000000000001E-3</v>
      </c>
      <c r="G53" s="4">
        <f t="shared" si="3"/>
        <v>2.4854870862450436</v>
      </c>
      <c r="H53" s="4">
        <f t="shared" si="4"/>
        <v>2.7957272</v>
      </c>
      <c r="I53" s="3">
        <v>6.4000000000000001E-2</v>
      </c>
      <c r="J53" s="3">
        <v>56730</v>
      </c>
      <c r="K53" s="3"/>
      <c r="L53" s="3"/>
      <c r="N53" s="3"/>
    </row>
    <row r="54" spans="1:14" x14ac:dyDescent="0.25">
      <c r="A54" s="21">
        <v>43497</v>
      </c>
      <c r="B54" s="4">
        <f>2/4</f>
        <v>0.5</v>
      </c>
      <c r="C54" s="18">
        <f>B54*0.932</f>
        <v>0.46600000000000003</v>
      </c>
      <c r="D54" s="4">
        <f t="shared" si="5"/>
        <v>0.16148999999999997</v>
      </c>
      <c r="E54" s="3">
        <f t="shared" si="6"/>
        <v>2.5000000000000001E-2</v>
      </c>
      <c r="F54" s="23">
        <v>-6.0000000000000001E-3</v>
      </c>
      <c r="G54" s="4">
        <f t="shared" si="3"/>
        <v>0.26142960415343164</v>
      </c>
      <c r="H54" s="4">
        <f t="shared" si="4"/>
        <v>0.36488120000000002</v>
      </c>
      <c r="I54" s="3">
        <v>3.1E-2</v>
      </c>
      <c r="J54" s="3">
        <v>5967</v>
      </c>
      <c r="K54" s="3"/>
      <c r="L54" s="3"/>
      <c r="N54" s="3"/>
    </row>
    <row r="55" spans="1:14" x14ac:dyDescent="0.25">
      <c r="A55" s="2">
        <v>43506</v>
      </c>
      <c r="B55" s="4">
        <f>3.5/2.26</f>
        <v>1.5486725663716816</v>
      </c>
      <c r="C55" s="18">
        <f t="shared" ref="C55:C58" si="9">B55*0.932</f>
        <v>1.4433628318584073</v>
      </c>
      <c r="D55" s="4">
        <f t="shared" si="5"/>
        <v>1.4098668000000001</v>
      </c>
      <c r="E55" s="3">
        <f t="shared" si="6"/>
        <v>4.7E-2</v>
      </c>
      <c r="F55" s="23">
        <v>-6.0000000000000001E-3</v>
      </c>
      <c r="G55" s="4">
        <f t="shared" si="3"/>
        <v>1.5308111897303336</v>
      </c>
      <c r="H55" s="4">
        <f t="shared" si="4"/>
        <v>1.8665748</v>
      </c>
      <c r="I55" s="3">
        <v>5.2999999999999999E-2</v>
      </c>
      <c r="J55" s="3">
        <v>34940</v>
      </c>
      <c r="K55" s="3"/>
      <c r="L55" s="3"/>
      <c r="N55" s="3"/>
    </row>
    <row r="56" spans="1:14" x14ac:dyDescent="0.25">
      <c r="A56" s="2">
        <v>43516</v>
      </c>
      <c r="B56" s="4">
        <f>3.9/25.75</f>
        <v>0.15145631067961166</v>
      </c>
      <c r="C56" s="18">
        <f t="shared" si="9"/>
        <v>0.14115728155339807</v>
      </c>
      <c r="D56" s="4">
        <f t="shared" si="5"/>
        <v>0.16148999999999997</v>
      </c>
      <c r="E56" s="3">
        <f t="shared" si="6"/>
        <v>2.5000000000000001E-2</v>
      </c>
      <c r="F56" s="23">
        <v>-6.0000000000000001E-3</v>
      </c>
      <c r="G56" s="4">
        <f t="shared" si="3"/>
        <v>0.16153694494950602</v>
      </c>
      <c r="H56" s="4">
        <f t="shared" si="4"/>
        <v>0.36488120000000002</v>
      </c>
      <c r="I56" s="3">
        <v>3.1E-2</v>
      </c>
      <c r="J56" s="3">
        <v>3687</v>
      </c>
      <c r="K56" s="3">
        <f>ABS(F56)</f>
        <v>6.0000000000000001E-3</v>
      </c>
      <c r="L56" s="3"/>
      <c r="N56" s="3"/>
    </row>
    <row r="57" spans="1:14" x14ac:dyDescent="0.25">
      <c r="A57" s="2">
        <v>43523</v>
      </c>
      <c r="B57" s="4">
        <f>2.5/16.44</f>
        <v>0.15206812652068125</v>
      </c>
      <c r="C57" s="18">
        <f t="shared" si="9"/>
        <v>0.14172749391727493</v>
      </c>
      <c r="D57" s="4">
        <f t="shared" si="5"/>
        <v>0.16148999999999997</v>
      </c>
      <c r="E57" s="3">
        <f t="shared" si="6"/>
        <v>2.5000000000000001E-2</v>
      </c>
      <c r="F57" s="23">
        <v>-8.9999999999999993E-3</v>
      </c>
      <c r="G57" s="4">
        <f t="shared" si="3"/>
        <v>0.16162457008915859</v>
      </c>
      <c r="H57" s="4">
        <f t="shared" si="4"/>
        <v>0.54165920000000012</v>
      </c>
      <c r="I57" s="3">
        <v>3.4000000000000002E-2</v>
      </c>
      <c r="J57" s="3">
        <v>3689</v>
      </c>
      <c r="K57" s="3">
        <f t="shared" ref="K57:K62" si="10">ABS(F57)</f>
        <v>8.9999999999999993E-3</v>
      </c>
      <c r="L57" s="3"/>
      <c r="N57" s="3"/>
    </row>
    <row r="58" spans="1:14" x14ac:dyDescent="0.25">
      <c r="A58" s="2">
        <v>43530</v>
      </c>
      <c r="B58" s="4">
        <f>2.4/49.29</f>
        <v>4.8691418137553254E-2</v>
      </c>
      <c r="C58" s="18">
        <f t="shared" si="9"/>
        <v>4.5380401704199637E-2</v>
      </c>
      <c r="D58" s="4">
        <f t="shared" si="5"/>
        <v>6.3822000000000004E-2</v>
      </c>
      <c r="E58" s="3">
        <f t="shared" si="6"/>
        <v>1.7000000000000001E-2</v>
      </c>
      <c r="F58" s="23">
        <v>-1.2E-2</v>
      </c>
      <c r="G58" s="4">
        <f t="shared" si="3"/>
        <v>6.3878726806720854E-2</v>
      </c>
      <c r="H58" s="4">
        <f t="shared" si="4"/>
        <v>0.25194119999999998</v>
      </c>
      <c r="I58" s="3">
        <v>2.9000000000000001E-2</v>
      </c>
      <c r="J58" s="3">
        <v>1458</v>
      </c>
      <c r="K58" s="3">
        <f t="shared" si="10"/>
        <v>1.2E-2</v>
      </c>
      <c r="L58" s="3"/>
      <c r="N58" s="3"/>
    </row>
    <row r="59" spans="1:14" x14ac:dyDescent="0.25">
      <c r="A59" s="2">
        <v>43538</v>
      </c>
      <c r="B59" s="4">
        <f>17/78.11</f>
        <v>0.21764178722314684</v>
      </c>
      <c r="C59" s="4">
        <f t="shared" ref="C59:C63" si="11">23.1/17*B59</f>
        <v>0.29573678146204069</v>
      </c>
      <c r="D59" s="4">
        <f t="shared" si="5"/>
        <v>0.29664564800000004</v>
      </c>
      <c r="E59" s="3">
        <f t="shared" si="6"/>
        <v>2.98E-2</v>
      </c>
      <c r="F59" s="23">
        <v>-1.2200000000000001E-2</v>
      </c>
      <c r="G59" s="4">
        <f t="shared" si="3"/>
        <v>0.48982453065784576</v>
      </c>
      <c r="H59" s="4">
        <f t="shared" si="4"/>
        <v>1.0562928</v>
      </c>
      <c r="I59" s="3">
        <v>4.2000000000000003E-2</v>
      </c>
      <c r="J59" s="3">
        <v>11180</v>
      </c>
      <c r="K59" s="3">
        <f t="shared" si="10"/>
        <v>1.2200000000000001E-2</v>
      </c>
      <c r="L59" s="23">
        <f>K59-K56</f>
        <v>6.2000000000000006E-3</v>
      </c>
      <c r="N59" s="3"/>
    </row>
    <row r="60" spans="1:14" x14ac:dyDescent="0.25">
      <c r="A60" s="2">
        <v>43541</v>
      </c>
      <c r="B60" s="4">
        <f>17/18.53</f>
        <v>0.9174311926605504</v>
      </c>
      <c r="C60" s="4">
        <f t="shared" si="11"/>
        <v>1.2466270912034538</v>
      </c>
      <c r="D60" s="4">
        <f t="shared" si="5"/>
        <v>1.2512684479999998</v>
      </c>
      <c r="E60" s="3">
        <f t="shared" si="6"/>
        <v>4.48E-2</v>
      </c>
      <c r="F60" s="23">
        <v>-1.8200000000000001E-2</v>
      </c>
      <c r="G60" s="4">
        <f t="shared" si="3"/>
        <v>1.3822865780192337</v>
      </c>
      <c r="H60" s="4">
        <f t="shared" si="4"/>
        <v>2.7063467999999999</v>
      </c>
      <c r="I60" s="3">
        <v>6.3E-2</v>
      </c>
      <c r="J60" s="3">
        <v>31550</v>
      </c>
      <c r="K60" s="3">
        <f t="shared" si="10"/>
        <v>1.8200000000000001E-2</v>
      </c>
      <c r="L60" s="3">
        <f>K60-K59</f>
        <v>6.0000000000000001E-3</v>
      </c>
      <c r="N60" s="3"/>
    </row>
    <row r="61" spans="1:14" x14ac:dyDescent="0.25">
      <c r="A61" s="2">
        <v>43551</v>
      </c>
      <c r="B61" s="4">
        <f>17/17.05</f>
        <v>0.99706744868035191</v>
      </c>
      <c r="C61" s="4">
        <f t="shared" si="11"/>
        <v>1.3548387096774195</v>
      </c>
      <c r="D61" s="4">
        <f t="shared" si="5"/>
        <v>1.3371871999999994</v>
      </c>
      <c r="E61" s="3">
        <f t="shared" si="6"/>
        <v>4.5999999999999992E-2</v>
      </c>
      <c r="F61" s="23">
        <v>-4.2000000000000003E-2</v>
      </c>
      <c r="G61" s="4">
        <f t="shared" si="3"/>
        <v>1.5308111897303336</v>
      </c>
      <c r="H61" s="4">
        <f t="shared" si="4"/>
        <v>5.2355767999999996</v>
      </c>
      <c r="I61" s="3">
        <v>8.7999999999999995E-2</v>
      </c>
      <c r="J61" s="3">
        <v>34940</v>
      </c>
      <c r="K61" s="3">
        <f t="shared" si="10"/>
        <v>4.2000000000000003E-2</v>
      </c>
      <c r="L61" s="3">
        <f>K61-K60</f>
        <v>2.3800000000000002E-2</v>
      </c>
      <c r="N61" s="3"/>
    </row>
    <row r="62" spans="1:14" x14ac:dyDescent="0.25">
      <c r="A62" s="2">
        <v>43562</v>
      </c>
      <c r="B62" s="4">
        <f>17/26.22</f>
        <v>0.64836003051106028</v>
      </c>
      <c r="C62" s="4">
        <f t="shared" si="11"/>
        <v>0.8810068649885584</v>
      </c>
      <c r="D62" s="4">
        <f t="shared" si="5"/>
        <v>0.8887158000000005</v>
      </c>
      <c r="E62" s="3">
        <f t="shared" si="6"/>
        <v>3.9500000000000007E-2</v>
      </c>
      <c r="F62" s="23">
        <v>-0.1285</v>
      </c>
      <c r="G62" s="4">
        <f t="shared" si="3"/>
        <v>0.96694341606606937</v>
      </c>
      <c r="H62" s="4">
        <f t="shared" si="4"/>
        <v>17.455192800000006</v>
      </c>
      <c r="I62" s="3">
        <v>0.16800000000000001</v>
      </c>
      <c r="J62" s="3">
        <v>22070</v>
      </c>
      <c r="K62" s="3">
        <f t="shared" si="10"/>
        <v>0.1285</v>
      </c>
      <c r="L62" s="3">
        <f>K62-K61</f>
        <v>8.6499999999999994E-2</v>
      </c>
      <c r="N62" s="3">
        <f>EXP(0.0653*K56)</f>
        <v>1.000391876763645</v>
      </c>
    </row>
    <row r="63" spans="1:14" x14ac:dyDescent="0.25">
      <c r="A63" s="14">
        <v>43562</v>
      </c>
      <c r="B63" s="15">
        <f>17/25.87</f>
        <v>0.65713181291070732</v>
      </c>
      <c r="C63" s="15">
        <f t="shared" si="11"/>
        <v>0.89292616930807878</v>
      </c>
      <c r="D63" s="15">
        <f t="shared" si="5"/>
        <v>0.88871580000000006</v>
      </c>
      <c r="E63" s="16">
        <f t="shared" si="6"/>
        <v>3.95E-2</v>
      </c>
      <c r="F63" s="24">
        <v>1.6500000000000001E-2</v>
      </c>
      <c r="G63" s="15">
        <f t="shared" si="3"/>
        <v>0.96694341606606937</v>
      </c>
      <c r="H63" s="15">
        <f t="shared" si="4"/>
        <v>0.13282859999999996</v>
      </c>
      <c r="I63" s="16">
        <v>2.3E-2</v>
      </c>
      <c r="J63" s="16">
        <v>22070</v>
      </c>
      <c r="K63" s="17" t="s">
        <v>26</v>
      </c>
      <c r="L63" s="3"/>
      <c r="N63" s="3"/>
    </row>
    <row r="64" spans="1:14" x14ac:dyDescent="0.25">
      <c r="A64" s="2">
        <v>43579</v>
      </c>
      <c r="B64" s="4">
        <f>16.7/13.21</f>
        <v>1.2641937925813775</v>
      </c>
      <c r="C64" s="4">
        <f>B64</f>
        <v>1.2641937925813775</v>
      </c>
      <c r="D64" s="4">
        <f t="shared" si="5"/>
        <v>1.2654899999999998</v>
      </c>
      <c r="E64" s="3">
        <f t="shared" si="6"/>
        <v>4.4999999999999998E-2</v>
      </c>
      <c r="F64" s="23">
        <v>8.0000000000000002E-3</v>
      </c>
      <c r="G64" s="4">
        <f t="shared" si="3"/>
        <v>1.2469057372560188</v>
      </c>
      <c r="H64" s="4">
        <f t="shared" si="4"/>
        <v>0.72727879999999978</v>
      </c>
      <c r="I64" s="3">
        <v>3.6999999999999998E-2</v>
      </c>
      <c r="J64" s="3">
        <v>28460</v>
      </c>
    </row>
    <row r="65" spans="1:13" x14ac:dyDescent="0.25">
      <c r="A65" s="2">
        <v>43589</v>
      </c>
      <c r="B65" s="4">
        <f>21/12.8</f>
        <v>1.640625</v>
      </c>
      <c r="C65" s="4">
        <f>B65</f>
        <v>1.640625</v>
      </c>
      <c r="D65" s="4">
        <f t="shared" ref="D65" si="12">IF(E65&lt;0.029,353.7*E65*E65-2.6469*E65+0.0066,491.2*E65*E65+26.998*E65-0.9441)</f>
        <v>1.6338000000000004</v>
      </c>
      <c r="E65" s="3">
        <f t="shared" ref="E65" si="13">I65+F65</f>
        <v>0.05</v>
      </c>
      <c r="F65" s="23">
        <v>1.4999999999999999E-2</v>
      </c>
      <c r="G65" s="4">
        <f t="shared" si="3"/>
        <v>2.3106749326381739</v>
      </c>
      <c r="H65" s="4">
        <f t="shared" si="4"/>
        <v>0.60255000000000003</v>
      </c>
      <c r="I65" s="3">
        <v>3.5000000000000003E-2</v>
      </c>
      <c r="J65" s="3">
        <v>52740</v>
      </c>
    </row>
    <row r="66" spans="1:13" x14ac:dyDescent="0.25">
      <c r="A66" s="2">
        <v>43594</v>
      </c>
      <c r="B66" s="4">
        <f>23.1/50.02</f>
        <v>0.4618152738904438</v>
      </c>
      <c r="C66" s="4">
        <f>B66</f>
        <v>0.4618152738904438</v>
      </c>
      <c r="D66" s="4">
        <f t="shared" ref="D66" si="14">IF(E66&lt;0.029,353.7*E66*E66-2.6469*E66+0.0066,491.2*E66*E66+26.998*E66-0.9441)</f>
        <v>0.45216500000000004</v>
      </c>
      <c r="E66" s="3">
        <f t="shared" ref="E66" si="15">I66+F66</f>
        <v>3.2500000000000001E-2</v>
      </c>
      <c r="F66" s="23">
        <v>1.6500000000000001E-2</v>
      </c>
      <c r="G66" s="4">
        <f t="shared" si="3"/>
        <v>0.60373721220618193</v>
      </c>
      <c r="H66" s="4">
        <f t="shared" si="4"/>
        <v>5.4796800000000007E-2</v>
      </c>
      <c r="I66" s="3">
        <v>1.6E-2</v>
      </c>
      <c r="J66" s="3">
        <v>13780</v>
      </c>
      <c r="K66" s="25">
        <f>AVERAGE(F63:F66)</f>
        <v>1.4E-2</v>
      </c>
    </row>
    <row r="67" spans="1:13" x14ac:dyDescent="0.25">
      <c r="A67" s="14">
        <v>43594</v>
      </c>
      <c r="B67" s="15">
        <f>23.1/50.02</f>
        <v>0.4618152738904438</v>
      </c>
      <c r="C67" s="15">
        <f t="shared" ref="C67:C72" si="16">B67</f>
        <v>0.4618152738904438</v>
      </c>
      <c r="D67" s="15">
        <f t="shared" ref="D67:D68" si="17">IF(E67&lt;0.029,353.7*E67*E67-2.6469*E67+0.0066,491.2*E67*E67+26.998*E67-0.9441)</f>
        <v>0.45216500000000004</v>
      </c>
      <c r="E67" s="16">
        <f t="shared" ref="E67:E68" si="18">I67+F67</f>
        <v>3.2500000000000001E-2</v>
      </c>
      <c r="F67" s="24">
        <v>2.5000000000000001E-3</v>
      </c>
      <c r="G67" s="15">
        <f>J67/22824.5</f>
        <v>0.60373721220618193</v>
      </c>
      <c r="H67" s="15">
        <f>IF(I67&lt;0.029,353.7*I67*I67-2.6469*I67+0.0066,491.2*I67*I67+26.998*I67-0.9441)</f>
        <v>0.30791999999999986</v>
      </c>
      <c r="I67" s="16">
        <v>0.03</v>
      </c>
      <c r="J67" s="16">
        <v>13780</v>
      </c>
      <c r="K67" t="s">
        <v>40</v>
      </c>
    </row>
    <row r="68" spans="1:13" x14ac:dyDescent="0.25">
      <c r="A68" s="2">
        <v>43599</v>
      </c>
      <c r="B68" s="4">
        <f>23.1/4.04</f>
        <v>5.717821782178218</v>
      </c>
      <c r="C68" s="4">
        <f t="shared" si="16"/>
        <v>5.717821782178218</v>
      </c>
      <c r="D68" s="4">
        <f t="shared" si="17"/>
        <v>5.6972328000000001</v>
      </c>
      <c r="E68" s="3">
        <f t="shared" si="18"/>
        <v>9.1999999999999998E-2</v>
      </c>
      <c r="F68" s="23">
        <v>8.0000000000000002E-3</v>
      </c>
      <c r="G68" s="4">
        <f>J68/22824.5</f>
        <v>5.1238800411838152</v>
      </c>
      <c r="H68" s="4">
        <f>IF(I68&lt;0.029,353.7*I68*I68-2.6469*I68+0.0066,491.2*I68*I68+26.998*I68-0.9441)</f>
        <v>4.7896392000000008</v>
      </c>
      <c r="I68" s="3">
        <v>8.4000000000000005E-2</v>
      </c>
      <c r="J68" s="3">
        <v>116950</v>
      </c>
      <c r="L68">
        <v>22</v>
      </c>
      <c r="M68" t="s">
        <v>41</v>
      </c>
    </row>
    <row r="69" spans="1:13" x14ac:dyDescent="0.25">
      <c r="A69" s="2">
        <v>43605</v>
      </c>
      <c r="B69" s="4">
        <f>23.1/1.77</f>
        <v>13.050847457627119</v>
      </c>
      <c r="C69" s="4">
        <f>B69</f>
        <v>13.050847457627119</v>
      </c>
      <c r="D69" s="4">
        <f t="shared" ref="D69" si="19">IF(E69&lt;0.029,353.7*E69*E69-2.6469*E69+0.0066,491.2*E69*E69+26.998*E69-0.9441)</f>
        <v>12.628165200000002</v>
      </c>
      <c r="E69" s="3">
        <f t="shared" ref="E69" si="20">I69+F69</f>
        <v>0.14100000000000001</v>
      </c>
      <c r="F69" s="23">
        <v>8.0000000000000002E-3</v>
      </c>
      <c r="I69" s="3">
        <v>0.13300000000000001</v>
      </c>
      <c r="J69" s="3" t="s">
        <v>39</v>
      </c>
      <c r="L69">
        <f>L68*24*12</f>
        <v>6336</v>
      </c>
      <c r="M69" t="s">
        <v>42</v>
      </c>
    </row>
    <row r="70" spans="1:13" x14ac:dyDescent="0.25">
      <c r="A70" s="2">
        <v>43616</v>
      </c>
      <c r="B70" s="4">
        <f>23.1/13.53</f>
        <v>1.7073170731707319</v>
      </c>
      <c r="C70" s="4">
        <f t="shared" si="16"/>
        <v>1.7073170731707319</v>
      </c>
      <c r="D70" s="4">
        <f t="shared" ref="D70:D71" si="21">IF(E70&lt;0.029,353.7*E70*E70-2.6469*E70+0.0066,491.2*E70*E70+26.998*E70-0.9441)</f>
        <v>1.7104092000000004</v>
      </c>
      <c r="E70" s="3">
        <f t="shared" ref="E70:E71" si="22">I70+F70</f>
        <v>5.1000000000000004E-2</v>
      </c>
      <c r="F70" s="23">
        <v>1E-3</v>
      </c>
      <c r="G70" s="4">
        <f t="shared" ref="G70:G76" si="23">J70/22824.5</f>
        <v>1.6845933098205876</v>
      </c>
      <c r="H70" s="4">
        <f t="shared" ref="H70:H76" si="24">IF(I70&lt;0.029,353.7*I70*I70-2.6469*I70+0.0066,491.2*I70*I70+26.998*I70-0.9441)</f>
        <v>1.6338000000000004</v>
      </c>
      <c r="I70" s="3">
        <v>0.05</v>
      </c>
      <c r="J70" s="3">
        <v>38450</v>
      </c>
      <c r="L70">
        <f>0.0062/L69</f>
        <v>9.7853535353535347E-7</v>
      </c>
      <c r="M70" t="s">
        <v>43</v>
      </c>
    </row>
    <row r="71" spans="1:13" x14ac:dyDescent="0.25">
      <c r="A71" s="2">
        <v>43621</v>
      </c>
      <c r="B71" s="4">
        <f>16.7/18.49</f>
        <v>0.90319091400757168</v>
      </c>
      <c r="C71" s="4">
        <f t="shared" si="16"/>
        <v>0.90319091400757168</v>
      </c>
      <c r="D71" s="4">
        <f t="shared" si="21"/>
        <v>0.92173999999999989</v>
      </c>
      <c r="E71" s="5">
        <f t="shared" si="22"/>
        <v>0.04</v>
      </c>
      <c r="F71" s="23">
        <v>0</v>
      </c>
      <c r="G71" s="4">
        <f t="shared" si="23"/>
        <v>1.100571754036233</v>
      </c>
      <c r="H71" s="4">
        <f t="shared" si="24"/>
        <v>0.92173999999999989</v>
      </c>
      <c r="I71" s="3">
        <v>0.04</v>
      </c>
      <c r="J71" s="3">
        <v>25120</v>
      </c>
    </row>
    <row r="72" spans="1:13" x14ac:dyDescent="0.25">
      <c r="A72" s="2">
        <v>43626</v>
      </c>
      <c r="B72" s="4">
        <f>16.75/15.8</f>
        <v>1.0601265822784809</v>
      </c>
      <c r="C72" s="4">
        <f t="shared" si="16"/>
        <v>1.0601265822784809</v>
      </c>
      <c r="D72" s="4">
        <f t="shared" ref="D72" si="25">IF(E72&lt;0.029,353.7*E72*E72-2.6469*E72+0.0066,491.2*E72*E72+26.998*E72-0.9441)</f>
        <v>1.1250427999999997</v>
      </c>
      <c r="E72" s="5">
        <f t="shared" ref="E72" si="26">I72+F72</f>
        <v>4.2999999999999997E-2</v>
      </c>
      <c r="F72" s="23">
        <v>0</v>
      </c>
      <c r="G72" s="4">
        <f t="shared" si="23"/>
        <v>1.2469057372560188</v>
      </c>
      <c r="H72" s="4">
        <f t="shared" si="24"/>
        <v>1.1250427999999997</v>
      </c>
      <c r="I72" s="3">
        <v>4.2999999999999997E-2</v>
      </c>
      <c r="J72" s="3">
        <v>28460</v>
      </c>
      <c r="L72">
        <v>3</v>
      </c>
      <c r="M72" t="s">
        <v>29</v>
      </c>
    </row>
    <row r="73" spans="1:13" x14ac:dyDescent="0.25">
      <c r="A73" s="2">
        <v>43640</v>
      </c>
      <c r="B73" s="4">
        <f>16.7/16.04</f>
        <v>1.041147132169576</v>
      </c>
      <c r="C73" s="4">
        <f t="shared" ref="C73" si="27">B73</f>
        <v>1.041147132169576</v>
      </c>
      <c r="D73" s="4">
        <f t="shared" ref="D73" si="28">IF(E73&lt;0.029,353.7*E73*E73-2.6469*E73+0.0066,491.2*E73*E73+26.998*E73-0.9441)</f>
        <v>1.0562928</v>
      </c>
      <c r="E73" s="5">
        <f t="shared" ref="E73" si="29">I73+F73</f>
        <v>4.2000000000000003E-2</v>
      </c>
      <c r="F73" s="23">
        <v>1E-3</v>
      </c>
      <c r="G73" s="4">
        <f t="shared" si="23"/>
        <v>1.100571754036233</v>
      </c>
      <c r="H73" s="4">
        <f t="shared" si="24"/>
        <v>0.98852519999999988</v>
      </c>
      <c r="I73" s="3">
        <v>4.1000000000000002E-2</v>
      </c>
      <c r="J73" s="3">
        <v>25120</v>
      </c>
      <c r="L73">
        <f>L72*24*12</f>
        <v>864</v>
      </c>
      <c r="M73" t="s">
        <v>28</v>
      </c>
    </row>
    <row r="74" spans="1:13" x14ac:dyDescent="0.25">
      <c r="A74" s="2">
        <v>43644</v>
      </c>
      <c r="B74" s="4">
        <f>16.7/31.45</f>
        <v>0.53100158982511925</v>
      </c>
      <c r="C74" s="4">
        <f t="shared" ref="C74" si="30">B74</f>
        <v>0.53100158982511925</v>
      </c>
      <c r="D74" s="4">
        <f t="shared" ref="D74" si="31">IF(E74&lt;0.029,353.7*E74*E74-2.6469*E74+0.0066,491.2*E74*E74+26.998*E74-0.9441)</f>
        <v>0.54165920000000012</v>
      </c>
      <c r="E74" s="5">
        <f t="shared" ref="E74" si="32">I74+F74</f>
        <v>3.4000000000000002E-2</v>
      </c>
      <c r="F74" s="23">
        <v>2E-3</v>
      </c>
      <c r="G74" s="4">
        <f t="shared" si="23"/>
        <v>0.7132686367718899</v>
      </c>
      <c r="H74" s="4">
        <f t="shared" si="24"/>
        <v>0.4228248</v>
      </c>
      <c r="I74" s="3">
        <v>3.2000000000000001E-2</v>
      </c>
      <c r="J74" s="3">
        <v>16280</v>
      </c>
      <c r="L74">
        <f>0.0069/L73</f>
        <v>7.9861111111111102E-6</v>
      </c>
    </row>
    <row r="75" spans="1:13" x14ac:dyDescent="0.25">
      <c r="A75" s="2">
        <v>43649</v>
      </c>
      <c r="B75" s="4">
        <f>16.7/26.3</f>
        <v>0.63498098859315588</v>
      </c>
      <c r="C75" s="4">
        <f t="shared" ref="C75" si="33">B75</f>
        <v>0.63498098859315588</v>
      </c>
      <c r="D75" s="4">
        <f t="shared" ref="D75" si="34">IF(E75&lt;0.029,353.7*E75*E75-2.6469*E75+0.0066,491.2*E75*E75+26.998*E75-0.9441)</f>
        <v>0.63336380000000025</v>
      </c>
      <c r="E75" s="5">
        <f t="shared" ref="E75" si="35">I75+F75</f>
        <v>3.5500000000000004E-2</v>
      </c>
      <c r="F75" s="23">
        <v>2.5000000000000001E-3</v>
      </c>
      <c r="G75" s="4">
        <f t="shared" si="23"/>
        <v>0.7132686367718899</v>
      </c>
      <c r="H75" s="4">
        <f t="shared" si="24"/>
        <v>0.48175080000000003</v>
      </c>
      <c r="I75" s="3">
        <v>3.3000000000000002E-2</v>
      </c>
      <c r="J75" s="3">
        <v>16280</v>
      </c>
    </row>
    <row r="76" spans="1:13" x14ac:dyDescent="0.25">
      <c r="A76" s="2">
        <v>43665</v>
      </c>
      <c r="B76" s="4">
        <f>4/42.15</f>
        <v>9.4899169632265717E-2</v>
      </c>
      <c r="C76" s="4">
        <f t="shared" ref="C76" si="36">B76</f>
        <v>9.4899169632265717E-2</v>
      </c>
      <c r="D76" s="4">
        <f t="shared" ref="D76" si="37">IF(E76&lt;0.029,353.7*E76*E76-2.6469*E76+0.0066,491.2*E76*E76+26.998*E76-0.9441)</f>
        <v>9.514199999999999E-2</v>
      </c>
      <c r="E76" s="5">
        <f t="shared" ref="E76" si="38">I76+F76</f>
        <v>0.02</v>
      </c>
      <c r="F76" s="23">
        <v>0</v>
      </c>
      <c r="G76" s="4">
        <f t="shared" si="23"/>
        <v>0.10690267037613091</v>
      </c>
      <c r="H76" s="4">
        <f t="shared" si="24"/>
        <v>9.514199999999999E-2</v>
      </c>
      <c r="I76" s="3">
        <v>0.02</v>
      </c>
      <c r="J76" s="3">
        <v>2440</v>
      </c>
      <c r="L76">
        <v>10</v>
      </c>
      <c r="M76" t="s">
        <v>30</v>
      </c>
    </row>
    <row r="77" spans="1:13" x14ac:dyDescent="0.25">
      <c r="L77">
        <f>L76*24*12</f>
        <v>2880</v>
      </c>
      <c r="M77" t="s">
        <v>31</v>
      </c>
    </row>
    <row r="78" spans="1:13" x14ac:dyDescent="0.25">
      <c r="A78" s="27"/>
      <c r="B78" s="28" t="s">
        <v>20</v>
      </c>
      <c r="C78" s="28" t="s">
        <v>37</v>
      </c>
      <c r="D78" s="28" t="s">
        <v>25</v>
      </c>
      <c r="E78" s="29" t="s">
        <v>25</v>
      </c>
      <c r="F78" s="30" t="s">
        <v>27</v>
      </c>
      <c r="G78" s="29" t="s">
        <v>21</v>
      </c>
      <c r="H78" s="29" t="s">
        <v>22</v>
      </c>
      <c r="I78" s="29" t="s">
        <v>22</v>
      </c>
      <c r="J78" s="29" t="s">
        <v>21</v>
      </c>
      <c r="L78">
        <f>0.0238/L77</f>
        <v>8.26388888888889E-6</v>
      </c>
    </row>
    <row r="79" spans="1:13" x14ac:dyDescent="0.25">
      <c r="A79" s="31"/>
      <c r="B79" s="28" t="s">
        <v>2</v>
      </c>
      <c r="C79" s="28" t="s">
        <v>2</v>
      </c>
      <c r="D79" s="28" t="s">
        <v>2</v>
      </c>
      <c r="E79" s="29" t="s">
        <v>15</v>
      </c>
      <c r="F79" s="30" t="s">
        <v>15</v>
      </c>
      <c r="G79" s="29" t="s">
        <v>2</v>
      </c>
      <c r="H79" s="29" t="s">
        <v>2</v>
      </c>
      <c r="I79" s="29" t="s">
        <v>15</v>
      </c>
      <c r="J79" s="29" t="s">
        <v>23</v>
      </c>
      <c r="K79" s="1">
        <f>IF(I88&gt;0.0089,I88-0.009,0)</f>
        <v>1.8000000000000002E-2</v>
      </c>
    </row>
    <row r="80" spans="1:13" x14ac:dyDescent="0.25">
      <c r="A80" s="2">
        <v>43672</v>
      </c>
      <c r="B80" s="4" t="s">
        <v>45</v>
      </c>
      <c r="L80">
        <f>A62-A61</f>
        <v>11</v>
      </c>
      <c r="M80" t="s">
        <v>32</v>
      </c>
    </row>
    <row r="81" spans="1:13" x14ac:dyDescent="0.25">
      <c r="A81" s="2">
        <v>43738</v>
      </c>
      <c r="B81" s="26" t="s">
        <v>47</v>
      </c>
      <c r="D81" s="17" t="s">
        <v>49</v>
      </c>
      <c r="K81" t="s">
        <v>48</v>
      </c>
      <c r="L81">
        <v>3201</v>
      </c>
      <c r="M81" t="s">
        <v>44</v>
      </c>
    </row>
    <row r="82" spans="1:13" x14ac:dyDescent="0.25">
      <c r="A82" s="2">
        <v>43753</v>
      </c>
      <c r="B82" s="4" t="s">
        <v>46</v>
      </c>
      <c r="D82" s="17" t="s">
        <v>50</v>
      </c>
      <c r="L82">
        <f>0.0865/L81</f>
        <v>2.7022805373320836E-5</v>
      </c>
    </row>
    <row r="83" spans="1:13" x14ac:dyDescent="0.25">
      <c r="A83" s="14">
        <v>43759</v>
      </c>
      <c r="B83" s="15">
        <f>2/95.9</f>
        <v>2.0855057351407715E-2</v>
      </c>
      <c r="C83" s="16"/>
      <c r="D83" s="4">
        <f t="shared" ref="D83:D84" si="39">IF(E83&lt;0.029,353.7*E83*E83-2.6469*E83+0.0066,491.2*E83*E83+26.998*E83-0.9441)</f>
        <v>2.0281800000000003E-2</v>
      </c>
      <c r="E83" s="5">
        <f t="shared" ref="E83:E84" si="40">I83+F83</f>
        <v>1.1000000000000001E-2</v>
      </c>
      <c r="F83" s="23">
        <v>-8.9999999999999993E-3</v>
      </c>
      <c r="G83" s="4">
        <f t="shared" ref="G83:G85" si="41">J83/22824.5</f>
        <v>3.2202238822318124E-2</v>
      </c>
      <c r="H83" s="4">
        <f t="shared" ref="H83:H106" si="42">IF(I83&lt;0.029,353.7*I83*I83-2.6469*I83+0.0066,491.2*I83*I83+26.998*I83-0.9441)</f>
        <v>9.514199999999999E-2</v>
      </c>
      <c r="I83" s="32">
        <v>0.02</v>
      </c>
      <c r="J83" s="16">
        <v>735</v>
      </c>
    </row>
    <row r="84" spans="1:13" x14ac:dyDescent="0.25">
      <c r="A84" s="14">
        <v>43759</v>
      </c>
      <c r="B84" s="15">
        <f>2/95.9</f>
        <v>2.0855057351407715E-2</v>
      </c>
      <c r="C84" s="16"/>
      <c r="D84" s="4">
        <f t="shared" si="39"/>
        <v>2.0281799999999996E-2</v>
      </c>
      <c r="E84" s="5">
        <f t="shared" si="40"/>
        <v>1.0999999999999999E-2</v>
      </c>
      <c r="F84" s="23">
        <v>0</v>
      </c>
      <c r="G84" s="4">
        <f t="shared" si="41"/>
        <v>3.2202238822318124E-2</v>
      </c>
      <c r="H84" s="4">
        <f t="shared" si="42"/>
        <v>2.0281799999999996E-2</v>
      </c>
      <c r="I84" s="16">
        <v>1.0999999999999999E-2</v>
      </c>
      <c r="J84" s="16">
        <v>735</v>
      </c>
      <c r="K84" t="s">
        <v>62</v>
      </c>
    </row>
    <row r="85" spans="1:13" x14ac:dyDescent="0.25">
      <c r="A85" s="2">
        <v>44133</v>
      </c>
      <c r="B85" s="4">
        <f>16.71/12.41</f>
        <v>1.3464947622884771</v>
      </c>
      <c r="D85" s="4">
        <f t="shared" ref="D85" si="43">IF(E85&lt;0.029,353.7*E85*E85-2.6469*E85+0.0066,491.2*E85*E85+26.998*E85-0.9441)</f>
        <v>1.2654899999999998</v>
      </c>
      <c r="E85" s="5">
        <f>I85+F85</f>
        <v>4.4999999999999998E-2</v>
      </c>
      <c r="F85" s="23">
        <v>0</v>
      </c>
      <c r="G85" s="4">
        <f t="shared" si="41"/>
        <v>1.5308111897303336</v>
      </c>
      <c r="H85" s="4">
        <f t="shared" si="42"/>
        <v>1.2654899999999998</v>
      </c>
      <c r="I85" s="3">
        <v>4.4999999999999998E-2</v>
      </c>
      <c r="J85" s="3">
        <v>34940</v>
      </c>
      <c r="K85" t="s">
        <v>51</v>
      </c>
    </row>
    <row r="86" spans="1:13" x14ac:dyDescent="0.25">
      <c r="A86" s="14">
        <v>44137</v>
      </c>
      <c r="B86" s="15">
        <f>16.7/5.905</f>
        <v>2.8281117696867057</v>
      </c>
      <c r="C86" s="16"/>
      <c r="D86" s="4">
        <f t="shared" ref="D86:D87" si="44">IF(E86&lt;0.029,353.7*E86*E86-2.6469*E86+0.0066,491.2*E86*E86+26.998*E86-0.9441)</f>
        <v>2.8860899999999998</v>
      </c>
      <c r="E86" s="5">
        <f>I86+F86</f>
        <v>6.5000000000000002E-2</v>
      </c>
      <c r="F86" s="23">
        <v>1.2E-2</v>
      </c>
      <c r="G86" s="15">
        <f t="shared" ref="G86" si="45">J86/22824.5</f>
        <v>2.8486932901049311</v>
      </c>
      <c r="H86" s="15">
        <f t="shared" si="42"/>
        <v>1.8665748</v>
      </c>
      <c r="I86" s="16">
        <v>5.2999999999999999E-2</v>
      </c>
      <c r="J86" s="16">
        <v>65020</v>
      </c>
      <c r="K86" t="s">
        <v>52</v>
      </c>
    </row>
    <row r="87" spans="1:13" x14ac:dyDescent="0.25">
      <c r="A87" s="14">
        <v>44137</v>
      </c>
      <c r="B87" s="15">
        <f>16.7/5.905</f>
        <v>2.8281117696867057</v>
      </c>
      <c r="C87" s="16"/>
      <c r="D87" s="4">
        <f t="shared" si="44"/>
        <v>2.8860899999999998</v>
      </c>
      <c r="E87" s="5">
        <f>I87+F87</f>
        <v>6.5000000000000002E-2</v>
      </c>
      <c r="F87" s="23">
        <v>0</v>
      </c>
      <c r="G87" s="15">
        <f t="shared" ref="G87:G90" si="46">J87/22824.5</f>
        <v>2.8486932901049311</v>
      </c>
      <c r="H87" s="15">
        <f t="shared" si="42"/>
        <v>2.8860899999999998</v>
      </c>
      <c r="I87" s="16">
        <v>6.5000000000000002E-2</v>
      </c>
      <c r="J87" s="16">
        <v>65020</v>
      </c>
      <c r="K87" t="s">
        <v>53</v>
      </c>
    </row>
    <row r="88" spans="1:13" x14ac:dyDescent="0.25">
      <c r="A88" s="2">
        <v>44151</v>
      </c>
      <c r="B88" s="4">
        <f>3/108</f>
        <v>2.7777777777777776E-2</v>
      </c>
      <c r="D88" s="4">
        <f t="shared" ref="D88" si="47">IF(E88&lt;0.029,353.7*E88*E88-2.6469*E88+0.0066,491.2*E88*E88+26.998*E88-0.9441)</f>
        <v>6.3822000000000004E-2</v>
      </c>
      <c r="E88" s="5">
        <f>I88+F88</f>
        <v>1.7000000000000001E-2</v>
      </c>
      <c r="F88" s="23">
        <v>-0.01</v>
      </c>
      <c r="G88" s="5">
        <f t="shared" si="46"/>
        <v>4.6616574295165282E-2</v>
      </c>
      <c r="H88" s="5">
        <f t="shared" si="42"/>
        <v>0.19298100000000001</v>
      </c>
      <c r="I88" s="5">
        <v>2.7E-2</v>
      </c>
      <c r="J88" s="3">
        <v>1064</v>
      </c>
    </row>
    <row r="89" spans="1:13" x14ac:dyDescent="0.25">
      <c r="A89" s="2">
        <v>44158</v>
      </c>
      <c r="B89" s="4">
        <f>16.7/((4.43+4.23+4.46+4.16)/4)</f>
        <v>3.8657407407407405</v>
      </c>
      <c r="D89" s="4">
        <f t="shared" ref="D89:D103" si="48">IF(E89&lt;0.029,353.7*E89*E89-2.6469*E89+0.0066,491.2*E89*E89+26.998*E89-0.9441)</f>
        <v>3.6443588000000005</v>
      </c>
      <c r="E89" s="5">
        <f t="shared" ref="E89:E103" si="49">I89+F89</f>
        <v>7.3000000000000009E-2</v>
      </c>
      <c r="F89" s="23">
        <v>-0.01</v>
      </c>
      <c r="G89" s="4">
        <f t="shared" si="46"/>
        <v>3.8283423514206225</v>
      </c>
      <c r="H89" s="5">
        <f t="shared" si="42"/>
        <v>4.6806108000000011</v>
      </c>
      <c r="I89" s="5">
        <v>8.3000000000000004E-2</v>
      </c>
      <c r="J89" s="3">
        <v>87380</v>
      </c>
    </row>
    <row r="90" spans="1:13" x14ac:dyDescent="0.25">
      <c r="A90" s="2">
        <v>44173</v>
      </c>
      <c r="B90" s="4">
        <f>4/14.5</f>
        <v>0.27586206896551724</v>
      </c>
      <c r="D90" s="4">
        <f t="shared" si="48"/>
        <v>0.30791999999999986</v>
      </c>
      <c r="E90" s="5">
        <f t="shared" si="49"/>
        <v>0.03</v>
      </c>
      <c r="F90" s="23">
        <v>-0.01</v>
      </c>
      <c r="G90" s="4">
        <f t="shared" si="46"/>
        <v>0.36929615106574076</v>
      </c>
      <c r="H90" s="5">
        <f t="shared" si="42"/>
        <v>0.92173999999999989</v>
      </c>
      <c r="I90" s="5">
        <v>0.04</v>
      </c>
      <c r="J90" s="3">
        <v>8429</v>
      </c>
    </row>
    <row r="91" spans="1:13" x14ac:dyDescent="0.25">
      <c r="A91" s="14">
        <v>44185</v>
      </c>
      <c r="B91" s="15">
        <f>4/14.67</f>
        <v>0.27266530334014999</v>
      </c>
      <c r="C91" s="16"/>
      <c r="D91" s="32">
        <f t="shared" si="48"/>
        <v>0.27980780000000005</v>
      </c>
      <c r="E91" s="32">
        <f t="shared" si="49"/>
        <v>2.9500000000000002E-2</v>
      </c>
      <c r="F91" s="24">
        <v>-1.15E-2</v>
      </c>
      <c r="G91" s="15">
        <f t="shared" ref="G91" si="50">J91/22824.5</f>
        <v>0.26142960415343164</v>
      </c>
      <c r="H91" s="15">
        <f t="shared" si="42"/>
        <v>0.98852519999999988</v>
      </c>
      <c r="I91" s="16">
        <v>4.1000000000000002E-2</v>
      </c>
      <c r="J91" s="16">
        <v>5967</v>
      </c>
    </row>
    <row r="92" spans="1:13" x14ac:dyDescent="0.25">
      <c r="A92" s="14">
        <v>44185</v>
      </c>
      <c r="B92" s="15">
        <f>4/14.67</f>
        <v>0.27266530334014999</v>
      </c>
      <c r="C92" s="16"/>
      <c r="D92" s="32">
        <f t="shared" si="48"/>
        <v>0.25194119999999998</v>
      </c>
      <c r="E92" s="16">
        <f t="shared" si="49"/>
        <v>2.9000000000000001E-2</v>
      </c>
      <c r="F92" s="24">
        <v>0</v>
      </c>
      <c r="G92" s="15">
        <f t="shared" ref="G92:G93" si="51">J92/22824.5</f>
        <v>0.26142960415343164</v>
      </c>
      <c r="H92" s="15">
        <f t="shared" si="42"/>
        <v>0.25194119999999998</v>
      </c>
      <c r="I92" s="16">
        <v>2.9000000000000001E-2</v>
      </c>
      <c r="J92" s="16">
        <v>5967</v>
      </c>
      <c r="K92" t="s">
        <v>53</v>
      </c>
    </row>
    <row r="93" spans="1:13" x14ac:dyDescent="0.25">
      <c r="A93" s="2">
        <v>43836</v>
      </c>
      <c r="B93" s="4">
        <f>4/1.63</f>
        <v>2.4539877300613497</v>
      </c>
      <c r="D93" s="5">
        <f t="shared" si="48"/>
        <v>2.4871938000000005</v>
      </c>
      <c r="E93" s="5">
        <f t="shared" si="49"/>
        <v>6.0500000000000005E-2</v>
      </c>
      <c r="F93" s="23">
        <v>-7.4999999999999997E-3</v>
      </c>
      <c r="G93" s="4">
        <f t="shared" si="51"/>
        <v>2.4854870862450436</v>
      </c>
      <c r="H93" s="4">
        <f t="shared" si="42"/>
        <v>3.1630728000000006</v>
      </c>
      <c r="I93" s="3">
        <v>6.8000000000000005E-2</v>
      </c>
      <c r="J93" s="3">
        <v>56730</v>
      </c>
    </row>
    <row r="94" spans="1:13" x14ac:dyDescent="0.25">
      <c r="A94" s="2">
        <v>43837</v>
      </c>
      <c r="B94" s="4">
        <f>16.7/11.125</f>
        <v>1.5011235955056179</v>
      </c>
      <c r="D94" s="5">
        <f t="shared" si="48"/>
        <v>1.7490821999999997</v>
      </c>
      <c r="E94" s="5">
        <f t="shared" si="49"/>
        <v>5.1499999999999997E-2</v>
      </c>
      <c r="F94" s="23">
        <v>-7.4999999999999997E-3</v>
      </c>
      <c r="G94" s="4">
        <f t="shared" ref="G94" si="52">J94/22824.5</f>
        <v>1.6845933098205876</v>
      </c>
      <c r="H94" s="4">
        <f t="shared" si="42"/>
        <v>2.3586491999999999</v>
      </c>
      <c r="I94" s="3">
        <v>5.8999999999999997E-2</v>
      </c>
      <c r="J94" s="3">
        <v>38450</v>
      </c>
    </row>
    <row r="95" spans="1:13" x14ac:dyDescent="0.25">
      <c r="A95" s="2">
        <v>43842</v>
      </c>
      <c r="B95" s="4">
        <f>16.7/1.6</f>
        <v>10.437499999999998</v>
      </c>
      <c r="D95" s="5">
        <f t="shared" si="48"/>
        <v>10.331452199999999</v>
      </c>
      <c r="E95" s="5">
        <f t="shared" si="49"/>
        <v>0.1265</v>
      </c>
      <c r="F95" s="23">
        <v>-7.4999999999999997E-3</v>
      </c>
      <c r="H95" s="4">
        <f t="shared" si="42"/>
        <v>11.493619200000001</v>
      </c>
      <c r="I95" s="3">
        <v>0.13400000000000001</v>
      </c>
      <c r="K95" t="s">
        <v>54</v>
      </c>
    </row>
    <row r="96" spans="1:13" x14ac:dyDescent="0.25">
      <c r="A96" s="2">
        <v>43855</v>
      </c>
      <c r="B96" s="4">
        <f>16.7/53.5</f>
        <v>0.31214953271028034</v>
      </c>
      <c r="D96" s="5">
        <f t="shared" si="48"/>
        <v>0.57198180000000021</v>
      </c>
      <c r="E96" s="5">
        <f t="shared" si="49"/>
        <v>3.4500000000000003E-2</v>
      </c>
      <c r="F96" s="23">
        <v>-7.4999999999999997E-3</v>
      </c>
      <c r="G96" s="4">
        <f t="shared" ref="G96:G98" si="53">J96/22824.5</f>
        <v>0.36916471335626189</v>
      </c>
      <c r="H96" s="4">
        <f t="shared" si="42"/>
        <v>1.0562928</v>
      </c>
      <c r="I96" s="3">
        <v>4.2000000000000003E-2</v>
      </c>
      <c r="J96" s="3">
        <v>8426</v>
      </c>
    </row>
    <row r="97" spans="1:11" x14ac:dyDescent="0.25">
      <c r="A97" s="2">
        <v>43862</v>
      </c>
      <c r="B97" s="4">
        <f>16.7/21.9</f>
        <v>0.76255707762557079</v>
      </c>
      <c r="D97" s="5">
        <f t="shared" si="48"/>
        <v>0.51158219999999999</v>
      </c>
      <c r="E97" s="5">
        <f t="shared" si="49"/>
        <v>3.3500000000000002E-2</v>
      </c>
      <c r="F97" s="23">
        <v>-7.4999999999999997E-3</v>
      </c>
      <c r="G97" s="5">
        <f t="shared" si="53"/>
        <v>0.84076321496637385</v>
      </c>
      <c r="H97" s="5">
        <f t="shared" si="42"/>
        <v>0.98852519999999988</v>
      </c>
      <c r="I97" s="3">
        <v>4.1000000000000002E-2</v>
      </c>
      <c r="J97" s="3">
        <v>19190</v>
      </c>
    </row>
    <row r="98" spans="1:11" x14ac:dyDescent="0.25">
      <c r="A98" s="14">
        <v>43877</v>
      </c>
      <c r="B98" s="15">
        <f>4/18.63</f>
        <v>0.21470746108427269</v>
      </c>
      <c r="C98" s="16"/>
      <c r="D98" s="32">
        <f t="shared" si="48"/>
        <v>0.25194119999999975</v>
      </c>
      <c r="E98" s="16">
        <f t="shared" si="49"/>
        <v>2.8999999999999998E-2</v>
      </c>
      <c r="F98" s="24">
        <v>-0.01</v>
      </c>
      <c r="G98" s="32">
        <f t="shared" si="53"/>
        <v>0.26142960415343164</v>
      </c>
      <c r="H98" s="32">
        <f t="shared" si="42"/>
        <v>0.85593720000000018</v>
      </c>
      <c r="I98" s="16">
        <v>3.9E-2</v>
      </c>
      <c r="J98" s="16">
        <v>5967</v>
      </c>
      <c r="K98" t="s">
        <v>26</v>
      </c>
    </row>
    <row r="99" spans="1:11" x14ac:dyDescent="0.25">
      <c r="A99" s="14">
        <v>43877</v>
      </c>
      <c r="B99" s="15">
        <f>4/18.63</f>
        <v>0.21470746108427269</v>
      </c>
      <c r="C99" s="16"/>
      <c r="D99" s="32">
        <f t="shared" si="48"/>
        <v>0.20978759999999996</v>
      </c>
      <c r="E99" s="16">
        <f t="shared" si="49"/>
        <v>2.7999999999999997E-2</v>
      </c>
      <c r="F99" s="24">
        <v>-2E-3</v>
      </c>
      <c r="G99" s="32">
        <f t="shared" ref="G99:G100" si="54">J99/22824.5</f>
        <v>0.26142960415343164</v>
      </c>
      <c r="H99" s="32">
        <f t="shared" si="42"/>
        <v>0.30791999999999986</v>
      </c>
      <c r="I99" s="16">
        <v>0.03</v>
      </c>
      <c r="J99" s="16">
        <v>5967</v>
      </c>
    </row>
    <row r="100" spans="1:11" x14ac:dyDescent="0.25">
      <c r="A100" s="2">
        <v>43891</v>
      </c>
      <c r="B100" s="4">
        <f>16.7/15.11</f>
        <v>1.1052283256121773</v>
      </c>
      <c r="D100" s="4">
        <f t="shared" si="48"/>
        <v>1.1250427999999997</v>
      </c>
      <c r="E100" s="5">
        <f t="shared" si="49"/>
        <v>4.2999999999999997E-2</v>
      </c>
      <c r="F100" s="23">
        <v>-8.0000000000000002E-3</v>
      </c>
      <c r="G100" s="5">
        <f t="shared" si="54"/>
        <v>1.2469057372560188</v>
      </c>
      <c r="H100" s="5">
        <f t="shared" si="42"/>
        <v>1.7104091999999995</v>
      </c>
      <c r="I100" s="3">
        <v>5.0999999999999997E-2</v>
      </c>
      <c r="J100" s="3">
        <v>28460</v>
      </c>
    </row>
    <row r="101" spans="1:11" x14ac:dyDescent="0.25">
      <c r="A101" s="2">
        <v>43896</v>
      </c>
      <c r="B101" s="4">
        <f>16.7/((2.38+2.2+2.47+2.44)/4)</f>
        <v>7.0389884088514219</v>
      </c>
      <c r="D101" s="4">
        <f t="shared" si="48"/>
        <v>6.5429532000000004</v>
      </c>
      <c r="E101" s="5">
        <f t="shared" si="49"/>
        <v>9.9000000000000005E-2</v>
      </c>
      <c r="F101" s="23">
        <v>0</v>
      </c>
      <c r="G101" s="5">
        <f t="shared" ref="G101:G108" si="55">J101/22824.5</f>
        <v>5.8577405857740583</v>
      </c>
      <c r="H101" s="5">
        <f t="shared" si="42"/>
        <v>6.5429532000000004</v>
      </c>
      <c r="I101" s="3">
        <v>9.9000000000000005E-2</v>
      </c>
      <c r="J101" s="3">
        <v>133700</v>
      </c>
    </row>
    <row r="102" spans="1:11" x14ac:dyDescent="0.25">
      <c r="A102" s="2">
        <v>43908</v>
      </c>
      <c r="B102" s="4">
        <f>16.7/29.11</f>
        <v>0.5736860185503263</v>
      </c>
      <c r="D102" s="4">
        <f t="shared" si="48"/>
        <v>0.60254999999999959</v>
      </c>
      <c r="E102" s="5">
        <f t="shared" si="49"/>
        <v>3.4999999999999996E-2</v>
      </c>
      <c r="F102" s="23">
        <v>-8.0000000000000002E-3</v>
      </c>
      <c r="G102" s="5">
        <f t="shared" si="55"/>
        <v>0.60373721220618193</v>
      </c>
      <c r="H102" s="5">
        <f t="shared" si="42"/>
        <v>1.1250427999999997</v>
      </c>
      <c r="I102" s="3">
        <v>4.2999999999999997E-2</v>
      </c>
      <c r="J102" s="3">
        <v>13780</v>
      </c>
      <c r="K102" t="s">
        <v>55</v>
      </c>
    </row>
    <row r="103" spans="1:11" x14ac:dyDescent="0.25">
      <c r="A103" s="2">
        <v>43917</v>
      </c>
      <c r="B103" s="4">
        <f>16.7/12.86</f>
        <v>1.2986003110419906</v>
      </c>
      <c r="D103" s="4">
        <f t="shared" si="48"/>
        <v>1.3371871999999998</v>
      </c>
      <c r="E103" s="5">
        <f t="shared" si="49"/>
        <v>4.5999999999999999E-2</v>
      </c>
      <c r="F103" s="23">
        <v>-0.01</v>
      </c>
      <c r="G103" s="5">
        <f t="shared" si="55"/>
        <v>1.3822865780192337</v>
      </c>
      <c r="H103" s="5">
        <f t="shared" si="42"/>
        <v>2.1081911999999998</v>
      </c>
      <c r="I103" s="3">
        <v>5.6000000000000001E-2</v>
      </c>
      <c r="J103" s="3">
        <v>31550</v>
      </c>
    </row>
    <row r="104" spans="1:11" x14ac:dyDescent="0.25">
      <c r="A104" s="14">
        <v>43922</v>
      </c>
      <c r="B104" s="15">
        <f>16.7/((6.42+6.53+6.36)/3)</f>
        <v>2.5945106162610045</v>
      </c>
      <c r="C104" s="16"/>
      <c r="D104" s="15">
        <f t="shared" ref="D104:D105" si="56">IF(E104&lt;0.029,353.7*E104*E104-2.6469*E104+0.0066,491.2*E104*E104+26.998*E104-0.9441)</f>
        <v>2.6179488000000002</v>
      </c>
      <c r="E104" s="32">
        <f t="shared" ref="E104:E105" si="57">I104+F104</f>
        <v>6.2E-2</v>
      </c>
      <c r="F104" s="24">
        <v>-1.2E-2</v>
      </c>
      <c r="G104" s="15">
        <f t="shared" si="55"/>
        <v>2.8486932901049311</v>
      </c>
      <c r="H104" s="15">
        <f t="shared" si="42"/>
        <v>3.7435631999999992</v>
      </c>
      <c r="I104" s="16">
        <v>7.3999999999999996E-2</v>
      </c>
      <c r="J104" s="16">
        <v>65020</v>
      </c>
    </row>
    <row r="105" spans="1:11" x14ac:dyDescent="0.25">
      <c r="A105" s="14">
        <v>43922</v>
      </c>
      <c r="B105" s="15">
        <f>B104</f>
        <v>2.5945106162610045</v>
      </c>
      <c r="C105" s="16"/>
      <c r="D105" s="15">
        <f t="shared" si="56"/>
        <v>2.6179488000000002</v>
      </c>
      <c r="E105" s="32">
        <f t="shared" si="57"/>
        <v>6.2E-2</v>
      </c>
      <c r="F105" s="24">
        <v>-1E-3</v>
      </c>
      <c r="G105" s="15">
        <f t="shared" si="55"/>
        <v>2.8486932901049311</v>
      </c>
      <c r="H105" s="15">
        <f t="shared" si="42"/>
        <v>2.7063467999999999</v>
      </c>
      <c r="I105" s="16">
        <v>6.3E-2</v>
      </c>
      <c r="J105" s="16">
        <v>65020</v>
      </c>
      <c r="K105" t="s">
        <v>26</v>
      </c>
    </row>
    <row r="106" spans="1:11" x14ac:dyDescent="0.25">
      <c r="A106" s="14">
        <v>43929</v>
      </c>
      <c r="B106" s="15">
        <v>0.89400000000000002</v>
      </c>
      <c r="C106" s="16"/>
      <c r="D106" s="15">
        <f t="shared" ref="D106" si="58">IF(E106&lt;0.029,353.7*E106*E106-2.6469*E106+0.0066,491.2*E106*E106+26.998*E106-0.9441)</f>
        <v>0.92173999999999989</v>
      </c>
      <c r="E106" s="32">
        <f t="shared" ref="E106" si="59">I106+F106</f>
        <v>0.04</v>
      </c>
      <c r="F106" s="24">
        <v>-1.4999999999999999E-2</v>
      </c>
      <c r="G106" s="15">
        <f t="shared" si="55"/>
        <v>0.96694341606606937</v>
      </c>
      <c r="H106" s="15">
        <f t="shared" si="42"/>
        <v>2.0266699999999997</v>
      </c>
      <c r="I106" s="16">
        <v>5.5E-2</v>
      </c>
      <c r="J106" s="16">
        <v>22070</v>
      </c>
    </row>
    <row r="107" spans="1:11" x14ac:dyDescent="0.25">
      <c r="A107" s="14">
        <v>43929</v>
      </c>
      <c r="B107" s="15">
        <v>0.89400000000000002</v>
      </c>
      <c r="C107" s="16"/>
      <c r="D107" s="15">
        <f t="shared" ref="D107:D108" si="60">IF(E107&lt;0.029,353.7*E107*E107-2.6469*E107+0.0066,491.2*E107*E107+26.998*E107-0.9441)</f>
        <v>0.92173999999999989</v>
      </c>
      <c r="E107" s="32">
        <f t="shared" ref="E107:E108" si="61">I107+F107</f>
        <v>0.04</v>
      </c>
      <c r="F107" s="24">
        <v>-5.0000000000000001E-3</v>
      </c>
      <c r="G107" s="15">
        <f t="shared" ref="G107" si="62">J107/22824.5</f>
        <v>0.96694341606606937</v>
      </c>
      <c r="H107" s="15">
        <f t="shared" ref="H107:H108" si="63">IF(I107&lt;0.029,353.7*I107*I107-2.6469*I107+0.0066,491.2*I107*I107+26.998*I107-0.9441)</f>
        <v>1.2654899999999998</v>
      </c>
      <c r="I107" s="16">
        <v>4.4999999999999998E-2</v>
      </c>
      <c r="J107" s="16">
        <v>22070</v>
      </c>
      <c r="K107" t="s">
        <v>26</v>
      </c>
    </row>
    <row r="108" spans="1:11" x14ac:dyDescent="0.25">
      <c r="A108" s="2">
        <v>43933</v>
      </c>
      <c r="B108" s="4">
        <v>0.39400000000000002</v>
      </c>
      <c r="D108" s="4">
        <f t="shared" si="60"/>
        <v>0.4228248</v>
      </c>
      <c r="E108" s="5">
        <f t="shared" si="61"/>
        <v>3.2000000000000001E-2</v>
      </c>
      <c r="F108" s="23">
        <v>-1.2999999999999999E-2</v>
      </c>
      <c r="G108" s="4">
        <f t="shared" si="55"/>
        <v>0.54678087143201382</v>
      </c>
      <c r="H108" s="4">
        <f t="shared" si="63"/>
        <v>1.2654899999999998</v>
      </c>
      <c r="I108" s="3">
        <v>4.4999999999999998E-2</v>
      </c>
      <c r="J108" s="3">
        <f>(11180+13780)/2</f>
        <v>12480</v>
      </c>
    </row>
    <row r="109" spans="1:11" x14ac:dyDescent="0.25">
      <c r="A109" s="2">
        <v>43933</v>
      </c>
      <c r="B109" s="4">
        <v>0.39400000000000002</v>
      </c>
      <c r="D109" s="4">
        <f t="shared" ref="D109" si="64">IF(E109&lt;0.029,353.7*E109*E109-2.6469*E109+0.0066,491.2*E109*E109+26.998*E109-0.9441)</f>
        <v>0.4228248</v>
      </c>
      <c r="E109" s="5">
        <f t="shared" ref="E109" si="65">I109+F109</f>
        <v>3.2000000000000001E-2</v>
      </c>
      <c r="F109" s="23">
        <v>-2E-3</v>
      </c>
      <c r="G109" s="4">
        <f t="shared" ref="G109:G124" si="66">J109/22824.5</f>
        <v>0.54678087143201382</v>
      </c>
      <c r="H109" s="4">
        <f t="shared" ref="H109:H126" si="67">IF(I109&lt;0.029,353.7*I109*I109-2.6469*I109+0.0066,491.2*I109*I109+26.998*I109-0.9441)</f>
        <v>0.54165920000000012</v>
      </c>
      <c r="I109" s="3">
        <v>3.4000000000000002E-2</v>
      </c>
      <c r="J109" s="3">
        <f>(11180+13780)/2</f>
        <v>12480</v>
      </c>
      <c r="K109" t="s">
        <v>63</v>
      </c>
    </row>
    <row r="110" spans="1:11" x14ac:dyDescent="0.25">
      <c r="A110" s="2">
        <v>43936</v>
      </c>
      <c r="B110" s="4">
        <v>2.29</v>
      </c>
      <c r="D110" s="4">
        <f t="shared" ref="D110" si="68">IF(E110&lt;0.029,353.7*E110*E110-2.6469*E110+0.0066,491.2*E110*E110+26.998*E110-0.9441)</f>
        <v>2.3586491999999999</v>
      </c>
      <c r="E110" s="5">
        <f t="shared" ref="E110" si="69">I110+F110</f>
        <v>5.8999999999999997E-2</v>
      </c>
      <c r="F110" s="23">
        <v>-2E-3</v>
      </c>
      <c r="G110" s="4">
        <f t="shared" si="66"/>
        <v>2.4854870862450436</v>
      </c>
      <c r="H110" s="4">
        <f t="shared" si="67"/>
        <v>2.5305331999999994</v>
      </c>
      <c r="I110" s="3">
        <v>6.0999999999999999E-2</v>
      </c>
      <c r="J110" s="3">
        <v>56730</v>
      </c>
    </row>
    <row r="111" spans="1:11" x14ac:dyDescent="0.25">
      <c r="A111" s="2">
        <v>43945</v>
      </c>
      <c r="B111" s="4">
        <f>16.7/55.4</f>
        <v>0.30144404332129965</v>
      </c>
      <c r="D111" s="4">
        <f t="shared" ref="D111:D124" si="70">IF(E111&lt;0.029,353.7*E111*E111-2.6469*E111+0.0066,491.2*E111*E111+26.998*E111-0.9441)</f>
        <v>0.30792000000000008</v>
      </c>
      <c r="E111" s="5">
        <f t="shared" ref="E111:E124" si="71">I111+F111</f>
        <v>3.0000000000000002E-2</v>
      </c>
      <c r="F111" s="23">
        <v>-3.0000000000000001E-3</v>
      </c>
      <c r="G111" s="4">
        <f t="shared" si="66"/>
        <v>0.36929615106574076</v>
      </c>
      <c r="H111" s="4">
        <f t="shared" si="67"/>
        <v>0.48175080000000003</v>
      </c>
      <c r="I111" s="3">
        <v>3.3000000000000002E-2</v>
      </c>
      <c r="J111" s="3">
        <v>8429</v>
      </c>
    </row>
    <row r="112" spans="1:11" x14ac:dyDescent="0.25">
      <c r="A112" s="2">
        <v>43945</v>
      </c>
      <c r="B112" s="4">
        <f>16.7/55.4</f>
        <v>0.30144404332129965</v>
      </c>
      <c r="D112" s="4">
        <f t="shared" si="70"/>
        <v>0.30791999999999986</v>
      </c>
      <c r="E112" s="5">
        <f t="shared" si="71"/>
        <v>0.03</v>
      </c>
      <c r="F112" s="23">
        <v>3.0000000000000001E-3</v>
      </c>
      <c r="G112" s="4">
        <f t="shared" si="66"/>
        <v>0.36929615106574076</v>
      </c>
      <c r="H112" s="4">
        <f t="shared" si="67"/>
        <v>0.19298100000000001</v>
      </c>
      <c r="I112" s="3">
        <v>2.7E-2</v>
      </c>
      <c r="J112" s="3">
        <v>8429</v>
      </c>
      <c r="K112" t="s">
        <v>26</v>
      </c>
    </row>
    <row r="113" spans="1:11" x14ac:dyDescent="0.25">
      <c r="A113" s="2">
        <v>43949</v>
      </c>
      <c r="B113" s="4">
        <f>16.7/10.805</f>
        <v>1.5455807496529383</v>
      </c>
      <c r="D113" s="4">
        <f t="shared" si="70"/>
        <v>1.5581731999999993</v>
      </c>
      <c r="E113" s="5">
        <f t="shared" si="71"/>
        <v>4.8999999999999995E-2</v>
      </c>
      <c r="F113" s="23">
        <v>-3.0000000000000001E-3</v>
      </c>
      <c r="G113" s="4">
        <f t="shared" si="66"/>
        <v>1.8436329382899954</v>
      </c>
      <c r="H113" s="4">
        <f t="shared" si="67"/>
        <v>1.7880007999999994</v>
      </c>
      <c r="I113" s="3">
        <v>5.1999999999999998E-2</v>
      </c>
      <c r="J113" s="3">
        <v>42080</v>
      </c>
    </row>
    <row r="114" spans="1:11" x14ac:dyDescent="0.25">
      <c r="A114" s="2">
        <v>43954</v>
      </c>
      <c r="B114" s="4">
        <f>16.7/29.34</f>
        <v>0.56918882072256305</v>
      </c>
      <c r="D114" s="4">
        <f t="shared" si="70"/>
        <v>0.57198179999999976</v>
      </c>
      <c r="E114" s="5">
        <f t="shared" si="71"/>
        <v>3.4499999999999996E-2</v>
      </c>
      <c r="F114" s="23">
        <v>-1.6500000000000001E-2</v>
      </c>
      <c r="G114" s="4">
        <f t="shared" si="66"/>
        <v>0.7132686367718899</v>
      </c>
      <c r="H114" s="4">
        <f t="shared" si="67"/>
        <v>1.7104091999999995</v>
      </c>
      <c r="I114" s="3">
        <v>5.0999999999999997E-2</v>
      </c>
      <c r="J114" s="3">
        <v>16280</v>
      </c>
    </row>
    <row r="115" spans="1:11" x14ac:dyDescent="0.25">
      <c r="A115" s="2">
        <v>43954</v>
      </c>
      <c r="B115" s="4">
        <f>16.7/29.34</f>
        <v>0.56918882072256305</v>
      </c>
      <c r="D115" s="4">
        <f t="shared" si="70"/>
        <v>0.4228248</v>
      </c>
      <c r="E115" s="5">
        <f t="shared" si="71"/>
        <v>3.2000000000000001E-2</v>
      </c>
      <c r="F115" s="23">
        <v>0</v>
      </c>
      <c r="G115" s="4">
        <f t="shared" si="66"/>
        <v>0.7132686367718899</v>
      </c>
      <c r="H115" s="4">
        <f t="shared" si="67"/>
        <v>0.4228248</v>
      </c>
      <c r="I115" s="3">
        <v>3.2000000000000001E-2</v>
      </c>
      <c r="J115" s="3">
        <v>16280</v>
      </c>
      <c r="K115" t="s">
        <v>26</v>
      </c>
    </row>
    <row r="116" spans="1:11" x14ac:dyDescent="0.25">
      <c r="A116" s="2">
        <v>43963</v>
      </c>
      <c r="B116" s="4">
        <f>16.7/52.26</f>
        <v>0.31955606582472251</v>
      </c>
      <c r="D116" s="4">
        <f t="shared" si="70"/>
        <v>0.30791999999999964</v>
      </c>
      <c r="E116" s="5">
        <f t="shared" si="71"/>
        <v>2.9999999999999995E-2</v>
      </c>
      <c r="F116" s="23">
        <v>-2.1000000000000001E-2</v>
      </c>
      <c r="G116" s="4">
        <f t="shared" si="66"/>
        <v>0.36929615106574076</v>
      </c>
      <c r="H116" s="4">
        <f t="shared" si="67"/>
        <v>1.7104091999999995</v>
      </c>
      <c r="I116" s="3">
        <v>5.0999999999999997E-2</v>
      </c>
      <c r="J116" s="3">
        <v>8429</v>
      </c>
      <c r="K116" t="s">
        <v>61</v>
      </c>
    </row>
    <row r="117" spans="1:11" x14ac:dyDescent="0.25">
      <c r="A117" s="2">
        <v>43963</v>
      </c>
      <c r="B117" s="4">
        <f>16.7/52.26</f>
        <v>0.31955606582472251</v>
      </c>
      <c r="D117" s="4">
        <f t="shared" si="70"/>
        <v>0.30791999999999986</v>
      </c>
      <c r="E117" s="5">
        <f t="shared" si="71"/>
        <v>0.03</v>
      </c>
      <c r="F117" s="23">
        <v>0</v>
      </c>
      <c r="G117" s="4">
        <f t="shared" si="66"/>
        <v>0.36929615106574076</v>
      </c>
      <c r="H117" s="4">
        <f t="shared" si="67"/>
        <v>0.30791999999999986</v>
      </c>
      <c r="I117" s="3">
        <v>0.03</v>
      </c>
      <c r="J117" s="3">
        <v>8429</v>
      </c>
      <c r="K117" t="s">
        <v>56</v>
      </c>
    </row>
    <row r="118" spans="1:11" x14ac:dyDescent="0.25">
      <c r="A118" s="2">
        <v>43968</v>
      </c>
      <c r="B118" s="4">
        <f>16.7/110.3</f>
        <v>0.1514052583862194</v>
      </c>
      <c r="D118" s="4">
        <f t="shared" si="70"/>
        <v>0.16148999999999997</v>
      </c>
      <c r="E118" s="5">
        <f t="shared" si="71"/>
        <v>2.5000000000000001E-2</v>
      </c>
      <c r="F118" s="23">
        <v>-3.0000000000000001E-3</v>
      </c>
      <c r="G118" s="4">
        <f t="shared" si="66"/>
        <v>0.22107822734342483</v>
      </c>
      <c r="H118" s="4">
        <f t="shared" si="67"/>
        <v>0.20978759999999996</v>
      </c>
      <c r="I118" s="3">
        <v>2.8000000000000001E-2</v>
      </c>
      <c r="J118" s="3">
        <v>5046</v>
      </c>
    </row>
    <row r="119" spans="1:11" x14ac:dyDescent="0.25">
      <c r="A119" s="2">
        <v>43979</v>
      </c>
      <c r="B119" s="4">
        <f>16.7/132.3</f>
        <v>0.12622826908541193</v>
      </c>
      <c r="D119" s="4">
        <f t="shared" si="70"/>
        <v>0.13972867499999997</v>
      </c>
      <c r="E119" s="5">
        <f t="shared" si="71"/>
        <v>2.35E-2</v>
      </c>
      <c r="F119" s="23">
        <v>-3.5000000000000001E-3</v>
      </c>
      <c r="G119" s="4">
        <f t="shared" si="66"/>
        <v>0.22107822734342483</v>
      </c>
      <c r="H119" s="4">
        <f t="shared" si="67"/>
        <v>0.19298100000000001</v>
      </c>
      <c r="I119" s="3">
        <v>2.7E-2</v>
      </c>
      <c r="J119" s="3">
        <v>5046</v>
      </c>
    </row>
    <row r="120" spans="1:11" x14ac:dyDescent="0.25">
      <c r="A120" s="2">
        <v>43979</v>
      </c>
      <c r="B120" s="4">
        <f>16.7/132.3</f>
        <v>0.12622826908541193</v>
      </c>
      <c r="D120" s="4">
        <f t="shared" si="70"/>
        <v>0.14680559999999998</v>
      </c>
      <c r="E120" s="5">
        <f t="shared" si="71"/>
        <v>2.4E-2</v>
      </c>
      <c r="F120" s="23">
        <v>0</v>
      </c>
      <c r="G120" s="4">
        <f t="shared" si="66"/>
        <v>0.22107822734342483</v>
      </c>
      <c r="H120" s="4">
        <f t="shared" si="67"/>
        <v>0.14680559999999998</v>
      </c>
      <c r="I120" s="3">
        <v>2.4E-2</v>
      </c>
      <c r="J120" s="3">
        <v>5046</v>
      </c>
      <c r="K120" t="s">
        <v>26</v>
      </c>
    </row>
    <row r="121" spans="1:11" x14ac:dyDescent="0.25">
      <c r="A121" s="2">
        <v>43982</v>
      </c>
      <c r="B121" s="5">
        <f>16.7/372</f>
        <v>4.4892473118279569E-2</v>
      </c>
      <c r="C121" s="5"/>
      <c r="D121" s="5">
        <f t="shared" si="70"/>
        <v>4.6478999999999993E-2</v>
      </c>
      <c r="E121" s="5">
        <f t="shared" si="71"/>
        <v>1.4999999999999999E-2</v>
      </c>
      <c r="F121" s="23">
        <v>-4.0000000000000001E-3</v>
      </c>
      <c r="G121" s="4">
        <f t="shared" si="66"/>
        <v>6.3878726806720854E-2</v>
      </c>
      <c r="H121" s="4">
        <f t="shared" si="67"/>
        <v>8.3994599999999975E-2</v>
      </c>
      <c r="I121" s="3">
        <v>1.9E-2</v>
      </c>
      <c r="J121" s="3">
        <v>1458</v>
      </c>
      <c r="K121" t="s">
        <v>57</v>
      </c>
    </row>
    <row r="122" spans="1:11" x14ac:dyDescent="0.25">
      <c r="A122" s="2">
        <v>43991</v>
      </c>
      <c r="B122" s="5">
        <f>16.7/481</f>
        <v>3.4719334719334721E-2</v>
      </c>
      <c r="C122" s="5"/>
      <c r="D122" s="5">
        <f t="shared" si="70"/>
        <v>3.8868599999999989E-2</v>
      </c>
      <c r="E122" s="5">
        <f t="shared" si="71"/>
        <v>1.4E-2</v>
      </c>
      <c r="F122" s="23">
        <v>-6.0000000000000001E-3</v>
      </c>
      <c r="G122" s="4">
        <f t="shared" si="66"/>
        <v>4.6616574295165282E-2</v>
      </c>
      <c r="H122" s="4">
        <f t="shared" si="67"/>
        <v>9.514199999999999E-2</v>
      </c>
      <c r="I122" s="3">
        <v>0.02</v>
      </c>
      <c r="J122" s="3">
        <v>1064</v>
      </c>
    </row>
    <row r="123" spans="1:11" x14ac:dyDescent="0.25">
      <c r="A123" s="2">
        <v>43998</v>
      </c>
      <c r="B123" s="5">
        <f>2.5/262</f>
        <v>9.5419847328244278E-3</v>
      </c>
      <c r="C123" s="5"/>
      <c r="D123" s="5">
        <f t="shared" si="70"/>
        <v>1.1427599999999994E-2</v>
      </c>
      <c r="E123" s="5">
        <f t="shared" si="71"/>
        <v>8.9999999999999993E-3</v>
      </c>
      <c r="F123" s="23">
        <v>-6.0000000000000001E-3</v>
      </c>
      <c r="G123" s="4">
        <f t="shared" si="66"/>
        <v>2.0329032399395385E-2</v>
      </c>
      <c r="H123" s="4">
        <f t="shared" si="67"/>
        <v>4.6478999999999993E-2</v>
      </c>
      <c r="I123" s="3">
        <v>1.4999999999999999E-2</v>
      </c>
      <c r="J123" s="3">
        <v>464</v>
      </c>
    </row>
    <row r="124" spans="1:11" x14ac:dyDescent="0.25">
      <c r="A124" s="2">
        <v>43998</v>
      </c>
      <c r="B124" s="5">
        <f>2.5/262</f>
        <v>9.5419847328244278E-3</v>
      </c>
      <c r="C124" s="5"/>
      <c r="D124" s="5">
        <f t="shared" si="70"/>
        <v>1.1427600000000005E-2</v>
      </c>
      <c r="E124" s="5">
        <f t="shared" si="71"/>
        <v>9.0000000000000011E-3</v>
      </c>
      <c r="F124" s="23">
        <v>-3.0000000000000001E-3</v>
      </c>
      <c r="G124" s="4">
        <f t="shared" si="66"/>
        <v>2.0329032399395385E-2</v>
      </c>
      <c r="H124" s="4">
        <f t="shared" si="67"/>
        <v>2.5770000000000001E-2</v>
      </c>
      <c r="I124" s="3">
        <v>1.2E-2</v>
      </c>
      <c r="J124" s="3">
        <v>464</v>
      </c>
    </row>
    <row r="125" spans="1:11" x14ac:dyDescent="0.25">
      <c r="A125" s="2">
        <v>44006</v>
      </c>
      <c r="B125" s="33" t="s">
        <v>58</v>
      </c>
      <c r="D125" s="5">
        <f t="shared" ref="D125:D126" si="72">IF(E125&lt;0.029,353.7*E125*E125-2.6469*E125+0.0066,491.2*E125*E125+26.998*E125-0.9441)</f>
        <v>2.7210000000000021E-3</v>
      </c>
      <c r="E125" s="5">
        <f t="shared" ref="E125:E126" si="73">I125+F125</f>
        <v>1.9999999999999983E-3</v>
      </c>
      <c r="F125" s="23">
        <v>-2.8000000000000001E-2</v>
      </c>
      <c r="G125" s="4"/>
      <c r="H125" s="4">
        <f t="shared" si="67"/>
        <v>0.30791999999999986</v>
      </c>
      <c r="I125" s="3">
        <v>0.03</v>
      </c>
      <c r="J125" s="34" t="s">
        <v>58</v>
      </c>
      <c r="K125" t="s">
        <v>59</v>
      </c>
    </row>
    <row r="126" spans="1:11" x14ac:dyDescent="0.25">
      <c r="A126" s="2">
        <v>44006</v>
      </c>
      <c r="B126" s="33" t="s">
        <v>58</v>
      </c>
      <c r="D126" s="5">
        <f t="shared" si="72"/>
        <v>1.8425999999999998E-3</v>
      </c>
      <c r="E126" s="5">
        <f t="shared" si="73"/>
        <v>3.0000000000000001E-3</v>
      </c>
      <c r="F126" s="23">
        <v>0</v>
      </c>
      <c r="G126" s="4"/>
      <c r="H126" s="4">
        <f t="shared" si="67"/>
        <v>1.8425999999999998E-3</v>
      </c>
      <c r="I126" s="3">
        <v>3.0000000000000001E-3</v>
      </c>
      <c r="J126" s="34" t="s">
        <v>58</v>
      </c>
      <c r="K126" t="s">
        <v>60</v>
      </c>
    </row>
    <row r="130" spans="1:10" x14ac:dyDescent="0.25">
      <c r="A130" s="27"/>
      <c r="B130" s="28" t="s">
        <v>20</v>
      </c>
      <c r="C130" s="28" t="s">
        <v>37</v>
      </c>
      <c r="D130" s="28" t="s">
        <v>25</v>
      </c>
      <c r="E130" s="29" t="s">
        <v>25</v>
      </c>
      <c r="F130" s="30" t="s">
        <v>27</v>
      </c>
      <c r="G130" s="29" t="s">
        <v>21</v>
      </c>
      <c r="H130" s="29" t="s">
        <v>22</v>
      </c>
      <c r="I130" s="29" t="s">
        <v>22</v>
      </c>
      <c r="J130" s="29" t="s">
        <v>21</v>
      </c>
    </row>
    <row r="131" spans="1:10" x14ac:dyDescent="0.25">
      <c r="A131" s="31"/>
      <c r="B131" s="28" t="s">
        <v>2</v>
      </c>
      <c r="C131" s="28" t="s">
        <v>2</v>
      </c>
      <c r="D131" s="28" t="s">
        <v>2</v>
      </c>
      <c r="E131" s="29" t="s">
        <v>15</v>
      </c>
      <c r="F131" s="30" t="s">
        <v>15</v>
      </c>
      <c r="G131" s="29" t="s">
        <v>2</v>
      </c>
      <c r="H131" s="29" t="s">
        <v>2</v>
      </c>
      <c r="I131" s="29" t="s">
        <v>15</v>
      </c>
      <c r="J131" s="29" t="s">
        <v>23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E11" sqref="E11"/>
    </sheetView>
  </sheetViews>
  <sheetFormatPr defaultRowHeight="15" x14ac:dyDescent="0.25"/>
  <cols>
    <col min="1" max="1" width="12.85546875" customWidth="1"/>
    <col min="10" max="10" width="10.5703125" customWidth="1"/>
    <col min="16" max="16" width="10.28515625" customWidth="1"/>
  </cols>
  <sheetData>
    <row r="1" spans="1:20" s="8" customFormat="1" ht="30" x14ac:dyDescent="0.25">
      <c r="C1" s="9" t="s">
        <v>0</v>
      </c>
      <c r="D1" s="9" t="s">
        <v>1</v>
      </c>
      <c r="E1" s="9" t="s">
        <v>2</v>
      </c>
      <c r="F1" s="9"/>
      <c r="G1" s="9" t="s">
        <v>3</v>
      </c>
      <c r="H1" s="9" t="s">
        <v>4</v>
      </c>
      <c r="J1" s="9" t="s">
        <v>5</v>
      </c>
      <c r="K1" s="9" t="s">
        <v>10</v>
      </c>
      <c r="L1" s="9" t="s">
        <v>11</v>
      </c>
      <c r="P1" s="8" t="s">
        <v>14</v>
      </c>
      <c r="Q1" s="9" t="s">
        <v>2</v>
      </c>
      <c r="R1" s="9"/>
      <c r="S1" s="9"/>
      <c r="T1" s="9"/>
    </row>
    <row r="2" spans="1:20" x14ac:dyDescent="0.25">
      <c r="A2" s="2">
        <v>43210</v>
      </c>
      <c r="C2" s="3">
        <v>3.75</v>
      </c>
      <c r="D2" s="3">
        <v>3.82</v>
      </c>
      <c r="E2" s="4">
        <f>C2/D2</f>
        <v>0.98167539267015713</v>
      </c>
      <c r="F2" s="3"/>
      <c r="G2" s="3">
        <v>25120</v>
      </c>
      <c r="H2" s="3">
        <v>1.1005</v>
      </c>
      <c r="J2" s="5">
        <f>K2*0.3048</f>
        <v>6.0960000000000007E-2</v>
      </c>
      <c r="K2">
        <v>0.2</v>
      </c>
      <c r="L2" t="s">
        <v>12</v>
      </c>
      <c r="P2" s="1">
        <f>J2-0.02</f>
        <v>4.096000000000001E-2</v>
      </c>
      <c r="Q2" s="4">
        <f>IF(P2&lt;0.025,353.7*P2*P2+2.469=P2+0.0066,491.2*P2*P2+26.998*P2-0.9441)</f>
        <v>0.98583492992000077</v>
      </c>
      <c r="R2" s="4"/>
    </row>
    <row r="3" spans="1:20" x14ac:dyDescent="0.25">
      <c r="C3" s="3">
        <v>4</v>
      </c>
      <c r="D3" s="3">
        <v>4.12</v>
      </c>
      <c r="E3" s="4">
        <f>C3/D3</f>
        <v>0.970873786407767</v>
      </c>
      <c r="F3" s="3"/>
      <c r="G3" s="3"/>
      <c r="H3" s="3"/>
      <c r="J3" s="5"/>
      <c r="P3" s="1"/>
      <c r="Q3" s="4"/>
      <c r="R3" s="4"/>
      <c r="S3" s="3"/>
    </row>
    <row r="4" spans="1:20" x14ac:dyDescent="0.25">
      <c r="C4" s="3">
        <v>3.4</v>
      </c>
      <c r="D4" s="3">
        <v>3.49</v>
      </c>
      <c r="E4" s="4">
        <f>C4/D4</f>
        <v>0.9742120343839541</v>
      </c>
      <c r="F4" s="3"/>
      <c r="G4" s="3"/>
      <c r="H4" s="3"/>
      <c r="J4" s="3"/>
      <c r="S4" s="3"/>
    </row>
    <row r="5" spans="1:20" x14ac:dyDescent="0.25">
      <c r="C5" s="3"/>
      <c r="D5" s="3"/>
      <c r="E5" s="11">
        <f>AVERAGE(E2:E4)</f>
        <v>0.97558707115395948</v>
      </c>
      <c r="F5" s="3"/>
      <c r="G5" s="3"/>
      <c r="H5" s="3"/>
      <c r="J5" s="3"/>
    </row>
    <row r="6" spans="1:20" x14ac:dyDescent="0.25">
      <c r="C6" s="3"/>
      <c r="D6" s="3"/>
      <c r="E6" s="12"/>
      <c r="F6" s="3"/>
      <c r="G6" s="3"/>
      <c r="H6" s="3"/>
      <c r="J6" s="3"/>
      <c r="L6" s="7"/>
    </row>
    <row r="7" spans="1:20" x14ac:dyDescent="0.25">
      <c r="A7" s="2">
        <v>43216</v>
      </c>
      <c r="C7" s="3" t="s">
        <v>16</v>
      </c>
      <c r="D7" s="3">
        <v>2.37</v>
      </c>
      <c r="E7" s="4">
        <f>C$8/D7</f>
        <v>7.1729957805907167</v>
      </c>
      <c r="F7" s="3"/>
      <c r="G7" s="3" t="s">
        <v>7</v>
      </c>
      <c r="H7" s="3"/>
      <c r="J7" s="5">
        <f>K7*0.3048</f>
        <v>0.11186160000000001</v>
      </c>
      <c r="K7">
        <v>0.36699999999999999</v>
      </c>
      <c r="L7" s="7">
        <v>0.63888888888888895</v>
      </c>
      <c r="P7" s="1">
        <f>J7-0.02</f>
        <v>9.1861600000000002E-2</v>
      </c>
      <c r="Q7" s="4">
        <f>IF(P7&lt;0.025,353.7*P7*P7+2.469=P7+0.0066,491.2*P7*P7+26.998*P7-0.9441)</f>
        <v>5.6809969827998721</v>
      </c>
      <c r="R7" s="4"/>
    </row>
    <row r="8" spans="1:20" x14ac:dyDescent="0.25">
      <c r="C8" s="6">
        <v>17</v>
      </c>
      <c r="D8" s="3">
        <v>2.41</v>
      </c>
      <c r="E8" s="4">
        <f>C$8/D8</f>
        <v>7.0539419087136928</v>
      </c>
      <c r="F8" s="3"/>
      <c r="H8" s="3"/>
      <c r="J8" s="5">
        <f>K8*0.3048</f>
        <v>0.11308080000000001</v>
      </c>
      <c r="K8">
        <v>0.371</v>
      </c>
      <c r="L8" s="7">
        <v>0.64930555555555558</v>
      </c>
      <c r="P8" s="1">
        <f>J8-0.02</f>
        <v>9.3080800000000005E-2</v>
      </c>
      <c r="Q8" s="4">
        <f>IF(P8&lt;0.025,353.7*P8*P8+2.469=P8+0.0066,491.2*P8*P8+26.998*P8-0.9441)</f>
        <v>5.824669591827969</v>
      </c>
      <c r="R8" s="4"/>
    </row>
    <row r="9" spans="1:20" x14ac:dyDescent="0.25">
      <c r="C9" s="3"/>
      <c r="D9" s="3">
        <v>2.4300000000000002</v>
      </c>
      <c r="E9" s="4">
        <f>C$8/D9</f>
        <v>6.9958847736625511</v>
      </c>
      <c r="F9" s="3"/>
      <c r="G9" s="3"/>
      <c r="H9" s="3"/>
      <c r="J9" s="5" t="s">
        <v>6</v>
      </c>
      <c r="P9" s="11">
        <f>AVERAGE(P7:P8)</f>
        <v>9.2471200000000003E-2</v>
      </c>
      <c r="Q9" s="11">
        <f>AVERAGE(Q7:Q8)</f>
        <v>5.752833287313921</v>
      </c>
    </row>
    <row r="10" spans="1:20" x14ac:dyDescent="0.25">
      <c r="C10" s="3"/>
      <c r="D10" s="3"/>
      <c r="E10" s="11">
        <f>AVERAGE(E7:E9)</f>
        <v>7.0742741543223202</v>
      </c>
      <c r="F10" s="3"/>
      <c r="G10" s="3"/>
      <c r="H10" s="3"/>
      <c r="J10" s="5"/>
      <c r="P10" s="1"/>
    </row>
    <row r="11" spans="1:20" x14ac:dyDescent="0.25">
      <c r="A11" s="2">
        <v>43218</v>
      </c>
      <c r="C11" s="3" t="s">
        <v>16</v>
      </c>
      <c r="D11" s="3">
        <v>16.260000000000002</v>
      </c>
      <c r="E11" s="4">
        <f>C$8/D11</f>
        <v>1.0455104551045509</v>
      </c>
      <c r="F11" s="3"/>
      <c r="G11" s="3">
        <v>25120</v>
      </c>
      <c r="H11" s="3">
        <v>1.1005</v>
      </c>
      <c r="J11" s="5">
        <f>K11*0.3048</f>
        <v>6.4007999999999995E-2</v>
      </c>
      <c r="K11">
        <v>0.21</v>
      </c>
      <c r="L11" s="7">
        <v>0.57638888888888895</v>
      </c>
      <c r="P11" s="1">
        <f>J11-0.02</f>
        <v>4.4007999999999992E-2</v>
      </c>
      <c r="Q11" s="4">
        <f>IF(P11&lt;0.025,353.7*P11*P11+2.469=P11+0.0066,491.2*P11*P11+26.998*P11-0.9441)</f>
        <v>1.1953370202367992</v>
      </c>
      <c r="R11" s="4"/>
    </row>
    <row r="12" spans="1:20" x14ac:dyDescent="0.25">
      <c r="C12" s="3"/>
      <c r="D12" s="3">
        <v>16.04</v>
      </c>
      <c r="E12" s="4">
        <f>C$8/D12</f>
        <v>1.059850374064838</v>
      </c>
      <c r="F12" s="3"/>
      <c r="G12" s="3"/>
      <c r="H12" s="3"/>
      <c r="J12" s="5" t="s">
        <v>6</v>
      </c>
      <c r="K12" t="s">
        <v>6</v>
      </c>
      <c r="P12" s="1"/>
    </row>
    <row r="13" spans="1:20" x14ac:dyDescent="0.25">
      <c r="C13" s="3"/>
      <c r="D13" s="3">
        <v>16.149999999999999</v>
      </c>
      <c r="E13" s="4">
        <f>C$8/D13</f>
        <v>1.0526315789473686</v>
      </c>
      <c r="F13" s="3"/>
      <c r="G13" s="3"/>
      <c r="H13" s="3"/>
      <c r="J13" s="3"/>
      <c r="P13" s="1"/>
    </row>
    <row r="14" spans="1:20" x14ac:dyDescent="0.25">
      <c r="C14" s="3"/>
      <c r="D14" s="3" t="s">
        <v>6</v>
      </c>
      <c r="E14" s="11">
        <f>AVERAGE(E11:E13)</f>
        <v>1.0526641360389191</v>
      </c>
      <c r="F14" s="3"/>
      <c r="G14" s="3"/>
      <c r="H14" s="3"/>
      <c r="J14" s="3"/>
      <c r="P14" s="1"/>
    </row>
    <row r="15" spans="1:20" x14ac:dyDescent="0.25">
      <c r="C15" s="3"/>
      <c r="D15" s="3"/>
      <c r="E15" s="3"/>
      <c r="F15" s="3"/>
      <c r="G15" s="3"/>
      <c r="H15" s="3"/>
      <c r="J15" s="3"/>
      <c r="P15" s="1"/>
    </row>
    <row r="16" spans="1:20" x14ac:dyDescent="0.25">
      <c r="A16" s="2">
        <v>43223</v>
      </c>
      <c r="C16" s="3" t="s">
        <v>16</v>
      </c>
      <c r="D16" s="3">
        <v>19.850000000000001</v>
      </c>
      <c r="E16" s="4">
        <f>C$8/D16</f>
        <v>0.85642317380352639</v>
      </c>
      <c r="F16" s="3"/>
      <c r="G16" s="3">
        <v>19190</v>
      </c>
      <c r="H16" s="3">
        <v>0.8407</v>
      </c>
      <c r="J16" s="3">
        <v>3.9E-2</v>
      </c>
      <c r="L16" s="7">
        <v>0.6020833333333333</v>
      </c>
      <c r="M16" t="s">
        <v>13</v>
      </c>
      <c r="P16" s="1">
        <f>J16</f>
        <v>3.9E-2</v>
      </c>
      <c r="Q16" s="4">
        <f>IF(P16&lt;0.025,353.7*P16*P16+2.469=P16+0.0066,491.2*P16*P16+26.998*P16-0.9441)</f>
        <v>0.85593720000000018</v>
      </c>
      <c r="R16" s="4"/>
    </row>
    <row r="17" spans="1:18" x14ac:dyDescent="0.25">
      <c r="C17" s="3"/>
      <c r="D17" s="3">
        <v>19.75</v>
      </c>
      <c r="E17" s="4">
        <f>C$8/D17</f>
        <v>0.86075949367088611</v>
      </c>
      <c r="F17" s="3"/>
      <c r="G17" s="3"/>
      <c r="H17" s="3"/>
      <c r="J17" s="3"/>
      <c r="P17" s="1"/>
    </row>
    <row r="18" spans="1:18" x14ac:dyDescent="0.25">
      <c r="C18" s="3"/>
      <c r="D18" s="3"/>
      <c r="E18" s="11">
        <f>AVERAGE(E16:E17)</f>
        <v>0.8585913337372062</v>
      </c>
      <c r="F18" s="3"/>
      <c r="G18" s="3"/>
      <c r="H18" s="3"/>
      <c r="J18" s="3"/>
      <c r="P18" s="1"/>
    </row>
    <row r="19" spans="1:18" x14ac:dyDescent="0.25">
      <c r="A19" s="2">
        <v>43229</v>
      </c>
      <c r="C19" s="3" t="s">
        <v>16</v>
      </c>
      <c r="D19" s="3">
        <v>41.62</v>
      </c>
      <c r="E19" s="4">
        <f>C$8/D19</f>
        <v>0.40845747236905339</v>
      </c>
      <c r="F19" s="3"/>
      <c r="G19" s="3">
        <v>11180</v>
      </c>
      <c r="H19" s="3">
        <v>0.48980000000000001</v>
      </c>
      <c r="J19" s="3">
        <v>3.2000000000000001E-2</v>
      </c>
      <c r="L19" s="7">
        <v>0.58263888888888882</v>
      </c>
      <c r="P19" s="1">
        <f>J19</f>
        <v>3.2000000000000001E-2</v>
      </c>
      <c r="Q19" s="4">
        <f>IF(P19&lt;0.025,353.7*P19*P19+2.469=P19+0.0066,491.2*P19*P19+26.998*P19-0.9441)</f>
        <v>0.4228248</v>
      </c>
      <c r="R19" s="4"/>
    </row>
    <row r="20" spans="1:18" x14ac:dyDescent="0.25">
      <c r="A20" s="2">
        <v>43235</v>
      </c>
      <c r="C20" s="3"/>
      <c r="D20" s="3">
        <v>115</v>
      </c>
      <c r="E20" s="4">
        <f t="shared" ref="E20:E21" si="0">C$8/D20</f>
        <v>0.14782608695652175</v>
      </c>
      <c r="F20" s="3"/>
      <c r="G20" s="3">
        <v>5046</v>
      </c>
      <c r="H20" s="4">
        <v>0.22109999999999999</v>
      </c>
      <c r="J20" s="3">
        <v>2.5000000000000001E-2</v>
      </c>
      <c r="L20" s="7">
        <v>0.39583333333333331</v>
      </c>
      <c r="P20" s="1">
        <f>J20</f>
        <v>2.5000000000000001E-2</v>
      </c>
      <c r="Q20" s="4">
        <f>IF(P20&lt;0.029,353.7*P20*P20-2.6469*P20+0.0066,491.2*P20*P20+26.998*P20-0.9441)</f>
        <v>0.16148999999999997</v>
      </c>
    </row>
    <row r="21" spans="1:18" x14ac:dyDescent="0.25">
      <c r="A21" s="2">
        <v>43242</v>
      </c>
      <c r="C21" s="3"/>
      <c r="D21" s="3">
        <f>240+56.9</f>
        <v>296.89999999999998</v>
      </c>
      <c r="E21" s="4">
        <f t="shared" si="0"/>
        <v>5.7258336140114524E-2</v>
      </c>
      <c r="F21" s="3"/>
      <c r="G21" s="3">
        <v>735</v>
      </c>
      <c r="H21" s="4">
        <v>3.2199999999999999E-2</v>
      </c>
      <c r="J21" s="3">
        <v>1.6E-2</v>
      </c>
      <c r="L21" s="7">
        <v>0.40277777777777773</v>
      </c>
      <c r="P21" s="1">
        <f>J21</f>
        <v>1.6E-2</v>
      </c>
      <c r="Q21" s="4">
        <f>IF(P21&lt;0.029,353.7*P21*P21-2.6469*P21+0.0066,491.2*P21*P21+26.998*P21-0.9441)</f>
        <v>5.4796800000000007E-2</v>
      </c>
    </row>
    <row r="24" spans="1:18" x14ac:dyDescent="0.25">
      <c r="B24" s="3"/>
      <c r="C24" s="3"/>
      <c r="D24" s="3"/>
      <c r="E24" s="3"/>
      <c r="F24" s="3"/>
    </row>
    <row r="25" spans="1:18" x14ac:dyDescent="0.25">
      <c r="B25" s="3"/>
      <c r="C25" s="3"/>
      <c r="D25" s="3"/>
      <c r="E25" s="3"/>
      <c r="F25" s="3"/>
    </row>
    <row r="26" spans="1:18" x14ac:dyDescent="0.25">
      <c r="B26" s="3" t="s">
        <v>20</v>
      </c>
      <c r="C26" s="3" t="s">
        <v>21</v>
      </c>
      <c r="D26" s="3" t="s">
        <v>21</v>
      </c>
      <c r="E26" s="3" t="s">
        <v>22</v>
      </c>
      <c r="F26" s="3" t="s">
        <v>22</v>
      </c>
    </row>
    <row r="27" spans="1:18" x14ac:dyDescent="0.25">
      <c r="B27" s="3" t="s">
        <v>2</v>
      </c>
      <c r="C27" s="3" t="s">
        <v>23</v>
      </c>
      <c r="D27" s="3" t="s">
        <v>2</v>
      </c>
      <c r="E27" s="3" t="s">
        <v>15</v>
      </c>
      <c r="F27" s="3" t="s">
        <v>2</v>
      </c>
    </row>
    <row r="28" spans="1:18" x14ac:dyDescent="0.25">
      <c r="A28" s="2">
        <v>43210</v>
      </c>
      <c r="B28" s="4">
        <v>0.97558707115395948</v>
      </c>
      <c r="C28" s="3">
        <v>25120</v>
      </c>
      <c r="D28" s="4">
        <v>1.1005</v>
      </c>
      <c r="E28" s="5">
        <v>4.1000000000000002E-2</v>
      </c>
      <c r="F28" s="4">
        <v>0.98583492992000077</v>
      </c>
    </row>
    <row r="29" spans="1:18" x14ac:dyDescent="0.25">
      <c r="A29" s="2">
        <v>43218</v>
      </c>
      <c r="B29" s="4">
        <v>1.0526641360389191</v>
      </c>
      <c r="C29" s="3">
        <v>25120</v>
      </c>
      <c r="D29" s="4">
        <v>1.1005</v>
      </c>
      <c r="E29" s="5">
        <v>4.4007999999999992E-2</v>
      </c>
      <c r="F29" s="4">
        <v>1.1953370202367992</v>
      </c>
    </row>
    <row r="30" spans="1:18" x14ac:dyDescent="0.25">
      <c r="A30" s="2">
        <v>43223</v>
      </c>
      <c r="B30" s="4">
        <v>0.8585913337372062</v>
      </c>
      <c r="C30" s="3">
        <v>19190</v>
      </c>
      <c r="D30" s="4">
        <v>0.8407</v>
      </c>
      <c r="E30" s="5">
        <v>3.9E-2</v>
      </c>
      <c r="F30" s="4">
        <v>0.85593720000000018</v>
      </c>
    </row>
    <row r="31" spans="1:18" x14ac:dyDescent="0.25">
      <c r="A31" s="2">
        <v>43229</v>
      </c>
      <c r="B31" s="4">
        <v>0.40845747236905339</v>
      </c>
      <c r="C31" s="3">
        <v>11180</v>
      </c>
      <c r="D31" s="4">
        <v>0.48980000000000001</v>
      </c>
      <c r="E31" s="5">
        <v>3.2000000000000001E-2</v>
      </c>
      <c r="F31" s="4">
        <v>0.4228248</v>
      </c>
    </row>
    <row r="32" spans="1:18" x14ac:dyDescent="0.25">
      <c r="A32" s="2">
        <v>43235</v>
      </c>
      <c r="B32" s="4">
        <v>0.14782608695652175</v>
      </c>
      <c r="C32" s="3">
        <v>5046</v>
      </c>
      <c r="D32" s="4">
        <v>0.22109999999999999</v>
      </c>
      <c r="E32" s="5">
        <v>2.5000000000000001E-2</v>
      </c>
      <c r="F32" s="4">
        <v>0.16148999999999997</v>
      </c>
    </row>
    <row r="33" spans="1:10" x14ac:dyDescent="0.25">
      <c r="A33" s="2">
        <v>43242</v>
      </c>
      <c r="B33" s="4">
        <v>5.7258336140114524E-2</v>
      </c>
      <c r="C33" s="3">
        <v>735</v>
      </c>
      <c r="D33" s="4">
        <v>3.2199999999999999E-2</v>
      </c>
      <c r="E33" s="5">
        <v>1.6E-2</v>
      </c>
      <c r="F33" s="4">
        <v>5.4796800000000007E-2</v>
      </c>
    </row>
    <row r="34" spans="1:10" x14ac:dyDescent="0.25">
      <c r="A34" s="2"/>
    </row>
    <row r="35" spans="1:10" x14ac:dyDescent="0.25">
      <c r="A35" s="2"/>
    </row>
    <row r="36" spans="1:10" x14ac:dyDescent="0.25">
      <c r="A36" s="2"/>
    </row>
    <row r="37" spans="1:10" x14ac:dyDescent="0.25">
      <c r="A37" s="2"/>
    </row>
    <row r="38" spans="1:10" x14ac:dyDescent="0.25">
      <c r="A38" s="2"/>
      <c r="J38" t="s">
        <v>6</v>
      </c>
    </row>
    <row r="39" spans="1:10" x14ac:dyDescent="0.25">
      <c r="A39" s="2"/>
    </row>
    <row r="40" spans="1:10" x14ac:dyDescent="0.25">
      <c r="A40" s="2"/>
    </row>
    <row r="41" spans="1:10" x14ac:dyDescent="0.25">
      <c r="A41" s="2"/>
      <c r="D41" t="s">
        <v>6</v>
      </c>
    </row>
    <row r="42" spans="1:10" x14ac:dyDescent="0.25">
      <c r="A42" s="2"/>
    </row>
    <row r="43" spans="1:10" x14ac:dyDescent="0.25">
      <c r="A43" s="2"/>
    </row>
    <row r="44" spans="1:10" x14ac:dyDescent="0.25">
      <c r="A44" s="2"/>
    </row>
  </sheetData>
  <sortState ref="A26:Q45">
    <sortCondition ref="A2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6"/>
  <sheetViews>
    <sheetView zoomScale="130" zoomScaleNormal="130" workbookViewId="0">
      <selection activeCell="B63" sqref="B63"/>
    </sheetView>
  </sheetViews>
  <sheetFormatPr defaultRowHeight="15" x14ac:dyDescent="0.25"/>
  <cols>
    <col min="2" max="4" width="9.140625" style="10"/>
  </cols>
  <sheetData>
    <row r="1" spans="2:4" x14ac:dyDescent="0.25">
      <c r="B1" s="10" t="s">
        <v>15</v>
      </c>
      <c r="C1" s="10" t="s">
        <v>15</v>
      </c>
      <c r="D1" s="10" t="s">
        <v>2</v>
      </c>
    </row>
    <row r="2" spans="2:4" x14ac:dyDescent="0.25">
      <c r="B2" s="10">
        <f t="shared" ref="B2:B33" si="0">C2</f>
        <v>5.0000000000000001E-3</v>
      </c>
      <c r="C2" s="10">
        <v>5.0000000000000001E-3</v>
      </c>
      <c r="D2" s="10">
        <v>2.5000000000000001E-3</v>
      </c>
    </row>
    <row r="3" spans="2:4" x14ac:dyDescent="0.25">
      <c r="B3" s="10">
        <f t="shared" si="0"/>
        <v>7.0000000000000001E-3</v>
      </c>
      <c r="C3" s="10">
        <v>7.0000000000000001E-3</v>
      </c>
      <c r="D3" s="10">
        <v>5.0000000000000001E-3</v>
      </c>
    </row>
    <row r="4" spans="2:4" x14ac:dyDescent="0.25">
      <c r="B4" s="10">
        <f t="shared" si="0"/>
        <v>8.9999999999999993E-3</v>
      </c>
      <c r="C4" s="10">
        <v>8.9999999999999993E-3</v>
      </c>
      <c r="D4" s="10">
        <v>1.14E-2</v>
      </c>
    </row>
    <row r="5" spans="2:4" x14ac:dyDescent="0.25">
      <c r="B5" s="10">
        <f t="shared" si="0"/>
        <v>1.0999999999999999E-2</v>
      </c>
      <c r="C5" s="10">
        <v>1.0999999999999999E-2</v>
      </c>
      <c r="D5" s="10">
        <v>2.0299999999999999E-2</v>
      </c>
    </row>
    <row r="6" spans="2:4" x14ac:dyDescent="0.25">
      <c r="B6" s="10">
        <f t="shared" si="0"/>
        <v>1.2999999999999999E-2</v>
      </c>
      <c r="C6" s="10">
        <v>1.2999999999999999E-2</v>
      </c>
      <c r="D6" s="10">
        <v>3.2199999999999999E-2</v>
      </c>
    </row>
    <row r="7" spans="2:4" x14ac:dyDescent="0.25">
      <c r="B7" s="10">
        <f t="shared" si="0"/>
        <v>1.4999999999999999E-2</v>
      </c>
      <c r="C7" s="10">
        <v>1.4999999999999999E-2</v>
      </c>
      <c r="D7" s="10">
        <v>4.6600000000000003E-2</v>
      </c>
    </row>
    <row r="8" spans="2:4" x14ac:dyDescent="0.25">
      <c r="B8" s="10">
        <f t="shared" si="0"/>
        <v>1.7000000000000001E-2</v>
      </c>
      <c r="C8" s="10">
        <v>1.7000000000000001E-2</v>
      </c>
      <c r="D8" s="10">
        <v>6.3899999999999998E-2</v>
      </c>
    </row>
    <row r="9" spans="2:4" x14ac:dyDescent="0.25">
      <c r="B9" s="10">
        <f t="shared" si="0"/>
        <v>1.9E-2</v>
      </c>
      <c r="C9" s="10">
        <v>1.9E-2</v>
      </c>
      <c r="D9" s="10">
        <v>8.3900000000000002E-2</v>
      </c>
    </row>
    <row r="10" spans="2:4" x14ac:dyDescent="0.25">
      <c r="B10" s="10">
        <f t="shared" si="0"/>
        <v>2.1000000000000001E-2</v>
      </c>
      <c r="C10" s="10">
        <v>2.1000000000000001E-2</v>
      </c>
      <c r="D10" s="10">
        <v>0.1069</v>
      </c>
    </row>
    <row r="11" spans="2:4" x14ac:dyDescent="0.25">
      <c r="B11" s="10">
        <f t="shared" si="0"/>
        <v>2.3E-2</v>
      </c>
      <c r="C11" s="10">
        <v>2.3E-2</v>
      </c>
      <c r="D11" s="10">
        <v>0.1328</v>
      </c>
    </row>
    <row r="12" spans="2:4" x14ac:dyDescent="0.25">
      <c r="B12" s="10">
        <f t="shared" si="0"/>
        <v>2.5000000000000001E-2</v>
      </c>
      <c r="C12" s="10">
        <v>2.5000000000000001E-2</v>
      </c>
      <c r="D12" s="10">
        <v>0.16159999999999999</v>
      </c>
    </row>
    <row r="13" spans="2:4" x14ac:dyDescent="0.25">
      <c r="B13" s="10">
        <f t="shared" si="0"/>
        <v>2.7E-2</v>
      </c>
      <c r="C13" s="10">
        <v>2.7E-2</v>
      </c>
      <c r="D13" s="10">
        <v>0.22109999999999999</v>
      </c>
    </row>
    <row r="14" spans="2:4" x14ac:dyDescent="0.25">
      <c r="B14" s="10">
        <f t="shared" si="0"/>
        <v>2.9000000000000001E-2</v>
      </c>
      <c r="C14" s="10">
        <v>2.9000000000000001E-2</v>
      </c>
      <c r="D14" s="10">
        <v>0.26140000000000002</v>
      </c>
    </row>
    <row r="15" spans="2:4" x14ac:dyDescent="0.25">
      <c r="B15" s="10">
        <f t="shared" si="0"/>
        <v>3.1E-2</v>
      </c>
      <c r="C15" s="10">
        <v>3.1E-2</v>
      </c>
      <c r="D15" s="10">
        <v>0.36930000000000002</v>
      </c>
    </row>
    <row r="16" spans="2:4" x14ac:dyDescent="0.25">
      <c r="B16" s="10">
        <f t="shared" si="0"/>
        <v>3.3000000000000002E-2</v>
      </c>
      <c r="C16" s="10">
        <v>3.3000000000000002E-2</v>
      </c>
      <c r="D16" s="10">
        <v>0.48980000000000001</v>
      </c>
    </row>
    <row r="17" spans="2:4" x14ac:dyDescent="0.25">
      <c r="B17" s="10">
        <f t="shared" si="0"/>
        <v>3.5000000000000003E-2</v>
      </c>
      <c r="C17" s="10">
        <v>3.5000000000000003E-2</v>
      </c>
      <c r="D17" s="10">
        <v>0.60370000000000001</v>
      </c>
    </row>
    <row r="18" spans="2:4" x14ac:dyDescent="0.25">
      <c r="B18" s="10">
        <f t="shared" si="0"/>
        <v>3.6999999999999998E-2</v>
      </c>
      <c r="C18" s="10">
        <v>3.6999999999999998E-2</v>
      </c>
      <c r="D18" s="10">
        <v>0.71319999999999995</v>
      </c>
    </row>
    <row r="19" spans="2:4" x14ac:dyDescent="0.25">
      <c r="B19" s="10">
        <f t="shared" si="0"/>
        <v>3.9E-2</v>
      </c>
      <c r="C19" s="10">
        <v>3.9E-2</v>
      </c>
      <c r="D19" s="10">
        <v>0.8407</v>
      </c>
    </row>
    <row r="20" spans="2:4" x14ac:dyDescent="0.25">
      <c r="B20" s="10">
        <f t="shared" si="0"/>
        <v>4.1000000000000002E-2</v>
      </c>
      <c r="C20" s="10">
        <v>4.1000000000000002E-2</v>
      </c>
      <c r="D20" s="10">
        <v>0.96679999999999999</v>
      </c>
    </row>
    <row r="21" spans="2:4" x14ac:dyDescent="0.25">
      <c r="B21" s="10">
        <f t="shared" si="0"/>
        <v>4.2999999999999997E-2</v>
      </c>
      <c r="C21" s="10">
        <v>4.2999999999999997E-2</v>
      </c>
      <c r="D21" s="10">
        <v>1.1005</v>
      </c>
    </row>
    <row r="22" spans="2:4" x14ac:dyDescent="0.25">
      <c r="B22" s="10">
        <f t="shared" si="0"/>
        <v>4.4999999999999998E-2</v>
      </c>
      <c r="C22" s="10">
        <v>4.4999999999999998E-2</v>
      </c>
      <c r="D22" s="10">
        <v>1.2467999999999999</v>
      </c>
    </row>
    <row r="23" spans="2:4" x14ac:dyDescent="0.25">
      <c r="B23" s="10">
        <f t="shared" si="0"/>
        <v>4.7E-2</v>
      </c>
      <c r="C23" s="10">
        <v>4.7E-2</v>
      </c>
      <c r="D23" s="10">
        <v>1.3821000000000001</v>
      </c>
    </row>
    <row r="24" spans="2:4" x14ac:dyDescent="0.25">
      <c r="B24" s="10">
        <f t="shared" si="0"/>
        <v>4.9000000000000002E-2</v>
      </c>
      <c r="C24" s="10">
        <v>4.9000000000000002E-2</v>
      </c>
      <c r="D24" s="10">
        <v>1.5306</v>
      </c>
    </row>
    <row r="25" spans="2:4" x14ac:dyDescent="0.25">
      <c r="B25" s="10">
        <f t="shared" si="0"/>
        <v>5.0999999999999997E-2</v>
      </c>
      <c r="C25" s="10">
        <v>5.0999999999999997E-2</v>
      </c>
      <c r="D25" s="10">
        <v>1.6843999999999999</v>
      </c>
    </row>
    <row r="26" spans="2:4" x14ac:dyDescent="0.25">
      <c r="B26" s="10">
        <f t="shared" si="0"/>
        <v>5.2999999999999999E-2</v>
      </c>
      <c r="C26" s="10">
        <v>5.2999999999999999E-2</v>
      </c>
      <c r="D26" s="10">
        <v>1.8433999999999999</v>
      </c>
    </row>
    <row r="27" spans="2:4" x14ac:dyDescent="0.25">
      <c r="B27" s="10">
        <f t="shared" si="0"/>
        <v>5.5E-2</v>
      </c>
      <c r="C27" s="10">
        <v>5.5E-2</v>
      </c>
      <c r="D27" s="10">
        <v>2.0072999999999999</v>
      </c>
    </row>
    <row r="28" spans="2:4" x14ac:dyDescent="0.25">
      <c r="B28" s="10">
        <f t="shared" si="0"/>
        <v>5.7000000000000002E-2</v>
      </c>
      <c r="C28" s="10">
        <v>5.7000000000000002E-2</v>
      </c>
      <c r="D28" s="10">
        <v>2.1755</v>
      </c>
    </row>
    <row r="29" spans="2:4" x14ac:dyDescent="0.25">
      <c r="B29" s="10">
        <f t="shared" si="0"/>
        <v>5.8999999999999997E-2</v>
      </c>
      <c r="C29" s="10">
        <v>5.8999999999999997E-2</v>
      </c>
      <c r="D29" s="10">
        <v>2.3104</v>
      </c>
    </row>
    <row r="30" spans="2:4" x14ac:dyDescent="0.25">
      <c r="B30" s="10">
        <f t="shared" si="0"/>
        <v>6.0999999999999999E-2</v>
      </c>
      <c r="C30" s="10">
        <v>6.0999999999999999E-2</v>
      </c>
      <c r="D30" s="10">
        <v>2.4851999999999999</v>
      </c>
    </row>
    <row r="31" spans="2:4" x14ac:dyDescent="0.25">
      <c r="B31" s="10">
        <f t="shared" si="0"/>
        <v>6.3E-2</v>
      </c>
      <c r="C31" s="10">
        <v>6.3E-2</v>
      </c>
      <c r="D31" s="10">
        <v>2.6648000000000001</v>
      </c>
    </row>
    <row r="32" spans="2:4" x14ac:dyDescent="0.25">
      <c r="B32" s="10">
        <f t="shared" si="0"/>
        <v>6.5000000000000002E-2</v>
      </c>
      <c r="C32" s="10">
        <v>6.5000000000000002E-2</v>
      </c>
      <c r="D32" s="10">
        <v>2.8483999999999998</v>
      </c>
    </row>
    <row r="33" spans="2:7" x14ac:dyDescent="0.25">
      <c r="B33" s="10">
        <f t="shared" si="0"/>
        <v>6.7000000000000004E-2</v>
      </c>
      <c r="C33" s="10">
        <v>6.7000000000000004E-2</v>
      </c>
      <c r="D33" s="10">
        <v>3.0363000000000002</v>
      </c>
    </row>
    <row r="34" spans="2:7" x14ac:dyDescent="0.25">
      <c r="B34" s="10">
        <f t="shared" ref="B34:B63" si="1">C34</f>
        <v>6.9000000000000006E-2</v>
      </c>
      <c r="C34" s="10">
        <v>6.9000000000000006E-2</v>
      </c>
      <c r="D34" s="10">
        <v>3.2282000000000002</v>
      </c>
    </row>
    <row r="35" spans="2:7" x14ac:dyDescent="0.25">
      <c r="B35" s="10">
        <f t="shared" si="1"/>
        <v>7.0999999999999994E-2</v>
      </c>
      <c r="C35" s="10">
        <v>7.0999999999999994E-2</v>
      </c>
      <c r="D35" s="10">
        <v>3.4239999999999999</v>
      </c>
    </row>
    <row r="36" spans="2:7" x14ac:dyDescent="0.25">
      <c r="B36" s="10">
        <f t="shared" si="1"/>
        <v>7.2999999999999995E-2</v>
      </c>
      <c r="C36" s="10">
        <v>7.2999999999999995E-2</v>
      </c>
      <c r="D36" s="10">
        <v>3.6242000000000001</v>
      </c>
    </row>
    <row r="37" spans="2:7" x14ac:dyDescent="0.25">
      <c r="B37" s="10">
        <f t="shared" si="1"/>
        <v>7.4999999999999997E-2</v>
      </c>
      <c r="C37" s="10">
        <v>7.4999999999999997E-2</v>
      </c>
      <c r="D37" s="10">
        <v>3.8279000000000001</v>
      </c>
    </row>
    <row r="38" spans="2:7" x14ac:dyDescent="0.25">
      <c r="B38" s="10">
        <f t="shared" si="1"/>
        <v>7.6999999999999999E-2</v>
      </c>
      <c r="C38" s="10">
        <v>7.6999999999999999E-2</v>
      </c>
      <c r="D38" s="10">
        <v>4.0350999999999999</v>
      </c>
    </row>
    <row r="39" spans="2:7" x14ac:dyDescent="0.25">
      <c r="B39" s="10">
        <f t="shared" si="1"/>
        <v>7.9000000000000001E-2</v>
      </c>
      <c r="C39" s="10">
        <v>7.9000000000000001E-2</v>
      </c>
      <c r="D39" s="10">
        <v>4.2458999999999998</v>
      </c>
    </row>
    <row r="40" spans="2:7" x14ac:dyDescent="0.25">
      <c r="B40" s="10">
        <f t="shared" si="1"/>
        <v>8.1000000000000003E-2</v>
      </c>
      <c r="C40" s="10">
        <v>8.1000000000000003E-2</v>
      </c>
      <c r="D40" s="10">
        <v>4.4604999999999997</v>
      </c>
    </row>
    <row r="41" spans="2:7" x14ac:dyDescent="0.25">
      <c r="B41" s="10">
        <f t="shared" si="1"/>
        <v>8.3000000000000004E-2</v>
      </c>
      <c r="C41" s="10">
        <v>8.3000000000000004E-2</v>
      </c>
      <c r="D41" s="10">
        <v>4.6782000000000004</v>
      </c>
    </row>
    <row r="42" spans="2:7" x14ac:dyDescent="0.25">
      <c r="B42" s="10">
        <f t="shared" si="1"/>
        <v>8.5000000000000006E-2</v>
      </c>
      <c r="C42" s="10">
        <v>8.5000000000000006E-2</v>
      </c>
      <c r="D42" s="10">
        <v>4.899</v>
      </c>
    </row>
    <row r="43" spans="2:7" x14ac:dyDescent="0.25">
      <c r="B43" s="10">
        <f t="shared" si="1"/>
        <v>8.6999999999999994E-2</v>
      </c>
      <c r="C43" s="10">
        <v>8.6999999999999994E-2</v>
      </c>
      <c r="D43" s="10">
        <v>5.1233000000000004</v>
      </c>
    </row>
    <row r="44" spans="2:7" x14ac:dyDescent="0.25">
      <c r="B44" s="10">
        <f t="shared" si="1"/>
        <v>8.8999999999999996E-2</v>
      </c>
      <c r="C44" s="10">
        <v>8.8999999999999996E-2</v>
      </c>
      <c r="D44" s="10">
        <v>5.3502999999999998</v>
      </c>
    </row>
    <row r="45" spans="2:7" x14ac:dyDescent="0.25">
      <c r="B45" s="10">
        <f t="shared" si="1"/>
        <v>9.0999999999999998E-2</v>
      </c>
      <c r="C45" s="10">
        <v>9.0999999999999998E-2</v>
      </c>
      <c r="D45" s="10">
        <v>5.5807000000000002</v>
      </c>
    </row>
    <row r="46" spans="2:7" x14ac:dyDescent="0.25">
      <c r="B46" s="10">
        <f t="shared" si="1"/>
        <v>9.2999999999999999E-2</v>
      </c>
      <c r="C46" s="10">
        <v>9.2999999999999999E-2</v>
      </c>
      <c r="D46" s="10">
        <v>5.8571</v>
      </c>
    </row>
    <row r="47" spans="2:7" x14ac:dyDescent="0.25">
      <c r="B47" s="10">
        <f t="shared" si="1"/>
        <v>9.5000000000000001E-2</v>
      </c>
      <c r="C47" s="10">
        <v>9.5000000000000001E-2</v>
      </c>
      <c r="D47" s="10">
        <v>6.0994000000000002</v>
      </c>
      <c r="G47" t="s">
        <v>19</v>
      </c>
    </row>
    <row r="48" spans="2:7" x14ac:dyDescent="0.25">
      <c r="B48" s="10">
        <f t="shared" si="1"/>
        <v>9.7000000000000003E-2</v>
      </c>
      <c r="C48" s="10">
        <v>9.7000000000000003E-2</v>
      </c>
      <c r="D48" s="10">
        <v>6.3399000000000001</v>
      </c>
    </row>
    <row r="49" spans="2:5" x14ac:dyDescent="0.25">
      <c r="B49" s="10">
        <f t="shared" si="1"/>
        <v>9.9000000000000005E-2</v>
      </c>
      <c r="C49" s="10">
        <v>9.9000000000000005E-2</v>
      </c>
      <c r="D49" s="10">
        <v>6.6101999999999999</v>
      </c>
    </row>
    <row r="50" spans="2:5" x14ac:dyDescent="0.25">
      <c r="B50" s="10">
        <f t="shared" si="1"/>
        <v>0.10100000000000001</v>
      </c>
      <c r="C50" s="10">
        <v>0.10100000000000001</v>
      </c>
      <c r="D50" s="10">
        <v>6.8840000000000003</v>
      </c>
    </row>
    <row r="51" spans="2:5" x14ac:dyDescent="0.25">
      <c r="B51" s="10">
        <f t="shared" si="1"/>
        <v>0.10299999999999999</v>
      </c>
      <c r="C51" s="10">
        <v>0.10299999999999999</v>
      </c>
      <c r="D51" s="10">
        <v>7.1345000000000001</v>
      </c>
    </row>
    <row r="52" spans="2:5" x14ac:dyDescent="0.25">
      <c r="B52" s="10">
        <f t="shared" si="1"/>
        <v>0.105</v>
      </c>
      <c r="C52" s="10">
        <v>0.105</v>
      </c>
      <c r="D52" s="10">
        <v>7.3894000000000002</v>
      </c>
    </row>
    <row r="53" spans="2:5" x14ac:dyDescent="0.25">
      <c r="B53" s="10">
        <f t="shared" si="1"/>
        <v>0.107</v>
      </c>
      <c r="C53" s="10">
        <v>0.107</v>
      </c>
      <c r="D53" s="10">
        <v>7.6405000000000003</v>
      </c>
    </row>
    <row r="54" spans="2:5" x14ac:dyDescent="0.25">
      <c r="B54" s="10">
        <f t="shared" si="1"/>
        <v>0.109</v>
      </c>
      <c r="C54" s="10">
        <v>0.109</v>
      </c>
      <c r="D54" s="10">
        <v>7.8967999999999998</v>
      </c>
    </row>
    <row r="55" spans="2:5" x14ac:dyDescent="0.25">
      <c r="B55" s="10">
        <f t="shared" si="1"/>
        <v>0.111</v>
      </c>
      <c r="C55" s="10">
        <v>0.111</v>
      </c>
      <c r="D55" s="10">
        <v>8.1547999999999998</v>
      </c>
    </row>
    <row r="56" spans="2:5" x14ac:dyDescent="0.25">
      <c r="B56" s="10">
        <f t="shared" si="1"/>
        <v>0.113</v>
      </c>
      <c r="C56" s="10">
        <v>0.113</v>
      </c>
      <c r="D56" s="10">
        <v>8.4146000000000001</v>
      </c>
    </row>
    <row r="57" spans="2:5" x14ac:dyDescent="0.25">
      <c r="B57" s="10">
        <f t="shared" si="1"/>
        <v>0.115</v>
      </c>
      <c r="C57" s="10">
        <v>0.115</v>
      </c>
      <c r="D57" s="10">
        <v>8.6760999999999999</v>
      </c>
    </row>
    <row r="58" spans="2:5" x14ac:dyDescent="0.25">
      <c r="B58" s="10">
        <f t="shared" si="1"/>
        <v>0.11700000000000001</v>
      </c>
      <c r="C58" s="10">
        <v>0.11700000000000001</v>
      </c>
      <c r="D58" s="10">
        <v>8.9393999999999991</v>
      </c>
    </row>
    <row r="59" spans="2:5" x14ac:dyDescent="0.25">
      <c r="B59" s="10">
        <f t="shared" si="1"/>
        <v>0.11899999999999999</v>
      </c>
      <c r="C59" s="10">
        <v>0.11899999999999999</v>
      </c>
      <c r="D59" s="10">
        <v>9.2040000000000006</v>
      </c>
    </row>
    <row r="60" spans="2:5" x14ac:dyDescent="0.25">
      <c r="B60" s="10">
        <f t="shared" si="1"/>
        <v>0.121</v>
      </c>
      <c r="C60" s="10">
        <v>0.121</v>
      </c>
      <c r="D60" s="10">
        <v>9.4699000000000009</v>
      </c>
    </row>
    <row r="61" spans="2:5" x14ac:dyDescent="0.25">
      <c r="B61" s="10">
        <f t="shared" si="1"/>
        <v>0.123</v>
      </c>
      <c r="C61" s="10">
        <v>0.123</v>
      </c>
      <c r="D61" s="10">
        <v>9.7371999999999996</v>
      </c>
    </row>
    <row r="62" spans="2:5" x14ac:dyDescent="0.25">
      <c r="B62" s="10">
        <f t="shared" si="1"/>
        <v>0.125</v>
      </c>
      <c r="C62" s="10">
        <v>0.125</v>
      </c>
      <c r="D62" s="10">
        <v>10.005699999999999</v>
      </c>
    </row>
    <row r="63" spans="2:5" x14ac:dyDescent="0.25">
      <c r="B63" s="10">
        <f t="shared" si="1"/>
        <v>0.127</v>
      </c>
      <c r="C63" s="10">
        <v>0.127</v>
      </c>
      <c r="D63" s="10">
        <v>10.275600000000001</v>
      </c>
      <c r="E63" s="13">
        <f t="shared" ref="E63" si="2">D63*22824.5</f>
        <v>234535.43220000001</v>
      </c>
    </row>
    <row r="65" spans="3:4" x14ac:dyDescent="0.25">
      <c r="C65" s="10">
        <v>0.128</v>
      </c>
      <c r="D65" s="10">
        <f>C65*C65*491.2+C65*26.998-0.9441</f>
        <v>10.559464799999999</v>
      </c>
    </row>
    <row r="66" spans="3:4" x14ac:dyDescent="0.25">
      <c r="C66" s="10">
        <f>C65+0.01</f>
        <v>0.13800000000000001</v>
      </c>
      <c r="D66" s="10">
        <f>C66*C66*491.2+C66*26.998-0.9441</f>
        <v>12.136036800000001</v>
      </c>
    </row>
    <row r="67" spans="3:4" x14ac:dyDescent="0.25">
      <c r="C67" s="10">
        <f t="shared" ref="C67:C82" si="3">C66+0.01</f>
        <v>0.14800000000000002</v>
      </c>
      <c r="D67" s="10">
        <f t="shared" ref="D67:D96" si="4">C67*C67*491.2+C67*26.998-0.9441</f>
        <v>13.810848800000004</v>
      </c>
    </row>
    <row r="68" spans="3:4" x14ac:dyDescent="0.25">
      <c r="C68" s="10">
        <f t="shared" si="3"/>
        <v>0.15800000000000003</v>
      </c>
      <c r="D68" s="10">
        <f t="shared" si="4"/>
        <v>15.583900800000004</v>
      </c>
    </row>
    <row r="69" spans="3:4" x14ac:dyDescent="0.25">
      <c r="C69" s="10">
        <f t="shared" si="3"/>
        <v>0.16800000000000004</v>
      </c>
      <c r="D69" s="10">
        <f t="shared" si="4"/>
        <v>17.45519280000001</v>
      </c>
    </row>
    <row r="70" spans="3:4" x14ac:dyDescent="0.25">
      <c r="C70" s="10">
        <f t="shared" si="3"/>
        <v>0.17800000000000005</v>
      </c>
      <c r="D70" s="10">
        <f t="shared" si="4"/>
        <v>19.424724800000011</v>
      </c>
    </row>
    <row r="71" spans="3:4" x14ac:dyDescent="0.25">
      <c r="C71" s="10">
        <f t="shared" si="3"/>
        <v>0.18800000000000006</v>
      </c>
      <c r="D71" s="10">
        <f t="shared" si="4"/>
        <v>21.492496800000012</v>
      </c>
    </row>
    <row r="72" spans="3:4" x14ac:dyDescent="0.25">
      <c r="C72" s="10">
        <f t="shared" si="3"/>
        <v>0.19800000000000006</v>
      </c>
      <c r="D72" s="10">
        <f t="shared" si="4"/>
        <v>23.658508800000014</v>
      </c>
    </row>
    <row r="73" spans="3:4" x14ac:dyDescent="0.25">
      <c r="C73" s="10">
        <f t="shared" si="3"/>
        <v>0.20800000000000007</v>
      </c>
      <c r="D73" s="10">
        <f t="shared" si="4"/>
        <v>25.922760800000017</v>
      </c>
    </row>
    <row r="74" spans="3:4" x14ac:dyDescent="0.25">
      <c r="C74" s="10">
        <f t="shared" si="3"/>
        <v>0.21800000000000008</v>
      </c>
      <c r="D74" s="10">
        <f t="shared" si="4"/>
        <v>28.285252800000023</v>
      </c>
    </row>
    <row r="75" spans="3:4" x14ac:dyDescent="0.25">
      <c r="C75" s="10">
        <f t="shared" si="3"/>
        <v>0.22800000000000009</v>
      </c>
      <c r="D75" s="10">
        <f t="shared" si="4"/>
        <v>30.745984800000024</v>
      </c>
    </row>
    <row r="76" spans="3:4" x14ac:dyDescent="0.25">
      <c r="C76" s="10">
        <f t="shared" si="3"/>
        <v>0.2380000000000001</v>
      </c>
      <c r="D76" s="10">
        <f t="shared" si="4"/>
        <v>33.304956800000028</v>
      </c>
    </row>
    <row r="77" spans="3:4" x14ac:dyDescent="0.25">
      <c r="C77" s="10">
        <f t="shared" si="3"/>
        <v>0.24800000000000011</v>
      </c>
      <c r="D77" s="10">
        <f t="shared" si="4"/>
        <v>35.962168800000029</v>
      </c>
    </row>
    <row r="78" spans="3:4" x14ac:dyDescent="0.25">
      <c r="C78" s="10">
        <f t="shared" si="3"/>
        <v>0.25800000000000012</v>
      </c>
      <c r="D78" s="10">
        <f t="shared" si="4"/>
        <v>38.717620800000034</v>
      </c>
    </row>
    <row r="79" spans="3:4" x14ac:dyDescent="0.25">
      <c r="C79" s="10">
        <f t="shared" si="3"/>
        <v>0.26800000000000013</v>
      </c>
      <c r="D79" s="10">
        <f t="shared" si="4"/>
        <v>41.571312800000037</v>
      </c>
    </row>
    <row r="80" spans="3:4" x14ac:dyDescent="0.25">
      <c r="C80" s="10">
        <f t="shared" si="3"/>
        <v>0.27800000000000014</v>
      </c>
      <c r="D80" s="10">
        <f t="shared" si="4"/>
        <v>44.523244800000043</v>
      </c>
    </row>
    <row r="81" spans="3:4" x14ac:dyDescent="0.25">
      <c r="C81" s="10">
        <f t="shared" si="3"/>
        <v>0.28800000000000014</v>
      </c>
      <c r="D81" s="10">
        <f t="shared" si="4"/>
        <v>47.573416800000054</v>
      </c>
    </row>
    <row r="82" spans="3:4" x14ac:dyDescent="0.25">
      <c r="C82" s="10">
        <f t="shared" si="3"/>
        <v>0.29800000000000015</v>
      </c>
      <c r="D82" s="10">
        <f t="shared" si="4"/>
        <v>50.721828800000047</v>
      </c>
    </row>
    <row r="83" spans="3:4" x14ac:dyDescent="0.25">
      <c r="C83" s="10">
        <f>C82+0.01</f>
        <v>0.30800000000000016</v>
      </c>
      <c r="D83" s="10">
        <f>C83*C83*491.2+C83*26.998-0.9441</f>
        <v>53.968480800000059</v>
      </c>
    </row>
    <row r="84" spans="3:4" x14ac:dyDescent="0.25">
      <c r="C84" s="10">
        <f t="shared" ref="C84:C96" si="5">C83+0.01</f>
        <v>0.31800000000000017</v>
      </c>
      <c r="D84" s="10">
        <f t="shared" si="4"/>
        <v>57.313372800000053</v>
      </c>
    </row>
    <row r="85" spans="3:4" x14ac:dyDescent="0.25">
      <c r="C85" s="10">
        <f t="shared" si="5"/>
        <v>0.32800000000000018</v>
      </c>
      <c r="D85" s="10">
        <f t="shared" si="4"/>
        <v>60.756504800000066</v>
      </c>
    </row>
    <row r="86" spans="3:4" x14ac:dyDescent="0.25">
      <c r="C86" s="10">
        <f t="shared" si="5"/>
        <v>0.33800000000000019</v>
      </c>
      <c r="D86" s="10">
        <f t="shared" si="4"/>
        <v>64.297876800000054</v>
      </c>
    </row>
    <row r="87" spans="3:4" x14ac:dyDescent="0.25">
      <c r="C87" s="10">
        <f t="shared" si="5"/>
        <v>0.3480000000000002</v>
      </c>
      <c r="D87" s="10">
        <f t="shared" si="4"/>
        <v>67.937488800000068</v>
      </c>
    </row>
    <row r="88" spans="3:4" x14ac:dyDescent="0.25">
      <c r="C88" s="10">
        <f t="shared" si="5"/>
        <v>0.35800000000000021</v>
      </c>
      <c r="D88" s="10">
        <f t="shared" si="4"/>
        <v>71.675340800000058</v>
      </c>
    </row>
    <row r="89" spans="3:4" x14ac:dyDescent="0.25">
      <c r="C89" s="10">
        <f t="shared" si="5"/>
        <v>0.36800000000000022</v>
      </c>
      <c r="D89" s="10">
        <f t="shared" si="4"/>
        <v>75.511432800000065</v>
      </c>
    </row>
    <row r="90" spans="3:4" x14ac:dyDescent="0.25">
      <c r="C90" s="10">
        <f t="shared" si="5"/>
        <v>0.37800000000000022</v>
      </c>
      <c r="D90" s="10">
        <f t="shared" si="4"/>
        <v>79.445764800000092</v>
      </c>
    </row>
    <row r="91" spans="3:4" x14ac:dyDescent="0.25">
      <c r="C91" s="10">
        <f t="shared" si="5"/>
        <v>0.38800000000000023</v>
      </c>
      <c r="D91" s="10">
        <f t="shared" si="4"/>
        <v>83.478336800000093</v>
      </c>
    </row>
    <row r="92" spans="3:4" x14ac:dyDescent="0.25">
      <c r="C92" s="10">
        <f t="shared" si="5"/>
        <v>0.39800000000000024</v>
      </c>
      <c r="D92" s="10">
        <f t="shared" si="4"/>
        <v>87.609148800000085</v>
      </c>
    </row>
    <row r="93" spans="3:4" x14ac:dyDescent="0.25">
      <c r="C93" s="10">
        <f t="shared" si="5"/>
        <v>0.40800000000000025</v>
      </c>
      <c r="D93" s="10">
        <f t="shared" si="4"/>
        <v>91.838200800000095</v>
      </c>
    </row>
    <row r="94" spans="3:4" x14ac:dyDescent="0.25">
      <c r="C94" s="10">
        <f t="shared" si="5"/>
        <v>0.41800000000000026</v>
      </c>
      <c r="D94" s="10">
        <f t="shared" si="4"/>
        <v>96.165492800000109</v>
      </c>
    </row>
    <row r="95" spans="3:4" x14ac:dyDescent="0.25">
      <c r="C95" s="10">
        <f t="shared" si="5"/>
        <v>0.42800000000000027</v>
      </c>
      <c r="D95" s="10">
        <f t="shared" si="4"/>
        <v>100.59102480000013</v>
      </c>
    </row>
    <row r="96" spans="3:4" x14ac:dyDescent="0.25">
      <c r="C96" s="10">
        <f t="shared" si="5"/>
        <v>0.43800000000000028</v>
      </c>
      <c r="D96" s="10">
        <f t="shared" si="4"/>
        <v>105.11479680000011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AHS</vt:lpstr>
      <vt:lpstr>AHM</vt:lpstr>
      <vt:lpstr>Thelmar data</vt:lpstr>
    </vt:vector>
  </TitlesOfParts>
  <Company>University of Vermont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Ross</dc:creator>
  <cp:lastModifiedBy>Don Ross</cp:lastModifiedBy>
  <dcterms:created xsi:type="dcterms:W3CDTF">2018-05-09T19:38:31Z</dcterms:created>
  <dcterms:modified xsi:type="dcterms:W3CDTF">2020-07-29T16:33:05Z</dcterms:modified>
</cp:coreProperties>
</file>